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Aug 25\GHFL\OLD\"/>
    </mc:Choice>
  </mc:AlternateContent>
  <xr:revisionPtr revIDLastSave="0" documentId="13_ncr:1_{686F3326-A608-4FB8-BB38-ECD6698BFF43}" xr6:coauthVersionLast="36" xr6:coauthVersionMax="36" xr10:uidLastSave="{00000000-0000-0000-0000-000000000000}"/>
  <bookViews>
    <workbookView xWindow="0" yWindow="0" windowWidth="20490" windowHeight="6825" xr2:uid="{00000000-000D-0000-FFFF-FFFF00000000}"/>
  </bookViews>
  <sheets>
    <sheet name="Report" sheetId="3" r:id="rId1"/>
  </sheets>
  <definedNames>
    <definedName name="_xlnm.Print_Area" localSheetId="0">Report!$A$1:$I$561</definedName>
  </definedNames>
  <calcPr calcId="191029"/>
</workbook>
</file>

<file path=xl/calcChain.xml><?xml version="1.0" encoding="utf-8"?>
<calcChain xmlns="http://schemas.openxmlformats.org/spreadsheetml/2006/main">
  <c r="K2" i="3" l="1"/>
  <c r="C124" i="3" l="1"/>
  <c r="C125" i="3" s="1"/>
  <c r="C108" i="3"/>
  <c r="C109" i="3" s="1"/>
  <c r="C92" i="3"/>
  <c r="C93" i="3" s="1"/>
  <c r="C60" i="3"/>
  <c r="C61" i="3" s="1"/>
  <c r="M114" i="3" l="1"/>
  <c r="K112" i="3"/>
  <c r="K111" i="3"/>
  <c r="K110" i="3"/>
  <c r="K109" i="3"/>
  <c r="C110" i="3"/>
  <c r="C126" i="3"/>
  <c r="C94" i="3"/>
  <c r="C62" i="3"/>
  <c r="M130" i="3"/>
  <c r="K128" i="3"/>
  <c r="K127" i="3"/>
  <c r="M98" i="3"/>
  <c r="K96" i="3"/>
  <c r="K95" i="3"/>
  <c r="J324" i="3"/>
  <c r="F341" i="3"/>
  <c r="F244" i="3"/>
  <c r="F342" i="3"/>
  <c r="F344" i="3"/>
  <c r="F345" i="3"/>
  <c r="F231" i="3"/>
  <c r="I87" i="3"/>
  <c r="I103" i="3"/>
  <c r="I119" i="3"/>
  <c r="E116" i="3" l="1"/>
  <c r="E114" i="3"/>
  <c r="E112" i="3"/>
  <c r="E110" i="3"/>
  <c r="K107" i="3"/>
  <c r="K108" i="3" s="1"/>
  <c r="K113" i="3" s="1"/>
  <c r="K114" i="3" s="1"/>
  <c r="C106" i="3" s="1"/>
  <c r="E106" i="3" s="1"/>
  <c r="E115" i="3"/>
  <c r="E107" i="3"/>
  <c r="K105" i="3"/>
  <c r="E113" i="3"/>
  <c r="E111" i="3"/>
  <c r="E108" i="3"/>
  <c r="K106" i="3"/>
  <c r="C105" i="3" s="1"/>
  <c r="K104" i="3"/>
  <c r="E109" i="3"/>
  <c r="E132" i="3"/>
  <c r="K122" i="3"/>
  <c r="C121" i="3" s="1"/>
  <c r="E121" i="3" s="1"/>
  <c r="K120" i="3"/>
  <c r="K123" i="3"/>
  <c r="K124" i="3" s="1"/>
  <c r="K125" i="3" s="1"/>
  <c r="K126" i="3" s="1"/>
  <c r="E123" i="3"/>
  <c r="E130" i="3"/>
  <c r="E126" i="3"/>
  <c r="E127" i="3"/>
  <c r="E129" i="3"/>
  <c r="E125" i="3"/>
  <c r="K121" i="3"/>
  <c r="E128" i="3"/>
  <c r="E124" i="3"/>
  <c r="E131" i="3"/>
  <c r="K90" i="3"/>
  <c r="C89" i="3" s="1"/>
  <c r="E89" i="3" s="1"/>
  <c r="K88" i="3"/>
  <c r="E98" i="3"/>
  <c r="E94" i="3"/>
  <c r="E97" i="3"/>
  <c r="E93" i="3"/>
  <c r="K89" i="3"/>
  <c r="E100" i="3"/>
  <c r="E96" i="3"/>
  <c r="E92" i="3"/>
  <c r="E99" i="3"/>
  <c r="K91" i="3"/>
  <c r="K92" i="3" s="1"/>
  <c r="K97" i="3" s="1"/>
  <c r="E95" i="3"/>
  <c r="E91" i="3"/>
  <c r="J190" i="3"/>
  <c r="H187" i="3"/>
  <c r="J185" i="3"/>
  <c r="M66" i="3"/>
  <c r="K64" i="3"/>
  <c r="K63" i="3"/>
  <c r="I55" i="3"/>
  <c r="F105" i="3" l="1"/>
  <c r="E105" i="3"/>
  <c r="K129" i="3"/>
  <c r="K130" i="3" s="1"/>
  <c r="C122" i="3" s="1"/>
  <c r="E122" i="3" s="1"/>
  <c r="K93" i="3"/>
  <c r="K94" i="3" s="1"/>
  <c r="K58" i="3"/>
  <c r="C57" i="3" s="1"/>
  <c r="K57" i="3"/>
  <c r="E68" i="3"/>
  <c r="E60" i="3"/>
  <c r="E67" i="3"/>
  <c r="K59" i="3"/>
  <c r="K60" i="3" s="1"/>
  <c r="K65" i="3" s="1"/>
  <c r="E65" i="3"/>
  <c r="E61" i="3"/>
  <c r="E64" i="3"/>
  <c r="E63" i="3"/>
  <c r="E59" i="3"/>
  <c r="K56" i="3"/>
  <c r="E66" i="3"/>
  <c r="E62" i="3"/>
  <c r="J102" i="3" l="1"/>
  <c r="H105" i="3" s="1"/>
  <c r="K98" i="3"/>
  <c r="C90" i="3" s="1"/>
  <c r="E90" i="3" s="1"/>
  <c r="F121" i="3"/>
  <c r="J118" i="3" s="1"/>
  <c r="H121" i="3" s="1"/>
  <c r="K61" i="3"/>
  <c r="K62" i="3" s="1"/>
  <c r="E57" i="3"/>
  <c r="F89" i="3" l="1"/>
  <c r="J86" i="3" s="1"/>
  <c r="H89" i="3" s="1"/>
  <c r="K66" i="3"/>
  <c r="C58" i="3" s="1"/>
  <c r="E58" i="3" s="1"/>
  <c r="F57" i="3" l="1"/>
  <c r="H133" i="3" s="1"/>
  <c r="J54" i="3" l="1"/>
  <c r="H57" i="3" s="1"/>
  <c r="H50" i="3"/>
  <c r="E417" i="3" l="1"/>
  <c r="J332" i="3" l="1"/>
  <c r="F411" i="3" l="1"/>
  <c r="F410" i="3"/>
  <c r="F409" i="3"/>
  <c r="F408" i="3"/>
  <c r="F407" i="3"/>
  <c r="F406" i="3"/>
  <c r="F405" i="3"/>
  <c r="F404" i="3"/>
  <c r="F403" i="3"/>
  <c r="F402" i="3"/>
  <c r="F395" i="3"/>
  <c r="F394" i="3"/>
  <c r="F393" i="3"/>
  <c r="F392" i="3"/>
  <c r="F391" i="3"/>
  <c r="F399" i="3"/>
  <c r="F398" i="3"/>
  <c r="F397" i="3"/>
  <c r="F396" i="3"/>
  <c r="F390" i="3"/>
  <c r="F389" i="3"/>
  <c r="H383" i="3"/>
  <c r="H382" i="3"/>
  <c r="H381" i="3"/>
  <c r="H380" i="3"/>
  <c r="H379" i="3"/>
  <c r="F387" i="3"/>
  <c r="F386" i="3"/>
  <c r="F385" i="3"/>
  <c r="F384" i="3"/>
  <c r="F383" i="3"/>
  <c r="F382" i="3"/>
  <c r="F381" i="3"/>
  <c r="F380" i="3"/>
  <c r="F379" i="3"/>
  <c r="F378" i="3"/>
  <c r="F377" i="3"/>
  <c r="F375" i="3"/>
  <c r="I375" i="3" s="1"/>
  <c r="F374" i="3"/>
  <c r="I374" i="3" s="1"/>
  <c r="F373" i="3"/>
  <c r="F372" i="3"/>
  <c r="F371" i="3"/>
  <c r="F370" i="3"/>
  <c r="F369" i="3"/>
  <c r="F368" i="3"/>
  <c r="F367" i="3"/>
  <c r="F366" i="3"/>
  <c r="F365" i="3"/>
  <c r="F364" i="3"/>
  <c r="F361" i="3"/>
  <c r="F360" i="3"/>
  <c r="F358" i="3"/>
  <c r="F357" i="3"/>
  <c r="F356" i="3"/>
  <c r="F355" i="3"/>
  <c r="F354" i="3"/>
  <c r="F353" i="3"/>
  <c r="F352" i="3"/>
  <c r="F351" i="3"/>
  <c r="F349" i="3"/>
  <c r="F348" i="3"/>
  <c r="F347" i="3"/>
  <c r="F346" i="3"/>
  <c r="F343" i="3"/>
  <c r="F340" i="3"/>
  <c r="F339" i="3"/>
  <c r="H333" i="3"/>
  <c r="H332" i="3"/>
  <c r="H331" i="3"/>
  <c r="H330" i="3"/>
  <c r="H329" i="3"/>
  <c r="F337" i="3"/>
  <c r="F336" i="3"/>
  <c r="F335" i="3"/>
  <c r="F334" i="3"/>
  <c r="F333" i="3"/>
  <c r="F332" i="3"/>
  <c r="F331" i="3"/>
  <c r="F330" i="3"/>
  <c r="F329" i="3"/>
  <c r="F328" i="3"/>
  <c r="F327" i="3"/>
  <c r="F325" i="3"/>
  <c r="F324" i="3"/>
  <c r="F323" i="3"/>
  <c r="F322" i="3"/>
  <c r="F321" i="3"/>
  <c r="F320" i="3"/>
  <c r="F319" i="3"/>
  <c r="F318" i="3"/>
  <c r="I318" i="3" s="1"/>
  <c r="F317" i="3"/>
  <c r="F316" i="3"/>
  <c r="F315" i="3"/>
  <c r="F314" i="3"/>
  <c r="F313" i="3"/>
  <c r="F312" i="3"/>
  <c r="F311" i="3"/>
  <c r="F310" i="3"/>
  <c r="F309" i="3"/>
  <c r="F307" i="3"/>
  <c r="I307" i="3" s="1"/>
  <c r="F306" i="3"/>
  <c r="F305" i="3"/>
  <c r="F304" i="3"/>
  <c r="F303" i="3"/>
  <c r="F302" i="3"/>
  <c r="F301" i="3"/>
  <c r="F300" i="3"/>
  <c r="F299" i="3"/>
  <c r="F298" i="3"/>
  <c r="F297" i="3"/>
  <c r="F293" i="3"/>
  <c r="I293" i="3" s="1"/>
  <c r="F294" i="3"/>
  <c r="F291" i="3"/>
  <c r="F290" i="3"/>
  <c r="F289" i="3"/>
  <c r="F288" i="3"/>
  <c r="F287" i="3"/>
  <c r="F286" i="3"/>
  <c r="F285" i="3"/>
  <c r="F284" i="3"/>
  <c r="F282" i="3"/>
  <c r="F281" i="3"/>
  <c r="F280" i="3"/>
  <c r="F279" i="3"/>
  <c r="F278" i="3"/>
  <c r="F277" i="3"/>
  <c r="F276" i="3"/>
  <c r="F275" i="3"/>
  <c r="F274" i="3"/>
  <c r="F273" i="3"/>
  <c r="F272" i="3"/>
  <c r="H266" i="3"/>
  <c r="H264" i="3"/>
  <c r="H263" i="3"/>
  <c r="H262" i="3"/>
  <c r="F270" i="3"/>
  <c r="F269" i="3"/>
  <c r="F268" i="3"/>
  <c r="F267" i="3"/>
  <c r="F266" i="3"/>
  <c r="F265" i="3"/>
  <c r="F264" i="3"/>
  <c r="F263" i="3"/>
  <c r="F262" i="3"/>
  <c r="F261" i="3"/>
  <c r="F260" i="3"/>
  <c r="F258" i="3"/>
  <c r="F257" i="3"/>
  <c r="F256" i="3"/>
  <c r="F255" i="3"/>
  <c r="F254" i="3"/>
  <c r="F253" i="3"/>
  <c r="F252" i="3"/>
  <c r="F251" i="3"/>
  <c r="I251" i="3" s="1"/>
  <c r="F250" i="3"/>
  <c r="F249" i="3"/>
  <c r="F248" i="3"/>
  <c r="F247" i="3"/>
  <c r="F246" i="3"/>
  <c r="F245" i="3"/>
  <c r="F243" i="3"/>
  <c r="F242" i="3"/>
  <c r="F241" i="3"/>
  <c r="F240" i="3"/>
  <c r="F239" i="3"/>
  <c r="F238" i="3"/>
  <c r="F236" i="3"/>
  <c r="I236" i="3" s="1"/>
  <c r="F235" i="3"/>
  <c r="F234" i="3"/>
  <c r="F233" i="3"/>
  <c r="F232" i="3"/>
  <c r="F230" i="3"/>
  <c r="F229" i="3"/>
  <c r="F228" i="3"/>
  <c r="F227" i="3"/>
  <c r="F226" i="3"/>
  <c r="F225" i="3"/>
  <c r="F224" i="3"/>
  <c r="F223" i="3"/>
  <c r="F222" i="3"/>
  <c r="F219" i="3"/>
  <c r="F218" i="3"/>
  <c r="F217" i="3"/>
  <c r="F216" i="3"/>
  <c r="F215" i="3"/>
  <c r="F214" i="3"/>
  <c r="F213" i="3"/>
  <c r="F212" i="3"/>
  <c r="F211" i="3"/>
  <c r="F210" i="3"/>
  <c r="F205" i="3"/>
  <c r="F204" i="3"/>
  <c r="F200" i="3"/>
  <c r="F199" i="3"/>
  <c r="F198" i="3"/>
  <c r="F197" i="3"/>
  <c r="F207" i="3"/>
  <c r="F206" i="3"/>
  <c r="F203" i="3"/>
  <c r="F202" i="3"/>
  <c r="F201" i="3"/>
  <c r="J189" i="3"/>
  <c r="H190" i="3"/>
  <c r="H191" i="3"/>
  <c r="H189" i="3"/>
  <c r="H188" i="3"/>
  <c r="F195" i="3"/>
  <c r="F194" i="3"/>
  <c r="F193" i="3"/>
  <c r="F192" i="3"/>
  <c r="F191" i="3"/>
  <c r="F190" i="3"/>
  <c r="F189" i="3"/>
  <c r="F188" i="3"/>
  <c r="F187" i="3"/>
  <c r="F186" i="3"/>
  <c r="F185" i="3"/>
  <c r="F183" i="3"/>
  <c r="I183" i="3" s="1"/>
  <c r="F182" i="3"/>
  <c r="F181" i="3"/>
  <c r="F180" i="3"/>
  <c r="F179" i="3"/>
  <c r="F178" i="3"/>
  <c r="F177" i="3"/>
  <c r="F176" i="3"/>
  <c r="F175" i="3"/>
  <c r="F174" i="3"/>
  <c r="F173" i="3"/>
  <c r="F172" i="3"/>
  <c r="F171" i="3"/>
  <c r="F170" i="3"/>
  <c r="F169" i="3"/>
  <c r="F152" i="3" l="1"/>
  <c r="F154" i="3"/>
  <c r="F158" i="3"/>
  <c r="F153" i="3"/>
  <c r="F155" i="3"/>
  <c r="F161" i="3"/>
  <c r="H160" i="3"/>
  <c r="H152" i="3"/>
  <c r="H158" i="3"/>
  <c r="H155" i="3"/>
  <c r="H161" i="3"/>
  <c r="F160" i="3"/>
  <c r="F159" i="3"/>
  <c r="H153" i="3"/>
  <c r="H159" i="3"/>
  <c r="H154" i="3"/>
  <c r="H148" i="3"/>
  <c r="H146" i="3"/>
  <c r="H147" i="3"/>
  <c r="I411" i="3"/>
  <c r="I410" i="3"/>
  <c r="I409" i="3"/>
  <c r="I408" i="3"/>
  <c r="I407" i="3"/>
  <c r="I406" i="3"/>
  <c r="I405" i="3"/>
  <c r="I404" i="3"/>
  <c r="I403" i="3"/>
  <c r="I402" i="3"/>
  <c r="A401" i="3"/>
  <c r="I399" i="3"/>
  <c r="I387" i="3"/>
  <c r="I386" i="3"/>
  <c r="I372" i="3"/>
  <c r="I371" i="3"/>
  <c r="I370" i="3"/>
  <c r="I368" i="3"/>
  <c r="I369" i="3"/>
  <c r="I367" i="3"/>
  <c r="I366" i="3"/>
  <c r="I365" i="3"/>
  <c r="I398" i="3"/>
  <c r="I397" i="3"/>
  <c r="I396" i="3"/>
  <c r="I395" i="3"/>
  <c r="I394" i="3"/>
  <c r="I393" i="3"/>
  <c r="I392" i="3"/>
  <c r="I391" i="3"/>
  <c r="I390" i="3"/>
  <c r="I389" i="3"/>
  <c r="A389" i="3"/>
  <c r="I385" i="3"/>
  <c r="I384" i="3"/>
  <c r="I379" i="3"/>
  <c r="I378" i="3"/>
  <c r="I377" i="3"/>
  <c r="A377" i="3"/>
  <c r="I373" i="3"/>
  <c r="C365" i="3"/>
  <c r="C366" i="3" s="1"/>
  <c r="C367" i="3" s="1"/>
  <c r="C368" i="3" s="1"/>
  <c r="C369" i="3" s="1"/>
  <c r="C370" i="3" s="1"/>
  <c r="C371" i="3" s="1"/>
  <c r="C372" i="3" s="1"/>
  <c r="C373" i="3" s="1"/>
  <c r="C374" i="3" s="1"/>
  <c r="C375" i="3" s="1"/>
  <c r="A364" i="3"/>
  <c r="I358" i="3"/>
  <c r="I357" i="3"/>
  <c r="I356" i="3"/>
  <c r="I355" i="3"/>
  <c r="I354" i="3"/>
  <c r="I353" i="3"/>
  <c r="I352" i="3"/>
  <c r="I351" i="3"/>
  <c r="I361" i="3"/>
  <c r="I360" i="3"/>
  <c r="A351" i="3"/>
  <c r="I329" i="3"/>
  <c r="V401" i="3"/>
  <c r="W389" i="3"/>
  <c r="V377" i="3"/>
  <c r="W401" i="3"/>
  <c r="W351" i="3"/>
  <c r="W377" i="3"/>
  <c r="V351" i="3"/>
  <c r="V389" i="3"/>
  <c r="F156" i="3" l="1"/>
  <c r="F162" i="3"/>
  <c r="F163" i="3" s="1"/>
  <c r="I383" i="3"/>
  <c r="I332" i="3"/>
  <c r="I333" i="3"/>
  <c r="I364" i="3"/>
  <c r="I155" i="3" s="1"/>
  <c r="I330" i="3"/>
  <c r="I381" i="3"/>
  <c r="I380" i="3"/>
  <c r="I382" i="3"/>
  <c r="W402" i="3"/>
  <c r="W403" i="3" s="1"/>
  <c r="W404" i="3" s="1"/>
  <c r="W405" i="3" s="1"/>
  <c r="W406" i="3" s="1"/>
  <c r="W407" i="3" s="1"/>
  <c r="W408" i="3" s="1"/>
  <c r="W409" i="3" s="1"/>
  <c r="W410" i="3" s="1"/>
  <c r="W411" i="3" s="1"/>
  <c r="V402" i="3"/>
  <c r="U401" i="3"/>
  <c r="W378" i="3"/>
  <c r="W379" i="3" s="1"/>
  <c r="W380" i="3" s="1"/>
  <c r="W381" i="3" s="1"/>
  <c r="W382" i="3" s="1"/>
  <c r="W383" i="3" s="1"/>
  <c r="W384" i="3" s="1"/>
  <c r="W385" i="3" s="1"/>
  <c r="W386" i="3" s="1"/>
  <c r="W387" i="3" s="1"/>
  <c r="U389" i="3"/>
  <c r="V390" i="3"/>
  <c r="V378" i="3"/>
  <c r="U377" i="3"/>
  <c r="W390" i="3"/>
  <c r="W391" i="3" s="1"/>
  <c r="W392" i="3" s="1"/>
  <c r="W393" i="3" s="1"/>
  <c r="W394" i="3" s="1"/>
  <c r="W395" i="3" s="1"/>
  <c r="W396" i="3" s="1"/>
  <c r="W397" i="3" s="1"/>
  <c r="W398" i="3" s="1"/>
  <c r="W399" i="3" s="1"/>
  <c r="W352" i="3"/>
  <c r="W353" i="3" s="1"/>
  <c r="W354" i="3" s="1"/>
  <c r="W355" i="3" s="1"/>
  <c r="W356" i="3" s="1"/>
  <c r="W357" i="3" s="1"/>
  <c r="W358" i="3" s="1"/>
  <c r="W359" i="3" s="1"/>
  <c r="W360" i="3" s="1"/>
  <c r="W361" i="3" s="1"/>
  <c r="V352" i="3"/>
  <c r="U351" i="3"/>
  <c r="I314" i="3"/>
  <c r="I320" i="3"/>
  <c r="I321" i="3"/>
  <c r="I322" i="3"/>
  <c r="I323" i="3"/>
  <c r="I324" i="3"/>
  <c r="I325" i="3"/>
  <c r="I261" i="3"/>
  <c r="I268" i="3"/>
  <c r="I269" i="3"/>
  <c r="I309" i="3"/>
  <c r="I310" i="3"/>
  <c r="I239" i="3"/>
  <c r="I306" i="3"/>
  <c r="I305" i="3"/>
  <c r="I304" i="3"/>
  <c r="I303" i="3"/>
  <c r="I302" i="3"/>
  <c r="I301" i="3"/>
  <c r="I300" i="3"/>
  <c r="I299" i="3"/>
  <c r="I298" i="3"/>
  <c r="I297" i="3"/>
  <c r="I349" i="3"/>
  <c r="I348" i="3"/>
  <c r="I347" i="3"/>
  <c r="I346" i="3"/>
  <c r="I345" i="3"/>
  <c r="I344" i="3"/>
  <c r="I343" i="3"/>
  <c r="I342" i="3"/>
  <c r="I341" i="3"/>
  <c r="I340" i="3"/>
  <c r="I339" i="3"/>
  <c r="A339" i="3"/>
  <c r="I337" i="3"/>
  <c r="I336" i="3"/>
  <c r="I335" i="3"/>
  <c r="I328" i="3"/>
  <c r="I327" i="3"/>
  <c r="A327" i="3"/>
  <c r="I258" i="3"/>
  <c r="C258" i="3"/>
  <c r="J257" i="3"/>
  <c r="I257" i="3"/>
  <c r="I256" i="3"/>
  <c r="C256" i="3"/>
  <c r="J255" i="3"/>
  <c r="I255" i="3"/>
  <c r="I254" i="3"/>
  <c r="C254" i="3"/>
  <c r="J253" i="3"/>
  <c r="I252" i="3"/>
  <c r="J250" i="3"/>
  <c r="I250" i="3"/>
  <c r="I249" i="3"/>
  <c r="J248" i="3"/>
  <c r="I248" i="3"/>
  <c r="I247" i="3"/>
  <c r="I246" i="3"/>
  <c r="I245" i="3"/>
  <c r="I244" i="3"/>
  <c r="I243" i="3"/>
  <c r="I242" i="3"/>
  <c r="I241" i="3"/>
  <c r="I240" i="3"/>
  <c r="C239" i="3"/>
  <c r="C240" i="3" s="1"/>
  <c r="C241" i="3" s="1"/>
  <c r="C242" i="3" s="1"/>
  <c r="C243" i="3" s="1"/>
  <c r="C244" i="3" s="1"/>
  <c r="C245" i="3" s="1"/>
  <c r="C246" i="3" s="1"/>
  <c r="C247" i="3" s="1"/>
  <c r="C248" i="3" s="1"/>
  <c r="C249" i="3" s="1"/>
  <c r="C250" i="3" s="1"/>
  <c r="C251" i="3" s="1"/>
  <c r="C252" i="3" s="1"/>
  <c r="I238" i="3"/>
  <c r="A238" i="3"/>
  <c r="C298" i="3"/>
  <c r="C299" i="3" s="1"/>
  <c r="C300" i="3" s="1"/>
  <c r="C301" i="3" s="1"/>
  <c r="C302" i="3" s="1"/>
  <c r="C303" i="3" s="1"/>
  <c r="C304" i="3" s="1"/>
  <c r="C305" i="3" s="1"/>
  <c r="C306" i="3" s="1"/>
  <c r="C307" i="3" s="1"/>
  <c r="A297" i="3"/>
  <c r="I282" i="3"/>
  <c r="I281" i="3"/>
  <c r="I280" i="3"/>
  <c r="I279" i="3"/>
  <c r="I278" i="3"/>
  <c r="I277" i="3"/>
  <c r="I276" i="3"/>
  <c r="I275" i="3"/>
  <c r="I274" i="3"/>
  <c r="I273" i="3"/>
  <c r="I272" i="3"/>
  <c r="A272" i="3"/>
  <c r="I287" i="3"/>
  <c r="I288" i="3"/>
  <c r="I289" i="3"/>
  <c r="I290" i="3"/>
  <c r="I291" i="3"/>
  <c r="I286" i="3"/>
  <c r="I294" i="3"/>
  <c r="I285" i="3"/>
  <c r="I284" i="3"/>
  <c r="I263" i="3"/>
  <c r="I264" i="3"/>
  <c r="H265" i="3"/>
  <c r="I266" i="3"/>
  <c r="I262" i="3"/>
  <c r="I260" i="3"/>
  <c r="I270" i="3"/>
  <c r="I313" i="3"/>
  <c r="I312" i="3"/>
  <c r="I311" i="3"/>
  <c r="I235" i="3"/>
  <c r="I234" i="3"/>
  <c r="I233" i="3"/>
  <c r="I232" i="3"/>
  <c r="I231" i="3"/>
  <c r="I229" i="3"/>
  <c r="I228" i="3"/>
  <c r="I227" i="3"/>
  <c r="I226" i="3"/>
  <c r="I225" i="3"/>
  <c r="I224" i="3"/>
  <c r="A284" i="3"/>
  <c r="A260" i="3"/>
  <c r="I319" i="3"/>
  <c r="I317" i="3"/>
  <c r="I316" i="3"/>
  <c r="C310" i="3"/>
  <c r="C311" i="3" s="1"/>
  <c r="C312" i="3" s="1"/>
  <c r="C313" i="3" s="1"/>
  <c r="C314" i="3" s="1"/>
  <c r="C315" i="3" s="1"/>
  <c r="C316" i="3" s="1"/>
  <c r="C317" i="3" s="1"/>
  <c r="C318" i="3" s="1"/>
  <c r="C319" i="3" s="1"/>
  <c r="J309" i="3"/>
  <c r="A309" i="3"/>
  <c r="I230" i="3"/>
  <c r="I223" i="3"/>
  <c r="C223" i="3"/>
  <c r="C224" i="3" s="1"/>
  <c r="C225" i="3" s="1"/>
  <c r="C226" i="3" s="1"/>
  <c r="C227" i="3" s="1"/>
  <c r="C228" i="3" s="1"/>
  <c r="C229" i="3" s="1"/>
  <c r="C230" i="3" s="1"/>
  <c r="C231" i="3" s="1"/>
  <c r="C232" i="3" s="1"/>
  <c r="C233" i="3" s="1"/>
  <c r="C234" i="3" s="1"/>
  <c r="C235" i="3" s="1"/>
  <c r="C236" i="3" s="1"/>
  <c r="A222" i="3"/>
  <c r="I219" i="3"/>
  <c r="I218" i="3"/>
  <c r="I217" i="3"/>
  <c r="I216" i="3"/>
  <c r="I215" i="3"/>
  <c r="I214" i="3"/>
  <c r="I213" i="3"/>
  <c r="I212" i="3"/>
  <c r="I211" i="3"/>
  <c r="I210" i="3"/>
  <c r="A209" i="3"/>
  <c r="J197" i="3"/>
  <c r="I207" i="3"/>
  <c r="I195" i="3"/>
  <c r="I194" i="3"/>
  <c r="I193" i="3"/>
  <c r="I191" i="3"/>
  <c r="I192" i="3"/>
  <c r="I186" i="3"/>
  <c r="C186" i="3"/>
  <c r="C187" i="3" s="1"/>
  <c r="C188" i="3" s="1"/>
  <c r="C189" i="3" s="1"/>
  <c r="C190" i="3" s="1"/>
  <c r="C191" i="3" s="1"/>
  <c r="C192" i="3" s="1"/>
  <c r="C193" i="3" s="1"/>
  <c r="C194" i="3" s="1"/>
  <c r="C195" i="3" s="1"/>
  <c r="A185" i="3"/>
  <c r="I182" i="3"/>
  <c r="I179" i="3"/>
  <c r="I178" i="3"/>
  <c r="I177" i="3"/>
  <c r="I181" i="3"/>
  <c r="I180" i="3"/>
  <c r="A169" i="3"/>
  <c r="C17" i="3"/>
  <c r="V260" i="3"/>
  <c r="W272" i="3"/>
  <c r="W209" i="3"/>
  <c r="V272" i="3"/>
  <c r="V284" i="3"/>
  <c r="V209" i="3"/>
  <c r="V327" i="3"/>
  <c r="V339" i="3"/>
  <c r="W327" i="3"/>
  <c r="W260" i="3"/>
  <c r="W284" i="3"/>
  <c r="W339" i="3"/>
  <c r="I161" i="3" l="1"/>
  <c r="I253" i="3"/>
  <c r="I185" i="3"/>
  <c r="I222" i="3"/>
  <c r="I153" i="3" s="1"/>
  <c r="V403" i="3"/>
  <c r="U402" i="3"/>
  <c r="V379" i="3"/>
  <c r="U378" i="3"/>
  <c r="U390" i="3"/>
  <c r="V391" i="3"/>
  <c r="V353" i="3"/>
  <c r="U352" i="3"/>
  <c r="I267" i="3"/>
  <c r="I265" i="3"/>
  <c r="I187" i="3"/>
  <c r="C321" i="3"/>
  <c r="C323" i="3" s="1"/>
  <c r="I189" i="3"/>
  <c r="I188" i="3"/>
  <c r="I334" i="3"/>
  <c r="I190" i="3"/>
  <c r="U327" i="3"/>
  <c r="V328" i="3"/>
  <c r="U339" i="3"/>
  <c r="V340" i="3"/>
  <c r="W328" i="3"/>
  <c r="W329" i="3" s="1"/>
  <c r="W330" i="3" s="1"/>
  <c r="W331" i="3" s="1"/>
  <c r="W332" i="3" s="1"/>
  <c r="W333" i="3" s="1"/>
  <c r="W334" i="3" s="1"/>
  <c r="W335" i="3" s="1"/>
  <c r="W336" i="3" s="1"/>
  <c r="W337" i="3" s="1"/>
  <c r="W340" i="3"/>
  <c r="W341" i="3" s="1"/>
  <c r="W342" i="3" s="1"/>
  <c r="W343" i="3" s="1"/>
  <c r="W344" i="3" s="1"/>
  <c r="W345" i="3" s="1"/>
  <c r="W346" i="3" s="1"/>
  <c r="W347" i="3" s="1"/>
  <c r="W348" i="3" s="1"/>
  <c r="W349" i="3" s="1"/>
  <c r="I331" i="3"/>
  <c r="U272" i="3"/>
  <c r="V273" i="3"/>
  <c r="W273" i="3"/>
  <c r="W274" i="3" s="1"/>
  <c r="W275" i="3" s="1"/>
  <c r="W276" i="3" s="1"/>
  <c r="W277" i="3" s="1"/>
  <c r="W278" i="3" s="1"/>
  <c r="W279" i="3" s="1"/>
  <c r="W280" i="3" s="1"/>
  <c r="W281" i="3" s="1"/>
  <c r="W282" i="3" s="1"/>
  <c r="U260" i="3"/>
  <c r="V261" i="3"/>
  <c r="U284" i="3"/>
  <c r="V285" i="3"/>
  <c r="W261" i="3"/>
  <c r="W262" i="3" s="1"/>
  <c r="W263" i="3" s="1"/>
  <c r="W264" i="3" s="1"/>
  <c r="W265" i="3" s="1"/>
  <c r="W266" i="3" s="1"/>
  <c r="W267" i="3" s="1"/>
  <c r="W268" i="3" s="1"/>
  <c r="W269" i="3" s="1"/>
  <c r="W270" i="3" s="1"/>
  <c r="W285" i="3"/>
  <c r="W286" i="3" s="1"/>
  <c r="W287" i="3" s="1"/>
  <c r="W288" i="3" s="1"/>
  <c r="W289" i="3" s="1"/>
  <c r="W290" i="3" s="1"/>
  <c r="W291" i="3" s="1"/>
  <c r="W292" i="3" s="1"/>
  <c r="W293" i="3" s="1"/>
  <c r="W294" i="3" s="1"/>
  <c r="I315" i="3"/>
  <c r="I154" i="3" s="1"/>
  <c r="U209" i="3"/>
  <c r="V210" i="3"/>
  <c r="W210" i="3"/>
  <c r="W211" i="3" s="1"/>
  <c r="W212" i="3" s="1"/>
  <c r="W213" i="3" s="1"/>
  <c r="W214" i="3" s="1"/>
  <c r="W215" i="3" s="1"/>
  <c r="W216" i="3" s="1"/>
  <c r="W217" i="3" s="1"/>
  <c r="W218" i="3" s="1"/>
  <c r="W219" i="3" s="1"/>
  <c r="K81" i="3"/>
  <c r="K80" i="3"/>
  <c r="K79" i="3"/>
  <c r="I71" i="3"/>
  <c r="I160" i="3" l="1"/>
  <c r="I159" i="3"/>
  <c r="H162" i="3"/>
  <c r="H156" i="3"/>
  <c r="V404" i="3"/>
  <c r="U403" i="3"/>
  <c r="U391" i="3"/>
  <c r="V392" i="3"/>
  <c r="V380" i="3"/>
  <c r="U379" i="3"/>
  <c r="V354" i="3"/>
  <c r="U353" i="3"/>
  <c r="U340" i="3"/>
  <c r="V341" i="3"/>
  <c r="V329" i="3"/>
  <c r="U328" i="3"/>
  <c r="U273" i="3"/>
  <c r="V274" i="3"/>
  <c r="U285" i="3"/>
  <c r="V286" i="3"/>
  <c r="U261" i="3"/>
  <c r="V262" i="3"/>
  <c r="U210" i="3"/>
  <c r="V211" i="3"/>
  <c r="E84" i="3"/>
  <c r="K75" i="3"/>
  <c r="K76" i="3" s="1"/>
  <c r="K77" i="3" s="1"/>
  <c r="K78" i="3" s="1"/>
  <c r="E83" i="3"/>
  <c r="E81" i="3"/>
  <c r="E79" i="3"/>
  <c r="E77" i="3"/>
  <c r="E75" i="3"/>
  <c r="K73" i="3"/>
  <c r="E82" i="3"/>
  <c r="E78" i="3"/>
  <c r="E76" i="3"/>
  <c r="K74" i="3"/>
  <c r="C73" i="3" s="1"/>
  <c r="E73" i="3" s="1"/>
  <c r="K72" i="3"/>
  <c r="E80" i="3"/>
  <c r="H163" i="3" l="1"/>
  <c r="V405" i="3"/>
  <c r="U404" i="3"/>
  <c r="V393" i="3"/>
  <c r="U392" i="3"/>
  <c r="V381" i="3"/>
  <c r="U380" i="3"/>
  <c r="V355" i="3"/>
  <c r="U354" i="3"/>
  <c r="U341" i="3"/>
  <c r="V342" i="3"/>
  <c r="V330" i="3"/>
  <c r="U329" i="3"/>
  <c r="U274" i="3"/>
  <c r="V275" i="3"/>
  <c r="U262" i="3"/>
  <c r="V263" i="3"/>
  <c r="U286" i="3"/>
  <c r="V287" i="3"/>
  <c r="U211" i="3"/>
  <c r="V212" i="3"/>
  <c r="K82" i="3"/>
  <c r="C74" i="3" s="1"/>
  <c r="E74" i="3" s="1"/>
  <c r="U405" i="3" l="1"/>
  <c r="V406" i="3"/>
  <c r="V382" i="3"/>
  <c r="U381" i="3"/>
  <c r="V394" i="3"/>
  <c r="U393" i="3"/>
  <c r="U355" i="3"/>
  <c r="V356" i="3"/>
  <c r="U342" i="3"/>
  <c r="V343" i="3"/>
  <c r="V331" i="3"/>
  <c r="U330" i="3"/>
  <c r="U275" i="3"/>
  <c r="V276" i="3"/>
  <c r="U287" i="3"/>
  <c r="V288" i="3"/>
  <c r="U263" i="3"/>
  <c r="V264" i="3"/>
  <c r="U212" i="3"/>
  <c r="V213" i="3"/>
  <c r="F73" i="3"/>
  <c r="J70" i="3" s="1"/>
  <c r="H73" i="3" s="1"/>
  <c r="I4" i="3"/>
  <c r="U406" i="3" l="1"/>
  <c r="V407" i="3"/>
  <c r="V395" i="3"/>
  <c r="U394" i="3"/>
  <c r="V383" i="3"/>
  <c r="U382" i="3"/>
  <c r="U356" i="3"/>
  <c r="V357" i="3"/>
  <c r="U343" i="3"/>
  <c r="V344" i="3"/>
  <c r="U331" i="3"/>
  <c r="V332" i="3"/>
  <c r="U276" i="3"/>
  <c r="V277" i="3"/>
  <c r="U264" i="3"/>
  <c r="V265" i="3"/>
  <c r="U288" i="3"/>
  <c r="V289" i="3"/>
  <c r="U213" i="3"/>
  <c r="V214" i="3"/>
  <c r="A197" i="3"/>
  <c r="C170" i="3"/>
  <c r="C171" i="3" s="1"/>
  <c r="C172" i="3" s="1"/>
  <c r="C173" i="3" s="1"/>
  <c r="C174" i="3" s="1"/>
  <c r="C175" i="3" s="1"/>
  <c r="C176" i="3" s="1"/>
  <c r="C177" i="3" s="1"/>
  <c r="C178" i="3" s="1"/>
  <c r="C179" i="3" s="1"/>
  <c r="C180" i="3" s="1"/>
  <c r="C181" i="3" s="1"/>
  <c r="C182" i="3" s="1"/>
  <c r="C183" i="3" s="1"/>
  <c r="U407" i="3" l="1"/>
  <c r="V408" i="3"/>
  <c r="U383" i="3"/>
  <c r="V384" i="3"/>
  <c r="V396" i="3"/>
  <c r="U395" i="3"/>
  <c r="U357" i="3"/>
  <c r="V358" i="3"/>
  <c r="V333" i="3"/>
  <c r="U332" i="3"/>
  <c r="U344" i="3"/>
  <c r="V345" i="3"/>
  <c r="U277" i="3"/>
  <c r="V278" i="3"/>
  <c r="U289" i="3"/>
  <c r="V290" i="3"/>
  <c r="U265" i="3"/>
  <c r="V266" i="3"/>
  <c r="U214" i="3"/>
  <c r="V215" i="3"/>
  <c r="U408" i="3" l="1"/>
  <c r="V409" i="3"/>
  <c r="U384" i="3"/>
  <c r="V385" i="3"/>
  <c r="V397" i="3"/>
  <c r="U396" i="3"/>
  <c r="U358" i="3"/>
  <c r="V359" i="3"/>
  <c r="U345" i="3"/>
  <c r="V346" i="3"/>
  <c r="V334" i="3"/>
  <c r="U333" i="3"/>
  <c r="U278" i="3"/>
  <c r="V279" i="3"/>
  <c r="U266" i="3"/>
  <c r="V267" i="3"/>
  <c r="U290" i="3"/>
  <c r="V291" i="3"/>
  <c r="U215" i="3"/>
  <c r="V216" i="3"/>
  <c r="E416" i="3"/>
  <c r="E415" i="3"/>
  <c r="H149" i="3"/>
  <c r="U409" i="3" l="1"/>
  <c r="V410" i="3"/>
  <c r="U385" i="3"/>
  <c r="V386" i="3"/>
  <c r="V398" i="3"/>
  <c r="U397" i="3"/>
  <c r="U359" i="3"/>
  <c r="V360" i="3"/>
  <c r="U346" i="3"/>
  <c r="V347" i="3"/>
  <c r="U334" i="3"/>
  <c r="V335" i="3"/>
  <c r="U279" i="3"/>
  <c r="V280" i="3"/>
  <c r="U291" i="3"/>
  <c r="V292" i="3"/>
  <c r="U267" i="3"/>
  <c r="V268" i="3"/>
  <c r="U216" i="3"/>
  <c r="V217" i="3"/>
  <c r="U410" i="3" l="1"/>
  <c r="V411" i="3"/>
  <c r="U411" i="3" s="1"/>
  <c r="U386" i="3"/>
  <c r="V387" i="3"/>
  <c r="U387" i="3" s="1"/>
  <c r="V399" i="3"/>
  <c r="U399" i="3" s="1"/>
  <c r="U398" i="3"/>
  <c r="U360" i="3"/>
  <c r="V361" i="3"/>
  <c r="U361" i="3" s="1"/>
  <c r="U335" i="3"/>
  <c r="V336" i="3"/>
  <c r="U347" i="3"/>
  <c r="V348" i="3"/>
  <c r="U280" i="3"/>
  <c r="V281" i="3"/>
  <c r="U268" i="3"/>
  <c r="V269" i="3"/>
  <c r="U292" i="3"/>
  <c r="V293" i="3"/>
  <c r="U217" i="3"/>
  <c r="V218" i="3"/>
  <c r="U348" i="3" l="1"/>
  <c r="V349" i="3"/>
  <c r="U336" i="3"/>
  <c r="V337" i="3"/>
  <c r="U281" i="3"/>
  <c r="V282" i="3"/>
  <c r="U293" i="3"/>
  <c r="V294" i="3"/>
  <c r="U269" i="3"/>
  <c r="V270" i="3"/>
  <c r="U218" i="3"/>
  <c r="V219" i="3"/>
  <c r="U337" i="3" l="1"/>
  <c r="U349" i="3"/>
  <c r="U282" i="3"/>
  <c r="U270" i="3"/>
  <c r="U294" i="3"/>
  <c r="U219" i="3"/>
  <c r="I206" i="3" l="1"/>
  <c r="I205" i="3"/>
  <c r="I204" i="3"/>
  <c r="I203" i="3"/>
  <c r="I202" i="3"/>
  <c r="I201" i="3"/>
  <c r="I200" i="3"/>
  <c r="I199" i="3"/>
  <c r="I198" i="3"/>
  <c r="I197" i="3"/>
  <c r="I170" i="3"/>
  <c r="I171" i="3"/>
  <c r="I172" i="3"/>
  <c r="I173" i="3"/>
  <c r="I174" i="3"/>
  <c r="I175" i="3"/>
  <c r="I176" i="3"/>
  <c r="I169" i="3"/>
  <c r="V197" i="3"/>
  <c r="W197" i="3"/>
  <c r="I152" i="3" l="1"/>
  <c r="I156" i="3" s="1"/>
  <c r="I158" i="3"/>
  <c r="I162" i="3" s="1"/>
  <c r="I163" i="3" s="1"/>
  <c r="W198" i="3"/>
  <c r="W199" i="3" s="1"/>
  <c r="W200" i="3" s="1"/>
  <c r="W201" i="3" s="1"/>
  <c r="W202" i="3" s="1"/>
  <c r="W203" i="3" s="1"/>
  <c r="W204" i="3" s="1"/>
  <c r="W205" i="3" s="1"/>
  <c r="W206" i="3" s="1"/>
  <c r="W207" i="3" s="1"/>
  <c r="V198" i="3"/>
  <c r="U197" i="3"/>
  <c r="V199" i="3" l="1"/>
  <c r="U198" i="3"/>
  <c r="V200" i="3" l="1"/>
  <c r="U199" i="3"/>
  <c r="V201" i="3" l="1"/>
  <c r="U200" i="3"/>
  <c r="V202" i="3" l="1"/>
  <c r="U201" i="3"/>
  <c r="V203" i="3" l="1"/>
  <c r="U202" i="3"/>
  <c r="V204" i="3" l="1"/>
  <c r="U203" i="3"/>
  <c r="V205" i="3" l="1"/>
  <c r="U204" i="3"/>
  <c r="V206" i="3" l="1"/>
  <c r="U205" i="3"/>
  <c r="U206" i="3" l="1"/>
  <c r="V207" i="3"/>
  <c r="U207" i="3" l="1"/>
</calcChain>
</file>

<file path=xl/sharedStrings.xml><?xml version="1.0" encoding="utf-8"?>
<sst xmlns="http://schemas.openxmlformats.org/spreadsheetml/2006/main" count="794" uniqueCount="285">
  <si>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</si>
  <si>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</si>
  <si>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</si>
  <si>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</si>
  <si>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</si>
  <si>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</si>
  <si>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</si>
  <si>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</si>
  <si>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</si>
  <si>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</si>
  <si>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</si>
  <si>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</si>
  <si>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</si>
  <si>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</si>
  <si>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</si>
  <si>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</si>
  <si>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</si>
  <si>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</si>
  <si>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</si>
  <si>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</si>
  <si>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</si>
  <si>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</si>
  <si>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</si>
  <si>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</si>
  <si>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</si>
  <si>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</si>
  <si>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</si>
  <si>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</si>
  <si>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</si>
  <si>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</si>
  <si>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</si>
  <si>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</si>
  <si>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</si>
  <si>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</si>
  <si>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</si>
  <si>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</si>
  <si>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</si>
  <si>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</si>
  <si>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</si>
  <si>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</si>
  <si>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</si>
  <si>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</si>
  <si>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</si>
  <si>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</si>
  <si>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</si>
  <si>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</si>
  <si>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</si>
  <si>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</si>
  <si>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</si>
  <si>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</si>
  <si>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</si>
  <si>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</si>
  <si>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</si>
  <si>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</si>
  <si>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</si>
  <si>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</si>
  <si>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</si>
  <si>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</si>
  <si>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</si>
  <si>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</si>
  <si>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</si>
  <si>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</si>
  <si>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</si>
  <si>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</si>
  <si>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</si>
  <si>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</si>
  <si>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</si>
  <si>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</si>
  <si>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</si>
  <si>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</si>
  <si>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</si>
  <si>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</si>
  <si>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</si>
  <si>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</si>
  <si>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</si>
  <si>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</si>
  <si>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</si>
  <si>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</si>
  <si>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</si>
  <si>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</si>
  <si>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</si>
  <si>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</si>
  <si>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</si>
  <si>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</si>
  <si>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</si>
  <si>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</si>
  <si>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</si>
  <si>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</si>
  <si>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</si>
  <si>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</si>
  <si>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</si>
  <si>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</si>
  <si>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</si>
  <si>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</si>
  <si>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</si>
  <si>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</si>
  <si>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</si>
  <si>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</si>
  <si>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</si>
  <si>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</si>
  <si>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</si>
  <si>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</si>
  <si>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</si>
  <si>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</si>
  <si>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</si>
  <si>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</si>
  <si>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</si>
  <si>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</si>
  <si>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</si>
  <si>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</si>
  <si>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</si>
  <si>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</si>
  <si>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</si>
  <si>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</si>
  <si>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</si>
  <si>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</si>
  <si>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</si>
  <si>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</si>
  <si>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</si>
  <si>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</si>
  <si>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</si>
  <si>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</si>
  <si>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</si>
  <si>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</si>
  <si>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</si>
  <si>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</si>
  <si>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</si>
  <si>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Approved Layout &amp; Floor Plans, CC, RERA certificate</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</si>
  <si>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</si>
  <si>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</si>
  <si>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</si>
  <si>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</si>
  <si>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</si>
  <si>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</si>
  <si>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</si>
  <si>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</si>
  <si>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</si>
  <si>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</si>
  <si>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</si>
  <si>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</si>
  <si>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</si>
  <si>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</si>
  <si>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</si>
  <si>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</si>
  <si>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</si>
  <si>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</si>
  <si>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</si>
  <si>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</si>
  <si>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</si>
  <si>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</si>
  <si>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</si>
  <si>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</si>
  <si>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</si>
  <si>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</si>
  <si>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</si>
  <si>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</si>
  <si>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</si>
  <si>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1st Floor</t>
  </si>
  <si>
    <t xml:space="preserve"> Building No.  = G + 20th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</si>
  <si>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</si>
  <si>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</si>
  <si>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</si>
  <si>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</si>
  <si>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</si>
  <si>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</si>
  <si>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</si>
  <si>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</si>
  <si>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</si>
  <si>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</si>
  <si>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</si>
  <si>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</si>
  <si>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</si>
  <si>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</si>
  <si>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</si>
  <si>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</si>
  <si>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</si>
  <si>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</si>
  <si>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</si>
  <si>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</si>
  <si>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Total Saleable Area</t>
  </si>
  <si>
    <t>Total Carpet Area</t>
  </si>
  <si>
    <t>No. of Unit</t>
  </si>
  <si>
    <t>Building &amp; Wing</t>
  </si>
  <si>
    <t>Sale / Rehab</t>
  </si>
  <si>
    <t>Flats/ Shops/ Offices</t>
  </si>
  <si>
    <t>Total</t>
  </si>
  <si>
    <t>Rate of Flat Per Sq. Ft. 
(on Carpet area)</t>
  </si>
  <si>
    <t>Floor Rise Per Sq. Ft.
(on Carpet area)</t>
  </si>
  <si>
    <t xml:space="preserve">Door &amp; Window Frames </t>
  </si>
  <si>
    <t>Ext.Plaster</t>
  </si>
  <si>
    <t>Plumb.&amp; Electri.</t>
  </si>
  <si>
    <t>Painting</t>
  </si>
  <si>
    <t>Godrej Properties</t>
  </si>
  <si>
    <t>Godrej Properties Limited</t>
  </si>
  <si>
    <t>Unit No. 5C, 5th Floor, Godrej One, Pirojshanagar, Vikhroli East</t>
  </si>
  <si>
    <t>New Survey number. 54B/1, 54B/2, 54B/3 and 52/1 of Village - Vadavli, Taluka - Kalyan</t>
  </si>
  <si>
    <t>Godrej Riviera Phase 1, New Survey number. 54B/1, 54B/2, 54B/3 and 52/1 of Village - Vadavli, Taluka - Kalyan</t>
  </si>
  <si>
    <t>Godrej Riviera Phase 1, Road - Mohane Road, Near - Water Treatment Plant Vadavli, New Survey number. 54B/1, 54B/2, 54B/3 and 52/1 of Village - Vadavli, Taluka - Kalyan</t>
  </si>
  <si>
    <t>Middle</t>
  </si>
  <si>
    <t>Nirmal Lifestyles Road</t>
  </si>
  <si>
    <t>Mohane Road</t>
  </si>
  <si>
    <t>Open Plot</t>
  </si>
  <si>
    <t>Road</t>
  </si>
  <si>
    <t>Building</t>
  </si>
  <si>
    <t>3.2 KM from Shahad Railway Station
5.8 KM from Kalyan Railway Station</t>
  </si>
  <si>
    <t>2.9 KM from KDMT Bus Depot</t>
  </si>
  <si>
    <t>About 5 KM form Satya Sai Platinum Hospital</t>
  </si>
  <si>
    <t>About 4.1 KM from D.S.D School</t>
  </si>
  <si>
    <t>1. Approx. 1.1KM from Kailash Parbat Super market.
2. Approx. 4.6 KM from D Mart.</t>
  </si>
  <si>
    <t>Building No.1</t>
  </si>
  <si>
    <t>Building No. 2</t>
  </si>
  <si>
    <t>Building No. 3</t>
  </si>
  <si>
    <t>Building No. 4</t>
  </si>
  <si>
    <t>G + 1st to 22nd Floor</t>
  </si>
  <si>
    <t xml:space="preserve">AXIS BANK
IFSC Code - UTIB0000004
</t>
  </si>
  <si>
    <t>P51700032552</t>
  </si>
  <si>
    <t>Residential + Commercial</t>
  </si>
  <si>
    <t>Shop</t>
  </si>
  <si>
    <t>1BHK</t>
  </si>
  <si>
    <t>2nd to 6th, 8th to 11th, 13th to 16th, 18th to 21st Floor</t>
  </si>
  <si>
    <t>7th, 12th, 17th &amp; 22nd Floor (Part Refuge Area)</t>
  </si>
  <si>
    <t>Refuge Area</t>
  </si>
  <si>
    <t>Building No.2</t>
  </si>
  <si>
    <t>Shop
(Duplex With 1st floor)</t>
  </si>
  <si>
    <t>1st Floor For Commercial &amp; Residential</t>
  </si>
  <si>
    <t>2nd Floor</t>
  </si>
  <si>
    <t>3rd to 6th, 8th to 11th, 13th to 16th, 18th to 21st Floor</t>
  </si>
  <si>
    <t>Building No.3</t>
  </si>
  <si>
    <t>2BHK</t>
  </si>
  <si>
    <t>Building No.4</t>
  </si>
  <si>
    <t xml:space="preserve"> Shops/ Offices</t>
  </si>
  <si>
    <t>Shops</t>
  </si>
  <si>
    <t>Flats</t>
  </si>
  <si>
    <t>Government Guideline/ Circle rate for shop up (Rs per sqft)</t>
  </si>
  <si>
    <t>Fire Noc Details</t>
  </si>
  <si>
    <t>FIRE/HQ/KDMC/OW/2021/656
Date: 21/10/2021</t>
  </si>
  <si>
    <t>Building No. 1 to 4
(Tower 1 to 4)</t>
  </si>
  <si>
    <t>SWD NOC Details</t>
  </si>
  <si>
    <t>KDMP/KA/JN/419
Date:25/10/2021</t>
  </si>
  <si>
    <t>Garden NOC Details</t>
  </si>
  <si>
    <t>KDMP/Garden/VP/446
Date:11/10/2021</t>
  </si>
  <si>
    <t>10400/- to 10900/-</t>
  </si>
  <si>
    <t>On Carpet area</t>
  </si>
  <si>
    <t>Date of Site Visit</t>
  </si>
  <si>
    <t>Ground Floor For Entrance Lobby, Store, Pannel Room, Meter Room, ELV Room, Facility Management Room, Parking &amp; Commercial</t>
  </si>
  <si>
    <t>Ground Floor For Entrance Lobby, OWC Room, Panel Room, Meter Room, Store, Stack Parking &amp; Commercial</t>
  </si>
  <si>
    <t>Ground Floor For Entrance Lobby, Meter Room, Panel Room, Parking &amp; Commercial</t>
  </si>
  <si>
    <t>Flats = 942 &amp; Shop = 79</t>
  </si>
  <si>
    <t>Godrej Riviera Phase 1 
(Building No. 1 to 4)</t>
  </si>
  <si>
    <t>1st Floor for Residential</t>
  </si>
  <si>
    <t>Building Type 1</t>
  </si>
  <si>
    <t>Building Type 2</t>
  </si>
  <si>
    <t>Building Type 3</t>
  </si>
  <si>
    <t>Grand Total</t>
  </si>
  <si>
    <t>As per RERA Site 
Flats = 942 &amp; Shop = 79</t>
  </si>
  <si>
    <t>https://maps.app.goo.gl/yWDB2YBaxcMz26vb7</t>
  </si>
  <si>
    <t>Location Link</t>
  </si>
  <si>
    <t>External Plaster</t>
  </si>
  <si>
    <t>External Plumbing, Elevation and Waterproofing</t>
  </si>
  <si>
    <t>Wooden Work</t>
  </si>
  <si>
    <t>Electrical &amp; Sanitary fittings</t>
  </si>
  <si>
    <t>KDMC/TPD/BP/KD/2021-22/58/108
Date: 07/06/2023</t>
  </si>
  <si>
    <t>Net Plot Area (In Sq.Mt)</t>
  </si>
  <si>
    <t>Check from here</t>
  </si>
  <si>
    <t>Ground Floor For Entrance Lobby, Retail Meter Room, Society Office, 
Meter Room, Panel Room, Stack Parking &amp; Commercial</t>
  </si>
  <si>
    <t xml:space="preserve">1. Construction work is in process at the time of visit. Interal visit was not allowed. 
2. We considered  Saleable area as per our calculation.
3. We considered Carpet area as per Approved Plan.
4. We considered Gross carpet area = Net carpet + Balcony + Dry Balcony.
5. We have considered rate by verifying it from market inquire.
6. Car parking is subjected to authentic documentation.
7. We have updated revised approved CC from RERA site (On 05/08/2024).
8. We have updated approved plans (On 13/11/2024).
9. Approved plans consist of Building Type 1 to 6 but Building Type 1 to 4 is registered on RERA site. Hence we have not drafted Building Type 5 &amp; 6.
</t>
  </si>
  <si>
    <t>Tower 1 = G + 1st to 22nd Floor</t>
  </si>
  <si>
    <t>Tower 4 = G + 1st to 22nd Floor</t>
  </si>
  <si>
    <t>Total Number of Units Planned.</t>
  </si>
  <si>
    <t>Latitude, Longitude</t>
  </si>
  <si>
    <t>30M</t>
  </si>
  <si>
    <t>KDMC/TPD/BP/KD/2021-22/58/108
Date: 07/06/2023
Valid Up to: Building No.1 to 4 = St/Gr + 1st to 22nd floor</t>
  </si>
  <si>
    <t>Layout Plan</t>
  </si>
  <si>
    <t>Kalyan Dombivli Municipal Corporation (KDMC)</t>
  </si>
  <si>
    <t>Tower 3 = G + 1st to 22nd Floor</t>
  </si>
  <si>
    <t>Tower 2 = G + 1st to 22nd Floor</t>
  </si>
  <si>
    <t>Rate of Shop Per Sq. Ft. 
(on Carpet area) For Ground Floor</t>
  </si>
  <si>
    <t>20000/- to 21000/-</t>
  </si>
  <si>
    <t>Rate of Shop Per Sq. Ft. (on Carpet area) For 1st Floor</t>
  </si>
  <si>
    <t>19000/- to 20000/-</t>
  </si>
  <si>
    <t>19.259026,73.163924</t>
  </si>
  <si>
    <t>03/08/2025 at 03:05PM</t>
  </si>
  <si>
    <t>Mr. Suraj Khare</t>
  </si>
  <si>
    <t>Mr. Sushil Singh (Sales) 7777081413</t>
  </si>
  <si>
    <t>Mr. Krishna Kambali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</si>
</sst>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u/>
      <sz val="11"/>
      <color theme="10"/>
      <name val="Calibri"/>
      <family val="2"/>
    </font>
    <font>
      <u/>
      <sz val="16"/>
      <color theme="10"/>
      <name val="Calibri"/>
      <family val="2"/>
    </font>
    <font>
      <sz val="16"/>
      <color rgb="FFFF0000"/>
      <name val="Times New Roman"/>
      <family val="1"/>
    </font>
  </fonts>
  <fills count="6">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rgb="FFFFFF0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3">
    <xf numFmtId="0" fontId="0" fillId="0" borderId="0"/>
    <xf numFmtId="0" fontId="1" fillId="0" borderId="0"/>
    <xf numFmtId="0" fontId="11" fillId="0" borderId="0" applyNumberFormat="0" applyFill="0" applyBorder="0" applyAlignment="0" applyProtection="0"/>
  </cellStyleXfs>
  <cellXfs count="207">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9" fillId="0" borderId="0" xfId="0" applyFont="1" applyProtection="1">
      <protection hidden="1"/>
    </xf>
    <xf numFmtId="9" fontId="9" fillId="0" borderId="0" xfId="0" applyNumberFormat="1" applyFont="1" applyProtection="1">
      <protection hidden="1"/>
    </xf>
    <xf numFmtId="0" fontId="9" fillId="0" borderId="18" xfId="0" applyFont="1" applyBorder="1" applyProtection="1">
      <protection hidden="1"/>
    </xf>
    <xf numFmtId="0" fontId="7" fillId="0" borderId="0" xfId="1" applyFont="1" applyAlignment="1">
      <alignment horizontal="center" vertical="center"/>
    </xf>
    <xf numFmtId="0" fontId="9" fillId="0" borderId="17" xfId="0" applyFont="1" applyBorder="1" applyProtection="1">
      <protection hidden="1"/>
    </xf>
    <xf numFmtId="1" fontId="10" fillId="0" borderId="17" xfId="0" applyNumberFormat="1" applyFont="1" applyBorder="1"/>
    <xf numFmtId="1" fontId="10" fillId="0" borderId="17" xfId="0" applyNumberFormat="1" applyFont="1" applyBorder="1" applyAlignment="1">
      <alignment horizontal="right"/>
    </xf>
    <xf numFmtId="1" fontId="10" fillId="0" borderId="19"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0" borderId="2" xfId="0" applyFont="1" applyBorder="1" applyAlignment="1">
      <alignment vertical="top" wrapText="1"/>
    </xf>
    <xf numFmtId="0" fontId="4" fillId="4" borderId="1" xfId="1" applyFont="1" applyFill="1" applyBorder="1" applyAlignment="1" applyProtection="1">
      <alignment horizontal="center" vertical="center" wrapText="1"/>
      <protection hidden="1"/>
    </xf>
    <xf numFmtId="0" fontId="8" fillId="0" borderId="0" xfId="0" applyFont="1" applyAlignment="1">
      <alignment vertical="top"/>
    </xf>
    <xf numFmtId="0" fontId="8" fillId="3" borderId="0" xfId="0" applyFont="1" applyFill="1" applyAlignment="1">
      <alignment vertical="top"/>
    </xf>
    <xf numFmtId="3" fontId="4" fillId="4" borderId="1" xfId="0" applyNumberFormat="1"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0" fontId="4" fillId="0" borderId="8" xfId="0" applyFont="1" applyBorder="1" applyAlignment="1">
      <alignment vertical="top" wrapText="1"/>
    </xf>
    <xf numFmtId="0" fontId="4" fillId="0" borderId="1" xfId="0" applyFont="1" applyBorder="1" applyAlignment="1">
      <alignment vertical="top" wrapText="1"/>
    </xf>
    <xf numFmtId="1" fontId="4" fillId="4" borderId="1" xfId="1" applyNumberFormat="1" applyFont="1" applyFill="1" applyBorder="1" applyAlignment="1">
      <alignment horizontal="center" vertical="top" wrapText="1"/>
    </xf>
    <xf numFmtId="1" fontId="2" fillId="4" borderId="1" xfId="1" applyNumberFormat="1" applyFont="1" applyFill="1" applyBorder="1" applyAlignment="1">
      <alignment horizontal="center" vertical="top" wrapText="1"/>
    </xf>
    <xf numFmtId="0" fontId="4" fillId="0" borderId="1" xfId="0" applyFont="1" applyBorder="1" applyAlignment="1">
      <alignment horizontal="center" vertical="top" wrapText="1"/>
    </xf>
    <xf numFmtId="0" fontId="11" fillId="0" borderId="0" xfId="2" applyAlignment="1">
      <alignment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4" borderId="1" xfId="0" applyFont="1" applyFill="1" applyBorder="1" applyAlignment="1">
      <alignment horizontal="left" vertical="top" wrapText="1"/>
    </xf>
    <xf numFmtId="0" fontId="4" fillId="2" borderId="1" xfId="0" applyFont="1" applyFill="1" applyBorder="1" applyAlignment="1">
      <alignment horizontal="center" vertical="top"/>
    </xf>
    <xf numFmtId="14" fontId="4" fillId="4" borderId="1" xfId="0" applyNumberFormat="1"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13" fillId="5" borderId="0" xfId="0" applyFont="1" applyFill="1" applyAlignment="1">
      <alignment vertical="top"/>
    </xf>
    <xf numFmtId="0" fontId="13" fillId="0" borderId="0" xfId="0" applyFont="1" applyAlignment="1">
      <alignment vertical="top"/>
    </xf>
    <xf numFmtId="0" fontId="4" fillId="4" borderId="1" xfId="0" applyFont="1" applyFill="1" applyBorder="1" applyAlignment="1">
      <alignment horizontal="left" vertical="top" wrapText="1"/>
    </xf>
    <xf numFmtId="0" fontId="4" fillId="0" borderId="1" xfId="0" applyFont="1" applyBorder="1" applyAlignment="1">
      <alignment horizontal="center" vertical="top" wrapText="1"/>
    </xf>
    <xf numFmtId="0" fontId="4" fillId="0" borderId="1" xfId="0" applyFont="1" applyBorder="1" applyAlignment="1">
      <alignment vertical="top" wrapText="1"/>
    </xf>
    <xf numFmtId="0" fontId="2" fillId="0" borderId="1" xfId="0" applyFont="1" applyBorder="1" applyAlignment="1">
      <alignment horizontal="center" vertical="center" wrapText="1"/>
    </xf>
    <xf numFmtId="0" fontId="3" fillId="4" borderId="1" xfId="0" applyFont="1" applyFill="1" applyBorder="1" applyAlignment="1">
      <alignment horizontal="center" vertical="center" wrapText="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4" fillId="4" borderId="2" xfId="1" applyNumberFormat="1" applyFont="1" applyFill="1" applyBorder="1" applyAlignment="1">
      <alignment horizontal="center" vertical="top" wrapText="1"/>
    </xf>
    <xf numFmtId="1" fontId="4" fillId="4" borderId="5" xfId="1" applyNumberFormat="1" applyFont="1" applyFill="1" applyBorder="1" applyAlignment="1">
      <alignment horizontal="center" vertical="top" wrapText="1"/>
    </xf>
    <xf numFmtId="1" fontId="2" fillId="4" borderId="2" xfId="1" applyNumberFormat="1" applyFont="1" applyFill="1" applyBorder="1" applyAlignment="1">
      <alignment horizontal="center" vertical="top" wrapText="1"/>
    </xf>
    <xf numFmtId="1" fontId="2" fillId="4" borderId="5" xfId="1" applyNumberFormat="1" applyFont="1" applyFill="1" applyBorder="1" applyAlignment="1">
      <alignment horizontal="center"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2" fillId="4" borderId="2" xfId="1" applyNumberFormat="1" applyFont="1" applyFill="1" applyBorder="1" applyAlignment="1">
      <alignment horizontal="center" vertical="center" wrapText="1"/>
    </xf>
    <xf numFmtId="1" fontId="2" fillId="4" borderId="3" xfId="1" applyNumberFormat="1" applyFont="1" applyFill="1" applyBorder="1" applyAlignment="1">
      <alignment horizontal="center" vertical="center" wrapText="1"/>
    </xf>
    <xf numFmtId="1" fontId="2" fillId="4" borderId="15" xfId="1" applyNumberFormat="1" applyFont="1" applyFill="1" applyBorder="1" applyAlignment="1">
      <alignment horizontal="center" vertical="center" wrapText="1"/>
    </xf>
    <xf numFmtId="1" fontId="4" fillId="4" borderId="2" xfId="1" applyNumberFormat="1" applyFont="1" applyFill="1" applyBorder="1" applyAlignment="1">
      <alignment horizontal="center" vertical="center" wrapText="1"/>
    </xf>
    <xf numFmtId="1" fontId="4" fillId="4" borderId="5" xfId="1" applyNumberFormat="1" applyFont="1" applyFill="1" applyBorder="1" applyAlignment="1">
      <alignment horizontal="center" vertical="center" wrapText="1"/>
    </xf>
    <xf numFmtId="1" fontId="5" fillId="0" borderId="1" xfId="1" applyNumberFormat="1" applyFont="1" applyBorder="1" applyAlignment="1">
      <alignment horizontal="center"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4" fillId="4" borderId="1" xfId="0"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11" xfId="0" applyFont="1" applyFill="1" applyBorder="1" applyAlignment="1">
      <alignment horizontal="center" vertical="top" wrapText="1"/>
    </xf>
    <xf numFmtId="0" fontId="4" fillId="0" borderId="1" xfId="0" applyFont="1" applyBorder="1" applyAlignment="1">
      <alignment horizontal="center" vertical="top" wrapText="1"/>
    </xf>
    <xf numFmtId="0" fontId="4" fillId="4" borderId="1" xfId="0" applyFont="1" applyFill="1" applyBorder="1" applyAlignment="1">
      <alignment horizontal="center" vertical="top" wrapText="1"/>
    </xf>
    <xf numFmtId="1" fontId="4" fillId="4" borderId="1" xfId="0" applyNumberFormat="1" applyFont="1" applyFill="1" applyBorder="1" applyAlignment="1">
      <alignment horizontal="left" vertical="top" wrapText="1"/>
    </xf>
    <xf numFmtId="9" fontId="2" fillId="4" borderId="1" xfId="1" applyNumberFormat="1" applyFont="1" applyFill="1" applyBorder="1" applyAlignment="1" applyProtection="1">
      <alignment horizontal="center" vertical="center" wrapText="1"/>
      <protection hidden="1"/>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4" fillId="0" borderId="1"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0" borderId="1" xfId="0" applyFont="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4" borderId="1" xfId="0" applyFont="1" applyFill="1" applyBorder="1" applyAlignment="1">
      <alignment horizontal="left" vertical="top"/>
    </xf>
    <xf numFmtId="0" fontId="2" fillId="2" borderId="1" xfId="0" applyFont="1" applyFill="1" applyBorder="1" applyAlignment="1">
      <alignment horizontal="center" vertical="top"/>
    </xf>
    <xf numFmtId="0" fontId="2" fillId="4" borderId="1" xfId="1" applyNumberFormat="1" applyFont="1" applyFill="1" applyBorder="1" applyAlignment="1" applyProtection="1">
      <alignment horizontal="left" vertical="top" wrapText="1"/>
      <protection hidden="1"/>
    </xf>
    <xf numFmtId="1" fontId="4" fillId="4" borderId="2" xfId="0" applyNumberFormat="1" applyFont="1" applyFill="1" applyBorder="1" applyAlignment="1">
      <alignment horizontal="left" vertical="top" wrapText="1"/>
    </xf>
    <xf numFmtId="1" fontId="4" fillId="4" borderId="5" xfId="0" applyNumberFormat="1"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1" xfId="0" applyFont="1" applyFill="1" applyBorder="1" applyAlignment="1">
      <alignment horizontal="center" vertical="center"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3" fillId="4" borderId="1" xfId="0" applyFont="1" applyFill="1" applyBorder="1" applyAlignment="1">
      <alignment horizontal="left" vertical="top" wrapText="1"/>
    </xf>
    <xf numFmtId="0" fontId="2" fillId="0" borderId="1" xfId="0" applyFont="1" applyBorder="1" applyAlignment="1">
      <alignment horizontal="center" vertical="center" wrapText="1"/>
    </xf>
    <xf numFmtId="0" fontId="2" fillId="2" borderId="1" xfId="0" applyFont="1" applyFill="1" applyBorder="1" applyAlignment="1">
      <alignment horizontal="left" vertical="top"/>
    </xf>
    <xf numFmtId="0" fontId="4" fillId="4" borderId="3"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14" fontId="4" fillId="4" borderId="3"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2" borderId="8" xfId="0" applyFont="1" applyFill="1" applyBorder="1" applyAlignment="1">
      <alignment horizontal="center" vertical="top"/>
    </xf>
    <xf numFmtId="0" fontId="2" fillId="2" borderId="5" xfId="0" applyFont="1" applyFill="1" applyBorder="1" applyAlignment="1">
      <alignment horizontal="center" vertical="top" wrapText="1"/>
    </xf>
    <xf numFmtId="0" fontId="4" fillId="0" borderId="1" xfId="0" applyFont="1" applyBorder="1" applyAlignment="1">
      <alignment horizontal="center" vertical="center"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12" fillId="4" borderId="2" xfId="2" applyFont="1" applyFill="1" applyBorder="1" applyAlignment="1">
      <alignment horizontal="left" vertical="top" wrapText="1"/>
    </xf>
    <xf numFmtId="9" fontId="2" fillId="4" borderId="1" xfId="1" applyNumberFormat="1" applyFont="1" applyFill="1" applyBorder="1" applyAlignment="1" applyProtection="1">
      <alignment horizontal="left" vertical="top" wrapText="1"/>
      <protection hidden="1"/>
    </xf>
    <xf numFmtId="14" fontId="3" fillId="0" borderId="0" xfId="0" applyNumberFormat="1" applyFont="1" applyAlignment="1">
      <alignment vertical="top"/>
    </xf>
    <xf numFmtId="0" fontId="3" fillId="0" borderId="0" xfId="0" applyFont="1" applyAlignment="1">
      <alignment horizontal="center" vertical="top"/>
    </xf>
    <xf numFmtId="0" fontId="3" fillId="4" borderId="2" xfId="0" applyFont="1" applyFill="1" applyBorder="1" applyAlignment="1">
      <alignment horizontal="left" vertical="top" wrapText="1"/>
    </xf>
    <xf numFmtId="0" fontId="3" fillId="4" borderId="5" xfId="0" applyFont="1" applyFill="1" applyBorder="1" applyAlignment="1">
      <alignment horizontal="left" vertical="top" wrapText="1"/>
    </xf>
    <xf numFmtId="1" fontId="2" fillId="4" borderId="7" xfId="1" applyNumberFormat="1" applyFont="1" applyFill="1" applyBorder="1" applyAlignment="1">
      <alignment horizontal="center" vertical="top" wrapText="1"/>
    </xf>
    <xf numFmtId="1" fontId="2" fillId="4" borderId="11" xfId="1" applyNumberFormat="1" applyFont="1" applyFill="1" applyBorder="1" applyAlignment="1">
      <alignment horizontal="center" vertical="top" wrapText="1"/>
    </xf>
    <xf numFmtId="1" fontId="4" fillId="4" borderId="7" xfId="1" applyNumberFormat="1" applyFont="1" applyFill="1" applyBorder="1" applyAlignment="1">
      <alignment horizontal="center" vertical="top" wrapText="1"/>
    </xf>
    <xf numFmtId="1" fontId="4" fillId="4" borderId="11" xfId="1" applyNumberFormat="1" applyFont="1" applyFill="1" applyBorder="1" applyAlignment="1">
      <alignment horizontal="center" vertical="top" wrapText="1"/>
    </xf>
    <xf numFmtId="1" fontId="4" fillId="4" borderId="6" xfId="1" applyNumberFormat="1" applyFont="1" applyFill="1" applyBorder="1" applyAlignment="1">
      <alignment horizontal="center" vertical="top" wrapText="1"/>
    </xf>
    <xf numFmtId="1" fontId="2" fillId="4" borderId="6" xfId="1" applyNumberFormat="1" applyFont="1" applyFill="1" applyBorder="1" applyAlignment="1">
      <alignment horizontal="center" vertical="top" wrapText="1"/>
    </xf>
    <xf numFmtId="0" fontId="2" fillId="2" borderId="14" xfId="0" applyFont="1" applyFill="1" applyBorder="1" applyAlignment="1">
      <alignment horizontal="center" vertical="top" wrapText="1"/>
    </xf>
    <xf numFmtId="0" fontId="2" fillId="2" borderId="9" xfId="0" applyFont="1" applyFill="1" applyBorder="1" applyAlignment="1">
      <alignment horizontal="center" vertical="top" wrapText="1"/>
    </xf>
    <xf numFmtId="0" fontId="2" fillId="2" borderId="13" xfId="0" applyFont="1" applyFill="1" applyBorder="1" applyAlignment="1">
      <alignment horizontal="center" vertical="top" wrapText="1"/>
    </xf>
    <xf numFmtId="1" fontId="2" fillId="4" borderId="20" xfId="1" applyNumberFormat="1" applyFont="1" applyFill="1" applyBorder="1" applyAlignment="1">
      <alignment horizontal="center" vertical="top" wrapText="1"/>
    </xf>
    <xf numFmtId="1" fontId="2" fillId="4" borderId="21" xfId="1" applyNumberFormat="1" applyFont="1" applyFill="1" applyBorder="1" applyAlignment="1">
      <alignment horizontal="center" vertical="top" wrapText="1"/>
    </xf>
    <xf numFmtId="1" fontId="4" fillId="4" borderId="22" xfId="1" applyNumberFormat="1" applyFont="1" applyFill="1" applyBorder="1" applyAlignment="1">
      <alignment horizontal="center" vertical="top" wrapText="1"/>
    </xf>
    <xf numFmtId="1" fontId="4" fillId="4" borderId="21" xfId="1" applyNumberFormat="1" applyFont="1" applyFill="1" applyBorder="1" applyAlignment="1">
      <alignment horizontal="center" vertical="top" wrapText="1"/>
    </xf>
    <xf numFmtId="1" fontId="4" fillId="4" borderId="23" xfId="1" applyNumberFormat="1" applyFont="1" applyFill="1" applyBorder="1" applyAlignment="1">
      <alignment horizontal="center" vertical="top" wrapText="1"/>
    </xf>
    <xf numFmtId="1" fontId="2" fillId="4" borderId="22" xfId="1" applyNumberFormat="1" applyFont="1" applyFill="1" applyBorder="1" applyAlignment="1">
      <alignment horizontal="center" vertical="top" wrapText="1"/>
    </xf>
    <xf numFmtId="1" fontId="2" fillId="4" borderId="23" xfId="1" applyNumberFormat="1" applyFont="1" applyFill="1" applyBorder="1" applyAlignment="1">
      <alignment horizontal="center" vertical="top" wrapText="1"/>
    </xf>
    <xf numFmtId="1" fontId="2" fillId="4" borderId="24" xfId="1" applyNumberFormat="1" applyFont="1" applyFill="1" applyBorder="1" applyAlignment="1">
      <alignment horizontal="center" vertical="top" wrapText="1"/>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9</xdr:col>
      <xdr:colOff>183097</xdr:colOff>
      <xdr:row>422</xdr:row>
      <xdr:rowOff>163732</xdr:rowOff>
    </xdr:from>
    <xdr:to>
      <xdr:col>9</xdr:col>
      <xdr:colOff>1919721</xdr:colOff>
      <xdr:row>424</xdr:row>
      <xdr:rowOff>54814</xdr:rowOff>
    </xdr:to>
    <xdr:sp macro="" textlink="">
      <xdr:nvSpPr>
        <xdr:cNvPr id="14" name="TextBox 10">
          <a:extLst>
            <a:ext uri="{FF2B5EF4-FFF2-40B4-BE49-F238E27FC236}">
              <a16:creationId xmlns:a16="http://schemas.microsoft.com/office/drawing/2014/main" id="{00000000-0008-0000-0000-00000E000000}"/>
            </a:ext>
          </a:extLst>
        </xdr:cNvPr>
        <xdr:cNvSpPr txBox="1"/>
      </xdr:nvSpPr>
      <xdr:spPr>
        <a:xfrm>
          <a:off x="10608642" y="105596823"/>
          <a:ext cx="1736624" cy="410627"/>
        </a:xfrm>
        <a:prstGeom prst="rect">
          <a:avLst/>
        </a:prstGeom>
        <a:solidFill>
          <a:schemeClr val="bg1"/>
        </a:solid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000" b="1"/>
            <a:t>Building No. 1</a:t>
          </a:r>
          <a:endParaRPr lang="en-IN" sz="2000" b="1"/>
        </a:p>
      </xdr:txBody>
    </xdr:sp>
    <xdr:clientData/>
  </xdr:twoCellAnchor>
  <xdr:twoCellAnchor>
    <xdr:from>
      <xdr:col>15</xdr:col>
      <xdr:colOff>90672</xdr:colOff>
      <xdr:row>422</xdr:row>
      <xdr:rowOff>163732</xdr:rowOff>
    </xdr:from>
    <xdr:to>
      <xdr:col>18</xdr:col>
      <xdr:colOff>8022</xdr:colOff>
      <xdr:row>424</xdr:row>
      <xdr:rowOff>64763</xdr:rowOff>
    </xdr:to>
    <xdr:sp macro="" textlink="">
      <xdr:nvSpPr>
        <xdr:cNvPr id="16" name="TextBox 13">
          <a:extLst>
            <a:ext uri="{FF2B5EF4-FFF2-40B4-BE49-F238E27FC236}">
              <a16:creationId xmlns:a16="http://schemas.microsoft.com/office/drawing/2014/main" id="{00000000-0008-0000-0000-000010000000}"/>
            </a:ext>
          </a:extLst>
        </xdr:cNvPr>
        <xdr:cNvSpPr txBox="1"/>
      </xdr:nvSpPr>
      <xdr:spPr>
        <a:xfrm>
          <a:off x="15798263" y="105596823"/>
          <a:ext cx="1735759" cy="420576"/>
        </a:xfrm>
        <a:prstGeom prst="rect">
          <a:avLst/>
        </a:prstGeom>
        <a:solidFill>
          <a:schemeClr val="bg1"/>
        </a:solid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000" b="1"/>
            <a:t>Building No. 2</a:t>
          </a:r>
          <a:endParaRPr lang="en-IN" sz="2000" b="1"/>
        </a:p>
      </xdr:txBody>
    </xdr:sp>
    <xdr:clientData/>
  </xdr:twoCellAnchor>
  <xdr:twoCellAnchor>
    <xdr:from>
      <xdr:col>9</xdr:col>
      <xdr:colOff>493646</xdr:colOff>
      <xdr:row>431</xdr:row>
      <xdr:rowOff>140688</xdr:rowOff>
    </xdr:from>
    <xdr:to>
      <xdr:col>9</xdr:col>
      <xdr:colOff>2213819</xdr:colOff>
      <xdr:row>433</xdr:row>
      <xdr:rowOff>40036</xdr:rowOff>
    </xdr:to>
    <xdr:sp macro="" textlink="">
      <xdr:nvSpPr>
        <xdr:cNvPr id="20" name="TextBox 14">
          <a:extLst>
            <a:ext uri="{FF2B5EF4-FFF2-40B4-BE49-F238E27FC236}">
              <a16:creationId xmlns:a16="http://schemas.microsoft.com/office/drawing/2014/main" id="{00000000-0008-0000-0000-000014000000}"/>
            </a:ext>
          </a:extLst>
        </xdr:cNvPr>
        <xdr:cNvSpPr txBox="1"/>
      </xdr:nvSpPr>
      <xdr:spPr>
        <a:xfrm>
          <a:off x="10919191" y="107911733"/>
          <a:ext cx="1720173" cy="418894"/>
        </a:xfrm>
        <a:prstGeom prst="rect">
          <a:avLst/>
        </a:prstGeom>
        <a:solidFill>
          <a:schemeClr val="bg1"/>
        </a:solid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000" b="1"/>
            <a:t>Building No. 3</a:t>
          </a:r>
          <a:endParaRPr lang="en-IN" sz="2000" b="1"/>
        </a:p>
      </xdr:txBody>
    </xdr:sp>
    <xdr:clientData/>
  </xdr:twoCellAnchor>
  <xdr:twoCellAnchor>
    <xdr:from>
      <xdr:col>0</xdr:col>
      <xdr:colOff>848592</xdr:colOff>
      <xdr:row>473</xdr:row>
      <xdr:rowOff>121227</xdr:rowOff>
    </xdr:from>
    <xdr:to>
      <xdr:col>8</xdr:col>
      <xdr:colOff>658092</xdr:colOff>
      <xdr:row>503</xdr:row>
      <xdr:rowOff>103909</xdr:rowOff>
    </xdr:to>
    <xdr:grpSp>
      <xdr:nvGrpSpPr>
        <xdr:cNvPr id="41" name="Group 40">
          <a:extLst>
            <a:ext uri="{FF2B5EF4-FFF2-40B4-BE49-F238E27FC236}">
              <a16:creationId xmlns:a16="http://schemas.microsoft.com/office/drawing/2014/main" id="{00000000-0008-0000-0000-000029000000}"/>
            </a:ext>
          </a:extLst>
        </xdr:cNvPr>
        <xdr:cNvGrpSpPr/>
      </xdr:nvGrpSpPr>
      <xdr:grpSpPr>
        <a:xfrm>
          <a:off x="848592" y="133549668"/>
          <a:ext cx="8594912" cy="7714741"/>
          <a:chOff x="381000" y="1852612"/>
          <a:chExt cx="6096000" cy="5438775"/>
        </a:xfrm>
      </xdr:grpSpPr>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
          <a:stretch>
            <a:fillRect/>
          </a:stretch>
        </xdr:blipFill>
        <xdr:spPr>
          <a:xfrm>
            <a:off x="381000" y="1852612"/>
            <a:ext cx="6096000" cy="5438775"/>
          </a:xfrm>
          <a:prstGeom prst="rect">
            <a:avLst/>
          </a:prstGeom>
          <a:ln>
            <a:solidFill>
              <a:schemeClr val="tx1"/>
            </a:solidFill>
          </a:ln>
        </xdr:spPr>
      </xdr:pic>
      <xdr:sp macro="" textlink="">
        <xdr:nvSpPr>
          <xdr:cNvPr id="43" name="Rectangle 42">
            <a:extLst>
              <a:ext uri="{FF2B5EF4-FFF2-40B4-BE49-F238E27FC236}">
                <a16:creationId xmlns:a16="http://schemas.microsoft.com/office/drawing/2014/main" id="{00000000-0008-0000-0000-00002B000000}"/>
              </a:ext>
            </a:extLst>
          </xdr:cNvPr>
          <xdr:cNvSpPr/>
        </xdr:nvSpPr>
        <xdr:spPr>
          <a:xfrm rot="279544">
            <a:off x="3284415" y="2748735"/>
            <a:ext cx="873457" cy="42718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4" name="Rectangle 43">
            <a:extLst>
              <a:ext uri="{FF2B5EF4-FFF2-40B4-BE49-F238E27FC236}">
                <a16:creationId xmlns:a16="http://schemas.microsoft.com/office/drawing/2014/main" id="{00000000-0008-0000-0000-00002C000000}"/>
              </a:ext>
            </a:extLst>
          </xdr:cNvPr>
          <xdr:cNvSpPr/>
        </xdr:nvSpPr>
        <xdr:spPr>
          <a:xfrm rot="279544">
            <a:off x="4189686" y="2834460"/>
            <a:ext cx="873457" cy="42718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5" name="Rectangle 44">
            <a:extLst>
              <a:ext uri="{FF2B5EF4-FFF2-40B4-BE49-F238E27FC236}">
                <a16:creationId xmlns:a16="http://schemas.microsoft.com/office/drawing/2014/main" id="{00000000-0008-0000-0000-00002D000000}"/>
              </a:ext>
            </a:extLst>
          </xdr:cNvPr>
          <xdr:cNvSpPr/>
        </xdr:nvSpPr>
        <xdr:spPr>
          <a:xfrm rot="4769856">
            <a:off x="4642322" y="3302804"/>
            <a:ext cx="873457" cy="42718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6" name="Rectangle 45">
            <a:extLst>
              <a:ext uri="{FF2B5EF4-FFF2-40B4-BE49-F238E27FC236}">
                <a16:creationId xmlns:a16="http://schemas.microsoft.com/office/drawing/2014/main" id="{00000000-0008-0000-0000-00002E000000}"/>
              </a:ext>
            </a:extLst>
          </xdr:cNvPr>
          <xdr:cNvSpPr/>
        </xdr:nvSpPr>
        <xdr:spPr>
          <a:xfrm rot="4784678">
            <a:off x="4857245" y="4117190"/>
            <a:ext cx="766825" cy="45089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7" name="TextBox 7">
            <a:extLst>
              <a:ext uri="{FF2B5EF4-FFF2-40B4-BE49-F238E27FC236}">
                <a16:creationId xmlns:a16="http://schemas.microsoft.com/office/drawing/2014/main" id="{00000000-0008-0000-0000-00002F000000}"/>
              </a:ext>
            </a:extLst>
          </xdr:cNvPr>
          <xdr:cNvSpPr txBox="1"/>
        </xdr:nvSpPr>
        <xdr:spPr>
          <a:xfrm>
            <a:off x="3263907" y="2344634"/>
            <a:ext cx="80900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Type 1</a:t>
            </a:r>
            <a:endParaRPr lang="en-IN" b="1">
              <a:solidFill>
                <a:srgbClr val="FF0000"/>
              </a:solidFill>
            </a:endParaRPr>
          </a:p>
        </xdr:txBody>
      </xdr:sp>
      <xdr:sp macro="" textlink="">
        <xdr:nvSpPr>
          <xdr:cNvPr id="48" name="TextBox 8">
            <a:extLst>
              <a:ext uri="{FF2B5EF4-FFF2-40B4-BE49-F238E27FC236}">
                <a16:creationId xmlns:a16="http://schemas.microsoft.com/office/drawing/2014/main" id="{00000000-0008-0000-0000-000030000000}"/>
              </a:ext>
            </a:extLst>
          </xdr:cNvPr>
          <xdr:cNvSpPr txBox="1"/>
        </xdr:nvSpPr>
        <xdr:spPr>
          <a:xfrm>
            <a:off x="4270046" y="2431083"/>
            <a:ext cx="80900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Type 2</a:t>
            </a:r>
            <a:endParaRPr lang="en-IN" b="1">
              <a:solidFill>
                <a:srgbClr val="FF0000"/>
              </a:solidFill>
            </a:endParaRPr>
          </a:p>
        </xdr:txBody>
      </xdr:sp>
      <xdr:sp macro="" textlink="">
        <xdr:nvSpPr>
          <xdr:cNvPr id="49" name="TextBox 9">
            <a:extLst>
              <a:ext uri="{FF2B5EF4-FFF2-40B4-BE49-F238E27FC236}">
                <a16:creationId xmlns:a16="http://schemas.microsoft.com/office/drawing/2014/main" id="{00000000-0008-0000-0000-000031000000}"/>
              </a:ext>
            </a:extLst>
          </xdr:cNvPr>
          <xdr:cNvSpPr txBox="1"/>
        </xdr:nvSpPr>
        <xdr:spPr>
          <a:xfrm>
            <a:off x="5240657" y="3210689"/>
            <a:ext cx="80900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Type 3</a:t>
            </a:r>
            <a:endParaRPr lang="en-IN" b="1">
              <a:solidFill>
                <a:srgbClr val="FF0000"/>
              </a:solidFill>
            </a:endParaRPr>
          </a:p>
        </xdr:txBody>
      </xdr:sp>
      <xdr:sp macro="" textlink="">
        <xdr:nvSpPr>
          <xdr:cNvPr id="50" name="TextBox 10">
            <a:extLst>
              <a:ext uri="{FF2B5EF4-FFF2-40B4-BE49-F238E27FC236}">
                <a16:creationId xmlns:a16="http://schemas.microsoft.com/office/drawing/2014/main" id="{00000000-0008-0000-0000-000032000000}"/>
              </a:ext>
            </a:extLst>
          </xdr:cNvPr>
          <xdr:cNvSpPr txBox="1"/>
        </xdr:nvSpPr>
        <xdr:spPr>
          <a:xfrm>
            <a:off x="5530763" y="4157970"/>
            <a:ext cx="80900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Type 4</a:t>
            </a:r>
            <a:endParaRPr lang="en-IN" b="1">
              <a:solidFill>
                <a:srgbClr val="FF0000"/>
              </a:solidFill>
            </a:endParaRPr>
          </a:p>
        </xdr:txBody>
      </xdr:sp>
    </xdr:grpSp>
    <xdr:clientData/>
  </xdr:twoCellAnchor>
  <xdr:twoCellAnchor>
    <xdr:from>
      <xdr:col>2</xdr:col>
      <xdr:colOff>244929</xdr:colOff>
      <xdr:row>515</xdr:row>
      <xdr:rowOff>40821</xdr:rowOff>
    </xdr:from>
    <xdr:to>
      <xdr:col>7</xdr:col>
      <xdr:colOff>917122</xdr:colOff>
      <xdr:row>547</xdr:row>
      <xdr:rowOff>12253</xdr:rowOff>
    </xdr:to>
    <xdr:grpSp>
      <xdr:nvGrpSpPr>
        <xdr:cNvPr id="51" name="Group 50">
          <a:extLst>
            <a:ext uri="{FF2B5EF4-FFF2-40B4-BE49-F238E27FC236}">
              <a16:creationId xmlns:a16="http://schemas.microsoft.com/office/drawing/2014/main" id="{00000000-0008-0000-0000-000033000000}"/>
            </a:ext>
          </a:extLst>
        </xdr:cNvPr>
        <xdr:cNvGrpSpPr/>
      </xdr:nvGrpSpPr>
      <xdr:grpSpPr>
        <a:xfrm>
          <a:off x="2407664" y="144294145"/>
          <a:ext cx="5670017" cy="8218961"/>
          <a:chOff x="685799" y="176211"/>
          <a:chExt cx="5638800" cy="8244575"/>
        </a:xfrm>
      </xdr:grpSpPr>
      <xdr:pic>
        <xdr:nvPicPr>
          <xdr:cNvPr id="52" name="Picture 51">
            <a:extLst>
              <a:ext uri="{FF2B5EF4-FFF2-40B4-BE49-F238E27FC236}">
                <a16:creationId xmlns:a16="http://schemas.microsoft.com/office/drawing/2014/main" id="{00000000-0008-0000-0000-000034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839668" y="176211"/>
            <a:ext cx="5331063" cy="4253601"/>
          </a:xfrm>
          <a:prstGeom prst="rect">
            <a:avLst/>
          </a:prstGeom>
          <a:ln>
            <a:solidFill>
              <a:schemeClr val="tx1"/>
            </a:solidFill>
          </a:ln>
        </xdr:spPr>
      </xdr:pic>
      <xdr:grpSp>
        <xdr:nvGrpSpPr>
          <xdr:cNvPr id="53" name="Group 52">
            <a:extLst>
              <a:ext uri="{FF2B5EF4-FFF2-40B4-BE49-F238E27FC236}">
                <a16:creationId xmlns:a16="http://schemas.microsoft.com/office/drawing/2014/main" id="{00000000-0008-0000-0000-000035000000}"/>
              </a:ext>
            </a:extLst>
          </xdr:cNvPr>
          <xdr:cNvGrpSpPr/>
        </xdr:nvGrpSpPr>
        <xdr:grpSpPr>
          <a:xfrm>
            <a:off x="685799" y="4525061"/>
            <a:ext cx="5638800" cy="3895725"/>
            <a:chOff x="685799" y="4525061"/>
            <a:chExt cx="5638800" cy="3895725"/>
          </a:xfrm>
        </xdr:grpSpPr>
        <xdr:pic>
          <xdr:nvPicPr>
            <xdr:cNvPr id="54" name="Pictur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3"/>
            <a:stretch>
              <a:fillRect/>
            </a:stretch>
          </xdr:blipFill>
          <xdr:spPr>
            <a:xfrm>
              <a:off x="685799" y="4525061"/>
              <a:ext cx="5638800" cy="3895725"/>
            </a:xfrm>
            <a:prstGeom prst="rect">
              <a:avLst/>
            </a:prstGeom>
            <a:ln>
              <a:solidFill>
                <a:schemeClr val="tx1"/>
              </a:solidFill>
            </a:ln>
          </xdr:spPr>
        </xdr:pic>
        <xdr:sp macro="" textlink="">
          <xdr:nvSpPr>
            <xdr:cNvPr id="55" name="Rectangle 54">
              <a:extLst>
                <a:ext uri="{FF2B5EF4-FFF2-40B4-BE49-F238E27FC236}">
                  <a16:creationId xmlns:a16="http://schemas.microsoft.com/office/drawing/2014/main" id="{00000000-0008-0000-0000-000037000000}"/>
                </a:ext>
              </a:extLst>
            </xdr:cNvPr>
            <xdr:cNvSpPr/>
          </xdr:nvSpPr>
          <xdr:spPr>
            <a:xfrm rot="2749665">
              <a:off x="2420420" y="5029055"/>
              <a:ext cx="2123700" cy="2334906"/>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clientData/>
  </xdr:twoCellAnchor>
  <xdr:twoCellAnchor>
    <xdr:from>
      <xdr:col>9</xdr:col>
      <xdr:colOff>478650</xdr:colOff>
      <xdr:row>416</xdr:row>
      <xdr:rowOff>215701</xdr:rowOff>
    </xdr:from>
    <xdr:to>
      <xdr:col>27</xdr:col>
      <xdr:colOff>74441</xdr:colOff>
      <xdr:row>460</xdr:row>
      <xdr:rowOff>169690</xdr:rowOff>
    </xdr:to>
    <xdr:grpSp>
      <xdr:nvGrpSpPr>
        <xdr:cNvPr id="10" name="Group 9">
          <a:extLst>
            <a:ext uri="{FF2B5EF4-FFF2-40B4-BE49-F238E27FC236}">
              <a16:creationId xmlns:a16="http://schemas.microsoft.com/office/drawing/2014/main" id="{00000000-0008-0000-0000-00000A000000}"/>
            </a:ext>
          </a:extLst>
        </xdr:cNvPr>
        <xdr:cNvGrpSpPr/>
      </xdr:nvGrpSpPr>
      <xdr:grpSpPr>
        <a:xfrm>
          <a:off x="10888915" y="120499642"/>
          <a:ext cx="10241379" cy="11294342"/>
          <a:chOff x="108856" y="120986296"/>
          <a:chExt cx="10218967" cy="11329561"/>
        </a:xfrm>
      </xdr:grpSpPr>
      <xdr:grpSp>
        <xdr:nvGrpSpPr>
          <xdr:cNvPr id="57" name="Group 56">
            <a:extLst>
              <a:ext uri="{FF2B5EF4-FFF2-40B4-BE49-F238E27FC236}">
                <a16:creationId xmlns:a16="http://schemas.microsoft.com/office/drawing/2014/main" id="{00000000-0008-0000-0000-000039000000}"/>
              </a:ext>
            </a:extLst>
          </xdr:cNvPr>
          <xdr:cNvGrpSpPr/>
        </xdr:nvGrpSpPr>
        <xdr:grpSpPr>
          <a:xfrm>
            <a:off x="1565545" y="130112196"/>
            <a:ext cx="7183847" cy="2203661"/>
            <a:chOff x="710241" y="8921847"/>
            <a:chExt cx="5541043" cy="1602206"/>
          </a:xfrm>
        </xdr:grpSpPr>
        <xdr:pic>
          <xdr:nvPicPr>
            <xdr:cNvPr id="98" name="Picture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10241" y="8921847"/>
              <a:ext cx="2080956" cy="1602206"/>
            </a:xfrm>
            <a:prstGeom prst="rect">
              <a:avLst/>
            </a:prstGeom>
            <a:ln>
              <a:solidFill>
                <a:schemeClr val="tx1"/>
              </a:solidFill>
            </a:ln>
          </xdr:spPr>
        </xdr:pic>
        <xdr:pic>
          <xdr:nvPicPr>
            <xdr:cNvPr id="99" name="Picture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882587" y="8921847"/>
              <a:ext cx="1179637" cy="1602206"/>
            </a:xfrm>
            <a:prstGeom prst="rect">
              <a:avLst/>
            </a:prstGeom>
            <a:ln>
              <a:solidFill>
                <a:schemeClr val="tx1"/>
              </a:solidFill>
            </a:ln>
          </xdr:spPr>
        </xdr:pic>
        <xdr:pic>
          <xdr:nvPicPr>
            <xdr:cNvPr id="100" name="Picture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162621" y="8921847"/>
              <a:ext cx="2088663" cy="1602206"/>
            </a:xfrm>
            <a:prstGeom prst="rect">
              <a:avLst/>
            </a:prstGeom>
            <a:ln>
              <a:solidFill>
                <a:schemeClr val="tx1"/>
              </a:solidFill>
            </a:ln>
          </xdr:spPr>
        </xdr:pic>
      </xdr:grpSp>
      <xdr:grpSp>
        <xdr:nvGrpSpPr>
          <xdr:cNvPr id="9" name="Group 8">
            <a:extLst>
              <a:ext uri="{FF2B5EF4-FFF2-40B4-BE49-F238E27FC236}">
                <a16:creationId xmlns:a16="http://schemas.microsoft.com/office/drawing/2014/main" id="{00000000-0008-0000-0000-000009000000}"/>
              </a:ext>
            </a:extLst>
          </xdr:cNvPr>
          <xdr:cNvGrpSpPr/>
        </xdr:nvGrpSpPr>
        <xdr:grpSpPr>
          <a:xfrm>
            <a:off x="3538520" y="125640282"/>
            <a:ext cx="6449124" cy="4348753"/>
            <a:chOff x="1715162" y="126266211"/>
            <a:chExt cx="6556357" cy="4470947"/>
          </a:xfrm>
        </xdr:grpSpPr>
        <xdr:pic>
          <xdr:nvPicPr>
            <xdr:cNvPr id="89" name="Picture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715162" y="126266211"/>
              <a:ext cx="6556357" cy="4470947"/>
            </a:xfrm>
            <a:prstGeom prst="rect">
              <a:avLst/>
            </a:prstGeom>
            <a:ln>
              <a:solidFill>
                <a:schemeClr val="tx1"/>
              </a:solidFill>
            </a:ln>
          </xdr:spPr>
        </xdr:pic>
        <xdr:sp macro="" textlink="">
          <xdr:nvSpPr>
            <xdr:cNvPr id="90" name="TextBox 53">
              <a:extLst>
                <a:ext uri="{FF2B5EF4-FFF2-40B4-BE49-F238E27FC236}">
                  <a16:creationId xmlns:a16="http://schemas.microsoft.com/office/drawing/2014/main" id="{00000000-0008-0000-0000-00005A000000}"/>
                </a:ext>
              </a:extLst>
            </xdr:cNvPr>
            <xdr:cNvSpPr txBox="1"/>
          </xdr:nvSpPr>
          <xdr:spPr>
            <a:xfrm>
              <a:off x="2951841" y="126850031"/>
              <a:ext cx="1007837" cy="37414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t>Tower 1</a:t>
              </a:r>
              <a:endParaRPr lang="en-IN" sz="1800" b="1"/>
            </a:p>
          </xdr:txBody>
        </xdr:sp>
        <xdr:sp macro="" textlink="">
          <xdr:nvSpPr>
            <xdr:cNvPr id="91" name="TextBox 54">
              <a:extLst>
                <a:ext uri="{FF2B5EF4-FFF2-40B4-BE49-F238E27FC236}">
                  <a16:creationId xmlns:a16="http://schemas.microsoft.com/office/drawing/2014/main" id="{00000000-0008-0000-0000-00005B000000}"/>
                </a:ext>
              </a:extLst>
            </xdr:cNvPr>
            <xdr:cNvSpPr txBox="1"/>
          </xdr:nvSpPr>
          <xdr:spPr>
            <a:xfrm>
              <a:off x="3932057" y="127427273"/>
              <a:ext cx="1007335" cy="342787"/>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t>Tower 2</a:t>
              </a:r>
              <a:endParaRPr lang="en-IN" sz="1600" b="1"/>
            </a:p>
          </xdr:txBody>
        </xdr:sp>
        <xdr:sp macro="" textlink="">
          <xdr:nvSpPr>
            <xdr:cNvPr id="92" name="TextBox 55">
              <a:extLst>
                <a:ext uri="{FF2B5EF4-FFF2-40B4-BE49-F238E27FC236}">
                  <a16:creationId xmlns:a16="http://schemas.microsoft.com/office/drawing/2014/main" id="{00000000-0008-0000-0000-00005C000000}"/>
                </a:ext>
              </a:extLst>
            </xdr:cNvPr>
            <xdr:cNvSpPr txBox="1"/>
          </xdr:nvSpPr>
          <xdr:spPr>
            <a:xfrm>
              <a:off x="4899358" y="127400763"/>
              <a:ext cx="992535" cy="342787"/>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t>Tower 3</a:t>
              </a:r>
              <a:endParaRPr lang="en-IN" sz="1600" b="1"/>
            </a:p>
          </xdr:txBody>
        </xdr:sp>
        <xdr:sp macro="" textlink="">
          <xdr:nvSpPr>
            <xdr:cNvPr id="93" name="TextBox 56">
              <a:extLst>
                <a:ext uri="{FF2B5EF4-FFF2-40B4-BE49-F238E27FC236}">
                  <a16:creationId xmlns:a16="http://schemas.microsoft.com/office/drawing/2014/main" id="{00000000-0008-0000-0000-00005D000000}"/>
                </a:ext>
              </a:extLst>
            </xdr:cNvPr>
            <xdr:cNvSpPr txBox="1"/>
          </xdr:nvSpPr>
          <xdr:spPr>
            <a:xfrm>
              <a:off x="5515172" y="126496566"/>
              <a:ext cx="948221" cy="37414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t>Tower 4</a:t>
              </a:r>
              <a:endParaRPr lang="en-IN" sz="1800" b="1"/>
            </a:p>
          </xdr:txBody>
        </xdr:sp>
        <xdr:cxnSp macro="">
          <xdr:nvCxnSpPr>
            <xdr:cNvPr id="94" name="Straight Arrow Connector 93">
              <a:extLst>
                <a:ext uri="{FF2B5EF4-FFF2-40B4-BE49-F238E27FC236}">
                  <a16:creationId xmlns:a16="http://schemas.microsoft.com/office/drawing/2014/main" id="{00000000-0008-0000-0000-00005E000000}"/>
                </a:ext>
              </a:extLst>
            </xdr:cNvPr>
            <xdr:cNvCxnSpPr/>
          </xdr:nvCxnSpPr>
          <xdr:spPr>
            <a:xfrm flipH="1">
              <a:off x="2807682" y="127199570"/>
              <a:ext cx="376391" cy="48899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5" name="Straight Arrow Connector 94">
              <a:extLst>
                <a:ext uri="{FF2B5EF4-FFF2-40B4-BE49-F238E27FC236}">
                  <a16:creationId xmlns:a16="http://schemas.microsoft.com/office/drawing/2014/main" id="{00000000-0008-0000-0000-00005F000000}"/>
                </a:ext>
              </a:extLst>
            </xdr:cNvPr>
            <xdr:cNvCxnSpPr/>
          </xdr:nvCxnSpPr>
          <xdr:spPr>
            <a:xfrm>
              <a:off x="4313466" y="127716642"/>
              <a:ext cx="1654" cy="554177"/>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6" name="Straight Arrow Connector 95">
              <a:extLst>
                <a:ext uri="{FF2B5EF4-FFF2-40B4-BE49-F238E27FC236}">
                  <a16:creationId xmlns:a16="http://schemas.microsoft.com/office/drawing/2014/main" id="{00000000-0008-0000-0000-000060000000}"/>
                </a:ext>
              </a:extLst>
            </xdr:cNvPr>
            <xdr:cNvCxnSpPr/>
          </xdr:nvCxnSpPr>
          <xdr:spPr>
            <a:xfrm>
              <a:off x="5354807" y="127729943"/>
              <a:ext cx="156086" cy="394912"/>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7" name="Straight Arrow Connector 96">
              <a:extLst>
                <a:ext uri="{FF2B5EF4-FFF2-40B4-BE49-F238E27FC236}">
                  <a16:creationId xmlns:a16="http://schemas.microsoft.com/office/drawing/2014/main" id="{00000000-0008-0000-0000-000061000000}"/>
                </a:ext>
              </a:extLst>
            </xdr:cNvPr>
            <xdr:cNvCxnSpPr>
              <a:stCxn id="93" idx="2"/>
            </xdr:cNvCxnSpPr>
          </xdr:nvCxnSpPr>
          <xdr:spPr>
            <a:xfrm>
              <a:off x="5989282" y="126870708"/>
              <a:ext cx="396717" cy="1044434"/>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60" name="Group 59">
            <a:extLst>
              <a:ext uri="{FF2B5EF4-FFF2-40B4-BE49-F238E27FC236}">
                <a16:creationId xmlns:a16="http://schemas.microsoft.com/office/drawing/2014/main" id="{00000000-0008-0000-0000-00003C000000}"/>
              </a:ext>
            </a:extLst>
          </xdr:cNvPr>
          <xdr:cNvGrpSpPr/>
        </xdr:nvGrpSpPr>
        <xdr:grpSpPr>
          <a:xfrm>
            <a:off x="6989034" y="120988660"/>
            <a:ext cx="3338789" cy="4510017"/>
            <a:chOff x="-2804032" y="-3821256"/>
            <a:chExt cx="1999876" cy="3069093"/>
          </a:xfrm>
        </xdr:grpSpPr>
        <xdr:pic>
          <xdr:nvPicPr>
            <xdr:cNvPr id="87" name="Picture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804032" y="-3821256"/>
              <a:ext cx="1999876" cy="3069093"/>
            </a:xfrm>
            <a:prstGeom prst="rect">
              <a:avLst/>
            </a:prstGeom>
            <a:ln>
              <a:solidFill>
                <a:schemeClr val="tx1"/>
              </a:solidFill>
            </a:ln>
          </xdr:spPr>
        </xdr:pic>
        <xdr:sp macro="" textlink="">
          <xdr:nvSpPr>
            <xdr:cNvPr id="88" name="TextBox 72">
              <a:extLst>
                <a:ext uri="{FF2B5EF4-FFF2-40B4-BE49-F238E27FC236}">
                  <a16:creationId xmlns:a16="http://schemas.microsoft.com/office/drawing/2014/main" id="{00000000-0008-0000-0000-000058000000}"/>
                </a:ext>
              </a:extLst>
            </xdr:cNvPr>
            <xdr:cNvSpPr txBox="1"/>
          </xdr:nvSpPr>
          <xdr:spPr>
            <a:xfrm>
              <a:off x="-2744781" y="-3775329"/>
              <a:ext cx="587650" cy="254605"/>
            </a:xfrm>
            <a:prstGeom prst="rect">
              <a:avLst/>
            </a:prstGeom>
            <a:solidFill>
              <a:schemeClr val="bg1"/>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t>Tower 3</a:t>
              </a:r>
              <a:endParaRPr lang="en-IN" sz="1800" b="1"/>
            </a:p>
          </xdr:txBody>
        </xdr:sp>
      </xdr:grpSp>
      <xdr:grpSp>
        <xdr:nvGrpSpPr>
          <xdr:cNvPr id="61" name="Group 60">
            <a:extLst>
              <a:ext uri="{FF2B5EF4-FFF2-40B4-BE49-F238E27FC236}">
                <a16:creationId xmlns:a16="http://schemas.microsoft.com/office/drawing/2014/main" id="{00000000-0008-0000-0000-00003D000000}"/>
              </a:ext>
            </a:extLst>
          </xdr:cNvPr>
          <xdr:cNvGrpSpPr/>
        </xdr:nvGrpSpPr>
        <xdr:grpSpPr>
          <a:xfrm>
            <a:off x="108856" y="120986296"/>
            <a:ext cx="3338789" cy="4510017"/>
            <a:chOff x="-3017135" y="-1092477"/>
            <a:chExt cx="1999876" cy="3069093"/>
          </a:xfrm>
        </xdr:grpSpPr>
        <xdr:pic>
          <xdr:nvPicPr>
            <xdr:cNvPr id="68" name="Picture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017135" y="-1092477"/>
              <a:ext cx="1999876" cy="3069093"/>
            </a:xfrm>
            <a:prstGeom prst="rect">
              <a:avLst/>
            </a:prstGeom>
            <a:ln>
              <a:solidFill>
                <a:schemeClr val="tx1"/>
              </a:solidFill>
            </a:ln>
          </xdr:spPr>
        </xdr:pic>
        <xdr:sp macro="" textlink="">
          <xdr:nvSpPr>
            <xdr:cNvPr id="69" name="TextBox 74">
              <a:extLst>
                <a:ext uri="{FF2B5EF4-FFF2-40B4-BE49-F238E27FC236}">
                  <a16:creationId xmlns:a16="http://schemas.microsoft.com/office/drawing/2014/main" id="{00000000-0008-0000-0000-000045000000}"/>
                </a:ext>
              </a:extLst>
            </xdr:cNvPr>
            <xdr:cNvSpPr txBox="1"/>
          </xdr:nvSpPr>
          <xdr:spPr>
            <a:xfrm>
              <a:off x="-1657026" y="-1066998"/>
              <a:ext cx="604148" cy="254605"/>
            </a:xfrm>
            <a:prstGeom prst="rect">
              <a:avLst/>
            </a:prstGeom>
            <a:solidFill>
              <a:schemeClr val="bg1"/>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t>Tower 1</a:t>
              </a:r>
              <a:endParaRPr lang="en-IN" sz="1800" b="1"/>
            </a:p>
          </xdr:txBody>
        </xdr:sp>
      </xdr:grpSp>
      <xdr:grpSp>
        <xdr:nvGrpSpPr>
          <xdr:cNvPr id="62" name="Group 61">
            <a:extLst>
              <a:ext uri="{FF2B5EF4-FFF2-40B4-BE49-F238E27FC236}">
                <a16:creationId xmlns:a16="http://schemas.microsoft.com/office/drawing/2014/main" id="{00000000-0008-0000-0000-00003E000000}"/>
              </a:ext>
            </a:extLst>
          </xdr:cNvPr>
          <xdr:cNvGrpSpPr/>
        </xdr:nvGrpSpPr>
        <xdr:grpSpPr>
          <a:xfrm>
            <a:off x="3548746" y="120999903"/>
            <a:ext cx="3338789" cy="4510017"/>
            <a:chOff x="4305187" y="-1591179"/>
            <a:chExt cx="1999876" cy="3069093"/>
          </a:xfrm>
        </xdr:grpSpPr>
        <xdr:pic>
          <xdr:nvPicPr>
            <xdr:cNvPr id="66" name="Picture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4305187" y="-1591179"/>
              <a:ext cx="1999876" cy="3069093"/>
            </a:xfrm>
            <a:prstGeom prst="rect">
              <a:avLst/>
            </a:prstGeom>
            <a:ln>
              <a:solidFill>
                <a:schemeClr val="tx1"/>
              </a:solidFill>
            </a:ln>
          </xdr:spPr>
        </xdr:pic>
        <xdr:sp macro="" textlink="">
          <xdr:nvSpPr>
            <xdr:cNvPr id="67" name="TextBox 75">
              <a:extLst>
                <a:ext uri="{FF2B5EF4-FFF2-40B4-BE49-F238E27FC236}">
                  <a16:creationId xmlns:a16="http://schemas.microsoft.com/office/drawing/2014/main" id="{00000000-0008-0000-0000-000043000000}"/>
                </a:ext>
              </a:extLst>
            </xdr:cNvPr>
            <xdr:cNvSpPr txBox="1"/>
          </xdr:nvSpPr>
          <xdr:spPr>
            <a:xfrm>
              <a:off x="5695954" y="-1554902"/>
              <a:ext cx="566966" cy="254605"/>
            </a:xfrm>
            <a:prstGeom prst="rect">
              <a:avLst/>
            </a:prstGeom>
            <a:solidFill>
              <a:schemeClr val="bg1"/>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t>Tower 2</a:t>
              </a:r>
              <a:endParaRPr lang="en-IN" sz="1800" b="1"/>
            </a:p>
          </xdr:txBody>
        </xdr:sp>
      </xdr:grpSp>
      <xdr:grpSp>
        <xdr:nvGrpSpPr>
          <xdr:cNvPr id="63" name="Group 62">
            <a:extLst>
              <a:ext uri="{FF2B5EF4-FFF2-40B4-BE49-F238E27FC236}">
                <a16:creationId xmlns:a16="http://schemas.microsoft.com/office/drawing/2014/main" id="{00000000-0008-0000-0000-00003F000000}"/>
              </a:ext>
            </a:extLst>
          </xdr:cNvPr>
          <xdr:cNvGrpSpPr/>
        </xdr:nvGrpSpPr>
        <xdr:grpSpPr>
          <a:xfrm>
            <a:off x="353787" y="125621144"/>
            <a:ext cx="3073834" cy="4381500"/>
            <a:chOff x="6877313" y="-4111177"/>
            <a:chExt cx="1999876" cy="3069093"/>
          </a:xfrm>
        </xdr:grpSpPr>
        <xdr:pic>
          <xdr:nvPicPr>
            <xdr:cNvPr id="64" name="Picture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6877313" y="-4111177"/>
              <a:ext cx="1999876" cy="3069093"/>
            </a:xfrm>
            <a:prstGeom prst="rect">
              <a:avLst/>
            </a:prstGeom>
            <a:ln>
              <a:solidFill>
                <a:schemeClr val="tx1"/>
              </a:solidFill>
            </a:ln>
          </xdr:spPr>
        </xdr:pic>
        <xdr:sp macro="" textlink="">
          <xdr:nvSpPr>
            <xdr:cNvPr id="65" name="TextBox 76">
              <a:extLst>
                <a:ext uri="{FF2B5EF4-FFF2-40B4-BE49-F238E27FC236}">
                  <a16:creationId xmlns:a16="http://schemas.microsoft.com/office/drawing/2014/main" id="{00000000-0008-0000-0000-000041000000}"/>
                </a:ext>
              </a:extLst>
            </xdr:cNvPr>
            <xdr:cNvSpPr txBox="1"/>
          </xdr:nvSpPr>
          <xdr:spPr>
            <a:xfrm>
              <a:off x="7183002" y="-3852776"/>
              <a:ext cx="615020" cy="262073"/>
            </a:xfrm>
            <a:prstGeom prst="rect">
              <a:avLst/>
            </a:prstGeom>
            <a:solidFill>
              <a:schemeClr val="bg1"/>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t>Tower 4</a:t>
              </a:r>
              <a:endParaRPr lang="en-IN" sz="1800" b="1"/>
            </a:p>
          </xdr:txBody>
        </xdr:sp>
      </xdr:grpSp>
    </xdr:grpSp>
    <xdr:clientData/>
  </xdr:twoCellAnchor>
  <xdr:twoCellAnchor>
    <xdr:from>
      <xdr:col>0</xdr:col>
      <xdr:colOff>268941</xdr:colOff>
      <xdr:row>417</xdr:row>
      <xdr:rowOff>168087</xdr:rowOff>
    </xdr:from>
    <xdr:to>
      <xdr:col>8</xdr:col>
      <xdr:colOff>1288676</xdr:colOff>
      <xdr:row>461</xdr:row>
      <xdr:rowOff>134470</xdr:rowOff>
    </xdr:to>
    <xdr:grpSp>
      <xdr:nvGrpSpPr>
        <xdr:cNvPr id="56" name="Group 55">
          <a:extLst>
            <a:ext uri="{FF2B5EF4-FFF2-40B4-BE49-F238E27FC236}">
              <a16:creationId xmlns:a16="http://schemas.microsoft.com/office/drawing/2014/main" id="{35B19089-071A-4FF1-8FE4-45C27E993296}"/>
            </a:ext>
          </a:extLst>
        </xdr:cNvPr>
        <xdr:cNvGrpSpPr/>
      </xdr:nvGrpSpPr>
      <xdr:grpSpPr>
        <a:xfrm>
          <a:off x="268941" y="120709763"/>
          <a:ext cx="9805147" cy="11306736"/>
          <a:chOff x="-466612" y="304800"/>
          <a:chExt cx="7791224" cy="7956474"/>
        </a:xfrm>
      </xdr:grpSpPr>
      <xdr:grpSp>
        <xdr:nvGrpSpPr>
          <xdr:cNvPr id="58" name="Group 57">
            <a:extLst>
              <a:ext uri="{FF2B5EF4-FFF2-40B4-BE49-F238E27FC236}">
                <a16:creationId xmlns:a16="http://schemas.microsoft.com/office/drawing/2014/main" id="{C7AA0D64-89DD-4E91-9A03-953AEF658BFA}"/>
              </a:ext>
            </a:extLst>
          </xdr:cNvPr>
          <xdr:cNvGrpSpPr/>
        </xdr:nvGrpSpPr>
        <xdr:grpSpPr>
          <a:xfrm>
            <a:off x="-466612" y="304800"/>
            <a:ext cx="7791224" cy="7956474"/>
            <a:chOff x="-408805" y="0"/>
            <a:chExt cx="7791224" cy="7956474"/>
          </a:xfrm>
        </xdr:grpSpPr>
        <xdr:pic>
          <xdr:nvPicPr>
            <xdr:cNvPr id="73" name="Picture 72">
              <a:extLst>
                <a:ext uri="{FF2B5EF4-FFF2-40B4-BE49-F238E27FC236}">
                  <a16:creationId xmlns:a16="http://schemas.microsoft.com/office/drawing/2014/main" id="{D1B521B9-9F35-4615-BFBC-B3959D1DAF25}"/>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408805" y="0"/>
              <a:ext cx="2520000" cy="3363505"/>
            </a:xfrm>
            <a:prstGeom prst="rect">
              <a:avLst/>
            </a:prstGeom>
            <a:ln>
              <a:solidFill>
                <a:schemeClr val="tx1"/>
              </a:solidFill>
            </a:ln>
          </xdr:spPr>
        </xdr:pic>
        <xdr:pic>
          <xdr:nvPicPr>
            <xdr:cNvPr id="74" name="Picture 73">
              <a:extLst>
                <a:ext uri="{FF2B5EF4-FFF2-40B4-BE49-F238E27FC236}">
                  <a16:creationId xmlns:a16="http://schemas.microsoft.com/office/drawing/2014/main" id="{CDCAD09D-C133-4EEC-AF62-039953EBA4E1}"/>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2226807" y="0"/>
              <a:ext cx="2520000" cy="3363504"/>
            </a:xfrm>
            <a:prstGeom prst="rect">
              <a:avLst/>
            </a:prstGeom>
            <a:ln>
              <a:solidFill>
                <a:schemeClr val="tx1"/>
              </a:solidFill>
            </a:ln>
          </xdr:spPr>
        </xdr:pic>
        <xdr:pic>
          <xdr:nvPicPr>
            <xdr:cNvPr id="75" name="Picture 74">
              <a:extLst>
                <a:ext uri="{FF2B5EF4-FFF2-40B4-BE49-F238E27FC236}">
                  <a16:creationId xmlns:a16="http://schemas.microsoft.com/office/drawing/2014/main" id="{C2854D68-D933-4AD6-BFA6-9972840463A9}"/>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862419" y="0"/>
              <a:ext cx="2520000" cy="3363504"/>
            </a:xfrm>
            <a:prstGeom prst="rect">
              <a:avLst/>
            </a:prstGeom>
            <a:ln>
              <a:solidFill>
                <a:schemeClr val="tx1"/>
              </a:solidFill>
            </a:ln>
          </xdr:spPr>
        </xdr:pic>
        <xdr:pic>
          <xdr:nvPicPr>
            <xdr:cNvPr id="76" name="Picture 75">
              <a:extLst>
                <a:ext uri="{FF2B5EF4-FFF2-40B4-BE49-F238E27FC236}">
                  <a16:creationId xmlns:a16="http://schemas.microsoft.com/office/drawing/2014/main" id="{FA442B6C-DCA7-4FE5-BE21-4B16DB070074}"/>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598839" y="3499239"/>
              <a:ext cx="2022890" cy="2700000"/>
            </a:xfrm>
            <a:prstGeom prst="rect">
              <a:avLst/>
            </a:prstGeom>
            <a:ln>
              <a:solidFill>
                <a:schemeClr val="tx1"/>
              </a:solidFill>
            </a:ln>
          </xdr:spPr>
        </xdr:pic>
        <xdr:pic>
          <xdr:nvPicPr>
            <xdr:cNvPr id="77" name="Picture 76">
              <a:extLst>
                <a:ext uri="{FF2B5EF4-FFF2-40B4-BE49-F238E27FC236}">
                  <a16:creationId xmlns:a16="http://schemas.microsoft.com/office/drawing/2014/main" id="{00344E62-C390-4009-B3E0-C8402FEBBF34}"/>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2752140" y="3499239"/>
              <a:ext cx="3596666" cy="2700000"/>
            </a:xfrm>
            <a:prstGeom prst="rect">
              <a:avLst/>
            </a:prstGeom>
            <a:ln>
              <a:solidFill>
                <a:schemeClr val="tx1"/>
              </a:solidFill>
            </a:ln>
          </xdr:spPr>
        </xdr:pic>
        <xdr:pic>
          <xdr:nvPicPr>
            <xdr:cNvPr id="78" name="Picture 77">
              <a:extLst>
                <a:ext uri="{FF2B5EF4-FFF2-40B4-BE49-F238E27FC236}">
                  <a16:creationId xmlns:a16="http://schemas.microsoft.com/office/drawing/2014/main" id="{69F58EAE-F208-4882-B0FC-DC0761431DE8}"/>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328188" y="6334973"/>
              <a:ext cx="2160000" cy="1621501"/>
            </a:xfrm>
            <a:prstGeom prst="rect">
              <a:avLst/>
            </a:prstGeom>
            <a:ln>
              <a:solidFill>
                <a:schemeClr val="tx1"/>
              </a:solidFill>
            </a:ln>
          </xdr:spPr>
        </xdr:pic>
        <xdr:pic>
          <xdr:nvPicPr>
            <xdr:cNvPr id="79" name="Picture 78">
              <a:extLst>
                <a:ext uri="{FF2B5EF4-FFF2-40B4-BE49-F238E27FC236}">
                  <a16:creationId xmlns:a16="http://schemas.microsoft.com/office/drawing/2014/main" id="{5C59CD9E-22E5-4B0D-BBC4-86FC28A75CF7}"/>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3666807" y="6334973"/>
              <a:ext cx="2160000" cy="1621501"/>
            </a:xfrm>
            <a:prstGeom prst="rect">
              <a:avLst/>
            </a:prstGeom>
            <a:ln>
              <a:solidFill>
                <a:schemeClr val="tx1"/>
              </a:solidFill>
            </a:ln>
          </xdr:spPr>
        </xdr:pic>
      </xdr:grpSp>
      <xdr:sp macro="" textlink="">
        <xdr:nvSpPr>
          <xdr:cNvPr id="59" name="TextBox 142">
            <a:extLst>
              <a:ext uri="{FF2B5EF4-FFF2-40B4-BE49-F238E27FC236}">
                <a16:creationId xmlns:a16="http://schemas.microsoft.com/office/drawing/2014/main" id="{21233AF5-C6E7-4BA1-AB39-E5301DABD521}"/>
              </a:ext>
            </a:extLst>
          </xdr:cNvPr>
          <xdr:cNvSpPr txBox="1"/>
        </xdr:nvSpPr>
        <xdr:spPr>
          <a:xfrm>
            <a:off x="-397302" y="466165"/>
            <a:ext cx="821115" cy="263281"/>
          </a:xfrm>
          <a:prstGeom prst="rect">
            <a:avLst/>
          </a:prstGeom>
          <a:solidFill>
            <a:schemeClr val="bg1"/>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Tower 1</a:t>
            </a:r>
            <a:endParaRPr lang="en-IN" b="1"/>
          </a:p>
        </xdr:txBody>
      </xdr:sp>
      <xdr:sp macro="" textlink="">
        <xdr:nvSpPr>
          <xdr:cNvPr id="70" name="TextBox 143">
            <a:extLst>
              <a:ext uri="{FF2B5EF4-FFF2-40B4-BE49-F238E27FC236}">
                <a16:creationId xmlns:a16="http://schemas.microsoft.com/office/drawing/2014/main" id="{EAFC3CFF-5BBB-408E-84D1-D4A0DEF0C0FD}"/>
              </a:ext>
            </a:extLst>
          </xdr:cNvPr>
          <xdr:cNvSpPr txBox="1"/>
        </xdr:nvSpPr>
        <xdr:spPr>
          <a:xfrm>
            <a:off x="3018809" y="412377"/>
            <a:ext cx="824239" cy="263281"/>
          </a:xfrm>
          <a:prstGeom prst="rect">
            <a:avLst/>
          </a:prstGeom>
          <a:solidFill>
            <a:schemeClr val="bg1"/>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Tower 2</a:t>
            </a:r>
            <a:endParaRPr lang="en-IN" b="1"/>
          </a:p>
        </xdr:txBody>
      </xdr:sp>
      <xdr:sp macro="" textlink="">
        <xdr:nvSpPr>
          <xdr:cNvPr id="71" name="TextBox 144">
            <a:extLst>
              <a:ext uri="{FF2B5EF4-FFF2-40B4-BE49-F238E27FC236}">
                <a16:creationId xmlns:a16="http://schemas.microsoft.com/office/drawing/2014/main" id="{B7BD980E-D26A-42F8-B174-CE62CE90FBA8}"/>
              </a:ext>
            </a:extLst>
          </xdr:cNvPr>
          <xdr:cNvSpPr txBox="1"/>
        </xdr:nvSpPr>
        <xdr:spPr>
          <a:xfrm>
            <a:off x="5423464" y="466165"/>
            <a:ext cx="779212" cy="272338"/>
          </a:xfrm>
          <a:prstGeom prst="rect">
            <a:avLst/>
          </a:prstGeom>
          <a:solidFill>
            <a:schemeClr val="bg1"/>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Tower 3</a:t>
            </a:r>
            <a:endParaRPr lang="en-IN" b="1"/>
          </a:p>
        </xdr:txBody>
      </xdr:sp>
      <xdr:sp macro="" textlink="">
        <xdr:nvSpPr>
          <xdr:cNvPr id="72" name="TextBox 145">
            <a:extLst>
              <a:ext uri="{FF2B5EF4-FFF2-40B4-BE49-F238E27FC236}">
                <a16:creationId xmlns:a16="http://schemas.microsoft.com/office/drawing/2014/main" id="{0667DA57-6327-4296-859A-3DA92BC4707C}"/>
              </a:ext>
            </a:extLst>
          </xdr:cNvPr>
          <xdr:cNvSpPr txBox="1"/>
        </xdr:nvSpPr>
        <xdr:spPr>
          <a:xfrm>
            <a:off x="801214" y="3804039"/>
            <a:ext cx="771249" cy="263281"/>
          </a:xfrm>
          <a:prstGeom prst="rect">
            <a:avLst/>
          </a:prstGeom>
          <a:solidFill>
            <a:schemeClr val="bg1"/>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Tower 4</a:t>
            </a:r>
            <a:endParaRPr lang="en-IN" b="1"/>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yWDB2YBaxcMz26vb7"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561"/>
  <sheetViews>
    <sheetView tabSelected="1" showWhiteSpace="0" view="pageBreakPreview" topLeftCell="A160" zoomScale="85" zoomScaleNormal="85" zoomScaleSheetLayoutView="85" zoomScalePageLayoutView="70" workbookViewId="0">
      <selection activeCell="J166" sqref="J166"/>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3" customWidth="1"/>
    <col min="5" max="6" width="27.140625" style="1" customWidth="1"/>
    <col min="7" max="7" width="1.42578125" style="1" customWidth="1"/>
    <col min="8" max="8" width="24.42578125" style="1" customWidth="1"/>
    <col min="9" max="9" width="24.42578125" style="13" customWidth="1"/>
    <col min="10" max="10" width="33.85546875" style="1" customWidth="1"/>
    <col min="11" max="20" width="9.140625" style="1"/>
    <col min="21" max="23" width="0" style="1" hidden="1" customWidth="1"/>
    <col min="24" max="26" width="9.140625" style="1"/>
    <col min="27" max="27" width="7.85546875" style="1" customWidth="1"/>
    <col min="28" max="16384" width="9.140625" style="1"/>
  </cols>
  <sheetData>
    <row r="1" spans="1:13" ht="20.25" x14ac:dyDescent="0.25">
      <c r="A1" s="115" t="s">
        <v>41</v>
      </c>
      <c r="B1" s="116"/>
      <c r="C1" s="116"/>
      <c r="D1" s="116"/>
      <c r="E1" s="116"/>
      <c r="F1" s="116"/>
      <c r="G1" s="116"/>
      <c r="H1" s="116"/>
      <c r="I1" s="117"/>
    </row>
    <row r="2" spans="1:13" ht="42" customHeight="1" x14ac:dyDescent="0.25">
      <c r="A2" s="170" t="s">
        <v>11</v>
      </c>
      <c r="B2" s="170"/>
      <c r="C2" s="170"/>
      <c r="D2" s="4" t="s">
        <v>4</v>
      </c>
      <c r="E2" s="171" t="s">
        <v>90</v>
      </c>
      <c r="F2" s="171"/>
      <c r="G2" s="131" t="s">
        <v>15</v>
      </c>
      <c r="H2" s="131"/>
      <c r="I2" s="56">
        <v>45874</v>
      </c>
      <c r="J2" s="186">
        <v>45872</v>
      </c>
      <c r="K2" s="187">
        <f>J2-J3</f>
        <v>90</v>
      </c>
      <c r="L2" s="187"/>
      <c r="M2" s="187"/>
    </row>
    <row r="3" spans="1:13" ht="42.75" customHeight="1" x14ac:dyDescent="0.25">
      <c r="A3" s="111" t="s">
        <v>42</v>
      </c>
      <c r="B3" s="112"/>
      <c r="C3" s="113"/>
      <c r="D3" s="58" t="s">
        <v>4</v>
      </c>
      <c r="E3" s="175" t="s">
        <v>248</v>
      </c>
      <c r="F3" s="176"/>
      <c r="G3" s="131" t="s">
        <v>243</v>
      </c>
      <c r="H3" s="131"/>
      <c r="I3" s="70" t="s">
        <v>281</v>
      </c>
      <c r="J3" s="186">
        <v>45782</v>
      </c>
    </row>
    <row r="4" spans="1:13" ht="43.5" customHeight="1" x14ac:dyDescent="0.25">
      <c r="A4" s="111" t="s">
        <v>39</v>
      </c>
      <c r="B4" s="112"/>
      <c r="C4" s="113"/>
      <c r="D4" s="57" t="s">
        <v>4</v>
      </c>
      <c r="E4" s="188" t="s">
        <v>283</v>
      </c>
      <c r="F4" s="189"/>
      <c r="G4" s="131" t="s">
        <v>36</v>
      </c>
      <c r="H4" s="131"/>
      <c r="I4" s="68" t="str">
        <f ca="1">TEXT(TODAY(),"DD/MM/YYYY")</f>
        <v>08/08/2025</v>
      </c>
    </row>
    <row r="5" spans="1:13" ht="20.25" x14ac:dyDescent="0.25">
      <c r="A5" s="139" t="s">
        <v>43</v>
      </c>
      <c r="B5" s="139"/>
      <c r="C5" s="139"/>
      <c r="D5" s="139"/>
      <c r="E5" s="139"/>
      <c r="F5" s="139"/>
      <c r="G5" s="139"/>
      <c r="H5" s="139"/>
      <c r="I5" s="177"/>
    </row>
    <row r="6" spans="1:13" ht="43.5" customHeight="1" x14ac:dyDescent="0.25">
      <c r="A6" s="172" t="s">
        <v>32</v>
      </c>
      <c r="B6" s="172"/>
      <c r="C6" s="172"/>
      <c r="D6" s="2" t="s">
        <v>4</v>
      </c>
      <c r="E6" s="22" t="s">
        <v>103</v>
      </c>
      <c r="F6" s="21" t="s">
        <v>38</v>
      </c>
      <c r="G6" s="2" t="s">
        <v>4</v>
      </c>
      <c r="H6" s="151" t="s">
        <v>282</v>
      </c>
      <c r="I6" s="151"/>
    </row>
    <row r="7" spans="1:13" ht="42" customHeight="1" x14ac:dyDescent="0.25">
      <c r="A7" s="172" t="s">
        <v>45</v>
      </c>
      <c r="B7" s="172"/>
      <c r="C7" s="172"/>
      <c r="D7" s="2" t="s">
        <v>4</v>
      </c>
      <c r="E7" s="5" t="s">
        <v>193</v>
      </c>
      <c r="F7" s="21" t="s">
        <v>46</v>
      </c>
      <c r="G7" s="2" t="s">
        <v>4</v>
      </c>
      <c r="H7" s="132" t="s">
        <v>192</v>
      </c>
      <c r="I7" s="133"/>
    </row>
    <row r="8" spans="1:13" ht="20.25" x14ac:dyDescent="0.25">
      <c r="A8" s="172" t="s">
        <v>47</v>
      </c>
      <c r="B8" s="172"/>
      <c r="C8" s="172"/>
      <c r="D8" s="2" t="s">
        <v>4</v>
      </c>
      <c r="E8" s="173" t="s">
        <v>194</v>
      </c>
      <c r="F8" s="173"/>
      <c r="G8" s="173"/>
      <c r="H8" s="173"/>
      <c r="I8" s="173"/>
    </row>
    <row r="9" spans="1:13" ht="45" customHeight="1" x14ac:dyDescent="0.25">
      <c r="A9" s="131" t="s">
        <v>176</v>
      </c>
      <c r="B9" s="21" t="s">
        <v>4</v>
      </c>
      <c r="C9" s="21" t="s">
        <v>44</v>
      </c>
      <c r="D9" s="2" t="s">
        <v>4</v>
      </c>
      <c r="E9" s="132" t="s">
        <v>196</v>
      </c>
      <c r="F9" s="154"/>
      <c r="G9" s="154"/>
      <c r="H9" s="154"/>
      <c r="I9" s="133"/>
    </row>
    <row r="10" spans="1:13" ht="40.5" x14ac:dyDescent="0.25">
      <c r="A10" s="131"/>
      <c r="B10" s="21" t="s">
        <v>4</v>
      </c>
      <c r="C10" s="21" t="s">
        <v>14</v>
      </c>
      <c r="D10" s="2" t="s">
        <v>4</v>
      </c>
      <c r="E10" s="132" t="s">
        <v>195</v>
      </c>
      <c r="F10" s="154"/>
      <c r="G10" s="154"/>
      <c r="H10" s="154"/>
      <c r="I10" s="133"/>
    </row>
    <row r="11" spans="1:13" ht="42" customHeight="1" x14ac:dyDescent="0.25">
      <c r="A11" s="131"/>
      <c r="B11" s="21" t="s">
        <v>4</v>
      </c>
      <c r="C11" s="21" t="s">
        <v>5</v>
      </c>
      <c r="D11" s="2" t="s">
        <v>4</v>
      </c>
      <c r="E11" s="132" t="s">
        <v>197</v>
      </c>
      <c r="F11" s="154"/>
      <c r="G11" s="154"/>
      <c r="H11" s="154"/>
      <c r="I11" s="133"/>
    </row>
    <row r="12" spans="1:13" ht="20.25" x14ac:dyDescent="0.25">
      <c r="A12" s="131" t="s">
        <v>37</v>
      </c>
      <c r="B12" s="131"/>
      <c r="C12" s="131"/>
      <c r="D12" s="2" t="s">
        <v>4</v>
      </c>
      <c r="E12" s="114" t="s">
        <v>127</v>
      </c>
      <c r="F12" s="114"/>
      <c r="G12" s="114"/>
      <c r="H12" s="114"/>
      <c r="I12" s="114"/>
    </row>
    <row r="13" spans="1:13" ht="20.100000000000001" customHeight="1" x14ac:dyDescent="0.25">
      <c r="A13" s="139" t="s">
        <v>48</v>
      </c>
      <c r="B13" s="139"/>
      <c r="C13" s="139"/>
      <c r="D13" s="139"/>
      <c r="E13" s="139"/>
      <c r="F13" s="139"/>
      <c r="G13" s="139"/>
      <c r="H13" s="139"/>
      <c r="I13" s="139"/>
    </row>
    <row r="14" spans="1:13" ht="60.75" x14ac:dyDescent="0.25">
      <c r="A14" s="21" t="s">
        <v>30</v>
      </c>
      <c r="B14" s="2" t="s">
        <v>4</v>
      </c>
      <c r="C14" s="180" t="s">
        <v>91</v>
      </c>
      <c r="D14" s="181"/>
      <c r="E14" s="182"/>
      <c r="F14" s="17" t="s">
        <v>49</v>
      </c>
      <c r="G14" s="2" t="s">
        <v>4</v>
      </c>
      <c r="H14" s="114" t="s">
        <v>273</v>
      </c>
      <c r="I14" s="114"/>
    </row>
    <row r="15" spans="1:13" ht="40.5" x14ac:dyDescent="0.25">
      <c r="A15" s="21" t="s">
        <v>50</v>
      </c>
      <c r="B15" s="2" t="s">
        <v>4</v>
      </c>
      <c r="C15" s="180" t="s">
        <v>215</v>
      </c>
      <c r="D15" s="181"/>
      <c r="E15" s="182"/>
      <c r="F15" s="21" t="s">
        <v>51</v>
      </c>
      <c r="G15" s="2" t="s">
        <v>4</v>
      </c>
      <c r="H15" s="147">
        <v>46372</v>
      </c>
      <c r="I15" s="114"/>
    </row>
    <row r="16" spans="1:13" ht="40.5" x14ac:dyDescent="0.25">
      <c r="A16" s="50" t="s">
        <v>52</v>
      </c>
      <c r="B16" s="2" t="s">
        <v>4</v>
      </c>
      <c r="C16" s="183">
        <v>44543</v>
      </c>
      <c r="D16" s="181"/>
      <c r="E16" s="182"/>
      <c r="F16" s="21" t="s">
        <v>53</v>
      </c>
      <c r="G16" s="2" t="s">
        <v>4</v>
      </c>
      <c r="H16" s="146">
        <v>44572</v>
      </c>
      <c r="I16" s="133"/>
    </row>
    <row r="17" spans="1:12" ht="60.75" x14ac:dyDescent="0.25">
      <c r="A17" s="50" t="s">
        <v>54</v>
      </c>
      <c r="B17" s="2" t="s">
        <v>4</v>
      </c>
      <c r="C17" s="183">
        <f>H15</f>
        <v>46372</v>
      </c>
      <c r="D17" s="181"/>
      <c r="E17" s="182"/>
      <c r="F17" s="21" t="s">
        <v>55</v>
      </c>
      <c r="G17" s="2" t="s">
        <v>4</v>
      </c>
      <c r="H17" s="132" t="s">
        <v>214</v>
      </c>
      <c r="I17" s="133"/>
    </row>
    <row r="18" spans="1:12" ht="40.5" x14ac:dyDescent="0.25">
      <c r="A18" s="50" t="s">
        <v>56</v>
      </c>
      <c r="B18" s="2" t="s">
        <v>4</v>
      </c>
      <c r="C18" s="180" t="s">
        <v>216</v>
      </c>
      <c r="D18" s="181"/>
      <c r="E18" s="182"/>
      <c r="F18" s="21" t="s">
        <v>106</v>
      </c>
      <c r="G18" s="2" t="s">
        <v>4</v>
      </c>
      <c r="H18" s="114">
        <v>80947</v>
      </c>
      <c r="I18" s="114"/>
    </row>
    <row r="19" spans="1:12" ht="40.5" x14ac:dyDescent="0.25">
      <c r="A19" s="21" t="s">
        <v>57</v>
      </c>
      <c r="B19" s="2" t="s">
        <v>4</v>
      </c>
      <c r="C19" s="180">
        <v>1.1000000000000001</v>
      </c>
      <c r="D19" s="181"/>
      <c r="E19" s="182"/>
      <c r="F19" s="21" t="s">
        <v>262</v>
      </c>
      <c r="G19" s="2" t="s">
        <v>4</v>
      </c>
      <c r="H19" s="114">
        <v>42681.71</v>
      </c>
      <c r="I19" s="114"/>
      <c r="L19" s="62"/>
    </row>
    <row r="20" spans="1:12" ht="46.5" customHeight="1" x14ac:dyDescent="0.25">
      <c r="A20" s="21" t="s">
        <v>104</v>
      </c>
      <c r="B20" s="2" t="s">
        <v>4</v>
      </c>
      <c r="C20" s="180">
        <v>46949.88</v>
      </c>
      <c r="D20" s="181"/>
      <c r="E20" s="182"/>
      <c r="F20" s="6" t="s">
        <v>105</v>
      </c>
      <c r="G20" s="2" t="s">
        <v>4</v>
      </c>
      <c r="H20" s="132">
        <v>111408.69</v>
      </c>
      <c r="I20" s="133"/>
    </row>
    <row r="21" spans="1:12" ht="40.5" x14ac:dyDescent="0.25">
      <c r="A21" s="21" t="s">
        <v>58</v>
      </c>
      <c r="B21" s="2" t="s">
        <v>4</v>
      </c>
      <c r="C21" s="180" t="s">
        <v>247</v>
      </c>
      <c r="D21" s="181"/>
      <c r="E21" s="182"/>
      <c r="F21" s="21" t="s">
        <v>268</v>
      </c>
      <c r="G21" s="2" t="s">
        <v>4</v>
      </c>
      <c r="H21" s="114" t="s">
        <v>254</v>
      </c>
      <c r="I21" s="114"/>
    </row>
    <row r="22" spans="1:12" ht="20.25" customHeight="1" x14ac:dyDescent="0.25">
      <c r="A22" s="50" t="s">
        <v>269</v>
      </c>
      <c r="B22" s="2" t="s">
        <v>4</v>
      </c>
      <c r="C22" s="132" t="s">
        <v>280</v>
      </c>
      <c r="D22" s="154"/>
      <c r="E22" s="154"/>
      <c r="F22" s="154"/>
      <c r="G22" s="154"/>
      <c r="H22" s="154"/>
      <c r="I22" s="133"/>
    </row>
    <row r="23" spans="1:12" ht="20.25" x14ac:dyDescent="0.25">
      <c r="A23" s="50" t="s">
        <v>256</v>
      </c>
      <c r="B23" s="61" t="s">
        <v>4</v>
      </c>
      <c r="C23" s="184" t="s">
        <v>255</v>
      </c>
      <c r="D23" s="154"/>
      <c r="E23" s="154"/>
      <c r="F23" s="154"/>
      <c r="G23" s="154"/>
      <c r="H23" s="154"/>
      <c r="I23" s="133"/>
    </row>
    <row r="24" spans="1:12" ht="123" customHeight="1" x14ac:dyDescent="0.25">
      <c r="A24" s="50" t="s">
        <v>28</v>
      </c>
      <c r="B24" s="2" t="s">
        <v>4</v>
      </c>
      <c r="C24" s="114" t="s">
        <v>107</v>
      </c>
      <c r="D24" s="114"/>
      <c r="E24" s="114"/>
      <c r="F24" s="114"/>
      <c r="G24" s="114"/>
      <c r="H24" s="114"/>
      <c r="I24" s="114"/>
    </row>
    <row r="25" spans="1:12" ht="24" customHeight="1" x14ac:dyDescent="0.25">
      <c r="A25" s="115" t="s">
        <v>23</v>
      </c>
      <c r="B25" s="116"/>
      <c r="C25" s="116"/>
      <c r="D25" s="116"/>
      <c r="E25" s="116"/>
      <c r="F25" s="116"/>
      <c r="G25" s="116"/>
      <c r="H25" s="116"/>
      <c r="I25" s="117"/>
    </row>
    <row r="26" spans="1:12" ht="20.25" x14ac:dyDescent="0.25">
      <c r="A26" s="21" t="s">
        <v>29</v>
      </c>
      <c r="B26" s="2" t="s">
        <v>4</v>
      </c>
      <c r="C26" s="114" t="s">
        <v>92</v>
      </c>
      <c r="D26" s="114"/>
      <c r="E26" s="114"/>
      <c r="F26" s="21" t="s">
        <v>16</v>
      </c>
      <c r="G26" s="2" t="s">
        <v>4</v>
      </c>
      <c r="H26" s="114" t="s">
        <v>198</v>
      </c>
      <c r="I26" s="114"/>
    </row>
    <row r="27" spans="1:12" ht="20.25" x14ac:dyDescent="0.25">
      <c r="A27" s="21" t="s">
        <v>17</v>
      </c>
      <c r="B27" s="2" t="s">
        <v>4</v>
      </c>
      <c r="C27" s="114" t="s">
        <v>110</v>
      </c>
      <c r="D27" s="114"/>
      <c r="E27" s="114"/>
      <c r="F27" s="21" t="s">
        <v>177</v>
      </c>
      <c r="G27" s="2" t="s">
        <v>4</v>
      </c>
      <c r="H27" s="114" t="s">
        <v>270</v>
      </c>
      <c r="I27" s="114"/>
    </row>
    <row r="28" spans="1:12" ht="40.5" x14ac:dyDescent="0.25">
      <c r="A28" s="21" t="s">
        <v>26</v>
      </c>
      <c r="B28" s="2" t="s">
        <v>4</v>
      </c>
      <c r="C28" s="114" t="s">
        <v>109</v>
      </c>
      <c r="D28" s="114"/>
      <c r="E28" s="114"/>
      <c r="F28" s="21" t="s">
        <v>19</v>
      </c>
      <c r="G28" s="2" t="s">
        <v>4</v>
      </c>
      <c r="H28" s="114" t="s">
        <v>205</v>
      </c>
      <c r="I28" s="114"/>
    </row>
    <row r="29" spans="1:12" ht="40.5" x14ac:dyDescent="0.25">
      <c r="A29" s="50" t="s">
        <v>132</v>
      </c>
      <c r="B29" s="2" t="s">
        <v>4</v>
      </c>
      <c r="C29" s="114" t="s">
        <v>207</v>
      </c>
      <c r="D29" s="114"/>
      <c r="E29" s="114"/>
      <c r="F29" s="21" t="s">
        <v>133</v>
      </c>
      <c r="G29" s="2" t="s">
        <v>4</v>
      </c>
      <c r="H29" s="132" t="s">
        <v>206</v>
      </c>
      <c r="I29" s="133"/>
    </row>
    <row r="30" spans="1:12" ht="71.25" customHeight="1" x14ac:dyDescent="0.25">
      <c r="A30" s="21" t="s">
        <v>20</v>
      </c>
      <c r="B30" s="2" t="s">
        <v>4</v>
      </c>
      <c r="C30" s="114" t="s">
        <v>208</v>
      </c>
      <c r="D30" s="114"/>
      <c r="E30" s="114"/>
      <c r="F30" s="21" t="s">
        <v>18</v>
      </c>
      <c r="G30" s="2" t="s">
        <v>4</v>
      </c>
      <c r="H30" s="114" t="s">
        <v>204</v>
      </c>
      <c r="I30" s="114"/>
    </row>
    <row r="31" spans="1:12" ht="21.75" customHeight="1" x14ac:dyDescent="0.25">
      <c r="A31" s="50" t="s">
        <v>138</v>
      </c>
      <c r="B31" s="2" t="s">
        <v>4</v>
      </c>
      <c r="C31" s="114" t="s">
        <v>139</v>
      </c>
      <c r="D31" s="114"/>
      <c r="E31" s="114"/>
      <c r="F31" s="21" t="s">
        <v>140</v>
      </c>
      <c r="G31" s="2" t="s">
        <v>4</v>
      </c>
      <c r="H31" s="132" t="s">
        <v>139</v>
      </c>
      <c r="I31" s="133"/>
    </row>
    <row r="32" spans="1:12" ht="21.75" customHeight="1" x14ac:dyDescent="0.25">
      <c r="A32" s="50" t="s">
        <v>141</v>
      </c>
      <c r="B32" s="2" t="s">
        <v>4</v>
      </c>
      <c r="C32" s="132" t="s">
        <v>139</v>
      </c>
      <c r="D32" s="154"/>
      <c r="E32" s="154"/>
      <c r="F32" s="154"/>
      <c r="G32" s="154"/>
      <c r="H32" s="154"/>
      <c r="I32" s="133"/>
    </row>
    <row r="33" spans="1:9" ht="20.25" x14ac:dyDescent="0.25">
      <c r="A33" s="118" t="s">
        <v>40</v>
      </c>
      <c r="B33" s="119"/>
      <c r="C33" s="119"/>
      <c r="D33" s="119"/>
      <c r="E33" s="119"/>
      <c r="F33" s="119"/>
      <c r="G33" s="119"/>
      <c r="H33" s="119"/>
      <c r="I33" s="178"/>
    </row>
    <row r="34" spans="1:9" ht="40.5" x14ac:dyDescent="0.25">
      <c r="A34" s="111" t="s">
        <v>21</v>
      </c>
      <c r="B34" s="112"/>
      <c r="C34" s="113"/>
      <c r="D34" s="2" t="s">
        <v>4</v>
      </c>
      <c r="E34" s="22" t="s">
        <v>111</v>
      </c>
      <c r="F34" s="21" t="s">
        <v>22</v>
      </c>
      <c r="G34" s="7" t="s">
        <v>4</v>
      </c>
      <c r="H34" s="132" t="s">
        <v>112</v>
      </c>
      <c r="I34" s="133"/>
    </row>
    <row r="35" spans="1:9" ht="40.5" x14ac:dyDescent="0.25">
      <c r="A35" s="111" t="s">
        <v>25</v>
      </c>
      <c r="B35" s="112"/>
      <c r="C35" s="113"/>
      <c r="D35" s="2" t="s">
        <v>4</v>
      </c>
      <c r="E35" s="22" t="s">
        <v>112</v>
      </c>
      <c r="F35" s="8" t="s">
        <v>35</v>
      </c>
      <c r="G35" s="2" t="s">
        <v>4</v>
      </c>
      <c r="H35" s="132" t="s">
        <v>112</v>
      </c>
      <c r="I35" s="133"/>
    </row>
    <row r="36" spans="1:9" ht="40.5" x14ac:dyDescent="0.25">
      <c r="A36" s="111" t="s">
        <v>34</v>
      </c>
      <c r="B36" s="112"/>
      <c r="C36" s="113"/>
      <c r="D36" s="2" t="s">
        <v>4</v>
      </c>
      <c r="E36" s="5" t="s">
        <v>113</v>
      </c>
      <c r="F36" s="21" t="s">
        <v>24</v>
      </c>
      <c r="G36" s="24" t="s">
        <v>4</v>
      </c>
      <c r="H36" s="132" t="s">
        <v>114</v>
      </c>
      <c r="I36" s="133"/>
    </row>
    <row r="37" spans="1:9" ht="20.25" x14ac:dyDescent="0.25">
      <c r="A37" s="115" t="s">
        <v>0</v>
      </c>
      <c r="B37" s="116"/>
      <c r="C37" s="116"/>
      <c r="D37" s="116"/>
      <c r="E37" s="116"/>
      <c r="F37" s="116"/>
      <c r="G37" s="116"/>
      <c r="H37" s="116"/>
      <c r="I37" s="117"/>
    </row>
    <row r="38" spans="1:9" ht="20.25" x14ac:dyDescent="0.25">
      <c r="A38" s="143" t="s">
        <v>0</v>
      </c>
      <c r="B38" s="145"/>
      <c r="C38" s="144"/>
      <c r="D38" s="2" t="s">
        <v>4</v>
      </c>
      <c r="E38" s="9" t="s">
        <v>1</v>
      </c>
      <c r="F38" s="9" t="s">
        <v>6</v>
      </c>
      <c r="G38" s="143" t="s">
        <v>2</v>
      </c>
      <c r="H38" s="144"/>
      <c r="I38" s="9" t="s">
        <v>3</v>
      </c>
    </row>
    <row r="39" spans="1:9" ht="20.25" x14ac:dyDescent="0.25">
      <c r="A39" s="111" t="s">
        <v>7</v>
      </c>
      <c r="B39" s="112"/>
      <c r="C39" s="113"/>
      <c r="D39" s="2" t="s">
        <v>4</v>
      </c>
      <c r="E39" s="23" t="s">
        <v>202</v>
      </c>
      <c r="F39" s="23" t="s">
        <v>203</v>
      </c>
      <c r="G39" s="149" t="s">
        <v>202</v>
      </c>
      <c r="H39" s="150"/>
      <c r="I39" s="23" t="s">
        <v>203</v>
      </c>
    </row>
    <row r="40" spans="1:9" ht="39" customHeight="1" x14ac:dyDescent="0.25">
      <c r="A40" s="111" t="s">
        <v>8</v>
      </c>
      <c r="B40" s="112"/>
      <c r="C40" s="113"/>
      <c r="D40" s="2" t="s">
        <v>4</v>
      </c>
      <c r="E40" s="23" t="s">
        <v>201</v>
      </c>
      <c r="F40" s="23" t="s">
        <v>200</v>
      </c>
      <c r="G40" s="149" t="s">
        <v>199</v>
      </c>
      <c r="H40" s="150"/>
      <c r="I40" s="23" t="s">
        <v>201</v>
      </c>
    </row>
    <row r="41" spans="1:9" ht="20.25" customHeight="1" x14ac:dyDescent="0.25">
      <c r="A41" s="111" t="s">
        <v>12</v>
      </c>
      <c r="B41" s="112"/>
      <c r="C41" s="113"/>
      <c r="D41" s="2" t="s">
        <v>4</v>
      </c>
      <c r="E41" s="18" t="s">
        <v>109</v>
      </c>
      <c r="F41" s="21" t="s">
        <v>13</v>
      </c>
      <c r="G41" s="2" t="s">
        <v>4</v>
      </c>
      <c r="H41" s="132" t="s">
        <v>108</v>
      </c>
      <c r="I41" s="133"/>
    </row>
    <row r="42" spans="1:9" ht="20.25" x14ac:dyDescent="0.25">
      <c r="A42" s="115" t="s">
        <v>59</v>
      </c>
      <c r="B42" s="116"/>
      <c r="C42" s="116"/>
      <c r="D42" s="116"/>
      <c r="E42" s="116"/>
      <c r="F42" s="116"/>
      <c r="G42" s="116"/>
      <c r="H42" s="116"/>
      <c r="I42" s="117"/>
    </row>
    <row r="43" spans="1:9" ht="21" customHeight="1" x14ac:dyDescent="0.25">
      <c r="A43" s="174" t="s">
        <v>60</v>
      </c>
      <c r="B43" s="174"/>
      <c r="C43" s="174" t="s">
        <v>61</v>
      </c>
      <c r="D43" s="174"/>
      <c r="E43" s="174" t="s">
        <v>175</v>
      </c>
      <c r="F43" s="174"/>
      <c r="G43" s="174"/>
      <c r="H43" s="174" t="s">
        <v>62</v>
      </c>
      <c r="I43" s="174"/>
    </row>
    <row r="44" spans="1:9" ht="42.75" customHeight="1" x14ac:dyDescent="0.25">
      <c r="A44" s="179" t="s">
        <v>236</v>
      </c>
      <c r="B44" s="179"/>
      <c r="C44" s="148" t="s">
        <v>93</v>
      </c>
      <c r="D44" s="148"/>
      <c r="E44" s="148" t="s">
        <v>213</v>
      </c>
      <c r="F44" s="148"/>
      <c r="G44" s="148"/>
      <c r="H44" s="148" t="s">
        <v>213</v>
      </c>
      <c r="I44" s="148"/>
    </row>
    <row r="45" spans="1:9" ht="20.25" hidden="1" x14ac:dyDescent="0.25">
      <c r="A45" s="121" t="s">
        <v>210</v>
      </c>
      <c r="B45" s="121"/>
      <c r="C45" s="122" t="s">
        <v>93</v>
      </c>
      <c r="D45" s="122"/>
      <c r="E45" s="114"/>
      <c r="F45" s="114"/>
      <c r="G45" s="114"/>
      <c r="H45" s="114"/>
      <c r="I45" s="114"/>
    </row>
    <row r="46" spans="1:9" ht="21" hidden="1" customHeight="1" x14ac:dyDescent="0.25">
      <c r="A46" s="121" t="s">
        <v>211</v>
      </c>
      <c r="B46" s="121"/>
      <c r="C46" s="122" t="s">
        <v>93</v>
      </c>
      <c r="D46" s="122"/>
      <c r="E46" s="114"/>
      <c r="F46" s="114"/>
      <c r="G46" s="114"/>
      <c r="H46" s="114"/>
      <c r="I46" s="114"/>
    </row>
    <row r="47" spans="1:9" ht="20.25" hidden="1" x14ac:dyDescent="0.25">
      <c r="A47" s="121" t="s">
        <v>212</v>
      </c>
      <c r="B47" s="121"/>
      <c r="C47" s="122" t="s">
        <v>93</v>
      </c>
      <c r="D47" s="122"/>
      <c r="E47" s="114"/>
      <c r="F47" s="114"/>
      <c r="G47" s="114"/>
      <c r="H47" s="114"/>
      <c r="I47" s="114"/>
    </row>
    <row r="48" spans="1:9" ht="20.25" x14ac:dyDescent="0.25">
      <c r="A48" s="139" t="s">
        <v>63</v>
      </c>
      <c r="B48" s="139"/>
      <c r="C48" s="139"/>
      <c r="D48" s="139"/>
      <c r="E48" s="139"/>
      <c r="F48" s="139"/>
      <c r="G48" s="139"/>
      <c r="H48" s="139"/>
      <c r="I48" s="139"/>
    </row>
    <row r="49" spans="1:11" ht="42.75" customHeight="1" x14ac:dyDescent="0.25">
      <c r="A49" s="17" t="s">
        <v>64</v>
      </c>
      <c r="B49" s="17" t="s">
        <v>4</v>
      </c>
      <c r="C49" s="114" t="s">
        <v>109</v>
      </c>
      <c r="D49" s="114"/>
      <c r="E49" s="114"/>
      <c r="F49" s="17" t="s">
        <v>65</v>
      </c>
      <c r="G49" s="17" t="s">
        <v>4</v>
      </c>
      <c r="H49" s="114" t="s">
        <v>261</v>
      </c>
      <c r="I49" s="114"/>
    </row>
    <row r="50" spans="1:11" ht="105.75" customHeight="1" x14ac:dyDescent="0.25">
      <c r="A50" s="17" t="s">
        <v>94</v>
      </c>
      <c r="B50" s="17" t="s">
        <v>4</v>
      </c>
      <c r="C50" s="114" t="s">
        <v>271</v>
      </c>
      <c r="D50" s="114"/>
      <c r="E50" s="114"/>
      <c r="F50" s="17" t="s">
        <v>66</v>
      </c>
      <c r="G50" s="17" t="s">
        <v>4</v>
      </c>
      <c r="H50" s="114" t="str">
        <f>H49</f>
        <v>KDMC/TPD/BP/KD/2021-22/58/108
Date: 07/06/2023</v>
      </c>
      <c r="I50" s="114"/>
    </row>
    <row r="51" spans="1:11" ht="46.5" customHeight="1" x14ac:dyDescent="0.25">
      <c r="A51" s="17" t="s">
        <v>234</v>
      </c>
      <c r="B51" s="17" t="s">
        <v>4</v>
      </c>
      <c r="C51" s="114" t="s">
        <v>235</v>
      </c>
      <c r="D51" s="114"/>
      <c r="E51" s="114"/>
      <c r="F51" s="17" t="s">
        <v>239</v>
      </c>
      <c r="G51" s="17" t="s">
        <v>4</v>
      </c>
      <c r="H51" s="114" t="s">
        <v>240</v>
      </c>
      <c r="I51" s="114"/>
    </row>
    <row r="52" spans="1:11" ht="45" customHeight="1" x14ac:dyDescent="0.25">
      <c r="A52" s="17" t="s">
        <v>67</v>
      </c>
      <c r="B52" s="17" t="s">
        <v>4</v>
      </c>
      <c r="C52" s="114" t="s">
        <v>108</v>
      </c>
      <c r="D52" s="114"/>
      <c r="E52" s="114"/>
      <c r="F52" s="17" t="s">
        <v>237</v>
      </c>
      <c r="G52" s="17" t="s">
        <v>4</v>
      </c>
      <c r="H52" s="114" t="s">
        <v>238</v>
      </c>
      <c r="I52" s="114"/>
    </row>
    <row r="53" spans="1:11" ht="21" thickBot="1" x14ac:dyDescent="0.3">
      <c r="A53" s="139" t="s">
        <v>68</v>
      </c>
      <c r="B53" s="139"/>
      <c r="C53" s="139"/>
      <c r="D53" s="139"/>
      <c r="E53" s="139"/>
      <c r="F53" s="139"/>
      <c r="G53" s="139"/>
      <c r="H53" s="139"/>
      <c r="I53" s="139"/>
    </row>
    <row r="54" spans="1:11" ht="20.25" customHeight="1" x14ac:dyDescent="0.3">
      <c r="A54" s="140" t="s">
        <v>266</v>
      </c>
      <c r="B54" s="140"/>
      <c r="C54" s="140"/>
      <c r="D54" s="124" t="s">
        <v>4</v>
      </c>
      <c r="E54" s="64" t="s">
        <v>142</v>
      </c>
      <c r="F54" s="83" t="s">
        <v>128</v>
      </c>
      <c r="G54" s="83"/>
      <c r="H54" s="64" t="s">
        <v>143</v>
      </c>
      <c r="I54" s="64" t="s">
        <v>144</v>
      </c>
      <c r="J54" s="36" t="str">
        <f ca="1">(IF(F57&gt;99%,"All work completed. Please provide OC.",IF(F57&gt;89.8%,"Plinth, RCC, Brick, Plaster, Flooring, Wooden, Plumbing, Electrification, etc., work Completed. Finishing work is in process.",IF(F57&lt;94%,(IF(C57=0,"Work not yet Started.",IF(E57=25%,"Piling work in process",IF(E57=50%,"Excavation work in process",IF(E57=100%,"Excavation work Completed. ","0")))&amp;(IF(C58=0%,"",IF(C58=K59,"Footing work is process",IF(C58=K60,"Footing work Completed",IF(C58=K61,"1st Basement Completed",IF(C58=K62,"1st &amp; 2nd Basement Completed",IF(C58=K63,"1st to 3rd Basement Completed",IF(C58=K64,"1st to 4th Basement Completed",IF(C58=K65,"Plinth work is process",IF(C58=K66,"Plinth work completed","0")))))))))))&amp;(IF(C59=(F55+H55+I55),", RCC Slab",IF(C59&gt;0,", RCC upto "&amp;C59&amp;" Slab",""))&amp;(IF(C60=I55,", Brickwork",IF(C60&gt;0,", Brickwork upto "&amp;C60&amp;" Floor",""))&amp;(IF(C61=I55,", Internal Plaster",IF(C61&gt;0,", Internal Plaster upto "&amp;C61&amp;" Floor",""))&amp;(IF(C62=I55,", External Plaster",IF(C62&gt;0,", External Plaster upto "&amp;C62&amp;" Floor",""))&amp;(IF(C63=I55,", External Plumbing, Elevation and Waterproofing",IF(C63&gt;0,", External Plumbing, Elevation and Waterproofing upto "&amp;C63&amp;" Floor",""))&amp;(IF(C64=I55,", Flooring &amp; Fitting",IF(C64&gt;0,", Flooring &amp; Fitting upto "&amp;C64&amp;" Floor",""))&amp;(IF(C65=I55,", Wooden Work",IF(C65&gt;0,", Wooden Work upto "&amp;C65&amp;" Floor",""))&amp;(IF(C66=I55,", Electrical &amp; Sanitary fittings",IF(C66&gt;0,", Electrical &amp; Sanitary fittings upto "&amp;C66&amp;" Floor",""))&amp;(IF(C67&gt;0,", Finishing upto "&amp;C67&amp;" Floor","")&amp;(IF(C59&gt;0.5," Completed",""))))))))))))))))</f>
        <v>Excavation work Completed. Plinth work completed, RCC upto 18 Slab, Brickwork upto 17 Floor, Internal Plaster upto 12.75 Floor, External Plaster upto 12.75 Floor, External Plumbing, Elevation and Waterproofing upto 3 Floor Completed</v>
      </c>
      <c r="K54" s="38"/>
    </row>
    <row r="55" spans="1:11" ht="20.25" x14ac:dyDescent="0.3">
      <c r="A55" s="140"/>
      <c r="B55" s="140"/>
      <c r="C55" s="140"/>
      <c r="D55" s="124"/>
      <c r="E55" s="64">
        <v>0</v>
      </c>
      <c r="F55" s="83">
        <v>1</v>
      </c>
      <c r="G55" s="83"/>
      <c r="H55" s="64">
        <v>0</v>
      </c>
      <c r="I55" s="64">
        <f ca="1">--TRIM(RIGHT(SUBSTITUTE(LEFT(A54,_xlfn.AGGREGATE(16,6,FIND({0,1,2,3,4,5,6,7,8,9},A54,ROW(INDIRECT("1:"&amp;LEN(A54)))),1))," ",REPT(" ",LEN(A54))),LEN(A54)))</f>
        <v>22</v>
      </c>
      <c r="J55" s="37" t="s">
        <v>148</v>
      </c>
      <c r="K55" s="38"/>
    </row>
    <row r="56" spans="1:11" ht="20.25" customHeight="1" x14ac:dyDescent="0.3">
      <c r="A56" s="81" t="s">
        <v>146</v>
      </c>
      <c r="B56" s="81"/>
      <c r="C56" s="81" t="s">
        <v>159</v>
      </c>
      <c r="D56" s="81"/>
      <c r="E56" s="65" t="s">
        <v>160</v>
      </c>
      <c r="F56" s="81" t="s">
        <v>147</v>
      </c>
      <c r="G56" s="81"/>
      <c r="H56" s="49" t="s">
        <v>145</v>
      </c>
      <c r="I56" s="49"/>
      <c r="J56" s="40" t="s">
        <v>161</v>
      </c>
      <c r="K56" s="39">
        <f ca="1">I55*25%</f>
        <v>5.5</v>
      </c>
    </row>
    <row r="57" spans="1:11" ht="20.25" customHeight="1" x14ac:dyDescent="0.3">
      <c r="A57" s="82" t="s">
        <v>162</v>
      </c>
      <c r="B57" s="82"/>
      <c r="C57" s="83">
        <f ca="1">K58</f>
        <v>22</v>
      </c>
      <c r="D57" s="83"/>
      <c r="E57" s="63">
        <f ca="1">((100/I55)*C57)/100</f>
        <v>1.0000000000000002</v>
      </c>
      <c r="F57" s="82">
        <f ca="1">(((C57/I55*5)+(C58/I55*20)+(25/(F55+H55+I55)*C59)+(5/(I55)*C60)+(2.5/(I55)*C61)+(2.5/(I55)*C62)+(5/I55*C63)+(10/I55*C64)+(2.5/I55*C65)+(2.5/I55*C66)+(10/I55*C67)+(10/I55*C68))/100)</f>
        <v>0.52008399209486145</v>
      </c>
      <c r="G57" s="82"/>
      <c r="H57" s="82" t="str">
        <f ca="1">J54</f>
        <v>Excavation work Completed. Plinth work completed, RCC upto 18 Slab, Brickwork upto 17 Floor, Internal Plaster upto 12.75 Floor, External Plaster upto 12.75 Floor, External Plumbing, Elevation and Waterproofing upto 3 Floor Completed</v>
      </c>
      <c r="I57" s="82"/>
      <c r="J57" s="40" t="s">
        <v>149</v>
      </c>
      <c r="K57" s="44">
        <f ca="1">I55*50%</f>
        <v>11</v>
      </c>
    </row>
    <row r="58" spans="1:11" ht="20.25" x14ac:dyDescent="0.3">
      <c r="A58" s="82" t="s">
        <v>129</v>
      </c>
      <c r="B58" s="82"/>
      <c r="C58" s="84">
        <f ca="1">K66</f>
        <v>22</v>
      </c>
      <c r="D58" s="83"/>
      <c r="E58" s="63">
        <f ca="1">((100/I55)*C58)/100</f>
        <v>1.0000000000000002</v>
      </c>
      <c r="F58" s="82"/>
      <c r="G58" s="82"/>
      <c r="H58" s="82"/>
      <c r="I58" s="82"/>
      <c r="J58" s="40" t="s">
        <v>150</v>
      </c>
      <c r="K58" s="44">
        <f ca="1">I55</f>
        <v>22</v>
      </c>
    </row>
    <row r="59" spans="1:11" ht="21" customHeight="1" x14ac:dyDescent="0.35">
      <c r="A59" s="82" t="s">
        <v>163</v>
      </c>
      <c r="B59" s="82"/>
      <c r="C59" s="83">
        <v>18</v>
      </c>
      <c r="D59" s="83"/>
      <c r="E59" s="63">
        <f ca="1">((100/(F55+H55+I55))*C59)/100</f>
        <v>0.78260869565217395</v>
      </c>
      <c r="F59" s="82"/>
      <c r="G59" s="82"/>
      <c r="H59" s="82"/>
      <c r="I59" s="82"/>
      <c r="J59" s="40" t="s">
        <v>151</v>
      </c>
      <c r="K59" s="45">
        <f ca="1">(IF(E55&gt;1,(I55/(E55+2)),I55/4))</f>
        <v>5.5</v>
      </c>
    </row>
    <row r="60" spans="1:11" ht="21" customHeight="1" x14ac:dyDescent="0.35">
      <c r="A60" s="82" t="s">
        <v>164</v>
      </c>
      <c r="B60" s="82"/>
      <c r="C60" s="83">
        <f>C59-F55</f>
        <v>17</v>
      </c>
      <c r="D60" s="83"/>
      <c r="E60" s="63">
        <f ca="1">((100/I55)*C60)/100</f>
        <v>0.77272727272727282</v>
      </c>
      <c r="F60" s="82"/>
      <c r="G60" s="82"/>
      <c r="H60" s="82"/>
      <c r="I60" s="82"/>
      <c r="J60" s="40" t="s">
        <v>152</v>
      </c>
      <c r="K60" s="45">
        <f ca="1">(IF(E55&gt;1,(I55/(E55+2)+K59),I55/4+K59))</f>
        <v>11</v>
      </c>
    </row>
    <row r="61" spans="1:11" ht="21" customHeight="1" x14ac:dyDescent="0.35">
      <c r="A61" s="85" t="s">
        <v>165</v>
      </c>
      <c r="B61" s="86"/>
      <c r="C61" s="84">
        <f>C60*0.75</f>
        <v>12.75</v>
      </c>
      <c r="D61" s="84"/>
      <c r="E61" s="63">
        <f ca="1">((100/I55)*C61)/100</f>
        <v>0.57954545454545459</v>
      </c>
      <c r="F61" s="82"/>
      <c r="G61" s="82"/>
      <c r="H61" s="82"/>
      <c r="I61" s="82"/>
      <c r="J61" s="40" t="s">
        <v>166</v>
      </c>
      <c r="K61" s="45">
        <f>(IF(E55&gt;1,(I55/(E55+2)+K60),0))</f>
        <v>0</v>
      </c>
    </row>
    <row r="62" spans="1:11" ht="21" customHeight="1" x14ac:dyDescent="0.35">
      <c r="A62" s="85" t="s">
        <v>257</v>
      </c>
      <c r="B62" s="86"/>
      <c r="C62" s="84">
        <f>C61</f>
        <v>12.75</v>
      </c>
      <c r="D62" s="84"/>
      <c r="E62" s="63">
        <f ca="1">((100/I55)*C62)/100</f>
        <v>0.57954545454545459</v>
      </c>
      <c r="F62" s="82"/>
      <c r="G62" s="82"/>
      <c r="H62" s="82"/>
      <c r="I62" s="82"/>
      <c r="J62" s="40" t="s">
        <v>167</v>
      </c>
      <c r="K62" s="45">
        <f>(IF(E55&gt;2,(I55/(E55+2)+K61),0))</f>
        <v>0</v>
      </c>
    </row>
    <row r="63" spans="1:11" ht="57.75" customHeight="1" x14ac:dyDescent="0.35">
      <c r="A63" s="85" t="s">
        <v>258</v>
      </c>
      <c r="B63" s="86"/>
      <c r="C63" s="83">
        <v>3</v>
      </c>
      <c r="D63" s="83"/>
      <c r="E63" s="63">
        <f ca="1">((100/(I55))*C63)/100</f>
        <v>0.13636363636363635</v>
      </c>
      <c r="F63" s="82"/>
      <c r="G63" s="82"/>
      <c r="H63" s="82"/>
      <c r="I63" s="82"/>
      <c r="J63" s="40" t="s">
        <v>169</v>
      </c>
      <c r="K63" s="46">
        <f>(IF(E55&gt;3,(I55/(E55+2)+K62),0))</f>
        <v>0</v>
      </c>
    </row>
    <row r="64" spans="1:11" ht="21" x14ac:dyDescent="0.35">
      <c r="A64" s="82" t="s">
        <v>168</v>
      </c>
      <c r="B64" s="82"/>
      <c r="C64" s="83">
        <v>0</v>
      </c>
      <c r="D64" s="83"/>
      <c r="E64" s="63">
        <f ca="1">((100/(I55))*C64)/100</f>
        <v>0</v>
      </c>
      <c r="F64" s="82"/>
      <c r="G64" s="82"/>
      <c r="H64" s="82"/>
      <c r="I64" s="82"/>
      <c r="J64" s="40" t="s">
        <v>170</v>
      </c>
      <c r="K64" s="45">
        <f>(IF(E55&gt;4,(I55/(E55+2)+K63),0))</f>
        <v>0</v>
      </c>
    </row>
    <row r="65" spans="1:13" ht="21" customHeight="1" x14ac:dyDescent="0.35">
      <c r="A65" s="82" t="s">
        <v>259</v>
      </c>
      <c r="B65" s="82"/>
      <c r="C65" s="83">
        <v>0</v>
      </c>
      <c r="D65" s="83"/>
      <c r="E65" s="63">
        <f ca="1">((100/I55)*C65)/100</f>
        <v>0</v>
      </c>
      <c r="F65" s="82"/>
      <c r="G65" s="82"/>
      <c r="H65" s="82"/>
      <c r="I65" s="82"/>
      <c r="J65" s="40" t="s">
        <v>153</v>
      </c>
      <c r="K65" s="45">
        <f ca="1">(IF(E55=1,(I55/(E55+3)+K60),IF(E55=0,(I55/4+K60),IF(E55&gt;1,0))))</f>
        <v>16.5</v>
      </c>
    </row>
    <row r="66" spans="1:13" ht="42" customHeight="1" thickBot="1" x14ac:dyDescent="0.4">
      <c r="A66" s="82" t="s">
        <v>260</v>
      </c>
      <c r="B66" s="82"/>
      <c r="C66" s="83">
        <v>0</v>
      </c>
      <c r="D66" s="83"/>
      <c r="E66" s="63">
        <f ca="1">((100/I55)*C66)/100</f>
        <v>0</v>
      </c>
      <c r="F66" s="82"/>
      <c r="G66" s="82"/>
      <c r="H66" s="82"/>
      <c r="I66" s="82"/>
      <c r="J66" s="42" t="s">
        <v>154</v>
      </c>
      <c r="K66" s="47">
        <f ca="1">(IF(E55&gt;1.5,(I55/(E55+2)+K59+MAX(0,K60-K59)+MAX(0,K61-K60)+MAX(0,K62-K61)+MAX(0,K63-K62)+MAX(0,K64-K63)),IF(E55=1,(I55/(E55+3)+K65),IF(E55=0,I55/4+K65))))</f>
        <v>22</v>
      </c>
      <c r="M66" s="1" t="e">
        <f>(IF(D54&gt;1.5,(H54/(D54+2)+J59+MAX(0,J60-J59)+MAX(0,J61-J60)+MAX(0,J62-J61)+MAX(0,J63-J62)+MAX(0,J64-J63)),IF(D54=1,(H54/(D54+3)+J64),IF(D54=0,H54*0.3+J64))))</f>
        <v>#VALUE!</v>
      </c>
    </row>
    <row r="67" spans="1:13" ht="20.25" x14ac:dyDescent="0.25">
      <c r="A67" s="82" t="s">
        <v>171</v>
      </c>
      <c r="B67" s="82"/>
      <c r="C67" s="83">
        <v>0</v>
      </c>
      <c r="D67" s="83"/>
      <c r="E67" s="63">
        <f ca="1">((100/(I55))*C67)/100</f>
        <v>0</v>
      </c>
      <c r="F67" s="82"/>
      <c r="G67" s="82"/>
      <c r="H67" s="82"/>
      <c r="I67" s="82"/>
    </row>
    <row r="68" spans="1:13" ht="20.25" x14ac:dyDescent="0.25">
      <c r="A68" s="82" t="s">
        <v>172</v>
      </c>
      <c r="B68" s="82"/>
      <c r="C68" s="83">
        <v>0</v>
      </c>
      <c r="D68" s="83"/>
      <c r="E68" s="63">
        <f ca="1">((100/(I55))*C68)/100</f>
        <v>0</v>
      </c>
      <c r="F68" s="82"/>
      <c r="G68" s="82"/>
      <c r="H68" s="82"/>
      <c r="I68" s="82"/>
    </row>
    <row r="69" spans="1:13" ht="21" hidden="1" thickBot="1" x14ac:dyDescent="0.3">
      <c r="A69" s="139" t="s">
        <v>68</v>
      </c>
      <c r="B69" s="139"/>
      <c r="C69" s="139"/>
      <c r="D69" s="139"/>
      <c r="E69" s="139"/>
      <c r="F69" s="139"/>
      <c r="G69" s="139"/>
      <c r="H69" s="139"/>
      <c r="I69" s="139"/>
    </row>
    <row r="70" spans="1:13" ht="20.25" hidden="1" customHeight="1" x14ac:dyDescent="0.3">
      <c r="A70" s="185" t="s">
        <v>158</v>
      </c>
      <c r="B70" s="185"/>
      <c r="C70" s="185"/>
      <c r="D70" s="124" t="s">
        <v>4</v>
      </c>
      <c r="E70" s="51" t="s">
        <v>142</v>
      </c>
      <c r="F70" s="83" t="s">
        <v>128</v>
      </c>
      <c r="G70" s="83"/>
      <c r="H70" s="51" t="s">
        <v>143</v>
      </c>
      <c r="I70" s="51" t="s">
        <v>144</v>
      </c>
      <c r="J70" s="36" t="str">
        <f ca="1">(IF(F73&gt;99%,"All work completed. Please provide OC.",IF(F73&gt;89.8%,"Plinth, RCC, Brick, Plaster, Flooring, Painting work Completed. Finishing work is in process.",IF(F73&lt;94%,(IF(C73=0,"Work not yet Started.",IF(E73=25%,"Piling work in process",IF(E73=50%,"Excavation work in process",IF(E73=100%,"Excavation work Completed. ","0")))&amp;(IF(C74=0%,"",IF(C74=K75,"Footing work is process",IF(C74=K76,"Footing work Completed",IF(C74=K77,"1st Basement Completed",IF(C74=K78,"1st &amp; 2nd Basement Completed",IF(C74=K79,"1st to 3rd Basement Completed",IF(C74=K80,"1st to 4th Basement Completed",IF(C74=K81,"Plinth work is process",IF(C74=K82,"Plinth work completed","0")))))))))))&amp;(IF(C75=(F71+H71+I71),", RCC Slab",IF(C75&gt;0,", RCC upto "&amp;C75&amp;" Slab",""))&amp;(IF(C76=I71,", Brickwork",IF(C76&gt;0,", Brickwork upto "&amp;C76&amp;" Floor",""))&amp;(IF(C77=I71,", Door &amp; Window Frame",IF(C77&gt;0,", Door &amp; Window Frame work upto "&amp;C77&amp;" Floor",""))&amp;(IF(C78=I71,", Internal Plaster",IF(C78&gt;0,", Internal Plaster upto "&amp;C78&amp;" Floor",""))&amp;(IF(C79=I71,", External Plaster",IF(C79&gt;0,", External Plaster upto "&amp;C79&amp;" Floor",""))&amp;(IF(C80=I71,", Plumbing &amp; Electric work",IF(C80&gt;0,", Plumbing &amp; Electric work upto "&amp;C80&amp;" Floor",""))&amp;(IF(C81=I71,", Flooring",IF(C81&gt;0,", Flooring upto "&amp;C81&amp;" Floor",""))&amp;(IF(C82=I71,", Painting",IF(C82&gt;0,", Painting upto "&amp;C82&amp;" Floor",""))&amp;(IF(C83&gt;0,", Finishing upto "&amp;C83&amp;" Floor","")&amp;(IF(C75&gt;0.5," Completed",""))))))))))))))))</f>
        <v>Excavation work Completed. Plinth work completed</v>
      </c>
      <c r="K70" s="38"/>
    </row>
    <row r="71" spans="1:13" ht="20.25" hidden="1" x14ac:dyDescent="0.3">
      <c r="A71" s="185"/>
      <c r="B71" s="185"/>
      <c r="C71" s="185"/>
      <c r="D71" s="124"/>
      <c r="E71" s="51">
        <v>3</v>
      </c>
      <c r="F71" s="83">
        <v>1</v>
      </c>
      <c r="G71" s="83"/>
      <c r="H71" s="51">
        <v>0</v>
      </c>
      <c r="I71" s="51">
        <f ca="1">--TRIM(RIGHT(SUBSTITUTE(LEFT(A70,_xlfn.AGGREGATE(16,6,FIND({0,1,2,3,4,5,6,7,8,9},A70,ROW(INDIRECT("1:"&amp;LEN(A70)))),1))," ",REPT(" ",LEN(A70))),LEN(A70)))</f>
        <v>20</v>
      </c>
      <c r="J71" s="37" t="s">
        <v>148</v>
      </c>
      <c r="K71" s="38"/>
    </row>
    <row r="72" spans="1:13" ht="20.25" hidden="1" customHeight="1" x14ac:dyDescent="0.3">
      <c r="A72" s="81" t="s">
        <v>146</v>
      </c>
      <c r="B72" s="81"/>
      <c r="C72" s="81" t="s">
        <v>159</v>
      </c>
      <c r="D72" s="81"/>
      <c r="E72" s="48" t="s">
        <v>160</v>
      </c>
      <c r="F72" s="81" t="s">
        <v>147</v>
      </c>
      <c r="G72" s="81"/>
      <c r="H72" s="49" t="s">
        <v>145</v>
      </c>
      <c r="I72" s="49"/>
      <c r="J72" s="40" t="s">
        <v>161</v>
      </c>
      <c r="K72" s="39">
        <f ca="1">I71*25%</f>
        <v>5</v>
      </c>
    </row>
    <row r="73" spans="1:13" ht="20.25" hidden="1" customHeight="1" x14ac:dyDescent="0.3">
      <c r="A73" s="82" t="s">
        <v>162</v>
      </c>
      <c r="B73" s="82"/>
      <c r="C73" s="83">
        <f ca="1">K74</f>
        <v>20</v>
      </c>
      <c r="D73" s="83"/>
      <c r="E73" s="16">
        <f ca="1">((100/I71)*C73)/100</f>
        <v>1</v>
      </c>
      <c r="F73" s="82">
        <f ca="1">(((C73/I71*5)+(C74/I71*15)+(40/(F71+H71+I71)*C75)+(10/(I71)*C76)+(5/(I71)*C77)+(2.5/(I71)*C78)+(2.5/I71*C79)+(5/I71*C80)+(2.5/I71*C81)+(2.5/I71*C82)+(5/I71*C83)+(5/I71*C84))/100)</f>
        <v>0.2</v>
      </c>
      <c r="G73" s="82"/>
      <c r="H73" s="82" t="str">
        <f ca="1">J70</f>
        <v>Excavation work Completed. Plinth work completed</v>
      </c>
      <c r="I73" s="82"/>
      <c r="J73" s="40" t="s">
        <v>149</v>
      </c>
      <c r="K73" s="44">
        <f ca="1">I71*50%</f>
        <v>10</v>
      </c>
    </row>
    <row r="74" spans="1:13" ht="20.25" hidden="1" x14ac:dyDescent="0.3">
      <c r="A74" s="82" t="s">
        <v>129</v>
      </c>
      <c r="B74" s="82"/>
      <c r="C74" s="84">
        <f ca="1">K82</f>
        <v>20</v>
      </c>
      <c r="D74" s="83"/>
      <c r="E74" s="16">
        <f ca="1">((100/I71)*C74)/100</f>
        <v>1</v>
      </c>
      <c r="F74" s="82"/>
      <c r="G74" s="82"/>
      <c r="H74" s="82"/>
      <c r="I74" s="82"/>
      <c r="J74" s="40" t="s">
        <v>150</v>
      </c>
      <c r="K74" s="44">
        <f ca="1">I71</f>
        <v>20</v>
      </c>
    </row>
    <row r="75" spans="1:13" ht="21" hidden="1" customHeight="1" x14ac:dyDescent="0.35">
      <c r="A75" s="82" t="s">
        <v>163</v>
      </c>
      <c r="B75" s="82"/>
      <c r="C75" s="83">
        <v>0</v>
      </c>
      <c r="D75" s="83"/>
      <c r="E75" s="16">
        <f ca="1">((100/(F71+H71+I71))*C75)/100</f>
        <v>0</v>
      </c>
      <c r="F75" s="82"/>
      <c r="G75" s="82"/>
      <c r="H75" s="82"/>
      <c r="I75" s="82"/>
      <c r="J75" s="40" t="s">
        <v>151</v>
      </c>
      <c r="K75" s="45">
        <f ca="1">(IF(E71&gt;1,(I71/(E71+2)),I71/4))</f>
        <v>4</v>
      </c>
    </row>
    <row r="76" spans="1:13" ht="21" hidden="1" customHeight="1" x14ac:dyDescent="0.35">
      <c r="A76" s="82" t="s">
        <v>164</v>
      </c>
      <c r="B76" s="82"/>
      <c r="C76" s="83">
        <v>0</v>
      </c>
      <c r="D76" s="83"/>
      <c r="E76" s="16">
        <f ca="1">((100/I71)*C76)/100</f>
        <v>0</v>
      </c>
      <c r="F76" s="82"/>
      <c r="G76" s="82"/>
      <c r="H76" s="82"/>
      <c r="I76" s="82"/>
      <c r="J76" s="40" t="s">
        <v>152</v>
      </c>
      <c r="K76" s="45">
        <f ca="1">(IF(E71&gt;1,(I71/(E71+2)+K75),I71/4+K75))</f>
        <v>8</v>
      </c>
    </row>
    <row r="77" spans="1:13" ht="21" hidden="1" customHeight="1" x14ac:dyDescent="0.35">
      <c r="A77" s="82" t="s">
        <v>188</v>
      </c>
      <c r="B77" s="82"/>
      <c r="C77" s="83">
        <v>0</v>
      </c>
      <c r="D77" s="83"/>
      <c r="E77" s="16">
        <f ca="1">((100/I71)*C77)/100</f>
        <v>0</v>
      </c>
      <c r="F77" s="82"/>
      <c r="G77" s="82"/>
      <c r="H77" s="82"/>
      <c r="I77" s="82"/>
      <c r="J77" s="40" t="s">
        <v>166</v>
      </c>
      <c r="K77" s="45">
        <f ca="1">(IF(E71&gt;1,(I71/(E71+2)+K76),0))</f>
        <v>12</v>
      </c>
    </row>
    <row r="78" spans="1:13" ht="21" hidden="1" customHeight="1" x14ac:dyDescent="0.35">
      <c r="A78" s="82" t="s">
        <v>165</v>
      </c>
      <c r="B78" s="82"/>
      <c r="C78" s="83">
        <v>0</v>
      </c>
      <c r="D78" s="83"/>
      <c r="E78" s="16">
        <f ca="1">((100/I71)*C78)/100</f>
        <v>0</v>
      </c>
      <c r="F78" s="82"/>
      <c r="G78" s="82"/>
      <c r="H78" s="82"/>
      <c r="I78" s="82"/>
      <c r="J78" s="40" t="s">
        <v>167</v>
      </c>
      <c r="K78" s="45">
        <f ca="1">(IF(E71&gt;2,(I71/(E71+2)+K77),0))</f>
        <v>16</v>
      </c>
    </row>
    <row r="79" spans="1:13" ht="21" hidden="1" customHeight="1" x14ac:dyDescent="0.35">
      <c r="A79" s="82" t="s">
        <v>189</v>
      </c>
      <c r="B79" s="82"/>
      <c r="C79" s="83">
        <v>0</v>
      </c>
      <c r="D79" s="83"/>
      <c r="E79" s="16">
        <f ca="1">((100/(I71))*C79)/100</f>
        <v>0</v>
      </c>
      <c r="F79" s="82"/>
      <c r="G79" s="82"/>
      <c r="H79" s="82"/>
      <c r="I79" s="82"/>
      <c r="J79" s="40" t="s">
        <v>169</v>
      </c>
      <c r="K79" s="46">
        <f>(IF(E71&gt;3,(I71/(E71+2)+K78),0))</f>
        <v>0</v>
      </c>
    </row>
    <row r="80" spans="1:13" ht="21" hidden="1" customHeight="1" x14ac:dyDescent="0.35">
      <c r="A80" s="82" t="s">
        <v>190</v>
      </c>
      <c r="B80" s="82"/>
      <c r="C80" s="83">
        <v>0</v>
      </c>
      <c r="D80" s="83"/>
      <c r="E80" s="16">
        <f ca="1">((100/(I71))*C80)/100</f>
        <v>0</v>
      </c>
      <c r="F80" s="82"/>
      <c r="G80" s="82"/>
      <c r="H80" s="82"/>
      <c r="I80" s="82"/>
      <c r="J80" s="40" t="s">
        <v>170</v>
      </c>
      <c r="K80" s="45">
        <f>(IF(E71&gt;4,(I71/(E71+2)+K79),0))</f>
        <v>0</v>
      </c>
    </row>
    <row r="81" spans="1:11" ht="21" hidden="1" customHeight="1" x14ac:dyDescent="0.35">
      <c r="A81" s="82" t="s">
        <v>168</v>
      </c>
      <c r="B81" s="82"/>
      <c r="C81" s="83">
        <v>0</v>
      </c>
      <c r="D81" s="83"/>
      <c r="E81" s="16">
        <f ca="1">((100/I71)*C81)/100</f>
        <v>0</v>
      </c>
      <c r="F81" s="82"/>
      <c r="G81" s="82"/>
      <c r="H81" s="82"/>
      <c r="I81" s="82"/>
      <c r="J81" s="40" t="s">
        <v>153</v>
      </c>
      <c r="K81" s="45">
        <f>(IF(E71=1,(I71/(E71+3)+K76),IF(E71=0,(I71/4+K76),IF(E71&gt;1,0))))</f>
        <v>0</v>
      </c>
    </row>
    <row r="82" spans="1:11" ht="21.75" hidden="1" thickBot="1" x14ac:dyDescent="0.4">
      <c r="A82" s="82" t="s">
        <v>191</v>
      </c>
      <c r="B82" s="82"/>
      <c r="C82" s="83">
        <v>0</v>
      </c>
      <c r="D82" s="83"/>
      <c r="E82" s="16">
        <f ca="1">((100/I71)*C82)/100</f>
        <v>0</v>
      </c>
      <c r="F82" s="82"/>
      <c r="G82" s="82"/>
      <c r="H82" s="82"/>
      <c r="I82" s="82"/>
      <c r="J82" s="42" t="s">
        <v>154</v>
      </c>
      <c r="K82" s="47">
        <f ca="1">(IF(E71&gt;1.5,(I71/(E71+2)+K76+MAX(0,K77-K76)+MAX(0,K78-K77)+MAX(0,K79-K78)+MAX(0,K80-K79)+MAX(0,K81-K80)),IF(E71=1,(I71/(E71+3)+K81),IF(E71=0,I71/4+K81))))</f>
        <v>20</v>
      </c>
    </row>
    <row r="83" spans="1:11" ht="20.25" hidden="1" x14ac:dyDescent="0.25">
      <c r="A83" s="82" t="s">
        <v>171</v>
      </c>
      <c r="B83" s="82"/>
      <c r="C83" s="83">
        <v>0</v>
      </c>
      <c r="D83" s="83"/>
      <c r="E83" s="16">
        <f ca="1">((100/(I71))*C83)/100</f>
        <v>0</v>
      </c>
      <c r="F83" s="82"/>
      <c r="G83" s="82"/>
      <c r="H83" s="82"/>
      <c r="I83" s="82"/>
    </row>
    <row r="84" spans="1:11" ht="20.25" hidden="1" x14ac:dyDescent="0.25">
      <c r="A84" s="82" t="s">
        <v>172</v>
      </c>
      <c r="B84" s="82"/>
      <c r="C84" s="83">
        <v>0</v>
      </c>
      <c r="D84" s="83"/>
      <c r="E84" s="16">
        <f ca="1">((100/(I71))*C84)/100</f>
        <v>0</v>
      </c>
      <c r="F84" s="82"/>
      <c r="G84" s="82"/>
      <c r="H84" s="82"/>
      <c r="I84" s="82"/>
    </row>
    <row r="85" spans="1:11" ht="21" thickBot="1" x14ac:dyDescent="0.3">
      <c r="A85" s="139" t="s">
        <v>68</v>
      </c>
      <c r="B85" s="139"/>
      <c r="C85" s="139"/>
      <c r="D85" s="139"/>
      <c r="E85" s="139"/>
      <c r="F85" s="139"/>
      <c r="G85" s="139"/>
      <c r="H85" s="139"/>
      <c r="I85" s="139"/>
    </row>
    <row r="86" spans="1:11" ht="20.25" customHeight="1" x14ac:dyDescent="0.3">
      <c r="A86" s="140" t="s">
        <v>275</v>
      </c>
      <c r="B86" s="140"/>
      <c r="C86" s="140"/>
      <c r="D86" s="124" t="s">
        <v>4</v>
      </c>
      <c r="E86" s="67" t="s">
        <v>142</v>
      </c>
      <c r="F86" s="83" t="s">
        <v>128</v>
      </c>
      <c r="G86" s="83"/>
      <c r="H86" s="67" t="s">
        <v>143</v>
      </c>
      <c r="I86" s="67" t="s">
        <v>144</v>
      </c>
      <c r="J86" s="36" t="str">
        <f ca="1">(IF(F89&gt;99%,"All work completed. Please provide OC.",IF(F89&gt;89.8%,"Plinth, RCC, Brick, Plaster, Flooring, Wooden, Plumbing, Electrification, etc., work Completed. Finishing work is in process.",IF(F89&lt;94%,(IF(C89=0,"Work not yet Started.",IF(E89=25%,"Piling work in process",IF(E89=50%,"Excavation work in process",IF(E89=100%,"Excavation work Completed. ","0")))&amp;(IF(C90=0%,"",IF(C90=K91,"Footing work is process",IF(C90=K92,"Footing work Completed",IF(C90=K93,"1st Basement Completed",IF(C90=K94,"1st &amp; 2nd Basement Completed",IF(C90=K95,"1st to 3rd Basement Completed",IF(C90=K96,"1st to 4th Basement Completed",IF(C90=K97,"Plinth work is process",IF(C90=K98,"Plinth work completed","0")))))))))))&amp;(IF(C91=(F87+H87+I87),", RCC Slab",IF(C91&gt;0,", RCC upto "&amp;C91&amp;" Slab",""))&amp;(IF(C92=I87,", Brickwork",IF(C92&gt;0,", Brickwork upto "&amp;C92&amp;" Floor",""))&amp;(IF(C93=I87,", Internal Plaster",IF(C93&gt;0,", Internal Plaster upto "&amp;C93&amp;" Floor",""))&amp;(IF(C94=I87,", External Plaster",IF(C94&gt;0,", External Plaster upto "&amp;C94&amp;" Floor",""))&amp;(IF(C95=I87,", External Plumbing, Elevation and Waterproofing",IF(C95&gt;0,", External Plumbing, Elevation and Waterproofing upto "&amp;C95&amp;" Floor",""))&amp;(IF(C96=I87,", Flooring &amp; Fitting",IF(C96&gt;0,", Flooring &amp; Fitting upto "&amp;C96&amp;" Floor",""))&amp;(IF(C97=I87,", Wooden Work",IF(C97&gt;0,", Wooden Work upto "&amp;C97&amp;" Floor",""))&amp;(IF(C98=I87,", Electrical &amp; Sanitary fittings",IF(C98&gt;0,", Electrical &amp; Sanitary fittings upto "&amp;C98&amp;" Floor",""))&amp;(IF(C99&gt;0,", Finishing upto "&amp;C99&amp;" Floor","")&amp;(IF(C91&gt;0.5," Completed",""))))))))))))))))</f>
        <v>Excavation work Completed. Plinth work completed, RCC upto 16 Slab, Brickwork upto 15 Floor, Internal Plaster upto 11.25 Floor, External Plaster upto 11.25 Floor, External Plumbing, Elevation and Waterproofing upto 3 Floor Completed</v>
      </c>
      <c r="K86" s="38"/>
    </row>
    <row r="87" spans="1:11" ht="20.25" x14ac:dyDescent="0.3">
      <c r="A87" s="140"/>
      <c r="B87" s="140"/>
      <c r="C87" s="140"/>
      <c r="D87" s="124"/>
      <c r="E87" s="67">
        <v>0</v>
      </c>
      <c r="F87" s="83">
        <v>1</v>
      </c>
      <c r="G87" s="83"/>
      <c r="H87" s="67">
        <v>0</v>
      </c>
      <c r="I87" s="67">
        <f ca="1">--TRIM(RIGHT(SUBSTITUTE(LEFT(A86,_xlfn.AGGREGATE(16,6,FIND({0,1,2,3,4,5,6,7,8,9},A86,ROW(INDIRECT("1:"&amp;LEN(A86)))),1))," ",REPT(" ",LEN(A86))),LEN(A86)))</f>
        <v>22</v>
      </c>
      <c r="J87" s="37" t="s">
        <v>148</v>
      </c>
      <c r="K87" s="38"/>
    </row>
    <row r="88" spans="1:11" ht="20.25" customHeight="1" x14ac:dyDescent="0.3">
      <c r="A88" s="81" t="s">
        <v>146</v>
      </c>
      <c r="B88" s="81"/>
      <c r="C88" s="81" t="s">
        <v>159</v>
      </c>
      <c r="D88" s="81"/>
      <c r="E88" s="69" t="s">
        <v>160</v>
      </c>
      <c r="F88" s="81" t="s">
        <v>147</v>
      </c>
      <c r="G88" s="81"/>
      <c r="H88" s="49" t="s">
        <v>145</v>
      </c>
      <c r="I88" s="49"/>
      <c r="J88" s="40" t="s">
        <v>161</v>
      </c>
      <c r="K88" s="39">
        <f ca="1">I87*25%</f>
        <v>5.5</v>
      </c>
    </row>
    <row r="89" spans="1:11" ht="20.25" customHeight="1" x14ac:dyDescent="0.3">
      <c r="A89" s="82" t="s">
        <v>162</v>
      </c>
      <c r="B89" s="82"/>
      <c r="C89" s="83">
        <f ca="1">K90</f>
        <v>22</v>
      </c>
      <c r="D89" s="83"/>
      <c r="E89" s="66">
        <f ca="1">((100/I87)*C89)/100</f>
        <v>1.0000000000000002</v>
      </c>
      <c r="F89" s="82">
        <f ca="1">(((C89/I87*5)+(C90/I87*20)+(25/(F87+H87+I87)*C91)+(5/(I87)*C92)+(2.5/(I87)*C93)+(2.5/(I87)*C94)+(5/I87*C95)+(10/I87*C96)+(2.5/I87*C97)+(2.5/I87*C98)+(10/I87*C99)+(10/I87*C100))/100)</f>
        <v>0.49039031620553358</v>
      </c>
      <c r="G89" s="82"/>
      <c r="H89" s="82" t="str">
        <f ca="1">J86</f>
        <v>Excavation work Completed. Plinth work completed, RCC upto 16 Slab, Brickwork upto 15 Floor, Internal Plaster upto 11.25 Floor, External Plaster upto 11.25 Floor, External Plumbing, Elevation and Waterproofing upto 3 Floor Completed</v>
      </c>
      <c r="I89" s="82"/>
      <c r="J89" s="40" t="s">
        <v>149</v>
      </c>
      <c r="K89" s="44">
        <f ca="1">I87*50%</f>
        <v>11</v>
      </c>
    </row>
    <row r="90" spans="1:11" ht="20.25" x14ac:dyDescent="0.3">
      <c r="A90" s="82" t="s">
        <v>129</v>
      </c>
      <c r="B90" s="82"/>
      <c r="C90" s="84">
        <f ca="1">K98</f>
        <v>22</v>
      </c>
      <c r="D90" s="83"/>
      <c r="E90" s="66">
        <f ca="1">((100/I87)*C90)/100</f>
        <v>1.0000000000000002</v>
      </c>
      <c r="F90" s="82"/>
      <c r="G90" s="82"/>
      <c r="H90" s="82"/>
      <c r="I90" s="82"/>
      <c r="J90" s="40" t="s">
        <v>150</v>
      </c>
      <c r="K90" s="44">
        <f ca="1">I87</f>
        <v>22</v>
      </c>
    </row>
    <row r="91" spans="1:11" ht="21" customHeight="1" x14ac:dyDescent="0.35">
      <c r="A91" s="82" t="s">
        <v>163</v>
      </c>
      <c r="B91" s="82"/>
      <c r="C91" s="83">
        <v>16</v>
      </c>
      <c r="D91" s="83"/>
      <c r="E91" s="66">
        <f ca="1">((100/(F87+H87+I87))*C91)/100</f>
        <v>0.69565217391304346</v>
      </c>
      <c r="F91" s="82"/>
      <c r="G91" s="82"/>
      <c r="H91" s="82"/>
      <c r="I91" s="82"/>
      <c r="J91" s="40" t="s">
        <v>151</v>
      </c>
      <c r="K91" s="45">
        <f ca="1">(IF(E87&gt;1,(I87/(E87+2)),I87/4))</f>
        <v>5.5</v>
      </c>
    </row>
    <row r="92" spans="1:11" ht="21" customHeight="1" x14ac:dyDescent="0.35">
      <c r="A92" s="82" t="s">
        <v>164</v>
      </c>
      <c r="B92" s="82"/>
      <c r="C92" s="83">
        <f>C91-1</f>
        <v>15</v>
      </c>
      <c r="D92" s="83"/>
      <c r="E92" s="66">
        <f ca="1">((100/I87)*C92)/100</f>
        <v>0.68181818181818188</v>
      </c>
      <c r="F92" s="82"/>
      <c r="G92" s="82"/>
      <c r="H92" s="82"/>
      <c r="I92" s="82"/>
      <c r="J92" s="40" t="s">
        <v>152</v>
      </c>
      <c r="K92" s="45">
        <f ca="1">(IF(E87&gt;1,(I87/(E87+2)+K91),I87/4+K91))</f>
        <v>11</v>
      </c>
    </row>
    <row r="93" spans="1:11" ht="21" customHeight="1" x14ac:dyDescent="0.35">
      <c r="A93" s="85" t="s">
        <v>165</v>
      </c>
      <c r="B93" s="86"/>
      <c r="C93" s="84">
        <f>C92*0.75</f>
        <v>11.25</v>
      </c>
      <c r="D93" s="84"/>
      <c r="E93" s="66">
        <f ca="1">((100/I87)*C93)/100</f>
        <v>0.51136363636363635</v>
      </c>
      <c r="F93" s="82"/>
      <c r="G93" s="82"/>
      <c r="H93" s="82"/>
      <c r="I93" s="82"/>
      <c r="J93" s="40" t="s">
        <v>166</v>
      </c>
      <c r="K93" s="45">
        <f>(IF(E87&gt;1,(I87/(E87+2)+K92),0))</f>
        <v>0</v>
      </c>
    </row>
    <row r="94" spans="1:11" ht="21" customHeight="1" x14ac:dyDescent="0.35">
      <c r="A94" s="85" t="s">
        <v>257</v>
      </c>
      <c r="B94" s="86"/>
      <c r="C94" s="84">
        <f>C93</f>
        <v>11.25</v>
      </c>
      <c r="D94" s="84"/>
      <c r="E94" s="66">
        <f ca="1">((100/I87)*C94)/100</f>
        <v>0.51136363636363635</v>
      </c>
      <c r="F94" s="82"/>
      <c r="G94" s="82"/>
      <c r="H94" s="82"/>
      <c r="I94" s="82"/>
      <c r="J94" s="40" t="s">
        <v>167</v>
      </c>
      <c r="K94" s="45">
        <f>(IF(E87&gt;2,(I87/(E87+2)+K93),0))</f>
        <v>0</v>
      </c>
    </row>
    <row r="95" spans="1:11" ht="57.75" customHeight="1" x14ac:dyDescent="0.35">
      <c r="A95" s="85" t="s">
        <v>258</v>
      </c>
      <c r="B95" s="86"/>
      <c r="C95" s="83">
        <v>3</v>
      </c>
      <c r="D95" s="83"/>
      <c r="E95" s="66">
        <f ca="1">((100/(I87))*C95)/100</f>
        <v>0.13636363636363635</v>
      </c>
      <c r="F95" s="82"/>
      <c r="G95" s="82"/>
      <c r="H95" s="82"/>
      <c r="I95" s="82"/>
      <c r="J95" s="40" t="s">
        <v>169</v>
      </c>
      <c r="K95" s="46">
        <f>(IF(E87&gt;3,(I87/(E87+2)+K94),0))</f>
        <v>0</v>
      </c>
    </row>
    <row r="96" spans="1:11" ht="21" x14ac:dyDescent="0.35">
      <c r="A96" s="82" t="s">
        <v>168</v>
      </c>
      <c r="B96" s="82"/>
      <c r="C96" s="83">
        <v>0</v>
      </c>
      <c r="D96" s="83"/>
      <c r="E96" s="66">
        <f ca="1">((100/(I87))*C96)/100</f>
        <v>0</v>
      </c>
      <c r="F96" s="82"/>
      <c r="G96" s="82"/>
      <c r="H96" s="82"/>
      <c r="I96" s="82"/>
      <c r="J96" s="40" t="s">
        <v>170</v>
      </c>
      <c r="K96" s="45">
        <f>(IF(E87&gt;4,(I87/(E87+2)+K95),0))</f>
        <v>0</v>
      </c>
    </row>
    <row r="97" spans="1:13" ht="21" customHeight="1" x14ac:dyDescent="0.35">
      <c r="A97" s="82" t="s">
        <v>259</v>
      </c>
      <c r="B97" s="82"/>
      <c r="C97" s="83">
        <v>0</v>
      </c>
      <c r="D97" s="83"/>
      <c r="E97" s="66">
        <f ca="1">((100/I87)*C97)/100</f>
        <v>0</v>
      </c>
      <c r="F97" s="82"/>
      <c r="G97" s="82"/>
      <c r="H97" s="82"/>
      <c r="I97" s="82"/>
      <c r="J97" s="40" t="s">
        <v>153</v>
      </c>
      <c r="K97" s="45">
        <f ca="1">(IF(E87=1,(I87/(E87+3)+K92),IF(E87=0,(I87/4+K92),IF(E87&gt;1,0))))</f>
        <v>16.5</v>
      </c>
    </row>
    <row r="98" spans="1:13" ht="42" customHeight="1" thickBot="1" x14ac:dyDescent="0.4">
      <c r="A98" s="82" t="s">
        <v>260</v>
      </c>
      <c r="B98" s="82"/>
      <c r="C98" s="83">
        <v>0</v>
      </c>
      <c r="D98" s="83"/>
      <c r="E98" s="66">
        <f ca="1">((100/I87)*C98)/100</f>
        <v>0</v>
      </c>
      <c r="F98" s="82"/>
      <c r="G98" s="82"/>
      <c r="H98" s="82"/>
      <c r="I98" s="82"/>
      <c r="J98" s="42" t="s">
        <v>154</v>
      </c>
      <c r="K98" s="47">
        <f ca="1">(IF(E87&gt;1.5,(I87/(E87+2)+K91+MAX(0,K92-K91)+MAX(0,K93-K92)+MAX(0,K94-K93)+MAX(0,K95-K94)+MAX(0,K96-K95)),IF(E87=1,(I87/(E87+3)+K97),IF(E87=0,I87/4+K97))))</f>
        <v>22</v>
      </c>
      <c r="M98" s="1" t="e">
        <f>(IF(D86&gt;1.5,(H86/(D86+2)+J91+MAX(0,J92-J91)+MAX(0,J93-J92)+MAX(0,J94-J93)+MAX(0,J95-J94)+MAX(0,J96-J95)),IF(D86=1,(H86/(D86+3)+J96),IF(D86=0,H86*0.3+J96))))</f>
        <v>#VALUE!</v>
      </c>
    </row>
    <row r="99" spans="1:13" ht="20.25" x14ac:dyDescent="0.25">
      <c r="A99" s="82" t="s">
        <v>171</v>
      </c>
      <c r="B99" s="82"/>
      <c r="C99" s="83">
        <v>0</v>
      </c>
      <c r="D99" s="83"/>
      <c r="E99" s="66">
        <f ca="1">((100/(I87))*C99)/100</f>
        <v>0</v>
      </c>
      <c r="F99" s="82"/>
      <c r="G99" s="82"/>
      <c r="H99" s="82"/>
      <c r="I99" s="82"/>
    </row>
    <row r="100" spans="1:13" ht="20.25" x14ac:dyDescent="0.25">
      <c r="A100" s="82" t="s">
        <v>172</v>
      </c>
      <c r="B100" s="82"/>
      <c r="C100" s="83">
        <v>0</v>
      </c>
      <c r="D100" s="83"/>
      <c r="E100" s="66">
        <f ca="1">((100/(I87))*C100)/100</f>
        <v>0</v>
      </c>
      <c r="F100" s="82"/>
      <c r="G100" s="82"/>
      <c r="H100" s="82"/>
      <c r="I100" s="82"/>
    </row>
    <row r="101" spans="1:13" ht="21" thickBot="1" x14ac:dyDescent="0.3">
      <c r="A101" s="139" t="s">
        <v>68</v>
      </c>
      <c r="B101" s="139"/>
      <c r="C101" s="139"/>
      <c r="D101" s="139"/>
      <c r="E101" s="139"/>
      <c r="F101" s="139"/>
      <c r="G101" s="139"/>
      <c r="H101" s="139"/>
      <c r="I101" s="139"/>
    </row>
    <row r="102" spans="1:13" ht="20.25" customHeight="1" x14ac:dyDescent="0.3">
      <c r="A102" s="140" t="s">
        <v>274</v>
      </c>
      <c r="B102" s="140"/>
      <c r="C102" s="140"/>
      <c r="D102" s="124" t="s">
        <v>4</v>
      </c>
      <c r="E102" s="72" t="s">
        <v>142</v>
      </c>
      <c r="F102" s="83" t="s">
        <v>128</v>
      </c>
      <c r="G102" s="83"/>
      <c r="H102" s="72" t="s">
        <v>143</v>
      </c>
      <c r="I102" s="72" t="s">
        <v>144</v>
      </c>
      <c r="J102" s="36" t="str">
        <f ca="1">(IF(F105&gt;99%,"All work completed. Please provide OC.",IF(F105&gt;89.8%,"Plinth, RCC, Brick, Plaster, Flooring, Wooden, Plumbing, Electrification, etc., work Completed. Finishing work is in process.",IF(F105&lt;94%,(IF(C105=0,"Work not yet Started.",IF(E105=25%,"Piling work in process",IF(E105=50%,"Excavation work in process",IF(E105=100%,"Excavation work Completed. ","0")))&amp;(IF(C106=0%,"",IF(C106=K107,"Footing work is process",IF(C106=K108,"Footing work Completed",IF(C106=K109,"1st Basement Completed",IF(C106=K110,"1st &amp; 2nd Basement Completed",IF(C106=K111,"1st to 3rd Basement Completed",IF(C106=K112,"1st to 4th Basement Completed",IF(C106=K113,"Plinth work is process",IF(C106=K114,"Plinth work completed","0")))))))))))&amp;(IF(C107=(F103+H103+I103),", RCC Slab",IF(C107&gt;0,", RCC upto "&amp;C107&amp;" Slab",""))&amp;(IF(C108=I103,", Brickwork",IF(C108&gt;0,", Brickwork upto "&amp;C108&amp;" Floor",""))&amp;(IF(C109=I103,", Internal Plaster",IF(C109&gt;0,", Internal Plaster upto "&amp;C109&amp;" Floor",""))&amp;(IF(C110=I103,", External Plaster",IF(C110&gt;0,", External Plaster upto "&amp;C110&amp;" Floor",""))&amp;(IF(C111=I103,", External Plumbing, Elevation and Waterproofing",IF(C111&gt;0,", External Plumbing, Elevation and Waterproofing upto "&amp;C111&amp;" Floor",""))&amp;(IF(C112=I103,", Flooring &amp; Fitting",IF(C112&gt;0,", Flooring &amp; Fitting upto "&amp;C112&amp;" Floor",""))&amp;(IF(C113=I103,", Wooden Work",IF(C113&gt;0,", Wooden Work upto "&amp;C113&amp;" Floor",""))&amp;(IF(C114=I103,", Electrical &amp; Sanitary fittings",IF(C114&gt;0,", Electrical &amp; Sanitary fittings upto "&amp;C114&amp;" Floor",""))&amp;(IF(C115&gt;0,", Finishing upto "&amp;C115&amp;" Floor","")&amp;(IF(C107&gt;0.5," Completed",""))))))))))))))))</f>
        <v>Excavation work Completed. Plinth work completed, RCC upto 19 Slab, Brickwork upto 18 Floor, Internal Plaster upto 13.5 Floor, External Plaster upto 13.5 Floor, External Plumbing, Elevation and Waterproofing upto 3 Floor Completed</v>
      </c>
      <c r="K102" s="38"/>
    </row>
    <row r="103" spans="1:13" ht="20.25" x14ac:dyDescent="0.3">
      <c r="A103" s="140"/>
      <c r="B103" s="140"/>
      <c r="C103" s="140"/>
      <c r="D103" s="124"/>
      <c r="E103" s="72">
        <v>0</v>
      </c>
      <c r="F103" s="83">
        <v>1</v>
      </c>
      <c r="G103" s="83"/>
      <c r="H103" s="72">
        <v>0</v>
      </c>
      <c r="I103" s="72">
        <f ca="1">--TRIM(RIGHT(SUBSTITUTE(LEFT(A102,_xlfn.AGGREGATE(16,6,FIND({0,1,2,3,4,5,6,7,8,9},A102,ROW(INDIRECT("1:"&amp;LEN(A102)))),1))," ",REPT(" ",LEN(A102))),LEN(A102)))</f>
        <v>22</v>
      </c>
      <c r="J103" s="37" t="s">
        <v>148</v>
      </c>
      <c r="K103" s="38"/>
    </row>
    <row r="104" spans="1:13" ht="20.25" customHeight="1" x14ac:dyDescent="0.3">
      <c r="A104" s="81" t="s">
        <v>146</v>
      </c>
      <c r="B104" s="81"/>
      <c r="C104" s="81" t="s">
        <v>159</v>
      </c>
      <c r="D104" s="81"/>
      <c r="E104" s="73" t="s">
        <v>160</v>
      </c>
      <c r="F104" s="81" t="s">
        <v>147</v>
      </c>
      <c r="G104" s="81"/>
      <c r="H104" s="49" t="s">
        <v>145</v>
      </c>
      <c r="I104" s="49"/>
      <c r="J104" s="40" t="s">
        <v>161</v>
      </c>
      <c r="K104" s="39">
        <f ca="1">I103*25%</f>
        <v>5.5</v>
      </c>
    </row>
    <row r="105" spans="1:13" ht="20.25" customHeight="1" x14ac:dyDescent="0.3">
      <c r="A105" s="82" t="s">
        <v>162</v>
      </c>
      <c r="B105" s="82"/>
      <c r="C105" s="83">
        <f ca="1">K106</f>
        <v>22</v>
      </c>
      <c r="D105" s="83"/>
      <c r="E105" s="71">
        <f ca="1">((100/I103)*C105)/100</f>
        <v>1.0000000000000002</v>
      </c>
      <c r="F105" s="82">
        <f ca="1">(((C105/I103*5)+(C106/I103*20)+(25/(F103+H103+I103)*C107)+(5/(I103)*C108)+(2.5/(I103)*C109)+(2.5/(I103)*C110)+(5/I103*C111)+(10/I103*C112)+(2.5/I103*C113)+(2.5/I103*C114)+(10/I103*C115)+(10/I103*C116))/100)</f>
        <v>0.53493083003952568</v>
      </c>
      <c r="G105" s="82"/>
      <c r="H105" s="82" t="str">
        <f ca="1">J102</f>
        <v>Excavation work Completed. Plinth work completed, RCC upto 19 Slab, Brickwork upto 18 Floor, Internal Plaster upto 13.5 Floor, External Plaster upto 13.5 Floor, External Plumbing, Elevation and Waterproofing upto 3 Floor Completed</v>
      </c>
      <c r="I105" s="82"/>
      <c r="J105" s="40" t="s">
        <v>149</v>
      </c>
      <c r="K105" s="44">
        <f ca="1">I103*50%</f>
        <v>11</v>
      </c>
    </row>
    <row r="106" spans="1:13" ht="20.25" x14ac:dyDescent="0.3">
      <c r="A106" s="82" t="s">
        <v>129</v>
      </c>
      <c r="B106" s="82"/>
      <c r="C106" s="84">
        <f ca="1">K114</f>
        <v>22</v>
      </c>
      <c r="D106" s="83"/>
      <c r="E106" s="71">
        <f ca="1">((100/I103)*C106)/100</f>
        <v>1.0000000000000002</v>
      </c>
      <c r="F106" s="82"/>
      <c r="G106" s="82"/>
      <c r="H106" s="82"/>
      <c r="I106" s="82"/>
      <c r="J106" s="40" t="s">
        <v>150</v>
      </c>
      <c r="K106" s="44">
        <f ca="1">I103</f>
        <v>22</v>
      </c>
    </row>
    <row r="107" spans="1:13" ht="21" customHeight="1" x14ac:dyDescent="0.35">
      <c r="A107" s="82" t="s">
        <v>163</v>
      </c>
      <c r="B107" s="82"/>
      <c r="C107" s="83">
        <v>19</v>
      </c>
      <c r="D107" s="83"/>
      <c r="E107" s="71">
        <f ca="1">((100/(F103+H103+I103))*C107)/100</f>
        <v>0.82608695652173902</v>
      </c>
      <c r="F107" s="82"/>
      <c r="G107" s="82"/>
      <c r="H107" s="82"/>
      <c r="I107" s="82"/>
      <c r="J107" s="40" t="s">
        <v>151</v>
      </c>
      <c r="K107" s="45">
        <f ca="1">(IF(E103&gt;1,(I103/(E103+2)),I103/4))</f>
        <v>5.5</v>
      </c>
    </row>
    <row r="108" spans="1:13" ht="21" customHeight="1" x14ac:dyDescent="0.35">
      <c r="A108" s="82" t="s">
        <v>164</v>
      </c>
      <c r="B108" s="82"/>
      <c r="C108" s="83">
        <f>C107-F103</f>
        <v>18</v>
      </c>
      <c r="D108" s="83"/>
      <c r="E108" s="71">
        <f ca="1">((100/I103)*C108)/100</f>
        <v>0.81818181818181823</v>
      </c>
      <c r="F108" s="82"/>
      <c r="G108" s="82"/>
      <c r="H108" s="82"/>
      <c r="I108" s="82"/>
      <c r="J108" s="40" t="s">
        <v>152</v>
      </c>
      <c r="K108" s="45">
        <f ca="1">(IF(E103&gt;1,(I103/(E103+2)+K107),I103/4+K107))</f>
        <v>11</v>
      </c>
    </row>
    <row r="109" spans="1:13" ht="21" customHeight="1" x14ac:dyDescent="0.35">
      <c r="A109" s="85" t="s">
        <v>165</v>
      </c>
      <c r="B109" s="86"/>
      <c r="C109" s="84">
        <f>C108*0.75</f>
        <v>13.5</v>
      </c>
      <c r="D109" s="84"/>
      <c r="E109" s="71">
        <f ca="1">((100/I103)*C109)/100</f>
        <v>0.61363636363636365</v>
      </c>
      <c r="F109" s="82"/>
      <c r="G109" s="82"/>
      <c r="H109" s="82"/>
      <c r="I109" s="82"/>
      <c r="J109" s="40" t="s">
        <v>166</v>
      </c>
      <c r="K109" s="45">
        <f>(IF(E103&gt;1,(I103/(E103+2)+K108),0))</f>
        <v>0</v>
      </c>
    </row>
    <row r="110" spans="1:13" ht="21" customHeight="1" x14ac:dyDescent="0.35">
      <c r="A110" s="85" t="s">
        <v>257</v>
      </c>
      <c r="B110" s="86"/>
      <c r="C110" s="84">
        <f>C109</f>
        <v>13.5</v>
      </c>
      <c r="D110" s="84"/>
      <c r="E110" s="71">
        <f ca="1">((100/I103)*C110)/100</f>
        <v>0.61363636363636365</v>
      </c>
      <c r="F110" s="82"/>
      <c r="G110" s="82"/>
      <c r="H110" s="82"/>
      <c r="I110" s="82"/>
      <c r="J110" s="40" t="s">
        <v>167</v>
      </c>
      <c r="K110" s="45">
        <f>(IF(E103&gt;2,(I103/(E103+2)+K109),0))</f>
        <v>0</v>
      </c>
    </row>
    <row r="111" spans="1:13" ht="57.75" customHeight="1" x14ac:dyDescent="0.35">
      <c r="A111" s="85" t="s">
        <v>258</v>
      </c>
      <c r="B111" s="86"/>
      <c r="C111" s="83">
        <v>3</v>
      </c>
      <c r="D111" s="83"/>
      <c r="E111" s="71">
        <f ca="1">((100/(I103))*C111)/100</f>
        <v>0.13636363636363635</v>
      </c>
      <c r="F111" s="82"/>
      <c r="G111" s="82"/>
      <c r="H111" s="82"/>
      <c r="I111" s="82"/>
      <c r="J111" s="40" t="s">
        <v>169</v>
      </c>
      <c r="K111" s="46">
        <f>(IF(E103&gt;3,(I103/(E103+2)+K110),0))</f>
        <v>0</v>
      </c>
    </row>
    <row r="112" spans="1:13" ht="21" x14ac:dyDescent="0.35">
      <c r="A112" s="82" t="s">
        <v>168</v>
      </c>
      <c r="B112" s="82"/>
      <c r="C112" s="83">
        <v>0</v>
      </c>
      <c r="D112" s="83"/>
      <c r="E112" s="71">
        <f ca="1">((100/(I103))*C112)/100</f>
        <v>0</v>
      </c>
      <c r="F112" s="82"/>
      <c r="G112" s="82"/>
      <c r="H112" s="82"/>
      <c r="I112" s="82"/>
      <c r="J112" s="40" t="s">
        <v>170</v>
      </c>
      <c r="K112" s="45">
        <f>(IF(E103&gt;4,(I103/(E103+2)+K111),0))</f>
        <v>0</v>
      </c>
    </row>
    <row r="113" spans="1:13" ht="21" customHeight="1" x14ac:dyDescent="0.35">
      <c r="A113" s="82" t="s">
        <v>259</v>
      </c>
      <c r="B113" s="82"/>
      <c r="C113" s="83">
        <v>0</v>
      </c>
      <c r="D113" s="83"/>
      <c r="E113" s="71">
        <f ca="1">((100/I103)*C113)/100</f>
        <v>0</v>
      </c>
      <c r="F113" s="82"/>
      <c r="G113" s="82"/>
      <c r="H113" s="82"/>
      <c r="I113" s="82"/>
      <c r="J113" s="40" t="s">
        <v>153</v>
      </c>
      <c r="K113" s="45">
        <f ca="1">(IF(E103=1,(I103/(E103+3)+K108),IF(E103=0,(I103/4+K108),IF(E103&gt;1,0))))</f>
        <v>16.5</v>
      </c>
    </row>
    <row r="114" spans="1:13" ht="42" customHeight="1" thickBot="1" x14ac:dyDescent="0.4">
      <c r="A114" s="82" t="s">
        <v>260</v>
      </c>
      <c r="B114" s="82"/>
      <c r="C114" s="83">
        <v>0</v>
      </c>
      <c r="D114" s="83"/>
      <c r="E114" s="71">
        <f ca="1">((100/I103)*C114)/100</f>
        <v>0</v>
      </c>
      <c r="F114" s="82"/>
      <c r="G114" s="82"/>
      <c r="H114" s="82"/>
      <c r="I114" s="82"/>
      <c r="J114" s="42" t="s">
        <v>154</v>
      </c>
      <c r="K114" s="47">
        <f ca="1">(IF(E103&gt;1.5,(I103/(E103+2)+K107+MAX(0,K108-K107)+MAX(0,K109-K108)+MAX(0,K110-K109)+MAX(0,K111-K110)+MAX(0,K112-K111)),IF(E103=1,(I103/(E103+3)+K113),IF(E103=0,I103/4+K113))))</f>
        <v>22</v>
      </c>
      <c r="M114" s="1" t="e">
        <f>(IF(D102&gt;1.5,(H102/(D102+2)+J107+MAX(0,J108-J107)+MAX(0,J109-J108)+MAX(0,J110-J109)+MAX(0,J111-J110)+MAX(0,J112-J111)),IF(D102=1,(H102/(D102+3)+J112),IF(D102=0,H102*0.3+J112))))</f>
        <v>#VALUE!</v>
      </c>
    </row>
    <row r="115" spans="1:13" ht="20.25" x14ac:dyDescent="0.25">
      <c r="A115" s="82" t="s">
        <v>171</v>
      </c>
      <c r="B115" s="82"/>
      <c r="C115" s="83">
        <v>0</v>
      </c>
      <c r="D115" s="83"/>
      <c r="E115" s="71">
        <f ca="1">((100/(I103))*C115)/100</f>
        <v>0</v>
      </c>
      <c r="F115" s="82"/>
      <c r="G115" s="82"/>
      <c r="H115" s="82"/>
      <c r="I115" s="82"/>
    </row>
    <row r="116" spans="1:13" ht="20.25" x14ac:dyDescent="0.25">
      <c r="A116" s="82" t="s">
        <v>172</v>
      </c>
      <c r="B116" s="82"/>
      <c r="C116" s="83">
        <v>0</v>
      </c>
      <c r="D116" s="83"/>
      <c r="E116" s="71">
        <f ca="1">((100/(I103))*C116)/100</f>
        <v>0</v>
      </c>
      <c r="F116" s="82"/>
      <c r="G116" s="82"/>
      <c r="H116" s="82"/>
      <c r="I116" s="82"/>
    </row>
    <row r="117" spans="1:13" ht="21" thickBot="1" x14ac:dyDescent="0.3">
      <c r="A117" s="139" t="s">
        <v>68</v>
      </c>
      <c r="B117" s="139"/>
      <c r="C117" s="139"/>
      <c r="D117" s="139"/>
      <c r="E117" s="139"/>
      <c r="F117" s="139"/>
      <c r="G117" s="139"/>
      <c r="H117" s="139"/>
      <c r="I117" s="139"/>
    </row>
    <row r="118" spans="1:13" ht="20.25" customHeight="1" x14ac:dyDescent="0.3">
      <c r="A118" s="140" t="s">
        <v>267</v>
      </c>
      <c r="B118" s="140"/>
      <c r="C118" s="140"/>
      <c r="D118" s="124" t="s">
        <v>4</v>
      </c>
      <c r="E118" s="67" t="s">
        <v>142</v>
      </c>
      <c r="F118" s="83" t="s">
        <v>128</v>
      </c>
      <c r="G118" s="83"/>
      <c r="H118" s="67" t="s">
        <v>143</v>
      </c>
      <c r="I118" s="67" t="s">
        <v>144</v>
      </c>
      <c r="J118" s="36" t="str">
        <f ca="1">(IF(F121&gt;99%,"All work completed. Please provide OC.",IF(F121&gt;89.8%,"Plinth, RCC, Brick, Plaster, Flooring, Wooden, Plumbing, Electrification, etc., work Completed. Finishing work is in process.",IF(F121&lt;94%,(IF(C121=0,"Work not yet Started.",IF(E121=25%,"Piling work in process",IF(E121=50%,"Excavation work in process",IF(E121=100%,"Excavation work Completed. ","0")))&amp;(IF(C122=0%,"",IF(C122=K123,"Footing work is process",IF(C122=K124,"Footing work Completed",IF(C122=K125,"1st Basement Completed",IF(C122=K126,"1st &amp; 2nd Basement Completed",IF(C122=K127,"1st to 3rd Basement Completed",IF(C122=K128,"1st to 4th Basement Completed",IF(C122=K129,"Plinth work is process",IF(C122=K130,"Plinth work completed","0")))))))))))&amp;(IF(C123=(F119+H119+I119),", RCC Slab",IF(C123&gt;0,", RCC upto "&amp;C123&amp;" Slab",""))&amp;(IF(C124=I119,", Brickwork",IF(C124&gt;0,", Brickwork upto "&amp;C124&amp;" Floor",""))&amp;(IF(C125=I119,", Internal Plaster",IF(C125&gt;0,", Internal Plaster upto "&amp;C125&amp;" Floor",""))&amp;(IF(C126=I119,", External Plaster",IF(C126&gt;0,", External Plaster upto "&amp;C126&amp;" Floor",""))&amp;(IF(C127=I119,", External Plumbing, Elevation and Waterproofing",IF(C127&gt;0,", External Plumbing, Elevation and Waterproofing upto "&amp;C127&amp;" Floor",""))&amp;(IF(C128=I119,", Flooring &amp; Fitting",IF(C128&gt;0,", Flooring &amp; Fitting upto "&amp;C128&amp;" Floor",""))&amp;(IF(C129=I119,", Wooden Work",IF(C129&gt;0,", Wooden Work upto "&amp;C129&amp;" Floor",""))&amp;(IF(C130=I119,", Electrical &amp; Sanitary fittings",IF(C130&gt;0,", Electrical &amp; Sanitary fittings upto "&amp;C130&amp;" Floor",""))&amp;(IF(C131&gt;0,", Finishing upto "&amp;C131&amp;" Floor","")&amp;(IF(C123&gt;0.5," Completed",""))))))))))))))))</f>
        <v>Excavation work Completed. Plinth work completed, RCC upto 22 Slab, Brickwork upto 21 Floor, Internal Plaster upto 15.75 Floor, External Plaster upto 15.75 Floor, External Plumbing, Elevation and Waterproofing upto 8 Floor Completed</v>
      </c>
      <c r="K118" s="38"/>
    </row>
    <row r="119" spans="1:13" ht="20.25" x14ac:dyDescent="0.3">
      <c r="A119" s="140"/>
      <c r="B119" s="140"/>
      <c r="C119" s="140"/>
      <c r="D119" s="124"/>
      <c r="E119" s="67">
        <v>0</v>
      </c>
      <c r="F119" s="83">
        <v>1</v>
      </c>
      <c r="G119" s="83"/>
      <c r="H119" s="67">
        <v>0</v>
      </c>
      <c r="I119" s="67">
        <f ca="1">--TRIM(RIGHT(SUBSTITUTE(LEFT(A118,_xlfn.AGGREGATE(16,6,FIND({0,1,2,3,4,5,6,7,8,9},A118,ROW(INDIRECT("1:"&amp;LEN(A118)))),1))," ",REPT(" ",LEN(A118))),LEN(A118)))</f>
        <v>22</v>
      </c>
      <c r="J119" s="37" t="s">
        <v>148</v>
      </c>
      <c r="K119" s="38"/>
    </row>
    <row r="120" spans="1:13" ht="20.25" customHeight="1" x14ac:dyDescent="0.3">
      <c r="A120" s="81" t="s">
        <v>146</v>
      </c>
      <c r="B120" s="81"/>
      <c r="C120" s="81" t="s">
        <v>159</v>
      </c>
      <c r="D120" s="81"/>
      <c r="E120" s="69" t="s">
        <v>160</v>
      </c>
      <c r="F120" s="81" t="s">
        <v>147</v>
      </c>
      <c r="G120" s="81"/>
      <c r="H120" s="49" t="s">
        <v>145</v>
      </c>
      <c r="I120" s="49"/>
      <c r="J120" s="40" t="s">
        <v>161</v>
      </c>
      <c r="K120" s="39">
        <f ca="1">I119*25%</f>
        <v>5.5</v>
      </c>
    </row>
    <row r="121" spans="1:13" ht="20.25" customHeight="1" x14ac:dyDescent="0.3">
      <c r="A121" s="82" t="s">
        <v>162</v>
      </c>
      <c r="B121" s="82"/>
      <c r="C121" s="83">
        <f ca="1">K122</f>
        <v>22</v>
      </c>
      <c r="D121" s="83"/>
      <c r="E121" s="66">
        <f ca="1">((100/I119)*C121)/100</f>
        <v>1.0000000000000002</v>
      </c>
      <c r="F121" s="82">
        <f ca="1">(((C121/I119*5)+(C122/I119*20)+(25/(F119+H119+I119)*C123)+(5/(I119)*C124)+(2.5/(I119)*C125)+(2.5/(I119)*C126)+(5/I119*C127)+(10/I119*C128)+(2.5/I119*C129)+(2.5/I119*C130)+(10/I119*C131)+(10/I119*C132))/100)</f>
        <v>0.59083498023715419</v>
      </c>
      <c r="G121" s="82"/>
      <c r="H121" s="82" t="str">
        <f ca="1">J118</f>
        <v>Excavation work Completed. Plinth work completed, RCC upto 22 Slab, Brickwork upto 21 Floor, Internal Plaster upto 15.75 Floor, External Plaster upto 15.75 Floor, External Plumbing, Elevation and Waterproofing upto 8 Floor Completed</v>
      </c>
      <c r="I121" s="82"/>
      <c r="J121" s="40" t="s">
        <v>149</v>
      </c>
      <c r="K121" s="44">
        <f ca="1">I119*50%</f>
        <v>11</v>
      </c>
    </row>
    <row r="122" spans="1:13" ht="20.25" x14ac:dyDescent="0.3">
      <c r="A122" s="82" t="s">
        <v>129</v>
      </c>
      <c r="B122" s="82"/>
      <c r="C122" s="84">
        <f ca="1">K130</f>
        <v>22</v>
      </c>
      <c r="D122" s="83"/>
      <c r="E122" s="66">
        <f ca="1">((100/I119)*C122)/100</f>
        <v>1.0000000000000002</v>
      </c>
      <c r="F122" s="82"/>
      <c r="G122" s="82"/>
      <c r="H122" s="82"/>
      <c r="I122" s="82"/>
      <c r="J122" s="40" t="s">
        <v>150</v>
      </c>
      <c r="K122" s="44">
        <f ca="1">I119</f>
        <v>22</v>
      </c>
    </row>
    <row r="123" spans="1:13" ht="21" customHeight="1" x14ac:dyDescent="0.35">
      <c r="A123" s="82" t="s">
        <v>163</v>
      </c>
      <c r="B123" s="82"/>
      <c r="C123" s="83">
        <v>22</v>
      </c>
      <c r="D123" s="83"/>
      <c r="E123" s="66">
        <f ca="1">((100/(F119+H119+I119))*C123)/100</f>
        <v>0.9565217391304347</v>
      </c>
      <c r="F123" s="82"/>
      <c r="G123" s="82"/>
      <c r="H123" s="82"/>
      <c r="I123" s="82"/>
      <c r="J123" s="40" t="s">
        <v>151</v>
      </c>
      <c r="K123" s="45">
        <f ca="1">(IF(E119&gt;1,(I119/(E119+2)),I119/4))</f>
        <v>5.5</v>
      </c>
    </row>
    <row r="124" spans="1:13" ht="21" customHeight="1" x14ac:dyDescent="0.35">
      <c r="A124" s="82" t="s">
        <v>164</v>
      </c>
      <c r="B124" s="82"/>
      <c r="C124" s="83">
        <f>C123-F119</f>
        <v>21</v>
      </c>
      <c r="D124" s="83"/>
      <c r="E124" s="66">
        <f ca="1">((100/I119)*C124)/100</f>
        <v>0.9545454545454547</v>
      </c>
      <c r="F124" s="82"/>
      <c r="G124" s="82"/>
      <c r="H124" s="82"/>
      <c r="I124" s="82"/>
      <c r="J124" s="40" t="s">
        <v>152</v>
      </c>
      <c r="K124" s="45">
        <f ca="1">(IF(E119&gt;1,(I119/(E119+2)+K123),I119/4+K123))</f>
        <v>11</v>
      </c>
    </row>
    <row r="125" spans="1:13" ht="21" customHeight="1" x14ac:dyDescent="0.35">
      <c r="A125" s="85" t="s">
        <v>165</v>
      </c>
      <c r="B125" s="86"/>
      <c r="C125" s="84">
        <f>C124*0.75</f>
        <v>15.75</v>
      </c>
      <c r="D125" s="84"/>
      <c r="E125" s="66">
        <f ca="1">((100/I119)*C125)/100</f>
        <v>0.71590909090909094</v>
      </c>
      <c r="F125" s="82"/>
      <c r="G125" s="82"/>
      <c r="H125" s="82"/>
      <c r="I125" s="82"/>
      <c r="J125" s="40" t="s">
        <v>166</v>
      </c>
      <c r="K125" s="45">
        <f>(IF(E119&gt;1,(I119/(E119+2)+K124),0))</f>
        <v>0</v>
      </c>
    </row>
    <row r="126" spans="1:13" ht="21" customHeight="1" x14ac:dyDescent="0.35">
      <c r="A126" s="85" t="s">
        <v>257</v>
      </c>
      <c r="B126" s="86"/>
      <c r="C126" s="84">
        <f>C125</f>
        <v>15.75</v>
      </c>
      <c r="D126" s="84"/>
      <c r="E126" s="66">
        <f ca="1">((100/I119)*C126)/100</f>
        <v>0.71590909090909094</v>
      </c>
      <c r="F126" s="82"/>
      <c r="G126" s="82"/>
      <c r="H126" s="82"/>
      <c r="I126" s="82"/>
      <c r="J126" s="40" t="s">
        <v>167</v>
      </c>
      <c r="K126" s="45">
        <f>(IF(E119&gt;2,(I119/(E119+2)+K125),0))</f>
        <v>0</v>
      </c>
    </row>
    <row r="127" spans="1:13" ht="57.75" customHeight="1" x14ac:dyDescent="0.35">
      <c r="A127" s="85" t="s">
        <v>258</v>
      </c>
      <c r="B127" s="86"/>
      <c r="C127" s="83">
        <v>8</v>
      </c>
      <c r="D127" s="83"/>
      <c r="E127" s="66">
        <f ca="1">((100/(I119))*C127)/100</f>
        <v>0.36363636363636365</v>
      </c>
      <c r="F127" s="82"/>
      <c r="G127" s="82"/>
      <c r="H127" s="82"/>
      <c r="I127" s="82"/>
      <c r="J127" s="40" t="s">
        <v>169</v>
      </c>
      <c r="K127" s="46">
        <f>(IF(E119&gt;3,(I119/(E119+2)+K126),0))</f>
        <v>0</v>
      </c>
    </row>
    <row r="128" spans="1:13" ht="21" x14ac:dyDescent="0.35">
      <c r="A128" s="82" t="s">
        <v>168</v>
      </c>
      <c r="B128" s="82"/>
      <c r="C128" s="83">
        <v>0</v>
      </c>
      <c r="D128" s="83"/>
      <c r="E128" s="66">
        <f ca="1">((100/(I119))*C128)/100</f>
        <v>0</v>
      </c>
      <c r="F128" s="82"/>
      <c r="G128" s="82"/>
      <c r="H128" s="82"/>
      <c r="I128" s="82"/>
      <c r="J128" s="40" t="s">
        <v>170</v>
      </c>
      <c r="K128" s="45">
        <f>(IF(E119&gt;4,(I119/(E119+2)+K127),0))</f>
        <v>0</v>
      </c>
    </row>
    <row r="129" spans="1:13" ht="21" customHeight="1" x14ac:dyDescent="0.35">
      <c r="A129" s="82" t="s">
        <v>259</v>
      </c>
      <c r="B129" s="82"/>
      <c r="C129" s="83">
        <v>0</v>
      </c>
      <c r="D129" s="83"/>
      <c r="E129" s="66">
        <f ca="1">((100/I119)*C129)/100</f>
        <v>0</v>
      </c>
      <c r="F129" s="82"/>
      <c r="G129" s="82"/>
      <c r="H129" s="82"/>
      <c r="I129" s="82"/>
      <c r="J129" s="40" t="s">
        <v>153</v>
      </c>
      <c r="K129" s="45">
        <f ca="1">(IF(E119=1,(I119/(E119+3)+K124),IF(E119=0,(I119/4+K124),IF(E119&gt;1,0))))</f>
        <v>16.5</v>
      </c>
    </row>
    <row r="130" spans="1:13" ht="42" customHeight="1" thickBot="1" x14ac:dyDescent="0.4">
      <c r="A130" s="82" t="s">
        <v>260</v>
      </c>
      <c r="B130" s="82"/>
      <c r="C130" s="83">
        <v>0</v>
      </c>
      <c r="D130" s="83"/>
      <c r="E130" s="66">
        <f ca="1">((100/I119)*C130)/100</f>
        <v>0</v>
      </c>
      <c r="F130" s="82"/>
      <c r="G130" s="82"/>
      <c r="H130" s="82"/>
      <c r="I130" s="82"/>
      <c r="J130" s="42" t="s">
        <v>154</v>
      </c>
      <c r="K130" s="47">
        <f ca="1">(IF(E119&gt;1.5,(I119/(E119+2)+K123+MAX(0,K124-K123)+MAX(0,K125-K124)+MAX(0,K126-K125)+MAX(0,K127-K126)+MAX(0,K128-K127)),IF(E119=1,(I119/(E119+3)+K129),IF(E119=0,I119/4+K129))))</f>
        <v>22</v>
      </c>
      <c r="M130" s="1" t="e">
        <f>(IF(D118&gt;1.5,(H118/(D118+2)+J123+MAX(0,J124-J123)+MAX(0,J125-J124)+MAX(0,J126-J125)+MAX(0,J127-J126)+MAX(0,J128-J127)),IF(D118=1,(H118/(D118+3)+J128),IF(D118=0,H118*0.3+J128))))</f>
        <v>#VALUE!</v>
      </c>
    </row>
    <row r="131" spans="1:13" ht="20.25" x14ac:dyDescent="0.25">
      <c r="A131" s="82" t="s">
        <v>171</v>
      </c>
      <c r="B131" s="82"/>
      <c r="C131" s="83">
        <v>0</v>
      </c>
      <c r="D131" s="83"/>
      <c r="E131" s="66">
        <f ca="1">((100/(I119))*C131)/100</f>
        <v>0</v>
      </c>
      <c r="F131" s="82"/>
      <c r="G131" s="82"/>
      <c r="H131" s="82"/>
      <c r="I131" s="82"/>
    </row>
    <row r="132" spans="1:13" ht="20.25" x14ac:dyDescent="0.25">
      <c r="A132" s="82" t="s">
        <v>172</v>
      </c>
      <c r="B132" s="82"/>
      <c r="C132" s="83">
        <v>0</v>
      </c>
      <c r="D132" s="83"/>
      <c r="E132" s="66">
        <f ca="1">((100/(I119))*C132)/100</f>
        <v>0</v>
      </c>
      <c r="F132" s="82"/>
      <c r="G132" s="82"/>
      <c r="H132" s="82"/>
      <c r="I132" s="82"/>
    </row>
    <row r="133" spans="1:13" ht="36.75" customHeight="1" x14ac:dyDescent="0.3">
      <c r="A133" s="125" t="s">
        <v>155</v>
      </c>
      <c r="B133" s="126"/>
      <c r="C133" s="126"/>
      <c r="D133" s="126"/>
      <c r="E133" s="126"/>
      <c r="F133" s="126"/>
      <c r="G133" s="126"/>
      <c r="H133" s="127">
        <f ca="1">AVERAGE(F57,F89,F105,F121)</f>
        <v>0.5340600296442688</v>
      </c>
      <c r="I133" s="128"/>
      <c r="J133" s="40"/>
      <c r="K133" s="41"/>
      <c r="L133" s="41"/>
    </row>
    <row r="134" spans="1:13" ht="20.25" x14ac:dyDescent="0.25">
      <c r="A134" s="115" t="s">
        <v>72</v>
      </c>
      <c r="B134" s="116"/>
      <c r="C134" s="116"/>
      <c r="D134" s="116"/>
      <c r="E134" s="116"/>
      <c r="F134" s="116"/>
      <c r="G134" s="116"/>
      <c r="H134" s="116"/>
      <c r="I134" s="117"/>
    </row>
    <row r="135" spans="1:13" ht="42" customHeight="1" x14ac:dyDescent="0.25">
      <c r="A135" s="131" t="s">
        <v>73</v>
      </c>
      <c r="B135" s="131"/>
      <c r="C135" s="131"/>
      <c r="D135" s="3" t="s">
        <v>4</v>
      </c>
      <c r="E135" s="14" t="s">
        <v>134</v>
      </c>
      <c r="F135" s="21" t="s">
        <v>173</v>
      </c>
      <c r="G135" s="3" t="s">
        <v>4</v>
      </c>
      <c r="H135" s="138" t="s">
        <v>242</v>
      </c>
      <c r="I135" s="138"/>
    </row>
    <row r="136" spans="1:13" ht="45" customHeight="1" x14ac:dyDescent="0.25">
      <c r="A136" s="131" t="s">
        <v>186</v>
      </c>
      <c r="B136" s="131"/>
      <c r="C136" s="131"/>
      <c r="D136" s="2" t="s">
        <v>130</v>
      </c>
      <c r="E136" s="18" t="s">
        <v>241</v>
      </c>
      <c r="F136" s="21" t="s">
        <v>187</v>
      </c>
      <c r="G136" s="2" t="s">
        <v>4</v>
      </c>
      <c r="H136" s="114" t="s">
        <v>174</v>
      </c>
      <c r="I136" s="114"/>
    </row>
    <row r="137" spans="1:13" ht="61.5" customHeight="1" x14ac:dyDescent="0.25">
      <c r="A137" s="131" t="s">
        <v>276</v>
      </c>
      <c r="B137" s="131"/>
      <c r="C137" s="131"/>
      <c r="D137" s="77" t="s">
        <v>130</v>
      </c>
      <c r="E137" s="76" t="s">
        <v>277</v>
      </c>
      <c r="F137" s="78" t="s">
        <v>278</v>
      </c>
      <c r="G137" s="77" t="s">
        <v>4</v>
      </c>
      <c r="H137" s="114" t="s">
        <v>279</v>
      </c>
      <c r="I137" s="114"/>
    </row>
    <row r="138" spans="1:13" ht="26.25" customHeight="1" x14ac:dyDescent="0.25">
      <c r="A138" s="135" t="s">
        <v>76</v>
      </c>
      <c r="B138" s="135"/>
      <c r="C138" s="135"/>
      <c r="D138" s="3" t="s">
        <v>4</v>
      </c>
      <c r="E138" s="54">
        <v>200000</v>
      </c>
      <c r="F138" s="3" t="s">
        <v>126</v>
      </c>
      <c r="G138" s="3" t="s">
        <v>4</v>
      </c>
      <c r="H138" s="136" t="s">
        <v>135</v>
      </c>
      <c r="I138" s="137"/>
    </row>
    <row r="139" spans="1:13" ht="20.25" hidden="1" x14ac:dyDescent="0.25">
      <c r="A139" s="131" t="s">
        <v>116</v>
      </c>
      <c r="B139" s="131"/>
      <c r="C139" s="131"/>
      <c r="D139" s="2" t="s">
        <v>4</v>
      </c>
      <c r="E139" s="18" t="s">
        <v>117</v>
      </c>
      <c r="F139" s="21" t="s">
        <v>118</v>
      </c>
      <c r="G139" s="2" t="s">
        <v>4</v>
      </c>
      <c r="H139" s="114" t="s">
        <v>95</v>
      </c>
      <c r="I139" s="114"/>
    </row>
    <row r="140" spans="1:13" ht="60.75" hidden="1" x14ac:dyDescent="0.25">
      <c r="A140" s="131" t="s">
        <v>119</v>
      </c>
      <c r="B140" s="131"/>
      <c r="C140" s="131"/>
      <c r="D140" s="2" t="s">
        <v>4</v>
      </c>
      <c r="E140" s="18" t="s">
        <v>120</v>
      </c>
      <c r="F140" s="21" t="s">
        <v>121</v>
      </c>
      <c r="G140" s="2" t="s">
        <v>4</v>
      </c>
      <c r="H140" s="114" t="s">
        <v>122</v>
      </c>
      <c r="I140" s="114"/>
    </row>
    <row r="141" spans="1:13" ht="20.25" hidden="1" x14ac:dyDescent="0.25">
      <c r="A141" s="131" t="s">
        <v>75</v>
      </c>
      <c r="B141" s="131"/>
      <c r="C141" s="131"/>
      <c r="D141" s="2" t="s">
        <v>4</v>
      </c>
      <c r="E141" s="18" t="s">
        <v>97</v>
      </c>
      <c r="F141" s="21" t="s">
        <v>74</v>
      </c>
      <c r="G141" s="2" t="s">
        <v>4</v>
      </c>
      <c r="H141" s="132" t="s">
        <v>97</v>
      </c>
      <c r="I141" s="133"/>
    </row>
    <row r="142" spans="1:13" ht="20.25" hidden="1" x14ac:dyDescent="0.25">
      <c r="A142" s="131" t="s">
        <v>123</v>
      </c>
      <c r="B142" s="131"/>
      <c r="C142" s="131"/>
      <c r="D142" s="2" t="s">
        <v>4</v>
      </c>
      <c r="E142" s="18" t="s">
        <v>96</v>
      </c>
      <c r="F142" s="21" t="s">
        <v>76</v>
      </c>
      <c r="G142" s="2" t="s">
        <v>4</v>
      </c>
      <c r="H142" s="114" t="s">
        <v>115</v>
      </c>
      <c r="I142" s="114"/>
    </row>
    <row r="143" spans="1:13" ht="20.25" hidden="1" x14ac:dyDescent="0.25">
      <c r="A143" s="131" t="s">
        <v>124</v>
      </c>
      <c r="B143" s="131"/>
      <c r="C143" s="131"/>
      <c r="D143" s="2" t="s">
        <v>4</v>
      </c>
      <c r="E143" s="19" t="s">
        <v>108</v>
      </c>
      <c r="F143" s="21" t="s">
        <v>125</v>
      </c>
      <c r="G143" s="2" t="s">
        <v>4</v>
      </c>
      <c r="H143" s="134" t="s">
        <v>108</v>
      </c>
      <c r="I143" s="134"/>
    </row>
    <row r="144" spans="1:13" ht="18" hidden="1" customHeight="1" x14ac:dyDescent="0.25">
      <c r="A144" s="135" t="s">
        <v>126</v>
      </c>
      <c r="B144" s="135"/>
      <c r="C144" s="135"/>
      <c r="D144" s="3" t="s">
        <v>4</v>
      </c>
      <c r="E144" s="10"/>
      <c r="F144" s="3" t="s">
        <v>126</v>
      </c>
      <c r="G144" s="3" t="s">
        <v>4</v>
      </c>
      <c r="H144" s="129" t="s">
        <v>108</v>
      </c>
      <c r="I144" s="130"/>
    </row>
    <row r="145" spans="1:151 16227:16384" ht="20.25" x14ac:dyDescent="0.25">
      <c r="A145" s="115" t="s">
        <v>71</v>
      </c>
      <c r="B145" s="116"/>
      <c r="C145" s="116"/>
      <c r="D145" s="116"/>
      <c r="E145" s="116"/>
      <c r="F145" s="116"/>
      <c r="G145" s="116"/>
      <c r="H145" s="116"/>
      <c r="I145" s="117"/>
    </row>
    <row r="146" spans="1:151 16227:16384" ht="20.25" x14ac:dyDescent="0.25">
      <c r="A146" s="111" t="s">
        <v>9</v>
      </c>
      <c r="B146" s="112"/>
      <c r="C146" s="112"/>
      <c r="D146" s="112"/>
      <c r="E146" s="112"/>
      <c r="F146" s="113"/>
      <c r="G146" s="2" t="s">
        <v>4</v>
      </c>
      <c r="H146" s="141">
        <f>7000/10.764</f>
        <v>650.31586770717206</v>
      </c>
      <c r="I146" s="142"/>
    </row>
    <row r="147" spans="1:151 16227:16384" ht="20.25" x14ac:dyDescent="0.25">
      <c r="A147" s="111" t="s">
        <v>31</v>
      </c>
      <c r="B147" s="112"/>
      <c r="C147" s="112"/>
      <c r="D147" s="112"/>
      <c r="E147" s="112"/>
      <c r="F147" s="113"/>
      <c r="G147" s="2" t="s">
        <v>4</v>
      </c>
      <c r="H147" s="123">
        <f>47400/10.764</f>
        <v>4403.5674470457079</v>
      </c>
      <c r="I147" s="123"/>
    </row>
    <row r="148" spans="1:151 16227:16384" ht="20.25" x14ac:dyDescent="0.25">
      <c r="A148" s="111" t="s">
        <v>233</v>
      </c>
      <c r="B148" s="112"/>
      <c r="C148" s="112"/>
      <c r="D148" s="112"/>
      <c r="E148" s="112"/>
      <c r="F148" s="113"/>
      <c r="G148" s="2" t="s">
        <v>4</v>
      </c>
      <c r="H148" s="123">
        <f>58800/10.764764</f>
        <v>5462.2655917027078</v>
      </c>
      <c r="I148" s="123"/>
    </row>
    <row r="149" spans="1:151 16227:16384" ht="20.25" x14ac:dyDescent="0.25">
      <c r="A149" s="111" t="s">
        <v>136</v>
      </c>
      <c r="B149" s="112"/>
      <c r="C149" s="112"/>
      <c r="D149" s="112"/>
      <c r="E149" s="112"/>
      <c r="F149" s="113"/>
      <c r="G149" s="2" t="s">
        <v>4</v>
      </c>
      <c r="H149" s="123">
        <f>H146*0.8</f>
        <v>520.25269416573769</v>
      </c>
      <c r="I149" s="123"/>
    </row>
    <row r="150" spans="1:151 16227:16384" ht="20.25" x14ac:dyDescent="0.25">
      <c r="A150" s="168" t="s">
        <v>80</v>
      </c>
      <c r="B150" s="169"/>
      <c r="C150" s="169"/>
      <c r="D150" s="169"/>
      <c r="E150" s="169"/>
      <c r="F150" s="169"/>
      <c r="G150" s="169"/>
      <c r="H150" s="169"/>
      <c r="I150" s="120"/>
    </row>
    <row r="151" spans="1:151 16227:16384" s="11" customFormat="1" ht="40.5" x14ac:dyDescent="0.25">
      <c r="A151" s="92" t="s">
        <v>182</v>
      </c>
      <c r="B151" s="93"/>
      <c r="C151" s="92" t="s">
        <v>183</v>
      </c>
      <c r="D151" s="93"/>
      <c r="E151" s="60" t="s">
        <v>230</v>
      </c>
      <c r="F151" s="92" t="s">
        <v>181</v>
      </c>
      <c r="G151" s="93"/>
      <c r="H151" s="60" t="s">
        <v>180</v>
      </c>
      <c r="I151" s="60" t="s">
        <v>179</v>
      </c>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0.25" x14ac:dyDescent="0.25">
      <c r="A152" s="90" t="s">
        <v>209</v>
      </c>
      <c r="B152" s="91"/>
      <c r="C152" s="90" t="s">
        <v>93</v>
      </c>
      <c r="D152" s="91"/>
      <c r="E152" s="59" t="s">
        <v>231</v>
      </c>
      <c r="F152" s="90">
        <f>COUNT(F169:G183)</f>
        <v>15</v>
      </c>
      <c r="G152" s="91"/>
      <c r="H152" s="59">
        <f>SUM(F169:G183)</f>
        <v>3219.6200399999998</v>
      </c>
      <c r="I152" s="59">
        <f>SUM(I169:I183)</f>
        <v>4990.4110619999992</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x14ac:dyDescent="0.25">
      <c r="A153" s="90" t="s">
        <v>222</v>
      </c>
      <c r="B153" s="91"/>
      <c r="C153" s="90" t="s">
        <v>93</v>
      </c>
      <c r="D153" s="91"/>
      <c r="E153" s="59" t="s">
        <v>231</v>
      </c>
      <c r="F153" s="90">
        <f>COUNT(F222:G236)+COUNT(F238:G252)</f>
        <v>30</v>
      </c>
      <c r="G153" s="91"/>
      <c r="H153" s="59">
        <f>SUM(F222:G236)+SUM(F238:G252)</f>
        <v>8165.5359599999992</v>
      </c>
      <c r="I153" s="59">
        <f>SUM(I222:I236)+SUM(I238:I252)</f>
        <v>12656.580738000001</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0.25" x14ac:dyDescent="0.25">
      <c r="A154" s="90" t="s">
        <v>227</v>
      </c>
      <c r="B154" s="91"/>
      <c r="C154" s="90" t="s">
        <v>93</v>
      </c>
      <c r="D154" s="91"/>
      <c r="E154" s="59" t="s">
        <v>231</v>
      </c>
      <c r="F154" s="90">
        <f>COUNT(F297:G307)+COUNT(F309:G319)</f>
        <v>22</v>
      </c>
      <c r="G154" s="91"/>
      <c r="H154" s="59">
        <f>SUM(F297:G307)+SUM(F309:G319)</f>
        <v>7645.3462799999998</v>
      </c>
      <c r="I154" s="59">
        <f>SUM(I297:I307)+SUM(I309:I319)</f>
        <v>11850.286733999999</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x14ac:dyDescent="0.25">
      <c r="A155" s="90" t="s">
        <v>229</v>
      </c>
      <c r="B155" s="91"/>
      <c r="C155" s="90" t="s">
        <v>93</v>
      </c>
      <c r="D155" s="91"/>
      <c r="E155" s="59" t="s">
        <v>231</v>
      </c>
      <c r="F155" s="90">
        <f>COUNT(F364:G375)</f>
        <v>12</v>
      </c>
      <c r="G155" s="91"/>
      <c r="H155" s="59">
        <f>SUM(F364:G375)</f>
        <v>4055.5522799999999</v>
      </c>
      <c r="I155" s="59">
        <f>SUM(I364:I375)</f>
        <v>6286.1060339999995</v>
      </c>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53" customFormat="1" ht="20.25" x14ac:dyDescent="0.25">
      <c r="A156" s="92" t="s">
        <v>185</v>
      </c>
      <c r="B156" s="93"/>
      <c r="C156" s="92" t="s">
        <v>93</v>
      </c>
      <c r="D156" s="93"/>
      <c r="E156" s="60" t="s">
        <v>231</v>
      </c>
      <c r="F156" s="92">
        <f>SUM(F152:F155)</f>
        <v>79</v>
      </c>
      <c r="G156" s="93"/>
      <c r="H156" s="60">
        <f>SUM(H152:H155)</f>
        <v>23086.05456</v>
      </c>
      <c r="I156" s="60">
        <f>SUM(I152:I155)</f>
        <v>35783.384567999994</v>
      </c>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c r="DI156" s="52"/>
      <c r="DJ156" s="52"/>
      <c r="DK156" s="52"/>
      <c r="DL156" s="52"/>
      <c r="DM156" s="52"/>
      <c r="DN156" s="52"/>
      <c r="DO156" s="52"/>
      <c r="DP156" s="52"/>
      <c r="DQ156" s="52"/>
      <c r="DR156" s="52"/>
      <c r="DS156" s="52"/>
      <c r="DT156" s="52"/>
      <c r="DU156" s="52"/>
      <c r="DV156" s="52"/>
      <c r="DW156" s="52"/>
      <c r="DX156" s="52"/>
      <c r="DY156" s="52"/>
      <c r="DZ156" s="52"/>
      <c r="EA156" s="52"/>
      <c r="EB156" s="52"/>
      <c r="EC156" s="52"/>
      <c r="ED156" s="52"/>
      <c r="EE156" s="52"/>
      <c r="EF156" s="52"/>
      <c r="EG156" s="52"/>
      <c r="EH156" s="52"/>
      <c r="EI156" s="52"/>
      <c r="EJ156" s="52"/>
      <c r="EK156" s="52"/>
      <c r="EL156" s="52"/>
      <c r="EM156" s="52"/>
      <c r="EN156" s="52"/>
      <c r="EO156" s="52"/>
      <c r="EP156" s="52"/>
      <c r="EQ156" s="52"/>
      <c r="ER156" s="52"/>
      <c r="ES156" s="52"/>
      <c r="ET156" s="52"/>
      <c r="EU156" s="52"/>
      <c r="WZC156" s="52"/>
      <c r="WZD156" s="52"/>
      <c r="WZE156" s="52"/>
      <c r="WZF156" s="52"/>
      <c r="WZG156" s="52"/>
      <c r="WZH156" s="52"/>
      <c r="WZI156" s="52"/>
      <c r="WZJ156" s="52"/>
      <c r="WZK156" s="52"/>
      <c r="WZL156" s="52"/>
      <c r="WZM156" s="52"/>
      <c r="WZN156" s="52"/>
      <c r="WZO156" s="52"/>
      <c r="WZP156" s="52"/>
      <c r="WZQ156" s="52"/>
      <c r="WZR156" s="52"/>
      <c r="WZS156" s="52"/>
      <c r="WZT156" s="52"/>
      <c r="WZU156" s="52"/>
      <c r="WZV156" s="52"/>
      <c r="WZW156" s="52"/>
      <c r="WZX156" s="52"/>
      <c r="WZY156" s="52"/>
      <c r="WZZ156" s="52"/>
      <c r="XAA156" s="52"/>
      <c r="XAB156" s="52"/>
      <c r="XAC156" s="52"/>
      <c r="XAD156" s="52"/>
      <c r="XAE156" s="52"/>
      <c r="XAF156" s="52"/>
      <c r="XAG156" s="52"/>
      <c r="XAH156" s="52"/>
      <c r="XAI156" s="52"/>
      <c r="XAJ156" s="52"/>
      <c r="XAK156" s="52"/>
      <c r="XAL156" s="52"/>
      <c r="XAM156" s="52"/>
      <c r="XAN156" s="52"/>
      <c r="XAO156" s="52"/>
      <c r="XAP156" s="52"/>
      <c r="XAQ156" s="52"/>
      <c r="XAR156" s="52"/>
      <c r="XAS156" s="52"/>
      <c r="XAT156" s="52"/>
      <c r="XAU156" s="52"/>
      <c r="XAV156" s="52"/>
      <c r="XAW156" s="52"/>
      <c r="XAX156" s="52"/>
      <c r="XAY156" s="52"/>
      <c r="XAZ156" s="52"/>
      <c r="XBA156" s="52"/>
      <c r="XBB156" s="52"/>
      <c r="XBC156" s="52"/>
      <c r="XBD156" s="52"/>
      <c r="XBE156" s="52"/>
      <c r="XBF156" s="52"/>
      <c r="XBG156" s="52"/>
      <c r="XBH156" s="52"/>
      <c r="XBI156" s="52"/>
      <c r="XBJ156" s="52"/>
      <c r="XBK156" s="52"/>
      <c r="XBL156" s="52"/>
      <c r="XBM156" s="52"/>
      <c r="XBN156" s="52"/>
      <c r="XBO156" s="52"/>
      <c r="XBP156" s="52"/>
      <c r="XBQ156" s="52"/>
      <c r="XBR156" s="52"/>
      <c r="XBS156" s="52"/>
      <c r="XBT156" s="52"/>
      <c r="XBU156" s="52"/>
      <c r="XBV156" s="52"/>
      <c r="XBW156" s="52"/>
      <c r="XBX156" s="52"/>
      <c r="XBY156" s="52"/>
      <c r="XBZ156" s="52"/>
      <c r="XCA156" s="52"/>
      <c r="XCB156" s="52"/>
      <c r="XCC156" s="52"/>
      <c r="XCD156" s="52"/>
      <c r="XCE156" s="52"/>
      <c r="XCF156" s="52"/>
      <c r="XCG156" s="52"/>
      <c r="XCH156" s="52"/>
      <c r="XCI156" s="52"/>
      <c r="XCJ156" s="52"/>
      <c r="XCK156" s="52"/>
      <c r="XCL156" s="52"/>
      <c r="XCM156" s="52"/>
      <c r="XCN156" s="52"/>
      <c r="XCO156" s="52"/>
      <c r="XCP156" s="52"/>
      <c r="XCQ156" s="52"/>
      <c r="XCR156" s="52"/>
      <c r="XCS156" s="52"/>
      <c r="XCT156" s="52"/>
      <c r="XCU156" s="52"/>
      <c r="XCV156" s="52"/>
      <c r="XCW156" s="52"/>
      <c r="XCX156" s="52"/>
      <c r="XCY156" s="52"/>
      <c r="XCZ156" s="52"/>
      <c r="XDA156" s="52"/>
      <c r="XDB156" s="52"/>
      <c r="XDC156" s="52"/>
      <c r="XDD156" s="52"/>
      <c r="XDE156" s="52"/>
      <c r="XDF156" s="52"/>
      <c r="XDG156" s="52"/>
      <c r="XDH156" s="52"/>
      <c r="XDI156" s="52"/>
      <c r="XDJ156" s="52"/>
      <c r="XDK156" s="52"/>
      <c r="XDL156" s="52"/>
      <c r="XDM156" s="52"/>
      <c r="XDN156" s="52"/>
      <c r="XDO156" s="52"/>
      <c r="XDP156" s="52"/>
      <c r="XDQ156" s="52"/>
      <c r="XDR156" s="52"/>
      <c r="XDS156" s="52"/>
      <c r="XDT156" s="52"/>
      <c r="XDU156" s="52"/>
      <c r="XDV156" s="52"/>
      <c r="XDW156" s="52"/>
      <c r="XDX156" s="52"/>
      <c r="XDY156" s="52"/>
      <c r="XDZ156" s="52"/>
      <c r="XEA156" s="52"/>
      <c r="XEB156" s="52"/>
      <c r="XEC156" s="52"/>
      <c r="XED156" s="52"/>
      <c r="XEE156" s="52"/>
      <c r="XEF156" s="52"/>
      <c r="XEG156" s="52"/>
      <c r="XEH156" s="52"/>
      <c r="XEI156" s="52"/>
      <c r="XEJ156" s="52"/>
      <c r="XEK156" s="52"/>
      <c r="XEL156" s="52"/>
      <c r="XEM156" s="52"/>
      <c r="XEN156" s="52"/>
      <c r="XEO156" s="52"/>
      <c r="XEP156" s="52"/>
      <c r="XEQ156" s="52"/>
      <c r="XER156" s="52"/>
      <c r="XES156" s="52"/>
      <c r="XET156" s="52"/>
      <c r="XEU156" s="52"/>
      <c r="XEV156" s="52"/>
      <c r="XEW156" s="52"/>
      <c r="XEX156" s="52"/>
      <c r="XEY156" s="52"/>
      <c r="XEZ156" s="52"/>
      <c r="XFA156" s="52"/>
      <c r="XFB156" s="52"/>
      <c r="XFC156" s="52"/>
      <c r="XFD156" s="52"/>
    </row>
    <row r="157" spans="1:151 16227:16384" s="11" customFormat="1" ht="40.5" x14ac:dyDescent="0.25">
      <c r="A157" s="92" t="s">
        <v>182</v>
      </c>
      <c r="B157" s="93"/>
      <c r="C157" s="92" t="s">
        <v>183</v>
      </c>
      <c r="D157" s="93"/>
      <c r="E157" s="60" t="s">
        <v>184</v>
      </c>
      <c r="F157" s="92" t="s">
        <v>181</v>
      </c>
      <c r="G157" s="93"/>
      <c r="H157" s="60" t="s">
        <v>180</v>
      </c>
      <c r="I157" s="60" t="s">
        <v>179</v>
      </c>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x14ac:dyDescent="0.25">
      <c r="A158" s="90" t="s">
        <v>209</v>
      </c>
      <c r="B158" s="91"/>
      <c r="C158" s="90" t="s">
        <v>93</v>
      </c>
      <c r="D158" s="91"/>
      <c r="E158" s="59" t="s">
        <v>232</v>
      </c>
      <c r="F158" s="90">
        <f>COUNT(F185:G195)+COUNT(F197:G207)*17+COUNT(F210:G219)*4</f>
        <v>238</v>
      </c>
      <c r="G158" s="91"/>
      <c r="H158" s="59">
        <f>SUM(F185:G195)+SUM(F197:G207)*17+SUM(F210:G219)*4</f>
        <v>109796.24447999999</v>
      </c>
      <c r="I158" s="59">
        <f>SUM(I185:I195)+SUM(I197:I207)*17+SUM(I210:I219)*4</f>
        <v>171410.41382400002</v>
      </c>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0.25" x14ac:dyDescent="0.25">
      <c r="A159" s="90" t="s">
        <v>222</v>
      </c>
      <c r="B159" s="91"/>
      <c r="C159" s="90" t="s">
        <v>93</v>
      </c>
      <c r="D159" s="91"/>
      <c r="E159" s="59" t="s">
        <v>232</v>
      </c>
      <c r="F159" s="90">
        <f>COUNT(F253:G258)+COUNT(F260:G270)+COUNT(F272:G282)*16+COUNT(F284:G291,F293:G294)*4</f>
        <v>233</v>
      </c>
      <c r="G159" s="91"/>
      <c r="H159" s="59">
        <f>SUM(F253:G258)+SUM(F260:G270)+SUM(F272:G282)*16+SUM(F284:G291,F293:G294)*4</f>
        <v>107152.82136</v>
      </c>
      <c r="I159" s="59">
        <f>SUM(I253:I258)+SUM(I260:I270)+SUM(I272:I282)*16+SUM(I284:I291,I293:I294)*4</f>
        <v>166872.7998405</v>
      </c>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x14ac:dyDescent="0.25">
      <c r="A160" s="90" t="s">
        <v>227</v>
      </c>
      <c r="B160" s="91"/>
      <c r="C160" s="90" t="s">
        <v>93</v>
      </c>
      <c r="D160" s="91"/>
      <c r="E160" s="59" t="s">
        <v>232</v>
      </c>
      <c r="F160" s="90">
        <f>COUNT(F320:G325)+COUNT(F327:G337)+COUNT(F339:G349)*16+COUNT(F351:G358,F360:G361)*4</f>
        <v>233</v>
      </c>
      <c r="G160" s="91"/>
      <c r="H160" s="59">
        <f>SUM(F320:G325)+SUM(F327:G337)+SUM(F339:G349)*16+SUM(F351:G358,F360:G361)*4</f>
        <v>107028.82008</v>
      </c>
      <c r="I160" s="59">
        <f>SUM(I320:I325)+SUM(I327:I337)+SUM(I339:I349)*16+SUM(I351:I358,I360:I361)*4</f>
        <v>166163.41106820002</v>
      </c>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0.25" x14ac:dyDescent="0.25">
      <c r="A161" s="90" t="s">
        <v>229</v>
      </c>
      <c r="B161" s="91"/>
      <c r="C161" s="90" t="s">
        <v>93</v>
      </c>
      <c r="D161" s="91"/>
      <c r="E161" s="59" t="s">
        <v>232</v>
      </c>
      <c r="F161" s="90">
        <f>COUNT(F377:G387)+COUNT(F389:G399)*17+COUNT(F402:G411)*4</f>
        <v>238</v>
      </c>
      <c r="G161" s="91"/>
      <c r="H161" s="59">
        <f>SUM(F377:G387)+SUM(F389:G399)*17+SUM(F402:G411)*4</f>
        <v>109436.94215999998</v>
      </c>
      <c r="I161" s="59">
        <f>SUM(I377:I387)+SUM(I389:I399)*17+SUM(I402:I411)*4</f>
        <v>169926.27242759999</v>
      </c>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1" thickBot="1" x14ac:dyDescent="0.3">
      <c r="A162" s="190" t="s">
        <v>185</v>
      </c>
      <c r="B162" s="191"/>
      <c r="C162" s="192" t="s">
        <v>93</v>
      </c>
      <c r="D162" s="193"/>
      <c r="E162" s="194" t="s">
        <v>232</v>
      </c>
      <c r="F162" s="190">
        <f>SUM(F158:F161)</f>
        <v>942</v>
      </c>
      <c r="G162" s="191"/>
      <c r="H162" s="195">
        <f>SUM(H158:H161)</f>
        <v>433414.82808000001</v>
      </c>
      <c r="I162" s="195">
        <f>SUM(I158:I161)</f>
        <v>674372.89716030005</v>
      </c>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1" thickBot="1" x14ac:dyDescent="0.3">
      <c r="A163" s="199" t="s">
        <v>253</v>
      </c>
      <c r="B163" s="200"/>
      <c r="C163" s="201" t="s">
        <v>93</v>
      </c>
      <c r="D163" s="202"/>
      <c r="E163" s="203" t="s">
        <v>232</v>
      </c>
      <c r="F163" s="204">
        <f>SUM(F162,F156)</f>
        <v>1021</v>
      </c>
      <c r="G163" s="200"/>
      <c r="H163" s="205">
        <f>SUM(H162,H156)</f>
        <v>456500.88264000003</v>
      </c>
      <c r="I163" s="206">
        <f>SUM(I162,I156)</f>
        <v>710156.28172830003</v>
      </c>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ht="20.25" x14ac:dyDescent="0.25">
      <c r="A164" s="196" t="s">
        <v>178</v>
      </c>
      <c r="B164" s="197"/>
      <c r="C164" s="197"/>
      <c r="D164" s="197"/>
      <c r="E164" s="197"/>
      <c r="F164" s="197"/>
      <c r="G164" s="197"/>
      <c r="H164" s="197"/>
      <c r="I164" s="198"/>
    </row>
    <row r="165" spans="1:151 16227:16384" ht="44.25" customHeight="1" x14ac:dyDescent="0.25">
      <c r="A165" s="110" t="s">
        <v>102</v>
      </c>
      <c r="B165" s="110"/>
      <c r="C165" s="110" t="s">
        <v>98</v>
      </c>
      <c r="D165" s="110"/>
      <c r="E165" s="110" t="s">
        <v>99</v>
      </c>
      <c r="F165" s="110" t="s">
        <v>100</v>
      </c>
      <c r="G165" s="110"/>
      <c r="H165" s="110" t="s">
        <v>101</v>
      </c>
      <c r="I165" s="34" t="s">
        <v>156</v>
      </c>
    </row>
    <row r="166" spans="1:151 16227:16384" s="11" customFormat="1" ht="20.25" x14ac:dyDescent="0.25">
      <c r="A166" s="110"/>
      <c r="B166" s="110"/>
      <c r="C166" s="110"/>
      <c r="D166" s="110"/>
      <c r="E166" s="110"/>
      <c r="F166" s="110"/>
      <c r="G166" s="110"/>
      <c r="H166" s="110"/>
      <c r="I166" s="35">
        <v>0.55000000000000004</v>
      </c>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0.25" x14ac:dyDescent="0.25">
      <c r="A167" s="94" t="s">
        <v>250</v>
      </c>
      <c r="B167" s="95"/>
      <c r="C167" s="95"/>
      <c r="D167" s="95"/>
      <c r="E167" s="95"/>
      <c r="F167" s="95"/>
      <c r="G167" s="95"/>
      <c r="H167" s="95"/>
      <c r="I167" s="9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40.5" customHeight="1" x14ac:dyDescent="0.25">
      <c r="A168" s="94" t="s">
        <v>244</v>
      </c>
      <c r="B168" s="95"/>
      <c r="C168" s="95"/>
      <c r="D168" s="95"/>
      <c r="E168" s="95"/>
      <c r="F168" s="95"/>
      <c r="G168" s="95"/>
      <c r="H168" s="95"/>
      <c r="I168" s="96"/>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customHeight="1" x14ac:dyDescent="0.25">
      <c r="A169" s="97" t="str">
        <f>A168</f>
        <v>Ground Floor For Entrance Lobby, Store, Pannel Room, Meter Room, ELV Room, Facility Management Room, Parking &amp; Commercial</v>
      </c>
      <c r="B169" s="98"/>
      <c r="C169" s="87">
        <v>1</v>
      </c>
      <c r="D169" s="87"/>
      <c r="E169" s="20" t="s">
        <v>217</v>
      </c>
      <c r="F169" s="88">
        <f>16.51*10.764</f>
        <v>177.71364</v>
      </c>
      <c r="G169" s="89"/>
      <c r="H169" s="20">
        <v>0</v>
      </c>
      <c r="I169" s="20">
        <f>F169*(($I$166)+1)+H169</f>
        <v>275.456142</v>
      </c>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customHeight="1" x14ac:dyDescent="0.25">
      <c r="A170" s="99"/>
      <c r="B170" s="100"/>
      <c r="C170" s="87">
        <f>C169+1</f>
        <v>2</v>
      </c>
      <c r="D170" s="87"/>
      <c r="E170" s="20" t="s">
        <v>217</v>
      </c>
      <c r="F170" s="88">
        <f>18.9*10.764</f>
        <v>203.43959999999998</v>
      </c>
      <c r="G170" s="89"/>
      <c r="H170" s="20">
        <v>0</v>
      </c>
      <c r="I170" s="20">
        <f t="shared" ref="I170:I206" si="0">F170*(($I$166)+1)+H170</f>
        <v>315.33137999999997</v>
      </c>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customHeight="1" x14ac:dyDescent="0.25">
      <c r="A171" s="99"/>
      <c r="B171" s="100"/>
      <c r="C171" s="87">
        <f t="shared" ref="C171:C183" si="1">C170+1</f>
        <v>3</v>
      </c>
      <c r="D171" s="87"/>
      <c r="E171" s="20" t="s">
        <v>217</v>
      </c>
      <c r="F171" s="88">
        <f>14.29*10.764</f>
        <v>153.81755999999999</v>
      </c>
      <c r="G171" s="89"/>
      <c r="H171" s="20">
        <v>0</v>
      </c>
      <c r="I171" s="20">
        <f t="shared" si="0"/>
        <v>238.41721799999999</v>
      </c>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customHeight="1" x14ac:dyDescent="0.25">
      <c r="A172" s="99"/>
      <c r="B172" s="100"/>
      <c r="C172" s="87">
        <f t="shared" si="1"/>
        <v>4</v>
      </c>
      <c r="D172" s="87"/>
      <c r="E172" s="20" t="s">
        <v>217</v>
      </c>
      <c r="F172" s="88">
        <f>14.29*10.764</f>
        <v>153.81755999999999</v>
      </c>
      <c r="G172" s="89"/>
      <c r="H172" s="20">
        <v>0</v>
      </c>
      <c r="I172" s="20">
        <f t="shared" si="0"/>
        <v>238.41721799999999</v>
      </c>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0.25" customHeight="1" x14ac:dyDescent="0.25">
      <c r="A173" s="99"/>
      <c r="B173" s="100"/>
      <c r="C173" s="87">
        <f t="shared" si="1"/>
        <v>5</v>
      </c>
      <c r="D173" s="87"/>
      <c r="E173" s="20" t="s">
        <v>217</v>
      </c>
      <c r="F173" s="88">
        <f>18.9*10.764</f>
        <v>203.43959999999998</v>
      </c>
      <c r="G173" s="89"/>
      <c r="H173" s="20">
        <v>0</v>
      </c>
      <c r="I173" s="20">
        <f t="shared" si="0"/>
        <v>315.33137999999997</v>
      </c>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customHeight="1" x14ac:dyDescent="0.25">
      <c r="A174" s="99"/>
      <c r="B174" s="100"/>
      <c r="C174" s="87">
        <f t="shared" si="1"/>
        <v>6</v>
      </c>
      <c r="D174" s="87"/>
      <c r="E174" s="20" t="s">
        <v>217</v>
      </c>
      <c r="F174" s="88">
        <f>16.56*10.764</f>
        <v>178.25183999999999</v>
      </c>
      <c r="G174" s="89"/>
      <c r="H174" s="20">
        <v>0</v>
      </c>
      <c r="I174" s="20">
        <f t="shared" si="0"/>
        <v>276.29035199999998</v>
      </c>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customHeight="1" x14ac:dyDescent="0.25">
      <c r="A175" s="99"/>
      <c r="B175" s="100"/>
      <c r="C175" s="87">
        <f t="shared" si="1"/>
        <v>7</v>
      </c>
      <c r="D175" s="87"/>
      <c r="E175" s="20" t="s">
        <v>217</v>
      </c>
      <c r="F175" s="88">
        <f>17.74*10.764</f>
        <v>190.95335999999998</v>
      </c>
      <c r="G175" s="89"/>
      <c r="H175" s="20">
        <v>0</v>
      </c>
      <c r="I175" s="20">
        <f t="shared" si="0"/>
        <v>295.97770799999995</v>
      </c>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customHeight="1" x14ac:dyDescent="0.25">
      <c r="A176" s="99"/>
      <c r="B176" s="100"/>
      <c r="C176" s="87">
        <f t="shared" si="1"/>
        <v>8</v>
      </c>
      <c r="D176" s="87"/>
      <c r="E176" s="20" t="s">
        <v>217</v>
      </c>
      <c r="F176" s="88">
        <f>32.38*10.764</f>
        <v>348.53832</v>
      </c>
      <c r="G176" s="89"/>
      <c r="H176" s="20">
        <v>0</v>
      </c>
      <c r="I176" s="20">
        <f t="shared" si="0"/>
        <v>540.23439600000006</v>
      </c>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customHeight="1" x14ac:dyDescent="0.25">
      <c r="A177" s="99"/>
      <c r="B177" s="100"/>
      <c r="C177" s="87">
        <f t="shared" si="1"/>
        <v>9</v>
      </c>
      <c r="D177" s="87"/>
      <c r="E177" s="20" t="s">
        <v>217</v>
      </c>
      <c r="F177" s="88">
        <f>6.77*10.764</f>
        <v>72.872279999999989</v>
      </c>
      <c r="G177" s="89"/>
      <c r="H177" s="20">
        <v>0</v>
      </c>
      <c r="I177" s="20">
        <f t="shared" ref="I177:I181" si="2">F177*(($I$166)+1)+H177</f>
        <v>112.95203399999998</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customHeight="1" x14ac:dyDescent="0.25">
      <c r="A178" s="99"/>
      <c r="B178" s="100"/>
      <c r="C178" s="87">
        <f t="shared" si="1"/>
        <v>10</v>
      </c>
      <c r="D178" s="87"/>
      <c r="E178" s="20" t="s">
        <v>217</v>
      </c>
      <c r="F178" s="88">
        <f>18.21*10.764</f>
        <v>196.01244</v>
      </c>
      <c r="G178" s="89"/>
      <c r="H178" s="20">
        <v>0</v>
      </c>
      <c r="I178" s="20">
        <f t="shared" si="2"/>
        <v>303.81928199999999</v>
      </c>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customHeight="1" x14ac:dyDescent="0.25">
      <c r="A179" s="99"/>
      <c r="B179" s="100"/>
      <c r="C179" s="87">
        <f t="shared" si="1"/>
        <v>11</v>
      </c>
      <c r="D179" s="87"/>
      <c r="E179" s="20" t="s">
        <v>217</v>
      </c>
      <c r="F179" s="88">
        <f>21.71*10.764</f>
        <v>233.68644</v>
      </c>
      <c r="G179" s="89"/>
      <c r="H179" s="20">
        <v>0</v>
      </c>
      <c r="I179" s="20">
        <f t="shared" si="2"/>
        <v>362.21398200000004</v>
      </c>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0.25" customHeight="1" x14ac:dyDescent="0.25">
      <c r="A180" s="99"/>
      <c r="B180" s="100"/>
      <c r="C180" s="87">
        <f t="shared" si="1"/>
        <v>12</v>
      </c>
      <c r="D180" s="87"/>
      <c r="E180" s="20" t="s">
        <v>217</v>
      </c>
      <c r="F180" s="88">
        <f>30.58*10.764</f>
        <v>329.16311999999994</v>
      </c>
      <c r="G180" s="89"/>
      <c r="H180" s="20">
        <v>0</v>
      </c>
      <c r="I180" s="20">
        <f t="shared" si="2"/>
        <v>510.20283599999993</v>
      </c>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customHeight="1" x14ac:dyDescent="0.25">
      <c r="A181" s="99"/>
      <c r="B181" s="100"/>
      <c r="C181" s="87">
        <f t="shared" si="1"/>
        <v>13</v>
      </c>
      <c r="D181" s="87"/>
      <c r="E181" s="20" t="s">
        <v>217</v>
      </c>
      <c r="F181" s="88">
        <f>29.4*10.764</f>
        <v>316.46159999999998</v>
      </c>
      <c r="G181" s="89"/>
      <c r="H181" s="20">
        <v>0</v>
      </c>
      <c r="I181" s="20">
        <f t="shared" si="2"/>
        <v>490.51547999999997</v>
      </c>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0.25" customHeight="1" x14ac:dyDescent="0.25">
      <c r="A182" s="99"/>
      <c r="B182" s="100"/>
      <c r="C182" s="87">
        <f t="shared" si="1"/>
        <v>14</v>
      </c>
      <c r="D182" s="87"/>
      <c r="E182" s="20" t="s">
        <v>217</v>
      </c>
      <c r="F182" s="88">
        <f>23.47*10.764</f>
        <v>252.63107999999997</v>
      </c>
      <c r="G182" s="89"/>
      <c r="H182" s="20">
        <v>0</v>
      </c>
      <c r="I182" s="20">
        <f t="shared" ref="I182" si="3">F182*(($I$166)+1)+H182</f>
        <v>391.57817399999999</v>
      </c>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25" customHeight="1" x14ac:dyDescent="0.25">
      <c r="A183" s="101"/>
      <c r="B183" s="102"/>
      <c r="C183" s="87">
        <f t="shared" si="1"/>
        <v>15</v>
      </c>
      <c r="D183" s="87"/>
      <c r="E183" s="55" t="s">
        <v>217</v>
      </c>
      <c r="F183" s="88">
        <f>19.4*10.764</f>
        <v>208.82159999999996</v>
      </c>
      <c r="G183" s="89"/>
      <c r="H183" s="55">
        <v>0</v>
      </c>
      <c r="I183" s="55">
        <f t="shared" ref="I183" si="4">F183*(($I$166)+1)+H183</f>
        <v>323.67347999999993</v>
      </c>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25" x14ac:dyDescent="0.25">
      <c r="A184" s="94" t="s">
        <v>249</v>
      </c>
      <c r="B184" s="95"/>
      <c r="C184" s="95"/>
      <c r="D184" s="95"/>
      <c r="E184" s="95"/>
      <c r="F184" s="95"/>
      <c r="G184" s="95"/>
      <c r="H184" s="95"/>
      <c r="I184" s="96"/>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customHeight="1" x14ac:dyDescent="0.25">
      <c r="A185" s="97" t="str">
        <f>A184</f>
        <v>1st Floor for Residential</v>
      </c>
      <c r="B185" s="98"/>
      <c r="C185" s="87">
        <v>1</v>
      </c>
      <c r="D185" s="87"/>
      <c r="E185" s="20" t="s">
        <v>218</v>
      </c>
      <c r="F185" s="88">
        <f>42.95*10.764</f>
        <v>462.31380000000001</v>
      </c>
      <c r="G185" s="89"/>
      <c r="H185" s="20">
        <v>0</v>
      </c>
      <c r="I185" s="20">
        <f>F185*(($I$166)+1)+H185</f>
        <v>716.58639000000005</v>
      </c>
      <c r="J185" s="75">
        <f>2.92*4.26+2.12*2.6+3.13*3.35+2.1*1.22+2.07*1.22+1*2.9+2.92*0.92+1.52*0.92</f>
        <v>40.508900000000004</v>
      </c>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customHeight="1" x14ac:dyDescent="0.25">
      <c r="A186" s="99"/>
      <c r="B186" s="100"/>
      <c r="C186" s="87">
        <f>C185+1</f>
        <v>2</v>
      </c>
      <c r="D186" s="87"/>
      <c r="E186" s="20" t="s">
        <v>218</v>
      </c>
      <c r="F186" s="88">
        <f>42.95*10.764</f>
        <v>462.31380000000001</v>
      </c>
      <c r="G186" s="89"/>
      <c r="H186" s="20">
        <v>0</v>
      </c>
      <c r="I186" s="20">
        <f t="shared" ref="I186:I195" si="5">F186*(($I$166)+1)+H186</f>
        <v>716.58639000000005</v>
      </c>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0.25" customHeight="1" x14ac:dyDescent="0.25">
      <c r="A187" s="99"/>
      <c r="B187" s="100"/>
      <c r="C187" s="87">
        <f t="shared" ref="C187:C195" si="6">C186+1</f>
        <v>3</v>
      </c>
      <c r="D187" s="87"/>
      <c r="E187" s="20" t="s">
        <v>218</v>
      </c>
      <c r="F187" s="88">
        <f>39.72*10.764</f>
        <v>427.54607999999996</v>
      </c>
      <c r="G187" s="89"/>
      <c r="H187" s="20">
        <f>(3.42*1.7+0.9*2.9+5.5*3.7)*10.764</f>
        <v>309.72333600000002</v>
      </c>
      <c r="I187" s="20">
        <f>F187*(($I$166)+1)+H187/2</f>
        <v>817.55809199999999</v>
      </c>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0.25" customHeight="1" x14ac:dyDescent="0.25">
      <c r="A188" s="99"/>
      <c r="B188" s="100"/>
      <c r="C188" s="87">
        <f t="shared" si="6"/>
        <v>4</v>
      </c>
      <c r="D188" s="87"/>
      <c r="E188" s="20" t="s">
        <v>218</v>
      </c>
      <c r="F188" s="88">
        <f>39.72*10.764</f>
        <v>427.54607999999996</v>
      </c>
      <c r="G188" s="89"/>
      <c r="H188" s="20">
        <f>(3.42*1.7+5.5*3.7)*10.764</f>
        <v>281.62929600000001</v>
      </c>
      <c r="I188" s="20">
        <f>F188*(($I$166)+1)+H188/2</f>
        <v>803.51107200000001</v>
      </c>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0.25" customHeight="1" x14ac:dyDescent="0.25">
      <c r="A189" s="99"/>
      <c r="B189" s="100"/>
      <c r="C189" s="87">
        <f t="shared" si="6"/>
        <v>5</v>
      </c>
      <c r="D189" s="87"/>
      <c r="E189" s="20" t="s">
        <v>218</v>
      </c>
      <c r="F189" s="88">
        <f>43.31*10.764</f>
        <v>466.18883999999997</v>
      </c>
      <c r="G189" s="89"/>
      <c r="H189" s="55">
        <f>(3.42*1.7+3.04*2.4+2.5*3.5)*10.764</f>
        <v>235.30103999999997</v>
      </c>
      <c r="I189" s="20">
        <f t="shared" si="5"/>
        <v>957.89374199999997</v>
      </c>
      <c r="J189" s="1">
        <f>2.92*4.97+2.12*2.6+3.13*3.35+1.22*2.1+2.13*1.22+2.89*0.92+1.52*0.92+0.9*1.22</f>
        <v>40.825699999999998</v>
      </c>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0.25" customHeight="1" x14ac:dyDescent="0.25">
      <c r="A190" s="99"/>
      <c r="B190" s="100"/>
      <c r="C190" s="87">
        <f t="shared" si="6"/>
        <v>6</v>
      </c>
      <c r="D190" s="87"/>
      <c r="E190" s="20" t="s">
        <v>228</v>
      </c>
      <c r="F190" s="108">
        <f>61.6*10.764</f>
        <v>663.06240000000003</v>
      </c>
      <c r="G190" s="109"/>
      <c r="H190" s="55">
        <f>(1.82*5.2+3.3*3+3.2*1.8+2.53*1.45+3.05*2.7)*10.764</f>
        <v>398.56400999999994</v>
      </c>
      <c r="I190" s="20">
        <f t="shared" si="5"/>
        <v>1426.3107300000001</v>
      </c>
      <c r="J190" s="1">
        <f>3.05*5.42+2.12*2.7+3.05*3.7+3.05*3.05+2.12*1.22+2.12*1.22+1.82*0.6+0.8*0.45+0.9*2.12+3.05*1.07+1.52*0.92</f>
        <v>56.037199999999999</v>
      </c>
      <c r="K190" s="1"/>
      <c r="L190" s="1" t="s">
        <v>263</v>
      </c>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0.25" customHeight="1" x14ac:dyDescent="0.25">
      <c r="A191" s="99"/>
      <c r="B191" s="100"/>
      <c r="C191" s="87">
        <f t="shared" si="6"/>
        <v>7</v>
      </c>
      <c r="D191" s="87"/>
      <c r="E191" s="20" t="s">
        <v>228</v>
      </c>
      <c r="F191" s="88">
        <f>61.23*10.764</f>
        <v>659.07971999999995</v>
      </c>
      <c r="G191" s="89"/>
      <c r="H191" s="55">
        <f>(3.3*3+3.2*1.8+2.53*1.45+3.05*2.7)*10.764</f>
        <v>296.69351399999994</v>
      </c>
      <c r="I191" s="20">
        <f t="shared" si="5"/>
        <v>1318.2670799999999</v>
      </c>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0.25" customHeight="1" x14ac:dyDescent="0.25">
      <c r="A192" s="99"/>
      <c r="B192" s="100"/>
      <c r="C192" s="87">
        <f t="shared" si="6"/>
        <v>8</v>
      </c>
      <c r="D192" s="87"/>
      <c r="E192" s="20" t="s">
        <v>218</v>
      </c>
      <c r="F192" s="88">
        <f>34.41*10.764</f>
        <v>370.38923999999992</v>
      </c>
      <c r="G192" s="89"/>
      <c r="H192" s="55">
        <v>0</v>
      </c>
      <c r="I192" s="20">
        <f t="shared" si="5"/>
        <v>574.10332199999993</v>
      </c>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0.25" customHeight="1" x14ac:dyDescent="0.25">
      <c r="A193" s="99"/>
      <c r="B193" s="100"/>
      <c r="C193" s="87">
        <f t="shared" si="6"/>
        <v>9</v>
      </c>
      <c r="D193" s="87"/>
      <c r="E193" s="20" t="s">
        <v>218</v>
      </c>
      <c r="F193" s="88">
        <f>34.41*10.764</f>
        <v>370.38923999999992</v>
      </c>
      <c r="G193" s="89"/>
      <c r="H193" s="20">
        <v>0</v>
      </c>
      <c r="I193" s="20">
        <f t="shared" si="5"/>
        <v>574.10332199999993</v>
      </c>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0.25" customHeight="1" x14ac:dyDescent="0.25">
      <c r="A194" s="99"/>
      <c r="B194" s="100"/>
      <c r="C194" s="87">
        <f t="shared" si="6"/>
        <v>10</v>
      </c>
      <c r="D194" s="87"/>
      <c r="E194" s="20" t="s">
        <v>218</v>
      </c>
      <c r="F194" s="88">
        <f>35.34*10.764</f>
        <v>380.39976000000001</v>
      </c>
      <c r="G194" s="89"/>
      <c r="H194" s="20">
        <v>0</v>
      </c>
      <c r="I194" s="20">
        <f t="shared" si="5"/>
        <v>589.61962800000003</v>
      </c>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0.25" customHeight="1" x14ac:dyDescent="0.25">
      <c r="A195" s="101"/>
      <c r="B195" s="102"/>
      <c r="C195" s="87">
        <f t="shared" si="6"/>
        <v>11</v>
      </c>
      <c r="D195" s="87"/>
      <c r="E195" s="20" t="s">
        <v>218</v>
      </c>
      <c r="F195" s="88">
        <f>35.34*10.764</f>
        <v>380.39976000000001</v>
      </c>
      <c r="G195" s="89"/>
      <c r="H195" s="20">
        <v>0</v>
      </c>
      <c r="I195" s="20">
        <f t="shared" si="5"/>
        <v>589.61962800000003</v>
      </c>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20.25" x14ac:dyDescent="0.25">
      <c r="A196" s="94" t="s">
        <v>219</v>
      </c>
      <c r="B196" s="95"/>
      <c r="C196" s="95"/>
      <c r="D196" s="95"/>
      <c r="E196" s="95"/>
      <c r="F196" s="95"/>
      <c r="G196" s="95"/>
      <c r="H196" s="95"/>
      <c r="I196" s="103"/>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0.25" customHeight="1" x14ac:dyDescent="0.25">
      <c r="A197" s="97" t="str">
        <f>A196</f>
        <v>2nd to 6th, 8th to 11th, 13th to 16th, 18th to 21st Floor</v>
      </c>
      <c r="B197" s="98"/>
      <c r="C197" s="88">
        <v>1</v>
      </c>
      <c r="D197" s="89"/>
      <c r="E197" s="55" t="s">
        <v>218</v>
      </c>
      <c r="F197" s="88">
        <f>43.04*10.764</f>
        <v>463.28255999999999</v>
      </c>
      <c r="G197" s="89"/>
      <c r="H197" s="20">
        <v>0</v>
      </c>
      <c r="I197" s="20">
        <f t="shared" si="0"/>
        <v>718.08796800000005</v>
      </c>
      <c r="J197" s="1">
        <f>3950000/F197</f>
        <v>8526.1141710147695</v>
      </c>
      <c r="K197" s="1"/>
      <c r="L197" s="1"/>
      <c r="M197" s="1"/>
      <c r="N197" s="1"/>
      <c r="O197" s="1"/>
      <c r="P197" s="1"/>
      <c r="Q197" s="1"/>
      <c r="R197" s="1"/>
      <c r="S197" s="1"/>
      <c r="T197" s="1"/>
      <c r="U197" s="43" t="str">
        <f t="shared" ref="U197:U206" ca="1" si="7">V197&amp;""&amp;",..,"&amp;""&amp;W197</f>
        <v>2601,..,2101</v>
      </c>
      <c r="V197" s="43">
        <f ca="1">(SUMPRODUCT(MID(0&amp;(LEFT(A196,SUM(LEN(A196)-LEN(SUBSTITUTE(A196,{"0","1","2","3"},""))))), LARGE(INDEX(ISNUMBER(--MID((LEFT(A196,SUM(LEN(A196)-LEN(SUBSTITUTE(A196,{"0","1","2","3"},""))))), ROW(INDIRECT("1:"&amp;LEN((LEFT(A196,SUM(LEN(A196)-LEN(SUBSTITUTE(A196,{"0","1","2","3"},"")))))))), 1)) * ROW(INDIRECT("1:"&amp;LEN((LEFT(A196,SUM(LEN(A196)-LEN(SUBSTITUTE(A196,{"0","1","2","3"},"")))))))), 0), ROW(INDIRECT("1:"&amp;LEN((LEFT(A196,SUM(LEN(A196)-LEN(SUBSTITUTE(A196,{"0","1","2","3"},"")))))))))+1, 1) * 10^ROW(INDIRECT("1:"&amp;LEN((LEFT(A196,SUM(LEN(A196)-LEN(SUBSTITUTE(A196,{"0","1","2","3"},""))))))))/10))*100+1</f>
        <v>2601</v>
      </c>
      <c r="W197" s="43">
        <f ca="1">(SUMPRODUCT(MID(0&amp;(--TRIM(RIGHT(SUBSTITUTE(LEFT(A196,_xlfn.AGGREGATE(16,6,FIND({0,1,2,3,4,5,6,7,8,9},A196,ROW(INDIRECT("1:"&amp;LEN(A196)))),1))," ",REPT(" ",LEN(A196))),LEN(A196)))), LARGE(INDEX(ISNUMBER(--MID((--TRIM(RIGHT(SUBSTITUTE(LEFT(A196,_xlfn.AGGREGATE(16,6,FIND({0,1,2,3,4,5,6,7,8,9},A196,ROW(INDIRECT("1:"&amp;LEN(A196)))),1))," ",REPT(" ",LEN(A196))),LEN(A196)))), ROW(INDIRECT("1:"&amp;LEN((--TRIM(RIGHT(SUBSTITUTE(LEFT(A196,_xlfn.AGGREGATE(16,6,FIND({0,1,2,3,4,5,6,7,8,9},A196,ROW(INDIRECT("1:"&amp;LEN(A196)))),1))," ",REPT(" ",LEN(A196))),LEN(A196))))))), 1)) * ROW(INDIRECT("1:"&amp;LEN((--TRIM(RIGHT(SUBSTITUTE(LEFT(A196,_xlfn.AGGREGATE(16,6,FIND({0,1,2,3,4,5,6,7,8,9},A196,ROW(INDIRECT("1:"&amp;LEN(A196)))),1))," ",REPT(" ",LEN(A196))),LEN(A196))))))), 0), ROW(INDIRECT("1:"&amp;LEN((--TRIM(RIGHT(SUBSTITUTE(LEFT(A196,_xlfn.AGGREGATE(16,6,FIND({0,1,2,3,4,5,6,7,8,9},A196,ROW(INDIRECT("1:"&amp;LEN(A196)))),1))," ",REPT(" ",LEN(A196))),LEN(A196))))))))+1, 1) * 10^ROW(INDIRECT("1:"&amp;LEN((--TRIM(RIGHT(SUBSTITUTE(LEFT(A196,_xlfn.AGGREGATE(16,6,FIND({0,1,2,3,4,5,6,7,8,9},A196,ROW(INDIRECT("1:"&amp;LEN(A196)))),1))," ",REPT(" ",LEN(A196))),LEN(A196)))))))/10))*100+1</f>
        <v>2101</v>
      </c>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0.25" customHeight="1" x14ac:dyDescent="0.25">
      <c r="A198" s="99"/>
      <c r="B198" s="100"/>
      <c r="C198" s="88">
        <v>2</v>
      </c>
      <c r="D198" s="89"/>
      <c r="E198" s="55" t="s">
        <v>218</v>
      </c>
      <c r="F198" s="88">
        <f>43.04*10.764</f>
        <v>463.28255999999999</v>
      </c>
      <c r="G198" s="89"/>
      <c r="H198" s="20">
        <v>0</v>
      </c>
      <c r="I198" s="20">
        <f t="shared" si="0"/>
        <v>718.08796800000005</v>
      </c>
      <c r="J198" s="1"/>
      <c r="K198" s="1"/>
      <c r="L198" s="1"/>
      <c r="M198" s="1"/>
      <c r="N198" s="1"/>
      <c r="O198" s="1"/>
      <c r="P198" s="1"/>
      <c r="Q198" s="1"/>
      <c r="R198" s="1"/>
      <c r="S198" s="1"/>
      <c r="T198" s="1"/>
      <c r="U198" s="43" t="str">
        <f t="shared" ca="1" si="7"/>
        <v>2602,..,2102</v>
      </c>
      <c r="V198" s="43">
        <f ca="1">V197+1</f>
        <v>2602</v>
      </c>
      <c r="W198" s="43">
        <f ca="1">W197+1</f>
        <v>2102</v>
      </c>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0.25" customHeight="1" x14ac:dyDescent="0.25">
      <c r="A199" s="99"/>
      <c r="B199" s="100"/>
      <c r="C199" s="88">
        <v>3</v>
      </c>
      <c r="D199" s="89"/>
      <c r="E199" s="55" t="s">
        <v>218</v>
      </c>
      <c r="F199" s="88">
        <f>39.8*10.764</f>
        <v>428.40719999999993</v>
      </c>
      <c r="G199" s="89"/>
      <c r="H199" s="20">
        <v>0</v>
      </c>
      <c r="I199" s="20">
        <f t="shared" si="0"/>
        <v>664.03115999999989</v>
      </c>
      <c r="J199" s="1">
        <v>5</v>
      </c>
      <c r="K199" s="1"/>
      <c r="L199" s="1"/>
      <c r="M199" s="1"/>
      <c r="N199" s="1"/>
      <c r="O199" s="1"/>
      <c r="P199" s="1"/>
      <c r="Q199" s="1"/>
      <c r="R199" s="1"/>
      <c r="S199" s="1"/>
      <c r="T199" s="1"/>
      <c r="U199" s="43" t="str">
        <f t="shared" ca="1" si="7"/>
        <v>2603,..,2103</v>
      </c>
      <c r="V199" s="43">
        <f t="shared" ref="V199:V207" ca="1" si="8">V198+1</f>
        <v>2603</v>
      </c>
      <c r="W199" s="43">
        <f t="shared" ref="W199:W207" ca="1" si="9">W198+1</f>
        <v>2103</v>
      </c>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customHeight="1" x14ac:dyDescent="0.25">
      <c r="A200" s="99"/>
      <c r="B200" s="100"/>
      <c r="C200" s="88">
        <v>4</v>
      </c>
      <c r="D200" s="89"/>
      <c r="E200" s="55" t="s">
        <v>218</v>
      </c>
      <c r="F200" s="88">
        <f>39.8*10.764</f>
        <v>428.40719999999993</v>
      </c>
      <c r="G200" s="89"/>
      <c r="H200" s="20">
        <v>0</v>
      </c>
      <c r="I200" s="20">
        <f t="shared" si="0"/>
        <v>664.03115999999989</v>
      </c>
      <c r="J200" s="1">
        <v>4</v>
      </c>
      <c r="K200" s="1"/>
      <c r="L200" s="1"/>
      <c r="M200" s="1"/>
      <c r="N200" s="1"/>
      <c r="O200" s="1"/>
      <c r="P200" s="1"/>
      <c r="Q200" s="1"/>
      <c r="R200" s="1"/>
      <c r="S200" s="1"/>
      <c r="T200" s="1"/>
      <c r="U200" s="43" t="str">
        <f t="shared" ca="1" si="7"/>
        <v>2604,..,2104</v>
      </c>
      <c r="V200" s="43">
        <f t="shared" ca="1" si="8"/>
        <v>2604</v>
      </c>
      <c r="W200" s="43">
        <f t="shared" ca="1" si="9"/>
        <v>2104</v>
      </c>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0.25" customHeight="1" x14ac:dyDescent="0.25">
      <c r="A201" s="99"/>
      <c r="B201" s="100"/>
      <c r="C201" s="88">
        <v>5</v>
      </c>
      <c r="D201" s="89"/>
      <c r="E201" s="55" t="s">
        <v>218</v>
      </c>
      <c r="F201" s="88">
        <f>43.31*10.764</f>
        <v>466.18883999999997</v>
      </c>
      <c r="G201" s="89"/>
      <c r="H201" s="20">
        <v>0</v>
      </c>
      <c r="I201" s="20">
        <f t="shared" si="0"/>
        <v>722.59270200000003</v>
      </c>
      <c r="J201" s="1">
        <v>4</v>
      </c>
      <c r="K201" s="1"/>
      <c r="L201" s="1"/>
      <c r="M201" s="1"/>
      <c r="N201" s="1"/>
      <c r="O201" s="1"/>
      <c r="P201" s="1"/>
      <c r="Q201" s="1"/>
      <c r="R201" s="1"/>
      <c r="S201" s="1"/>
      <c r="T201" s="1"/>
      <c r="U201" s="43" t="str">
        <f t="shared" ca="1" si="7"/>
        <v>2605,..,2105</v>
      </c>
      <c r="V201" s="43">
        <f t="shared" ca="1" si="8"/>
        <v>2605</v>
      </c>
      <c r="W201" s="43">
        <f t="shared" ca="1" si="9"/>
        <v>2105</v>
      </c>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0.25" customHeight="1" x14ac:dyDescent="0.25">
      <c r="A202" s="99"/>
      <c r="B202" s="100"/>
      <c r="C202" s="88">
        <v>6</v>
      </c>
      <c r="D202" s="89"/>
      <c r="E202" s="55" t="s">
        <v>228</v>
      </c>
      <c r="F202" s="88">
        <f>61.6*10.764</f>
        <v>663.06240000000003</v>
      </c>
      <c r="G202" s="89"/>
      <c r="H202" s="20">
        <v>0</v>
      </c>
      <c r="I202" s="20">
        <f t="shared" si="0"/>
        <v>1027.7467200000001</v>
      </c>
      <c r="J202" s="1">
        <v>4</v>
      </c>
      <c r="K202" s="1"/>
      <c r="L202" s="1"/>
      <c r="M202" s="1"/>
      <c r="N202" s="1"/>
      <c r="O202" s="1"/>
      <c r="P202" s="1"/>
      <c r="Q202" s="1"/>
      <c r="R202" s="1"/>
      <c r="S202" s="1"/>
      <c r="T202" s="1"/>
      <c r="U202" s="43" t="str">
        <f t="shared" ca="1" si="7"/>
        <v>2606,..,2106</v>
      </c>
      <c r="V202" s="43">
        <f t="shared" ca="1" si="8"/>
        <v>2606</v>
      </c>
      <c r="W202" s="43">
        <f t="shared" ca="1" si="9"/>
        <v>2106</v>
      </c>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0.25" customHeight="1" x14ac:dyDescent="0.25">
      <c r="A203" s="99"/>
      <c r="B203" s="100"/>
      <c r="C203" s="88">
        <v>7</v>
      </c>
      <c r="D203" s="89"/>
      <c r="E203" s="55" t="s">
        <v>228</v>
      </c>
      <c r="F203" s="88">
        <f>61.23*10.764</f>
        <v>659.07971999999995</v>
      </c>
      <c r="G203" s="89"/>
      <c r="H203" s="20">
        <v>0</v>
      </c>
      <c r="I203" s="20">
        <f t="shared" si="0"/>
        <v>1021.5735659999999</v>
      </c>
      <c r="J203" s="1"/>
      <c r="K203" s="1"/>
      <c r="L203" s="1"/>
      <c r="M203" s="1"/>
      <c r="N203" s="1"/>
      <c r="O203" s="1"/>
      <c r="P203" s="1"/>
      <c r="Q203" s="1"/>
      <c r="R203" s="1"/>
      <c r="S203" s="1"/>
      <c r="T203" s="1"/>
      <c r="U203" s="43" t="str">
        <f t="shared" ca="1" si="7"/>
        <v>2607,..,2107</v>
      </c>
      <c r="V203" s="43">
        <f t="shared" ca="1" si="8"/>
        <v>2607</v>
      </c>
      <c r="W203" s="43">
        <f t="shared" ca="1" si="9"/>
        <v>2107</v>
      </c>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0.25" customHeight="1" x14ac:dyDescent="0.25">
      <c r="A204" s="99"/>
      <c r="B204" s="100"/>
      <c r="C204" s="88">
        <v>8</v>
      </c>
      <c r="D204" s="89"/>
      <c r="E204" s="55" t="s">
        <v>218</v>
      </c>
      <c r="F204" s="88">
        <f>34.5*10.764</f>
        <v>371.358</v>
      </c>
      <c r="G204" s="89"/>
      <c r="H204" s="20">
        <v>0</v>
      </c>
      <c r="I204" s="20">
        <f t="shared" si="0"/>
        <v>575.60490000000004</v>
      </c>
      <c r="J204" s="1"/>
      <c r="K204" s="1"/>
      <c r="L204" s="1"/>
      <c r="M204" s="1"/>
      <c r="N204" s="1"/>
      <c r="O204" s="1"/>
      <c r="P204" s="1"/>
      <c r="Q204" s="1"/>
      <c r="R204" s="1"/>
      <c r="S204" s="1"/>
      <c r="T204" s="1"/>
      <c r="U204" s="43" t="str">
        <f t="shared" ca="1" si="7"/>
        <v>2608,..,2108</v>
      </c>
      <c r="V204" s="43">
        <f t="shared" ca="1" si="8"/>
        <v>2608</v>
      </c>
      <c r="W204" s="43">
        <f t="shared" ca="1" si="9"/>
        <v>2108</v>
      </c>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0.25" customHeight="1" x14ac:dyDescent="0.25">
      <c r="A205" s="99"/>
      <c r="B205" s="100"/>
      <c r="C205" s="88">
        <v>9</v>
      </c>
      <c r="D205" s="89"/>
      <c r="E205" s="55" t="s">
        <v>218</v>
      </c>
      <c r="F205" s="88">
        <f>34.5*10.764</f>
        <v>371.358</v>
      </c>
      <c r="G205" s="89"/>
      <c r="H205" s="20">
        <v>0</v>
      </c>
      <c r="I205" s="20">
        <f t="shared" si="0"/>
        <v>575.60490000000004</v>
      </c>
      <c r="J205" s="1"/>
      <c r="K205" s="1"/>
      <c r="L205" s="1"/>
      <c r="M205" s="1"/>
      <c r="N205" s="1"/>
      <c r="O205" s="1"/>
      <c r="P205" s="1"/>
      <c r="Q205" s="1"/>
      <c r="R205" s="1"/>
      <c r="S205" s="1"/>
      <c r="T205" s="1"/>
      <c r="U205" s="43" t="str">
        <f t="shared" ca="1" si="7"/>
        <v>2609,..,2109</v>
      </c>
      <c r="V205" s="43">
        <f t="shared" ca="1" si="8"/>
        <v>2609</v>
      </c>
      <c r="W205" s="43">
        <f t="shared" ca="1" si="9"/>
        <v>2109</v>
      </c>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customHeight="1" x14ac:dyDescent="0.25">
      <c r="A206" s="99"/>
      <c r="B206" s="100"/>
      <c r="C206" s="88">
        <v>10</v>
      </c>
      <c r="D206" s="89"/>
      <c r="E206" s="55" t="s">
        <v>218</v>
      </c>
      <c r="F206" s="88">
        <f>35.34*10.764</f>
        <v>380.39976000000001</v>
      </c>
      <c r="G206" s="89"/>
      <c r="H206" s="20">
        <v>0</v>
      </c>
      <c r="I206" s="20">
        <f t="shared" si="0"/>
        <v>589.61962800000003</v>
      </c>
      <c r="J206" s="1"/>
      <c r="K206" s="1"/>
      <c r="L206" s="1"/>
      <c r="M206" s="1"/>
      <c r="N206" s="1"/>
      <c r="O206" s="1"/>
      <c r="P206" s="1"/>
      <c r="Q206" s="1"/>
      <c r="R206" s="1"/>
      <c r="S206" s="1"/>
      <c r="T206" s="1"/>
      <c r="U206" s="43" t="str">
        <f t="shared" ca="1" si="7"/>
        <v>2610,..,2110</v>
      </c>
      <c r="V206" s="43">
        <f t="shared" ca="1" si="8"/>
        <v>2610</v>
      </c>
      <c r="W206" s="43">
        <f t="shared" ca="1" si="9"/>
        <v>2110</v>
      </c>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0.25" customHeight="1" x14ac:dyDescent="0.25">
      <c r="A207" s="101"/>
      <c r="B207" s="102"/>
      <c r="C207" s="88">
        <v>11</v>
      </c>
      <c r="D207" s="89"/>
      <c r="E207" s="55" t="s">
        <v>218</v>
      </c>
      <c r="F207" s="88">
        <f>35.34*10.764</f>
        <v>380.39976000000001</v>
      </c>
      <c r="G207" s="89"/>
      <c r="H207" s="20">
        <v>0</v>
      </c>
      <c r="I207" s="20">
        <f t="shared" ref="I207" si="10">F207*(($I$166)+1)+H207</f>
        <v>589.61962800000003</v>
      </c>
      <c r="J207" s="1"/>
      <c r="K207" s="1"/>
      <c r="L207" s="1"/>
      <c r="M207" s="1"/>
      <c r="N207" s="1"/>
      <c r="O207" s="1"/>
      <c r="P207" s="1"/>
      <c r="Q207" s="1"/>
      <c r="R207" s="1"/>
      <c r="S207" s="1"/>
      <c r="T207" s="1"/>
      <c r="U207" s="43" t="str">
        <f t="shared" ref="U207" ca="1" si="11">V207&amp;""&amp;",..,"&amp;""&amp;W207</f>
        <v>2611,..,2111</v>
      </c>
      <c r="V207" s="43">
        <f t="shared" ca="1" si="8"/>
        <v>2611</v>
      </c>
      <c r="W207" s="43">
        <f t="shared" ca="1" si="9"/>
        <v>2111</v>
      </c>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0.25" x14ac:dyDescent="0.25">
      <c r="A208" s="94" t="s">
        <v>220</v>
      </c>
      <c r="B208" s="95"/>
      <c r="C208" s="95"/>
      <c r="D208" s="95"/>
      <c r="E208" s="95"/>
      <c r="F208" s="95"/>
      <c r="G208" s="95"/>
      <c r="H208" s="95"/>
      <c r="I208" s="10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0.25" customHeight="1" x14ac:dyDescent="0.25">
      <c r="A209" s="97" t="str">
        <f>A208</f>
        <v>7th, 12th, 17th &amp; 22nd Floor (Part Refuge Area)</v>
      </c>
      <c r="B209" s="98"/>
      <c r="C209" s="88">
        <v>1</v>
      </c>
      <c r="D209" s="89"/>
      <c r="E209" s="88" t="s">
        <v>221</v>
      </c>
      <c r="F209" s="104"/>
      <c r="G209" s="104"/>
      <c r="H209" s="104"/>
      <c r="I209" s="89"/>
      <c r="J209" s="1"/>
      <c r="K209" s="1"/>
      <c r="L209" s="1"/>
      <c r="M209" s="1"/>
      <c r="N209" s="1"/>
      <c r="O209" s="1"/>
      <c r="P209" s="1"/>
      <c r="Q209" s="1"/>
      <c r="R209" s="1"/>
      <c r="S209" s="1"/>
      <c r="T209" s="1"/>
      <c r="U209" s="43" t="str">
        <f t="shared" ref="U209:U219" ca="1" si="12">V209&amp;""&amp;",..,"&amp;""&amp;W209</f>
        <v>701,..,2201</v>
      </c>
      <c r="V209" s="43">
        <f ca="1">(SUMPRODUCT(MID(0&amp;(LEFT(A208,SUM(LEN(A208)-LEN(SUBSTITUTE(A208,{"0","1","2","3"},""))))), LARGE(INDEX(ISNUMBER(--MID((LEFT(A208,SUM(LEN(A208)-LEN(SUBSTITUTE(A208,{"0","1","2","3"},""))))), ROW(INDIRECT("1:"&amp;LEN((LEFT(A208,SUM(LEN(A208)-LEN(SUBSTITUTE(A208,{"0","1","2","3"},"")))))))), 1)) * ROW(INDIRECT("1:"&amp;LEN((LEFT(A208,SUM(LEN(A208)-LEN(SUBSTITUTE(A208,{"0","1","2","3"},"")))))))), 0), ROW(INDIRECT("1:"&amp;LEN((LEFT(A208,SUM(LEN(A208)-LEN(SUBSTITUTE(A208,{"0","1","2","3"},"")))))))))+1, 1) * 10^ROW(INDIRECT("1:"&amp;LEN((LEFT(A208,SUM(LEN(A208)-LEN(SUBSTITUTE(A208,{"0","1","2","3"},""))))))))/10))*100+1</f>
        <v>701</v>
      </c>
      <c r="W209" s="43">
        <f ca="1">(SUMPRODUCT(MID(0&amp;(--TRIM(RIGHT(SUBSTITUTE(LEFT(A208,_xlfn.AGGREGATE(16,6,FIND({0,1,2,3,4,5,6,7,8,9},A208,ROW(INDIRECT("1:"&amp;LEN(A208)))),1))," ",REPT(" ",LEN(A208))),LEN(A208)))), LARGE(INDEX(ISNUMBER(--MID((--TRIM(RIGHT(SUBSTITUTE(LEFT(A208,_xlfn.AGGREGATE(16,6,FIND({0,1,2,3,4,5,6,7,8,9},A208,ROW(INDIRECT("1:"&amp;LEN(A208)))),1))," ",REPT(" ",LEN(A208))),LEN(A208)))), ROW(INDIRECT("1:"&amp;LEN((--TRIM(RIGHT(SUBSTITUTE(LEFT(A208,_xlfn.AGGREGATE(16,6,FIND({0,1,2,3,4,5,6,7,8,9},A208,ROW(INDIRECT("1:"&amp;LEN(A208)))),1))," ",REPT(" ",LEN(A208))),LEN(A208))))))), 1)) * ROW(INDIRECT("1:"&amp;LEN((--TRIM(RIGHT(SUBSTITUTE(LEFT(A208,_xlfn.AGGREGATE(16,6,FIND({0,1,2,3,4,5,6,7,8,9},A208,ROW(INDIRECT("1:"&amp;LEN(A208)))),1))," ",REPT(" ",LEN(A208))),LEN(A208))))))), 0), ROW(INDIRECT("1:"&amp;LEN((--TRIM(RIGHT(SUBSTITUTE(LEFT(A208,_xlfn.AGGREGATE(16,6,FIND({0,1,2,3,4,5,6,7,8,9},A208,ROW(INDIRECT("1:"&amp;LEN(A208)))),1))," ",REPT(" ",LEN(A208))),LEN(A208))))))))+1, 1) * 10^ROW(INDIRECT("1:"&amp;LEN((--TRIM(RIGHT(SUBSTITUTE(LEFT(A208,_xlfn.AGGREGATE(16,6,FIND({0,1,2,3,4,5,6,7,8,9},A208,ROW(INDIRECT("1:"&amp;LEN(A208)))),1))," ",REPT(" ",LEN(A208))),LEN(A208)))))))/10))*100+1</f>
        <v>2201</v>
      </c>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20.25" customHeight="1" x14ac:dyDescent="0.25">
      <c r="A210" s="99"/>
      <c r="B210" s="100"/>
      <c r="C210" s="88">
        <v>2</v>
      </c>
      <c r="D210" s="89"/>
      <c r="E210" s="55" t="s">
        <v>218</v>
      </c>
      <c r="F210" s="88">
        <f>43.04*10.764</f>
        <v>463.28255999999999</v>
      </c>
      <c r="G210" s="89"/>
      <c r="H210" s="20">
        <v>0</v>
      </c>
      <c r="I210" s="20">
        <f t="shared" ref="I210:I219" si="13">F210*(($I$166)+1)+H210</f>
        <v>718.08796800000005</v>
      </c>
      <c r="J210" s="1"/>
      <c r="K210" s="1"/>
      <c r="L210" s="1"/>
      <c r="M210" s="1"/>
      <c r="N210" s="1"/>
      <c r="O210" s="1"/>
      <c r="P210" s="1"/>
      <c r="Q210" s="1"/>
      <c r="R210" s="1"/>
      <c r="S210" s="1"/>
      <c r="T210" s="1"/>
      <c r="U210" s="43" t="str">
        <f t="shared" ca="1" si="12"/>
        <v>702,..,2202</v>
      </c>
      <c r="V210" s="43">
        <f ca="1">V209+1</f>
        <v>702</v>
      </c>
      <c r="W210" s="43">
        <f ca="1">W209+1</f>
        <v>2202</v>
      </c>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20.25" customHeight="1" x14ac:dyDescent="0.25">
      <c r="A211" s="99"/>
      <c r="B211" s="100"/>
      <c r="C211" s="88">
        <v>3</v>
      </c>
      <c r="D211" s="89"/>
      <c r="E211" s="55" t="s">
        <v>218</v>
      </c>
      <c r="F211" s="88">
        <f>39.8*10.764</f>
        <v>428.40719999999993</v>
      </c>
      <c r="G211" s="89"/>
      <c r="H211" s="20">
        <v>0</v>
      </c>
      <c r="I211" s="20">
        <f t="shared" si="13"/>
        <v>664.03115999999989</v>
      </c>
      <c r="J211" s="1"/>
      <c r="K211" s="1"/>
      <c r="L211" s="1"/>
      <c r="M211" s="1"/>
      <c r="N211" s="1"/>
      <c r="O211" s="1"/>
      <c r="P211" s="1"/>
      <c r="Q211" s="1"/>
      <c r="R211" s="1"/>
      <c r="S211" s="1"/>
      <c r="T211" s="1"/>
      <c r="U211" s="43" t="str">
        <f t="shared" ca="1" si="12"/>
        <v>703,..,2203</v>
      </c>
      <c r="V211" s="43">
        <f t="shared" ref="V211:W219" ca="1" si="14">V210+1</f>
        <v>703</v>
      </c>
      <c r="W211" s="43">
        <f t="shared" ca="1" si="14"/>
        <v>2203</v>
      </c>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0.25" customHeight="1" x14ac:dyDescent="0.25">
      <c r="A212" s="99"/>
      <c r="B212" s="100"/>
      <c r="C212" s="88">
        <v>4</v>
      </c>
      <c r="D212" s="89"/>
      <c r="E212" s="55" t="s">
        <v>218</v>
      </c>
      <c r="F212" s="88">
        <f>39.8*10.764</f>
        <v>428.40719999999993</v>
      </c>
      <c r="G212" s="89"/>
      <c r="H212" s="20">
        <v>0</v>
      </c>
      <c r="I212" s="20">
        <f t="shared" si="13"/>
        <v>664.03115999999989</v>
      </c>
      <c r="J212" s="1"/>
      <c r="K212" s="1"/>
      <c r="L212" s="1"/>
      <c r="M212" s="1"/>
      <c r="N212" s="1"/>
      <c r="O212" s="1"/>
      <c r="P212" s="1"/>
      <c r="Q212" s="1"/>
      <c r="R212" s="1"/>
      <c r="S212" s="1"/>
      <c r="T212" s="1"/>
      <c r="U212" s="43" t="str">
        <f t="shared" ca="1" si="12"/>
        <v>704,..,2204</v>
      </c>
      <c r="V212" s="43">
        <f t="shared" ca="1" si="14"/>
        <v>704</v>
      </c>
      <c r="W212" s="43">
        <f t="shared" ca="1" si="14"/>
        <v>2204</v>
      </c>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0.25" customHeight="1" x14ac:dyDescent="0.25">
      <c r="A213" s="99"/>
      <c r="B213" s="100"/>
      <c r="C213" s="88">
        <v>5</v>
      </c>
      <c r="D213" s="89"/>
      <c r="E213" s="55" t="s">
        <v>218</v>
      </c>
      <c r="F213" s="88">
        <f>43.31*10.764</f>
        <v>466.18883999999997</v>
      </c>
      <c r="G213" s="89"/>
      <c r="H213" s="20">
        <v>0</v>
      </c>
      <c r="I213" s="20">
        <f t="shared" si="13"/>
        <v>722.59270200000003</v>
      </c>
      <c r="J213" s="1"/>
      <c r="K213" s="1"/>
      <c r="L213" s="1"/>
      <c r="M213" s="1"/>
      <c r="N213" s="1"/>
      <c r="O213" s="1"/>
      <c r="P213" s="1"/>
      <c r="Q213" s="1"/>
      <c r="R213" s="1"/>
      <c r="S213" s="1"/>
      <c r="T213" s="1"/>
      <c r="U213" s="43" t="str">
        <f t="shared" ca="1" si="12"/>
        <v>705,..,2205</v>
      </c>
      <c r="V213" s="43">
        <f t="shared" ca="1" si="14"/>
        <v>705</v>
      </c>
      <c r="W213" s="43">
        <f t="shared" ca="1" si="14"/>
        <v>2205</v>
      </c>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1" customFormat="1" ht="20.25" customHeight="1" x14ac:dyDescent="0.25">
      <c r="A214" s="99"/>
      <c r="B214" s="100"/>
      <c r="C214" s="88">
        <v>6</v>
      </c>
      <c r="D214" s="89"/>
      <c r="E214" s="55" t="s">
        <v>228</v>
      </c>
      <c r="F214" s="88">
        <f>61.6*10.764</f>
        <v>663.06240000000003</v>
      </c>
      <c r="G214" s="89"/>
      <c r="H214" s="20">
        <v>0</v>
      </c>
      <c r="I214" s="20">
        <f t="shared" si="13"/>
        <v>1027.7467200000001</v>
      </c>
      <c r="J214" s="1"/>
      <c r="K214" s="1"/>
      <c r="L214" s="1"/>
      <c r="M214" s="1"/>
      <c r="N214" s="1"/>
      <c r="O214" s="1"/>
      <c r="P214" s="1"/>
      <c r="Q214" s="1"/>
      <c r="R214" s="1"/>
      <c r="S214" s="1"/>
      <c r="T214" s="1"/>
      <c r="U214" s="43" t="str">
        <f t="shared" ca="1" si="12"/>
        <v>706,..,2206</v>
      </c>
      <c r="V214" s="43">
        <f t="shared" ca="1" si="14"/>
        <v>706</v>
      </c>
      <c r="W214" s="43">
        <f t="shared" ca="1" si="14"/>
        <v>2206</v>
      </c>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s="11" customFormat="1" ht="20.25" customHeight="1" x14ac:dyDescent="0.25">
      <c r="A215" s="99"/>
      <c r="B215" s="100"/>
      <c r="C215" s="88">
        <v>7</v>
      </c>
      <c r="D215" s="89"/>
      <c r="E215" s="55" t="s">
        <v>228</v>
      </c>
      <c r="F215" s="88">
        <f>61.23*10.764</f>
        <v>659.07971999999995</v>
      </c>
      <c r="G215" s="89"/>
      <c r="H215" s="20">
        <v>0</v>
      </c>
      <c r="I215" s="20">
        <f t="shared" si="13"/>
        <v>1021.5735659999999</v>
      </c>
      <c r="J215" s="1"/>
      <c r="K215" s="1"/>
      <c r="L215" s="1"/>
      <c r="M215" s="1"/>
      <c r="N215" s="1"/>
      <c r="O215" s="1"/>
      <c r="P215" s="1"/>
      <c r="Q215" s="1"/>
      <c r="R215" s="1"/>
      <c r="S215" s="1"/>
      <c r="T215" s="1"/>
      <c r="U215" s="43" t="str">
        <f t="shared" ca="1" si="12"/>
        <v>707,..,2207</v>
      </c>
      <c r="V215" s="43">
        <f t="shared" ca="1" si="14"/>
        <v>707</v>
      </c>
      <c r="W215" s="43">
        <f t="shared" ca="1" si="14"/>
        <v>2207</v>
      </c>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1 16227:16384" s="11" customFormat="1" ht="20.25" customHeight="1" x14ac:dyDescent="0.25">
      <c r="A216" s="99"/>
      <c r="B216" s="100"/>
      <c r="C216" s="88">
        <v>8</v>
      </c>
      <c r="D216" s="89"/>
      <c r="E216" s="55" t="s">
        <v>218</v>
      </c>
      <c r="F216" s="88">
        <f>34.5*10.764</f>
        <v>371.358</v>
      </c>
      <c r="G216" s="89"/>
      <c r="H216" s="20">
        <v>0</v>
      </c>
      <c r="I216" s="20">
        <f t="shared" si="13"/>
        <v>575.60490000000004</v>
      </c>
      <c r="J216" s="1"/>
      <c r="K216" s="1"/>
      <c r="L216" s="1"/>
      <c r="M216" s="1"/>
      <c r="N216" s="1"/>
      <c r="O216" s="1"/>
      <c r="P216" s="1"/>
      <c r="Q216" s="1"/>
      <c r="R216" s="1"/>
      <c r="S216" s="1"/>
      <c r="T216" s="1"/>
      <c r="U216" s="43" t="str">
        <f t="shared" ca="1" si="12"/>
        <v>708,..,2208</v>
      </c>
      <c r="V216" s="43">
        <f t="shared" ca="1" si="14"/>
        <v>708</v>
      </c>
      <c r="W216" s="43">
        <f t="shared" ca="1" si="14"/>
        <v>2208</v>
      </c>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1 16227:16384" s="11" customFormat="1" ht="20.25" customHeight="1" x14ac:dyDescent="0.25">
      <c r="A217" s="99"/>
      <c r="B217" s="100"/>
      <c r="C217" s="88">
        <v>9</v>
      </c>
      <c r="D217" s="89"/>
      <c r="E217" s="55" t="s">
        <v>218</v>
      </c>
      <c r="F217" s="88">
        <f>34.5*10.764</f>
        <v>371.358</v>
      </c>
      <c r="G217" s="89"/>
      <c r="H217" s="20">
        <v>0</v>
      </c>
      <c r="I217" s="20">
        <f t="shared" si="13"/>
        <v>575.60490000000004</v>
      </c>
      <c r="J217" s="1"/>
      <c r="K217" s="1"/>
      <c r="L217" s="1"/>
      <c r="M217" s="1"/>
      <c r="N217" s="1"/>
      <c r="O217" s="1"/>
      <c r="P217" s="1"/>
      <c r="Q217" s="1"/>
      <c r="R217" s="1"/>
      <c r="S217" s="1"/>
      <c r="T217" s="1"/>
      <c r="U217" s="43" t="str">
        <f t="shared" ca="1" si="12"/>
        <v>709,..,2209</v>
      </c>
      <c r="V217" s="43">
        <f t="shared" ca="1" si="14"/>
        <v>709</v>
      </c>
      <c r="W217" s="43">
        <f t="shared" ca="1" si="14"/>
        <v>2209</v>
      </c>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customHeight="1" x14ac:dyDescent="0.25">
      <c r="A218" s="99"/>
      <c r="B218" s="100"/>
      <c r="C218" s="88">
        <v>10</v>
      </c>
      <c r="D218" s="89"/>
      <c r="E218" s="55" t="s">
        <v>218</v>
      </c>
      <c r="F218" s="88">
        <f>35.34*10.764</f>
        <v>380.39976000000001</v>
      </c>
      <c r="G218" s="89"/>
      <c r="H218" s="20">
        <v>0</v>
      </c>
      <c r="I218" s="20">
        <f t="shared" si="13"/>
        <v>589.61962800000003</v>
      </c>
      <c r="J218" s="1"/>
      <c r="K218" s="1"/>
      <c r="L218" s="1"/>
      <c r="M218" s="1"/>
      <c r="N218" s="1"/>
      <c r="O218" s="1"/>
      <c r="P218" s="1"/>
      <c r="Q218" s="1"/>
      <c r="R218" s="1"/>
      <c r="S218" s="1"/>
      <c r="T218" s="1"/>
      <c r="U218" s="43" t="str">
        <f t="shared" ca="1" si="12"/>
        <v>710,..,2210</v>
      </c>
      <c r="V218" s="43">
        <f t="shared" ca="1" si="14"/>
        <v>710</v>
      </c>
      <c r="W218" s="43">
        <f t="shared" ca="1" si="14"/>
        <v>2210</v>
      </c>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0.25" customHeight="1" x14ac:dyDescent="0.25">
      <c r="A219" s="101"/>
      <c r="B219" s="102"/>
      <c r="C219" s="88">
        <v>11</v>
      </c>
      <c r="D219" s="89"/>
      <c r="E219" s="55" t="s">
        <v>218</v>
      </c>
      <c r="F219" s="88">
        <f>35.34*10.764</f>
        <v>380.39976000000001</v>
      </c>
      <c r="G219" s="89"/>
      <c r="H219" s="20">
        <v>0</v>
      </c>
      <c r="I219" s="20">
        <f t="shared" si="13"/>
        <v>589.61962800000003</v>
      </c>
      <c r="J219" s="1"/>
      <c r="K219" s="1"/>
      <c r="L219" s="1"/>
      <c r="M219" s="1"/>
      <c r="N219" s="1"/>
      <c r="O219" s="1"/>
      <c r="P219" s="1"/>
      <c r="Q219" s="1"/>
      <c r="R219" s="1"/>
      <c r="S219" s="1"/>
      <c r="T219" s="1"/>
      <c r="U219" s="43" t="str">
        <f t="shared" ca="1" si="12"/>
        <v>711,..,2211</v>
      </c>
      <c r="V219" s="43">
        <f t="shared" ca="1" si="14"/>
        <v>711</v>
      </c>
      <c r="W219" s="43">
        <f t="shared" ca="1" si="14"/>
        <v>2211</v>
      </c>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20.25" x14ac:dyDescent="0.25">
      <c r="A220" s="105" t="s">
        <v>251</v>
      </c>
      <c r="B220" s="106"/>
      <c r="C220" s="106"/>
      <c r="D220" s="106"/>
      <c r="E220" s="106"/>
      <c r="F220" s="106"/>
      <c r="G220" s="106"/>
      <c r="H220" s="106"/>
      <c r="I220" s="107"/>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s="11" customFormat="1" ht="40.5" customHeight="1" x14ac:dyDescent="0.25">
      <c r="A221" s="94" t="s">
        <v>264</v>
      </c>
      <c r="B221" s="95"/>
      <c r="C221" s="95"/>
      <c r="D221" s="95"/>
      <c r="E221" s="95"/>
      <c r="F221" s="95"/>
      <c r="G221" s="95"/>
      <c r="H221" s="95"/>
      <c r="I221" s="96"/>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27:16384" s="11" customFormat="1" ht="20.25" customHeight="1" x14ac:dyDescent="0.25">
      <c r="A222" s="97" t="str">
        <f>A221</f>
        <v>Ground Floor For Entrance Lobby, Retail Meter Room, Society Office, 
Meter Room, Panel Room, Stack Parking &amp; Commercial</v>
      </c>
      <c r="B222" s="98"/>
      <c r="C222" s="87">
        <v>16</v>
      </c>
      <c r="D222" s="87"/>
      <c r="E222" s="20" t="s">
        <v>217</v>
      </c>
      <c r="F222" s="88">
        <f>19.4*10.764</f>
        <v>208.82159999999996</v>
      </c>
      <c r="G222" s="89"/>
      <c r="H222" s="20">
        <v>0</v>
      </c>
      <c r="I222" s="20">
        <f>F222*(($I$166)+1)+H222</f>
        <v>323.67347999999993</v>
      </c>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1 16227:16384" s="11" customFormat="1" ht="20.25" customHeight="1" x14ac:dyDescent="0.25">
      <c r="A223" s="99"/>
      <c r="B223" s="100"/>
      <c r="C223" s="87">
        <f>C222+1</f>
        <v>17</v>
      </c>
      <c r="D223" s="87"/>
      <c r="E223" s="20" t="s">
        <v>217</v>
      </c>
      <c r="F223" s="88">
        <f>(23.49)*10.764</f>
        <v>252.84635999999998</v>
      </c>
      <c r="G223" s="89"/>
      <c r="H223" s="20">
        <v>0</v>
      </c>
      <c r="I223" s="20">
        <f t="shared" ref="I223:I235" si="15">F223*(($I$166)+1)+H223</f>
        <v>391.911858</v>
      </c>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1 16227:16384" s="11" customFormat="1" ht="20.25" customHeight="1" x14ac:dyDescent="0.25">
      <c r="A224" s="99"/>
      <c r="B224" s="100"/>
      <c r="C224" s="87">
        <f t="shared" ref="C224:C236" si="16">C223+1</f>
        <v>18</v>
      </c>
      <c r="D224" s="87"/>
      <c r="E224" s="20" t="s">
        <v>217</v>
      </c>
      <c r="F224" s="88">
        <f>30.53*10.764</f>
        <v>328.62491999999997</v>
      </c>
      <c r="G224" s="89"/>
      <c r="H224" s="20">
        <v>0</v>
      </c>
      <c r="I224" s="20">
        <f t="shared" si="15"/>
        <v>509.36862599999995</v>
      </c>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1 16227:16384" s="11" customFormat="1" ht="20.25" customHeight="1" x14ac:dyDescent="0.25">
      <c r="A225" s="99"/>
      <c r="B225" s="100"/>
      <c r="C225" s="87">
        <f t="shared" si="16"/>
        <v>19</v>
      </c>
      <c r="D225" s="87"/>
      <c r="E225" s="20" t="s">
        <v>217</v>
      </c>
      <c r="F225" s="88">
        <f>21.69*10.764</f>
        <v>233.47116</v>
      </c>
      <c r="G225" s="89"/>
      <c r="H225" s="20">
        <v>0</v>
      </c>
      <c r="I225" s="20">
        <f t="shared" si="15"/>
        <v>361.88029799999998</v>
      </c>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c r="XFD225" s="1"/>
    </row>
    <row r="226" spans="1:151 16227:16384" s="11" customFormat="1" ht="20.25" customHeight="1" x14ac:dyDescent="0.25">
      <c r="A226" s="99"/>
      <c r="B226" s="100"/>
      <c r="C226" s="87">
        <f t="shared" si="16"/>
        <v>20</v>
      </c>
      <c r="D226" s="87"/>
      <c r="E226" s="20" t="s">
        <v>217</v>
      </c>
      <c r="F226" s="88">
        <f>18.26*10.764</f>
        <v>196.55064000000002</v>
      </c>
      <c r="G226" s="89"/>
      <c r="H226" s="20">
        <v>0</v>
      </c>
      <c r="I226" s="20">
        <f t="shared" si="15"/>
        <v>304.65349200000003</v>
      </c>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20.25" customHeight="1" x14ac:dyDescent="0.25">
      <c r="A227" s="99"/>
      <c r="B227" s="100"/>
      <c r="C227" s="87">
        <f t="shared" si="16"/>
        <v>21</v>
      </c>
      <c r="D227" s="87"/>
      <c r="E227" s="20" t="s">
        <v>217</v>
      </c>
      <c r="F227" s="88">
        <f>6.67*10.764</f>
        <v>71.795879999999997</v>
      </c>
      <c r="G227" s="89"/>
      <c r="H227" s="20">
        <v>0</v>
      </c>
      <c r="I227" s="20">
        <f t="shared" si="15"/>
        <v>111.283614</v>
      </c>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1 16227:16384" s="11" customFormat="1" ht="20.25" customHeight="1" x14ac:dyDescent="0.25">
      <c r="A228" s="99"/>
      <c r="B228" s="100"/>
      <c r="C228" s="87">
        <f t="shared" si="16"/>
        <v>22</v>
      </c>
      <c r="D228" s="87"/>
      <c r="E228" s="20" t="s">
        <v>217</v>
      </c>
      <c r="F228" s="88">
        <f>32.47*10.764</f>
        <v>349.50707999999997</v>
      </c>
      <c r="G228" s="89"/>
      <c r="H228" s="20">
        <v>0</v>
      </c>
      <c r="I228" s="20">
        <f t="shared" si="15"/>
        <v>541.73597399999994</v>
      </c>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1 16227:16384" s="11" customFormat="1" ht="20.25" customHeight="1" x14ac:dyDescent="0.25">
      <c r="A229" s="99"/>
      <c r="B229" s="100"/>
      <c r="C229" s="87">
        <f t="shared" si="16"/>
        <v>23</v>
      </c>
      <c r="D229" s="87"/>
      <c r="E229" s="20" t="s">
        <v>217</v>
      </c>
      <c r="F229" s="88">
        <f>17.74*10.764</f>
        <v>190.95335999999998</v>
      </c>
      <c r="G229" s="89"/>
      <c r="H229" s="20">
        <v>0</v>
      </c>
      <c r="I229" s="20">
        <f t="shared" si="15"/>
        <v>295.97770799999995</v>
      </c>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1 16227:16384" s="11" customFormat="1" ht="20.25" customHeight="1" x14ac:dyDescent="0.25">
      <c r="A230" s="99"/>
      <c r="B230" s="100"/>
      <c r="C230" s="87">
        <f t="shared" si="16"/>
        <v>24</v>
      </c>
      <c r="D230" s="87"/>
      <c r="E230" s="20" t="s">
        <v>217</v>
      </c>
      <c r="F230" s="88">
        <f>16.62*10.764</f>
        <v>178.89768000000001</v>
      </c>
      <c r="G230" s="89"/>
      <c r="H230" s="20">
        <v>0</v>
      </c>
      <c r="I230" s="20">
        <f t="shared" si="15"/>
        <v>277.291404</v>
      </c>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1 16227:16384" s="11" customFormat="1" ht="20.25" customHeight="1" x14ac:dyDescent="0.25">
      <c r="A231" s="99"/>
      <c r="B231" s="100"/>
      <c r="C231" s="87">
        <f t="shared" si="16"/>
        <v>25</v>
      </c>
      <c r="D231" s="87"/>
      <c r="E231" s="20" t="s">
        <v>217</v>
      </c>
      <c r="F231" s="88">
        <f>34.27*10.764</f>
        <v>368.88228000000004</v>
      </c>
      <c r="G231" s="89"/>
      <c r="H231" s="20">
        <v>0</v>
      </c>
      <c r="I231" s="20">
        <f t="shared" si="15"/>
        <v>571.76753400000007</v>
      </c>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27:16384" s="11" customFormat="1" ht="20.25" customHeight="1" x14ac:dyDescent="0.25">
      <c r="A232" s="99"/>
      <c r="B232" s="100"/>
      <c r="C232" s="87">
        <f t="shared" si="16"/>
        <v>26</v>
      </c>
      <c r="D232" s="87"/>
      <c r="E232" s="20" t="s">
        <v>217</v>
      </c>
      <c r="F232" s="88">
        <f>34.59*10.764</f>
        <v>372.32676000000004</v>
      </c>
      <c r="G232" s="89"/>
      <c r="H232" s="20">
        <v>0</v>
      </c>
      <c r="I232" s="20">
        <f t="shared" si="15"/>
        <v>577.10647800000004</v>
      </c>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1 16227:16384" s="11" customFormat="1" ht="20.25" customHeight="1" x14ac:dyDescent="0.25">
      <c r="A233" s="99"/>
      <c r="B233" s="100"/>
      <c r="C233" s="87">
        <f t="shared" si="16"/>
        <v>27</v>
      </c>
      <c r="D233" s="87"/>
      <c r="E233" s="20" t="s">
        <v>217</v>
      </c>
      <c r="F233" s="88">
        <f>29.14*10.764</f>
        <v>313.66296</v>
      </c>
      <c r="G233" s="89"/>
      <c r="H233" s="20">
        <v>0</v>
      </c>
      <c r="I233" s="20">
        <f t="shared" si="15"/>
        <v>486.17758800000001</v>
      </c>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1 16227:16384" s="11" customFormat="1" ht="20.25" customHeight="1" x14ac:dyDescent="0.25">
      <c r="A234" s="99"/>
      <c r="B234" s="100"/>
      <c r="C234" s="87">
        <f t="shared" si="16"/>
        <v>28</v>
      </c>
      <c r="D234" s="87"/>
      <c r="E234" s="20" t="s">
        <v>217</v>
      </c>
      <c r="F234" s="88">
        <f>31.04*10.764</f>
        <v>334.11455999999998</v>
      </c>
      <c r="G234" s="89"/>
      <c r="H234" s="20">
        <v>0</v>
      </c>
      <c r="I234" s="20">
        <f t="shared" si="15"/>
        <v>517.877568</v>
      </c>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1 16227:16384" s="11" customFormat="1" ht="20.25" customHeight="1" x14ac:dyDescent="0.25">
      <c r="A235" s="99"/>
      <c r="B235" s="100"/>
      <c r="C235" s="87">
        <f t="shared" si="16"/>
        <v>29</v>
      </c>
      <c r="D235" s="87"/>
      <c r="E235" s="20" t="s">
        <v>217</v>
      </c>
      <c r="F235" s="88">
        <f>31.58*10.764</f>
        <v>339.92711999999995</v>
      </c>
      <c r="G235" s="89"/>
      <c r="H235" s="20">
        <v>0</v>
      </c>
      <c r="I235" s="20">
        <f t="shared" si="15"/>
        <v>526.88703599999997</v>
      </c>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1 16227:16384" s="11" customFormat="1" ht="20.25" customHeight="1" x14ac:dyDescent="0.25">
      <c r="A236" s="101"/>
      <c r="B236" s="102"/>
      <c r="C236" s="87">
        <f t="shared" si="16"/>
        <v>30</v>
      </c>
      <c r="D236" s="87"/>
      <c r="E236" s="55" t="s">
        <v>217</v>
      </c>
      <c r="F236" s="88">
        <f>31.95*10.764</f>
        <v>343.90979999999996</v>
      </c>
      <c r="G236" s="89"/>
      <c r="H236" s="55">
        <v>0</v>
      </c>
      <c r="I236" s="55">
        <f t="shared" ref="I236" si="17">F236*(($I$166)+1)+H236</f>
        <v>533.06018999999992</v>
      </c>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27:16384" s="11" customFormat="1" ht="20.25" x14ac:dyDescent="0.25">
      <c r="A237" s="94" t="s">
        <v>224</v>
      </c>
      <c r="B237" s="95"/>
      <c r="C237" s="95"/>
      <c r="D237" s="95"/>
      <c r="E237" s="95"/>
      <c r="F237" s="95"/>
      <c r="G237" s="95"/>
      <c r="H237" s="95"/>
      <c r="I237" s="96"/>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1 16227:16384" s="11" customFormat="1" ht="20.25" customHeight="1" x14ac:dyDescent="0.25">
      <c r="A238" s="97" t="str">
        <f>A237</f>
        <v>1st Floor For Commercial &amp; Residential</v>
      </c>
      <c r="B238" s="98"/>
      <c r="C238" s="87">
        <v>1</v>
      </c>
      <c r="D238" s="87"/>
      <c r="E238" s="20" t="s">
        <v>217</v>
      </c>
      <c r="F238" s="88">
        <f>19.5*10.764</f>
        <v>209.898</v>
      </c>
      <c r="G238" s="89"/>
      <c r="H238" s="20">
        <v>0</v>
      </c>
      <c r="I238" s="20">
        <f>F238*(($I$166)+1)+H238</f>
        <v>325.34190000000001</v>
      </c>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1 16227:16384" s="11" customFormat="1" ht="20.25" customHeight="1" x14ac:dyDescent="0.25">
      <c r="A239" s="99"/>
      <c r="B239" s="100"/>
      <c r="C239" s="87">
        <f>C238+1</f>
        <v>2</v>
      </c>
      <c r="D239" s="87"/>
      <c r="E239" s="20" t="s">
        <v>217</v>
      </c>
      <c r="F239" s="88">
        <f>23.7*10.764</f>
        <v>255.10679999999996</v>
      </c>
      <c r="G239" s="89"/>
      <c r="H239" s="20">
        <v>0</v>
      </c>
      <c r="I239" s="20">
        <f>F239*(($I$166)+1)+H239</f>
        <v>395.41553999999996</v>
      </c>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1 16227:16384" s="11" customFormat="1" ht="20.25" customHeight="1" x14ac:dyDescent="0.25">
      <c r="A240" s="99"/>
      <c r="B240" s="100"/>
      <c r="C240" s="87">
        <f t="shared" ref="C240:C258" si="18">C239+1</f>
        <v>3</v>
      </c>
      <c r="D240" s="87"/>
      <c r="E240" s="20" t="s">
        <v>217</v>
      </c>
      <c r="F240" s="88">
        <f>30.66*10.64</f>
        <v>326.22239999999999</v>
      </c>
      <c r="G240" s="89"/>
      <c r="H240" s="20">
        <v>0</v>
      </c>
      <c r="I240" s="20">
        <f>F240*(($I$166)+1)+H240</f>
        <v>505.64472000000001</v>
      </c>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1 16227:16384" s="11" customFormat="1" ht="20.25" customHeight="1" x14ac:dyDescent="0.25">
      <c r="A241" s="99"/>
      <c r="B241" s="100"/>
      <c r="C241" s="87">
        <f t="shared" si="18"/>
        <v>4</v>
      </c>
      <c r="D241" s="87"/>
      <c r="E241" s="20" t="s">
        <v>217</v>
      </c>
      <c r="F241" s="88">
        <f>21.76*10.764</f>
        <v>234.22463999999999</v>
      </c>
      <c r="G241" s="89"/>
      <c r="H241" s="20">
        <v>0</v>
      </c>
      <c r="I241" s="20">
        <f>F241*(($I$166)+1)+H241</f>
        <v>363.04819200000003</v>
      </c>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27:16384" s="11" customFormat="1" ht="20.25" customHeight="1" x14ac:dyDescent="0.25">
      <c r="A242" s="99"/>
      <c r="B242" s="100"/>
      <c r="C242" s="87">
        <f t="shared" si="18"/>
        <v>5</v>
      </c>
      <c r="D242" s="87"/>
      <c r="E242" s="20" t="s">
        <v>217</v>
      </c>
      <c r="F242" s="88">
        <f>18.4*10.764</f>
        <v>198.05759999999998</v>
      </c>
      <c r="G242" s="89"/>
      <c r="H242" s="20">
        <v>0</v>
      </c>
      <c r="I242" s="20">
        <f t="shared" ref="I242:I258" si="19">F242*(($I$166)+1)+H242</f>
        <v>306.98927999999995</v>
      </c>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c r="XFD242" s="1"/>
    </row>
    <row r="243" spans="1:151 16227:16384" s="11" customFormat="1" ht="20.25" customHeight="1" x14ac:dyDescent="0.25">
      <c r="A243" s="99"/>
      <c r="B243" s="100"/>
      <c r="C243" s="87">
        <f t="shared" si="18"/>
        <v>6</v>
      </c>
      <c r="D243" s="87"/>
      <c r="E243" s="20" t="s">
        <v>217</v>
      </c>
      <c r="F243" s="88">
        <f>6.69*10.764</f>
        <v>72.011160000000004</v>
      </c>
      <c r="G243" s="89"/>
      <c r="H243" s="20">
        <v>0</v>
      </c>
      <c r="I243" s="20">
        <f t="shared" si="19"/>
        <v>111.61729800000001</v>
      </c>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c r="XFD243" s="1"/>
    </row>
    <row r="244" spans="1:151 16227:16384" s="11" customFormat="1" ht="20.25" customHeight="1" x14ac:dyDescent="0.25">
      <c r="A244" s="99"/>
      <c r="B244" s="100"/>
      <c r="C244" s="87">
        <f t="shared" si="18"/>
        <v>7</v>
      </c>
      <c r="D244" s="87"/>
      <c r="E244" s="20" t="s">
        <v>217</v>
      </c>
      <c r="F244" s="88">
        <f>32.54*10.764</f>
        <v>350.26055999999994</v>
      </c>
      <c r="G244" s="89"/>
      <c r="H244" s="20">
        <v>0</v>
      </c>
      <c r="I244" s="20">
        <f t="shared" si="19"/>
        <v>542.90386799999987</v>
      </c>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5" spans="1:151 16227:16384" s="11" customFormat="1" ht="20.25" customHeight="1" x14ac:dyDescent="0.25">
      <c r="A245" s="99"/>
      <c r="B245" s="100"/>
      <c r="C245" s="87">
        <f t="shared" si="18"/>
        <v>8</v>
      </c>
      <c r="D245" s="87"/>
      <c r="E245" s="20" t="s">
        <v>217</v>
      </c>
      <c r="F245" s="88">
        <f>17.9*10.764</f>
        <v>192.67559999999997</v>
      </c>
      <c r="G245" s="89"/>
      <c r="H245" s="20">
        <v>0</v>
      </c>
      <c r="I245" s="20">
        <f t="shared" si="19"/>
        <v>298.64717999999999</v>
      </c>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c r="XFD245" s="1"/>
    </row>
    <row r="246" spans="1:151 16227:16384" s="11" customFormat="1" ht="20.25" customHeight="1" x14ac:dyDescent="0.25">
      <c r="A246" s="99"/>
      <c r="B246" s="100"/>
      <c r="C246" s="87">
        <f t="shared" si="18"/>
        <v>9</v>
      </c>
      <c r="D246" s="87"/>
      <c r="E246" s="20" t="s">
        <v>217</v>
      </c>
      <c r="F246" s="88">
        <f>16.68*10.764</f>
        <v>179.54351999999997</v>
      </c>
      <c r="G246" s="89"/>
      <c r="H246" s="20">
        <v>0</v>
      </c>
      <c r="I246" s="20">
        <f t="shared" si="19"/>
        <v>278.29245599999996</v>
      </c>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c r="XFD246" s="1"/>
    </row>
    <row r="247" spans="1:151 16227:16384" s="11" customFormat="1" ht="20.25" customHeight="1" x14ac:dyDescent="0.25">
      <c r="A247" s="99"/>
      <c r="B247" s="100"/>
      <c r="C247" s="87">
        <f t="shared" si="18"/>
        <v>10</v>
      </c>
      <c r="D247" s="87"/>
      <c r="E247" s="20" t="s">
        <v>217</v>
      </c>
      <c r="F247" s="88">
        <f>34.34*10.764</f>
        <v>369.63576</v>
      </c>
      <c r="G247" s="89"/>
      <c r="H247" s="20">
        <v>0</v>
      </c>
      <c r="I247" s="20">
        <f t="shared" si="19"/>
        <v>572.935428</v>
      </c>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c r="XFD247" s="1"/>
    </row>
    <row r="248" spans="1:151 16227:16384" s="11" customFormat="1" ht="20.25" customHeight="1" x14ac:dyDescent="0.25">
      <c r="A248" s="99"/>
      <c r="B248" s="100"/>
      <c r="C248" s="87">
        <f t="shared" si="18"/>
        <v>11</v>
      </c>
      <c r="D248" s="87"/>
      <c r="E248" s="20" t="s">
        <v>217</v>
      </c>
      <c r="F248" s="88">
        <f>34.49*10.764</f>
        <v>371.25036</v>
      </c>
      <c r="G248" s="89"/>
      <c r="H248" s="20">
        <v>0</v>
      </c>
      <c r="I248" s="20">
        <f t="shared" si="19"/>
        <v>575.43805800000007</v>
      </c>
      <c r="J248" s="1">
        <f>2.9*3.975+2.125*2.6+3.025*3.05+2.125*1.225+1.2*2.4+1.525*0.925</f>
        <v>33.172499999999999</v>
      </c>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c r="XFD248" s="1"/>
    </row>
    <row r="249" spans="1:151 16227:16384" s="11" customFormat="1" ht="20.25" customHeight="1" x14ac:dyDescent="0.25">
      <c r="A249" s="99"/>
      <c r="B249" s="100"/>
      <c r="C249" s="87">
        <f t="shared" si="18"/>
        <v>12</v>
      </c>
      <c r="D249" s="87"/>
      <c r="E249" s="20" t="s">
        <v>217</v>
      </c>
      <c r="F249" s="88">
        <f>28.36*10.764</f>
        <v>305.26703999999995</v>
      </c>
      <c r="G249" s="89"/>
      <c r="H249" s="20">
        <v>0</v>
      </c>
      <c r="I249" s="20">
        <f t="shared" si="19"/>
        <v>473.16391199999993</v>
      </c>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c r="XFD249" s="1"/>
    </row>
    <row r="250" spans="1:151 16227:16384" s="11" customFormat="1" ht="20.25" customHeight="1" x14ac:dyDescent="0.25">
      <c r="A250" s="99"/>
      <c r="B250" s="100"/>
      <c r="C250" s="87">
        <f t="shared" si="18"/>
        <v>13</v>
      </c>
      <c r="D250" s="87"/>
      <c r="E250" s="20" t="s">
        <v>217</v>
      </c>
      <c r="F250" s="88">
        <f>30.75*10.764</f>
        <v>330.99299999999999</v>
      </c>
      <c r="G250" s="89"/>
      <c r="H250" s="20">
        <v>0</v>
      </c>
      <c r="I250" s="20">
        <f t="shared" si="19"/>
        <v>513.03915000000006</v>
      </c>
      <c r="J250" s="1">
        <f>2.9*3.975+2.125*2.6+3.025*3.05+2.125*1.225+1.2*2.4+1.525*0.925</f>
        <v>33.172499999999999</v>
      </c>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c r="XFD250" s="1"/>
    </row>
    <row r="251" spans="1:151 16227:16384" s="11" customFormat="1" ht="20.25" customHeight="1" x14ac:dyDescent="0.25">
      <c r="A251" s="99"/>
      <c r="B251" s="100"/>
      <c r="C251" s="87">
        <f t="shared" si="18"/>
        <v>14</v>
      </c>
      <c r="D251" s="87"/>
      <c r="E251" s="55" t="s">
        <v>217</v>
      </c>
      <c r="F251" s="88">
        <f>31.63*10.764</f>
        <v>340.46531999999996</v>
      </c>
      <c r="G251" s="89"/>
      <c r="H251" s="55">
        <v>0</v>
      </c>
      <c r="I251" s="55">
        <f t="shared" ref="I251" si="20">F251*(($I$166)+1)+H251</f>
        <v>527.72124599999995</v>
      </c>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c r="XFD251" s="1"/>
    </row>
    <row r="252" spans="1:151 16227:16384" s="11" customFormat="1" ht="20.25" customHeight="1" x14ac:dyDescent="0.25">
      <c r="A252" s="99"/>
      <c r="B252" s="100"/>
      <c r="C252" s="87">
        <f t="shared" si="18"/>
        <v>15</v>
      </c>
      <c r="D252" s="87"/>
      <c r="E252" s="20" t="s">
        <v>217</v>
      </c>
      <c r="F252" s="88">
        <f>32.11*10.764</f>
        <v>345.63203999999996</v>
      </c>
      <c r="G252" s="89"/>
      <c r="H252" s="20">
        <v>0</v>
      </c>
      <c r="I252" s="20">
        <f t="shared" si="19"/>
        <v>535.72966199999996</v>
      </c>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c r="XFD252" s="1"/>
    </row>
    <row r="253" spans="1:151 16227:16384" s="11" customFormat="1" ht="20.25" customHeight="1" x14ac:dyDescent="0.25">
      <c r="A253" s="99"/>
      <c r="B253" s="100"/>
      <c r="C253" s="87">
        <v>1</v>
      </c>
      <c r="D253" s="87"/>
      <c r="E253" s="20" t="s">
        <v>218</v>
      </c>
      <c r="F253" s="88">
        <f>34.41*10.764</f>
        <v>370.38923999999992</v>
      </c>
      <c r="G253" s="89"/>
      <c r="H253" s="20">
        <v>0</v>
      </c>
      <c r="I253" s="20">
        <f t="shared" si="19"/>
        <v>574.10332199999993</v>
      </c>
      <c r="J253" s="1">
        <f>2.9*3.975+2.125*2.6+3.025*3.05+2.125*1.225+1.2*2.4+1.525*0.925</f>
        <v>33.172499999999999</v>
      </c>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c r="XFD253" s="1"/>
    </row>
    <row r="254" spans="1:151 16227:16384" s="11" customFormat="1" ht="20.25" customHeight="1" x14ac:dyDescent="0.25">
      <c r="A254" s="99"/>
      <c r="B254" s="100"/>
      <c r="C254" s="87">
        <f t="shared" si="18"/>
        <v>2</v>
      </c>
      <c r="D254" s="87"/>
      <c r="E254" s="20" t="s">
        <v>218</v>
      </c>
      <c r="F254" s="88">
        <f>34.41*10.764</f>
        <v>370.38923999999992</v>
      </c>
      <c r="G254" s="89"/>
      <c r="H254" s="20">
        <v>0</v>
      </c>
      <c r="I254" s="20">
        <f t="shared" si="19"/>
        <v>574.10332199999993</v>
      </c>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c r="XFD254" s="1"/>
    </row>
    <row r="255" spans="1:151 16227:16384" s="11" customFormat="1" ht="20.25" customHeight="1" x14ac:dyDescent="0.25">
      <c r="A255" s="99"/>
      <c r="B255" s="100"/>
      <c r="C255" s="87">
        <v>8</v>
      </c>
      <c r="D255" s="87"/>
      <c r="E255" s="20" t="s">
        <v>218</v>
      </c>
      <c r="F255" s="88">
        <f>42.95*10.764</f>
        <v>462.31380000000001</v>
      </c>
      <c r="G255" s="89"/>
      <c r="H255" s="20">
        <v>0</v>
      </c>
      <c r="I255" s="20">
        <f t="shared" si="19"/>
        <v>716.58639000000005</v>
      </c>
      <c r="J255" s="1">
        <f>2.9*3.975+2.125*2.6+3.025*3.05+2.125*1.225+1.2*2.4+1.525*0.925</f>
        <v>33.172499999999999</v>
      </c>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c r="XFD255" s="1"/>
    </row>
    <row r="256" spans="1:151 16227:16384" s="11" customFormat="1" ht="20.25" customHeight="1" x14ac:dyDescent="0.25">
      <c r="A256" s="99"/>
      <c r="B256" s="100"/>
      <c r="C256" s="87">
        <f t="shared" si="18"/>
        <v>9</v>
      </c>
      <c r="D256" s="87"/>
      <c r="E256" s="20" t="s">
        <v>218</v>
      </c>
      <c r="F256" s="88">
        <f>42.95*10.764</f>
        <v>462.31380000000001</v>
      </c>
      <c r="G256" s="89"/>
      <c r="H256" s="20">
        <v>0</v>
      </c>
      <c r="I256" s="20">
        <f t="shared" si="19"/>
        <v>716.58639000000005</v>
      </c>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c r="XFD256" s="1"/>
    </row>
    <row r="257" spans="1:151 16227:16384" s="11" customFormat="1" ht="20.25" customHeight="1" x14ac:dyDescent="0.25">
      <c r="A257" s="99"/>
      <c r="B257" s="100"/>
      <c r="C257" s="87">
        <v>10</v>
      </c>
      <c r="D257" s="87"/>
      <c r="E257" s="20" t="s">
        <v>218</v>
      </c>
      <c r="F257" s="88">
        <f>35.34*10.764</f>
        <v>380.39976000000001</v>
      </c>
      <c r="G257" s="89"/>
      <c r="H257" s="20">
        <v>0</v>
      </c>
      <c r="I257" s="20">
        <f t="shared" si="19"/>
        <v>589.61962800000003</v>
      </c>
      <c r="J257" s="1">
        <f>2.9*3.975+2.125*2.6+3.025*3.05+2.125*1.225+1.2*2.4+1.525*0.925</f>
        <v>33.172499999999999</v>
      </c>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c r="XFD257" s="1"/>
    </row>
    <row r="258" spans="1:151 16227:16384" s="11" customFormat="1" ht="20.25" customHeight="1" x14ac:dyDescent="0.25">
      <c r="A258" s="101"/>
      <c r="B258" s="102"/>
      <c r="C258" s="87">
        <f t="shared" si="18"/>
        <v>11</v>
      </c>
      <c r="D258" s="87"/>
      <c r="E258" s="20" t="s">
        <v>218</v>
      </c>
      <c r="F258" s="88">
        <f>35.34*10.764</f>
        <v>380.39976000000001</v>
      </c>
      <c r="G258" s="89"/>
      <c r="H258" s="20">
        <v>0</v>
      </c>
      <c r="I258" s="20">
        <f t="shared" si="19"/>
        <v>589.61962800000003</v>
      </c>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c r="XFD258" s="1"/>
    </row>
    <row r="259" spans="1:151 16227:16384" s="11" customFormat="1" ht="20.25" x14ac:dyDescent="0.25">
      <c r="A259" s="94" t="s">
        <v>225</v>
      </c>
      <c r="B259" s="95"/>
      <c r="C259" s="95"/>
      <c r="D259" s="95"/>
      <c r="E259" s="95"/>
      <c r="F259" s="95"/>
      <c r="G259" s="95"/>
      <c r="H259" s="95"/>
      <c r="I259" s="103"/>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c r="XFD259" s="1"/>
    </row>
    <row r="260" spans="1:151 16227:16384" s="11" customFormat="1" ht="20.25" customHeight="1" x14ac:dyDescent="0.25">
      <c r="A260" s="97" t="str">
        <f>A259</f>
        <v>2nd Floor</v>
      </c>
      <c r="B260" s="98"/>
      <c r="C260" s="88">
        <v>1</v>
      </c>
      <c r="D260" s="89"/>
      <c r="E260" s="20" t="s">
        <v>218</v>
      </c>
      <c r="F260" s="88">
        <f>34.5*10.764</f>
        <v>371.358</v>
      </c>
      <c r="G260" s="89"/>
      <c r="H260" s="20">
        <v>0</v>
      </c>
      <c r="I260" s="20">
        <f t="shared" ref="I260:I270" si="21">F260*(($I$166)+1)+H260</f>
        <v>575.60490000000004</v>
      </c>
      <c r="J260" s="1"/>
      <c r="K260" s="1"/>
      <c r="L260" s="1"/>
      <c r="M260" s="1"/>
      <c r="N260" s="1"/>
      <c r="O260" s="1"/>
      <c r="P260" s="1"/>
      <c r="Q260" s="1"/>
      <c r="R260" s="1"/>
      <c r="S260" s="1"/>
      <c r="T260" s="1"/>
      <c r="U260" s="43" t="str">
        <f t="shared" ref="U260:U270" ca="1" si="22">V260&amp;""&amp;",..,"&amp;""&amp;W260</f>
        <v>201,..,201</v>
      </c>
      <c r="V260" s="43">
        <f ca="1">(SUMPRODUCT(MID(0&amp;(LEFT(A259,SUM(LEN(A259)-LEN(SUBSTITUTE(A259,{"0","1","2","3"},""))))), LARGE(INDEX(ISNUMBER(--MID((LEFT(A259,SUM(LEN(A259)-LEN(SUBSTITUTE(A259,{"0","1","2","3"},""))))), ROW(INDIRECT("1:"&amp;LEN((LEFT(A259,SUM(LEN(A259)-LEN(SUBSTITUTE(A259,{"0","1","2","3"},"")))))))), 1)) * ROW(INDIRECT("1:"&amp;LEN((LEFT(A259,SUM(LEN(A259)-LEN(SUBSTITUTE(A259,{"0","1","2","3"},"")))))))), 0), ROW(INDIRECT("1:"&amp;LEN((LEFT(A259,SUM(LEN(A259)-LEN(SUBSTITUTE(A259,{"0","1","2","3"},"")))))))))+1, 1) * 10^ROW(INDIRECT("1:"&amp;LEN((LEFT(A259,SUM(LEN(A259)-LEN(SUBSTITUTE(A259,{"0","1","2","3"},""))))))))/10))*100+1</f>
        <v>201</v>
      </c>
      <c r="W260" s="43">
        <f ca="1">(SUMPRODUCT(MID(0&amp;(--TRIM(RIGHT(SUBSTITUTE(LEFT(A259,_xlfn.AGGREGATE(16,6,FIND({0,1,2,3,4,5,6,7,8,9},A259,ROW(INDIRECT("1:"&amp;LEN(A259)))),1))," ",REPT(" ",LEN(A259))),LEN(A259)))), LARGE(INDEX(ISNUMBER(--MID((--TRIM(RIGHT(SUBSTITUTE(LEFT(A259,_xlfn.AGGREGATE(16,6,FIND({0,1,2,3,4,5,6,7,8,9},A259,ROW(INDIRECT("1:"&amp;LEN(A259)))),1))," ",REPT(" ",LEN(A259))),LEN(A259)))), ROW(INDIRECT("1:"&amp;LEN((--TRIM(RIGHT(SUBSTITUTE(LEFT(A259,_xlfn.AGGREGATE(16,6,FIND({0,1,2,3,4,5,6,7,8,9},A259,ROW(INDIRECT("1:"&amp;LEN(A259)))),1))," ",REPT(" ",LEN(A259))),LEN(A259))))))), 1)) * ROW(INDIRECT("1:"&amp;LEN((--TRIM(RIGHT(SUBSTITUTE(LEFT(A259,_xlfn.AGGREGATE(16,6,FIND({0,1,2,3,4,5,6,7,8,9},A259,ROW(INDIRECT("1:"&amp;LEN(A259)))),1))," ",REPT(" ",LEN(A259))),LEN(A259))))))), 0), ROW(INDIRECT("1:"&amp;LEN((--TRIM(RIGHT(SUBSTITUTE(LEFT(A259,_xlfn.AGGREGATE(16,6,FIND({0,1,2,3,4,5,6,7,8,9},A259,ROW(INDIRECT("1:"&amp;LEN(A259)))),1))," ",REPT(" ",LEN(A259))),LEN(A259))))))))+1, 1) * 10^ROW(INDIRECT("1:"&amp;LEN((--TRIM(RIGHT(SUBSTITUTE(LEFT(A259,_xlfn.AGGREGATE(16,6,FIND({0,1,2,3,4,5,6,7,8,9},A259,ROW(INDIRECT("1:"&amp;LEN(A259)))),1))," ",REPT(" ",LEN(A259))),LEN(A259)))))))/10))*100+1</f>
        <v>201</v>
      </c>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c r="XFD260" s="1"/>
    </row>
    <row r="261" spans="1:151 16227:16384" s="11" customFormat="1" ht="20.25" customHeight="1" x14ac:dyDescent="0.25">
      <c r="A261" s="99"/>
      <c r="B261" s="100"/>
      <c r="C261" s="88">
        <v>2</v>
      </c>
      <c r="D261" s="89"/>
      <c r="E261" s="20" t="s">
        <v>218</v>
      </c>
      <c r="F261" s="88">
        <f>34.5*10.764</f>
        <v>371.358</v>
      </c>
      <c r="G261" s="89"/>
      <c r="H261" s="20">
        <v>0</v>
      </c>
      <c r="I261" s="20">
        <f t="shared" si="21"/>
        <v>575.60490000000004</v>
      </c>
      <c r="J261" s="1"/>
      <c r="K261" s="1"/>
      <c r="L261" s="1"/>
      <c r="M261" s="1"/>
      <c r="N261" s="1"/>
      <c r="O261" s="1"/>
      <c r="P261" s="1"/>
      <c r="Q261" s="1"/>
      <c r="R261" s="1"/>
      <c r="S261" s="1"/>
      <c r="T261" s="1"/>
      <c r="U261" s="43" t="str">
        <f t="shared" ca="1" si="22"/>
        <v>202,..,202</v>
      </c>
      <c r="V261" s="43">
        <f ca="1">V260+1</f>
        <v>202</v>
      </c>
      <c r="W261" s="43">
        <f ca="1">W260+1</f>
        <v>202</v>
      </c>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c r="XFD261" s="1"/>
    </row>
    <row r="262" spans="1:151 16227:16384" s="11" customFormat="1" ht="20.25" customHeight="1" x14ac:dyDescent="0.25">
      <c r="A262" s="99"/>
      <c r="B262" s="100"/>
      <c r="C262" s="88">
        <v>3</v>
      </c>
      <c r="D262" s="89"/>
      <c r="E262" s="20" t="s">
        <v>228</v>
      </c>
      <c r="F262" s="88">
        <f>61.23*10.764</f>
        <v>659.07971999999995</v>
      </c>
      <c r="G262" s="89"/>
      <c r="H262" s="20">
        <f>(3.3*3.2+3.2*1.8+2.43*2.5+3.05*2.6)*10.764</f>
        <v>326.41829999999999</v>
      </c>
      <c r="I262" s="20">
        <f>F262*(($I$166)+1)+H262/2</f>
        <v>1184.7827159999999</v>
      </c>
      <c r="J262" s="1"/>
      <c r="K262" s="1"/>
      <c r="L262" s="1"/>
      <c r="M262" s="1"/>
      <c r="N262" s="1"/>
      <c r="O262" s="1"/>
      <c r="P262" s="1"/>
      <c r="Q262" s="1"/>
      <c r="R262" s="1"/>
      <c r="S262" s="1"/>
      <c r="T262" s="1"/>
      <c r="U262" s="43" t="str">
        <f t="shared" ca="1" si="22"/>
        <v>203,..,203</v>
      </c>
      <c r="V262" s="43">
        <f t="shared" ref="V262:W270" ca="1" si="23">V261+1</f>
        <v>203</v>
      </c>
      <c r="W262" s="43">
        <f t="shared" ca="1" si="23"/>
        <v>203</v>
      </c>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c r="XFD262" s="1"/>
    </row>
    <row r="263" spans="1:151 16227:16384" s="11" customFormat="1" ht="20.25" customHeight="1" x14ac:dyDescent="0.25">
      <c r="A263" s="99"/>
      <c r="B263" s="100"/>
      <c r="C263" s="88">
        <v>4</v>
      </c>
      <c r="D263" s="89"/>
      <c r="E263" s="20" t="s">
        <v>228</v>
      </c>
      <c r="F263" s="88">
        <f>61.6*10.764</f>
        <v>663.06240000000003</v>
      </c>
      <c r="G263" s="89"/>
      <c r="H263" s="20">
        <f>(3.3*3.2+3.2*1.8+2.43*2.5+3.05*2.6+1.82*5.2)*10.764</f>
        <v>428.28879599999999</v>
      </c>
      <c r="I263" s="20">
        <f>F263*(($I$166)+1)+H263/2</f>
        <v>1241.891118</v>
      </c>
      <c r="J263" s="1"/>
      <c r="K263" s="1"/>
      <c r="L263" s="1"/>
      <c r="M263" s="1"/>
      <c r="N263" s="1"/>
      <c r="O263" s="1"/>
      <c r="P263" s="1"/>
      <c r="Q263" s="1"/>
      <c r="R263" s="1"/>
      <c r="S263" s="1"/>
      <c r="T263" s="1"/>
      <c r="U263" s="43" t="str">
        <f t="shared" ca="1" si="22"/>
        <v>204,..,204</v>
      </c>
      <c r="V263" s="43">
        <f t="shared" ca="1" si="23"/>
        <v>204</v>
      </c>
      <c r="W263" s="43">
        <f t="shared" ca="1" si="23"/>
        <v>204</v>
      </c>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c r="XFD263" s="1"/>
    </row>
    <row r="264" spans="1:151 16227:16384" s="11" customFormat="1" ht="20.25" customHeight="1" x14ac:dyDescent="0.25">
      <c r="A264" s="99"/>
      <c r="B264" s="100"/>
      <c r="C264" s="88">
        <v>5</v>
      </c>
      <c r="D264" s="89"/>
      <c r="E264" s="20" t="s">
        <v>218</v>
      </c>
      <c r="F264" s="88">
        <f>43.31*10.764</f>
        <v>466.18883999999997</v>
      </c>
      <c r="G264" s="89"/>
      <c r="H264" s="20">
        <f>(3.12*1.7+5.5*3.7)*10.764</f>
        <v>276.139656</v>
      </c>
      <c r="I264" s="20">
        <f t="shared" ref="I264:I267" si="24">F264*(($I$166)+1)+H264/2</f>
        <v>860.66253000000006</v>
      </c>
      <c r="J264" s="1"/>
      <c r="K264" s="1"/>
      <c r="L264" s="1"/>
      <c r="M264" s="1"/>
      <c r="N264" s="1"/>
      <c r="O264" s="1"/>
      <c r="P264" s="1"/>
      <c r="Q264" s="1"/>
      <c r="R264" s="1"/>
      <c r="S264" s="1"/>
      <c r="T264" s="1"/>
      <c r="U264" s="43" t="str">
        <f t="shared" ca="1" si="22"/>
        <v>205,..,205</v>
      </c>
      <c r="V264" s="43">
        <f t="shared" ca="1" si="23"/>
        <v>205</v>
      </c>
      <c r="W264" s="43">
        <f t="shared" ca="1" si="23"/>
        <v>205</v>
      </c>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c r="XFD264" s="1"/>
    </row>
    <row r="265" spans="1:151 16227:16384" s="11" customFormat="1" ht="20.25" customHeight="1" x14ac:dyDescent="0.25">
      <c r="A265" s="99"/>
      <c r="B265" s="100"/>
      <c r="C265" s="88">
        <v>6</v>
      </c>
      <c r="D265" s="89"/>
      <c r="E265" s="20" t="s">
        <v>218</v>
      </c>
      <c r="F265" s="88">
        <f>39.8*10.764</f>
        <v>428.40719999999993</v>
      </c>
      <c r="G265" s="89"/>
      <c r="H265" s="20">
        <f t="shared" ref="H265" si="25">(1.75*3.425+3.8*3.05+2.125*3.8)*10.764</f>
        <v>276.19078499999995</v>
      </c>
      <c r="I265" s="20">
        <f t="shared" si="24"/>
        <v>802.12655249999989</v>
      </c>
      <c r="J265" s="1"/>
      <c r="K265" s="1"/>
      <c r="L265" s="1"/>
      <c r="M265" s="1"/>
      <c r="N265" s="1"/>
      <c r="O265" s="1"/>
      <c r="P265" s="1"/>
      <c r="Q265" s="1"/>
      <c r="R265" s="1"/>
      <c r="S265" s="1"/>
      <c r="T265" s="1"/>
      <c r="U265" s="43" t="str">
        <f t="shared" ca="1" si="22"/>
        <v>206,..,206</v>
      </c>
      <c r="V265" s="43">
        <f t="shared" ca="1" si="23"/>
        <v>206</v>
      </c>
      <c r="W265" s="43">
        <f t="shared" ca="1" si="23"/>
        <v>206</v>
      </c>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c r="XFD265" s="1"/>
    </row>
    <row r="266" spans="1:151 16227:16384" s="11" customFormat="1" ht="20.25" customHeight="1" x14ac:dyDescent="0.25">
      <c r="A266" s="99"/>
      <c r="B266" s="100"/>
      <c r="C266" s="88">
        <v>7</v>
      </c>
      <c r="D266" s="89"/>
      <c r="E266" s="20" t="s">
        <v>218</v>
      </c>
      <c r="F266" s="88">
        <f>39.8*10.764</f>
        <v>428.40719999999993</v>
      </c>
      <c r="G266" s="89"/>
      <c r="H266" s="20">
        <f>(5.3*3.7+3.12*1.6)*10.764</f>
        <v>264.81592799999999</v>
      </c>
      <c r="I266" s="20">
        <f t="shared" si="24"/>
        <v>796.43912399999988</v>
      </c>
      <c r="J266" s="1"/>
      <c r="K266" s="1"/>
      <c r="L266" s="1"/>
      <c r="M266" s="1"/>
      <c r="N266" s="1"/>
      <c r="O266" s="1"/>
      <c r="P266" s="1"/>
      <c r="Q266" s="1"/>
      <c r="R266" s="1"/>
      <c r="S266" s="1"/>
      <c r="T266" s="1"/>
      <c r="U266" s="43" t="str">
        <f t="shared" ca="1" si="22"/>
        <v>207,..,207</v>
      </c>
      <c r="V266" s="43">
        <f t="shared" ca="1" si="23"/>
        <v>207</v>
      </c>
      <c r="W266" s="43">
        <f t="shared" ca="1" si="23"/>
        <v>207</v>
      </c>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c r="XFD266" s="1"/>
    </row>
    <row r="267" spans="1:151 16227:16384" s="11" customFormat="1" ht="20.25" customHeight="1" x14ac:dyDescent="0.25">
      <c r="A267" s="99"/>
      <c r="B267" s="100"/>
      <c r="C267" s="88">
        <v>8</v>
      </c>
      <c r="D267" s="89"/>
      <c r="E267" s="20" t="s">
        <v>218</v>
      </c>
      <c r="F267" s="88">
        <f>43.04*10.764</f>
        <v>463.28255999999999</v>
      </c>
      <c r="G267" s="89"/>
      <c r="H267" s="20">
        <v>0</v>
      </c>
      <c r="I267" s="20">
        <f t="shared" si="24"/>
        <v>718.08796800000005</v>
      </c>
      <c r="J267" s="1"/>
      <c r="K267" s="1"/>
      <c r="L267" s="1"/>
      <c r="M267" s="1"/>
      <c r="N267" s="1"/>
      <c r="O267" s="1"/>
      <c r="P267" s="1"/>
      <c r="Q267" s="1"/>
      <c r="R267" s="1"/>
      <c r="S267" s="1"/>
      <c r="T267" s="1"/>
      <c r="U267" s="43" t="str">
        <f t="shared" ca="1" si="22"/>
        <v>208,..,208</v>
      </c>
      <c r="V267" s="43">
        <f t="shared" ca="1" si="23"/>
        <v>208</v>
      </c>
      <c r="W267" s="43">
        <f t="shared" ca="1" si="23"/>
        <v>208</v>
      </c>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c r="XFD267" s="1"/>
    </row>
    <row r="268" spans="1:151 16227:16384" s="11" customFormat="1" ht="20.25" customHeight="1" x14ac:dyDescent="0.25">
      <c r="A268" s="99"/>
      <c r="B268" s="100"/>
      <c r="C268" s="88">
        <v>9</v>
      </c>
      <c r="D268" s="89"/>
      <c r="E268" s="20" t="s">
        <v>218</v>
      </c>
      <c r="F268" s="88">
        <f>43.04*10.764</f>
        <v>463.28255999999999</v>
      </c>
      <c r="G268" s="89"/>
      <c r="H268" s="20">
        <v>0</v>
      </c>
      <c r="I268" s="20">
        <f t="shared" si="21"/>
        <v>718.08796800000005</v>
      </c>
      <c r="J268" s="1"/>
      <c r="K268" s="1"/>
      <c r="L268" s="1"/>
      <c r="M268" s="1"/>
      <c r="N268" s="1"/>
      <c r="O268" s="1"/>
      <c r="P268" s="1"/>
      <c r="Q268" s="1"/>
      <c r="R268" s="1"/>
      <c r="S268" s="1"/>
      <c r="T268" s="1"/>
      <c r="U268" s="43" t="str">
        <f t="shared" ca="1" si="22"/>
        <v>209,..,209</v>
      </c>
      <c r="V268" s="43">
        <f t="shared" ca="1" si="23"/>
        <v>209</v>
      </c>
      <c r="W268" s="43">
        <f t="shared" ca="1" si="23"/>
        <v>209</v>
      </c>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c r="XFD268" s="1"/>
    </row>
    <row r="269" spans="1:151 16227:16384" s="11" customFormat="1" ht="20.25" customHeight="1" x14ac:dyDescent="0.25">
      <c r="A269" s="99"/>
      <c r="B269" s="100"/>
      <c r="C269" s="88">
        <v>10</v>
      </c>
      <c r="D269" s="89"/>
      <c r="E269" s="20" t="s">
        <v>218</v>
      </c>
      <c r="F269" s="88">
        <f>35.34*10.764</f>
        <v>380.39976000000001</v>
      </c>
      <c r="G269" s="89"/>
      <c r="H269" s="20">
        <v>0</v>
      </c>
      <c r="I269" s="20">
        <f t="shared" si="21"/>
        <v>589.61962800000003</v>
      </c>
      <c r="J269" s="1"/>
      <c r="K269" s="1"/>
      <c r="L269" s="1"/>
      <c r="M269" s="1"/>
      <c r="N269" s="1"/>
      <c r="O269" s="1"/>
      <c r="P269" s="1"/>
      <c r="Q269" s="1"/>
      <c r="R269" s="1"/>
      <c r="S269" s="1"/>
      <c r="T269" s="1"/>
      <c r="U269" s="43" t="str">
        <f t="shared" ca="1" si="22"/>
        <v>210,..,210</v>
      </c>
      <c r="V269" s="43">
        <f t="shared" ca="1" si="23"/>
        <v>210</v>
      </c>
      <c r="W269" s="43">
        <f t="shared" ca="1" si="23"/>
        <v>210</v>
      </c>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c r="XFD269" s="1"/>
    </row>
    <row r="270" spans="1:151 16227:16384" s="11" customFormat="1" ht="20.25" customHeight="1" x14ac:dyDescent="0.25">
      <c r="A270" s="101"/>
      <c r="B270" s="102"/>
      <c r="C270" s="88">
        <v>11</v>
      </c>
      <c r="D270" s="89"/>
      <c r="E270" s="20" t="s">
        <v>218</v>
      </c>
      <c r="F270" s="88">
        <f>35.34*10.764</f>
        <v>380.39976000000001</v>
      </c>
      <c r="G270" s="89"/>
      <c r="H270" s="20">
        <v>0</v>
      </c>
      <c r="I270" s="20">
        <f t="shared" si="21"/>
        <v>589.61962800000003</v>
      </c>
      <c r="J270" s="1"/>
      <c r="K270" s="1"/>
      <c r="L270" s="1"/>
      <c r="M270" s="1"/>
      <c r="N270" s="1"/>
      <c r="O270" s="1"/>
      <c r="P270" s="1"/>
      <c r="Q270" s="1"/>
      <c r="R270" s="1"/>
      <c r="S270" s="1"/>
      <c r="T270" s="1"/>
      <c r="U270" s="43" t="str">
        <f t="shared" ca="1" si="22"/>
        <v>211,..,211</v>
      </c>
      <c r="V270" s="43">
        <f t="shared" ca="1" si="23"/>
        <v>211</v>
      </c>
      <c r="W270" s="43">
        <f t="shared" ca="1" si="23"/>
        <v>211</v>
      </c>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c r="XFD270" s="1"/>
    </row>
    <row r="271" spans="1:151 16227:16384" s="11" customFormat="1" ht="20.25" x14ac:dyDescent="0.25">
      <c r="A271" s="94" t="s">
        <v>226</v>
      </c>
      <c r="B271" s="95"/>
      <c r="C271" s="95"/>
      <c r="D271" s="95"/>
      <c r="E271" s="95"/>
      <c r="F271" s="95"/>
      <c r="G271" s="95"/>
      <c r="H271" s="95"/>
      <c r="I271" s="103"/>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c r="XFD271" s="1"/>
    </row>
    <row r="272" spans="1:151 16227:16384" s="11" customFormat="1" ht="20.25" customHeight="1" x14ac:dyDescent="0.25">
      <c r="A272" s="97" t="str">
        <f>A271</f>
        <v>3rd to 6th, 8th to 11th, 13th to 16th, 18th to 21st Floor</v>
      </c>
      <c r="B272" s="98"/>
      <c r="C272" s="88">
        <v>1</v>
      </c>
      <c r="D272" s="89"/>
      <c r="E272" s="55" t="s">
        <v>218</v>
      </c>
      <c r="F272" s="88">
        <f>34.5*10.764</f>
        <v>371.358</v>
      </c>
      <c r="G272" s="89"/>
      <c r="H272" s="20">
        <v>0</v>
      </c>
      <c r="I272" s="20">
        <f t="shared" ref="I272:I282" si="26">F272*(($I$166)+1)+H272</f>
        <v>575.60490000000004</v>
      </c>
      <c r="J272" s="1"/>
      <c r="K272" s="1"/>
      <c r="L272" s="1"/>
      <c r="M272" s="1"/>
      <c r="N272" s="1"/>
      <c r="O272" s="1"/>
      <c r="P272" s="1"/>
      <c r="Q272" s="1"/>
      <c r="R272" s="1"/>
      <c r="S272" s="1"/>
      <c r="T272" s="1"/>
      <c r="U272" s="43" t="str">
        <f t="shared" ref="U272:U282" ca="1" si="27">V272&amp;""&amp;",..,"&amp;""&amp;W272</f>
        <v>3601,..,2101</v>
      </c>
      <c r="V272" s="43">
        <f ca="1">(SUMPRODUCT(MID(0&amp;(LEFT(A271,SUM(LEN(A271)-LEN(SUBSTITUTE(A271,{"0","1","2","3"},""))))), LARGE(INDEX(ISNUMBER(--MID((LEFT(A271,SUM(LEN(A271)-LEN(SUBSTITUTE(A271,{"0","1","2","3"},""))))), ROW(INDIRECT("1:"&amp;LEN((LEFT(A271,SUM(LEN(A271)-LEN(SUBSTITUTE(A271,{"0","1","2","3"},"")))))))), 1)) * ROW(INDIRECT("1:"&amp;LEN((LEFT(A271,SUM(LEN(A271)-LEN(SUBSTITUTE(A271,{"0","1","2","3"},"")))))))), 0), ROW(INDIRECT("1:"&amp;LEN((LEFT(A271,SUM(LEN(A271)-LEN(SUBSTITUTE(A271,{"0","1","2","3"},"")))))))))+1, 1) * 10^ROW(INDIRECT("1:"&amp;LEN((LEFT(A271,SUM(LEN(A271)-LEN(SUBSTITUTE(A271,{"0","1","2","3"},""))))))))/10))*100+1</f>
        <v>3601</v>
      </c>
      <c r="W272" s="43">
        <f ca="1">(SUMPRODUCT(MID(0&amp;(--TRIM(RIGHT(SUBSTITUTE(LEFT(A271,_xlfn.AGGREGATE(16,6,FIND({0,1,2,3,4,5,6,7,8,9},A271,ROW(INDIRECT("1:"&amp;LEN(A271)))),1))," ",REPT(" ",LEN(A271))),LEN(A271)))), LARGE(INDEX(ISNUMBER(--MID((--TRIM(RIGHT(SUBSTITUTE(LEFT(A271,_xlfn.AGGREGATE(16,6,FIND({0,1,2,3,4,5,6,7,8,9},A271,ROW(INDIRECT("1:"&amp;LEN(A271)))),1))," ",REPT(" ",LEN(A271))),LEN(A271)))), ROW(INDIRECT("1:"&amp;LEN((--TRIM(RIGHT(SUBSTITUTE(LEFT(A271,_xlfn.AGGREGATE(16,6,FIND({0,1,2,3,4,5,6,7,8,9},A271,ROW(INDIRECT("1:"&amp;LEN(A271)))),1))," ",REPT(" ",LEN(A271))),LEN(A271))))))), 1)) * ROW(INDIRECT("1:"&amp;LEN((--TRIM(RIGHT(SUBSTITUTE(LEFT(A271,_xlfn.AGGREGATE(16,6,FIND({0,1,2,3,4,5,6,7,8,9},A271,ROW(INDIRECT("1:"&amp;LEN(A271)))),1))," ",REPT(" ",LEN(A271))),LEN(A271))))))), 0), ROW(INDIRECT("1:"&amp;LEN((--TRIM(RIGHT(SUBSTITUTE(LEFT(A271,_xlfn.AGGREGATE(16,6,FIND({0,1,2,3,4,5,6,7,8,9},A271,ROW(INDIRECT("1:"&amp;LEN(A271)))),1))," ",REPT(" ",LEN(A271))),LEN(A271))))))))+1, 1) * 10^ROW(INDIRECT("1:"&amp;LEN((--TRIM(RIGHT(SUBSTITUTE(LEFT(A271,_xlfn.AGGREGATE(16,6,FIND({0,1,2,3,4,5,6,7,8,9},A271,ROW(INDIRECT("1:"&amp;LEN(A271)))),1))," ",REPT(" ",LEN(A271))),LEN(A271)))))))/10))*100+1</f>
        <v>2101</v>
      </c>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c r="XFD272" s="1"/>
    </row>
    <row r="273" spans="1:151 16227:16384" s="11" customFormat="1" ht="20.25" customHeight="1" x14ac:dyDescent="0.25">
      <c r="A273" s="99"/>
      <c r="B273" s="100"/>
      <c r="C273" s="88">
        <v>2</v>
      </c>
      <c r="D273" s="89"/>
      <c r="E273" s="55" t="s">
        <v>218</v>
      </c>
      <c r="F273" s="88">
        <f>34.5*10.764</f>
        <v>371.358</v>
      </c>
      <c r="G273" s="89"/>
      <c r="H273" s="20">
        <v>0</v>
      </c>
      <c r="I273" s="20">
        <f t="shared" si="26"/>
        <v>575.60490000000004</v>
      </c>
      <c r="J273" s="1"/>
      <c r="K273" s="1"/>
      <c r="L273" s="1"/>
      <c r="M273" s="1"/>
      <c r="N273" s="1"/>
      <c r="O273" s="1"/>
      <c r="P273" s="1"/>
      <c r="Q273" s="1"/>
      <c r="R273" s="1"/>
      <c r="S273" s="1"/>
      <c r="T273" s="1"/>
      <c r="U273" s="43" t="str">
        <f t="shared" ca="1" si="27"/>
        <v>3602,..,2102</v>
      </c>
      <c r="V273" s="43">
        <f ca="1">V272+1</f>
        <v>3602</v>
      </c>
      <c r="W273" s="43">
        <f ca="1">W272+1</f>
        <v>2102</v>
      </c>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c r="XFD273" s="1"/>
    </row>
    <row r="274" spans="1:151 16227:16384" s="11" customFormat="1" ht="20.25" customHeight="1" x14ac:dyDescent="0.25">
      <c r="A274" s="99"/>
      <c r="B274" s="100"/>
      <c r="C274" s="88">
        <v>3</v>
      </c>
      <c r="D274" s="89"/>
      <c r="E274" s="55" t="s">
        <v>228</v>
      </c>
      <c r="F274" s="88">
        <f>61.23*10.764</f>
        <v>659.07971999999995</v>
      </c>
      <c r="G274" s="89"/>
      <c r="H274" s="20">
        <v>0</v>
      </c>
      <c r="I274" s="20">
        <f t="shared" si="26"/>
        <v>1021.5735659999999</v>
      </c>
      <c r="J274" s="1"/>
      <c r="K274" s="1"/>
      <c r="L274" s="1"/>
      <c r="M274" s="1"/>
      <c r="N274" s="1"/>
      <c r="O274" s="1"/>
      <c r="P274" s="1"/>
      <c r="Q274" s="1"/>
      <c r="R274" s="1"/>
      <c r="S274" s="1"/>
      <c r="T274" s="1"/>
      <c r="U274" s="43" t="str">
        <f t="shared" ca="1" si="27"/>
        <v>3603,..,2103</v>
      </c>
      <c r="V274" s="43">
        <f t="shared" ref="V274:W274" ca="1" si="28">V273+1</f>
        <v>3603</v>
      </c>
      <c r="W274" s="43">
        <f t="shared" ca="1" si="28"/>
        <v>2103</v>
      </c>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c r="XFD274" s="1"/>
    </row>
    <row r="275" spans="1:151 16227:16384" s="11" customFormat="1" ht="20.25" customHeight="1" x14ac:dyDescent="0.25">
      <c r="A275" s="99"/>
      <c r="B275" s="100"/>
      <c r="C275" s="88">
        <v>4</v>
      </c>
      <c r="D275" s="89"/>
      <c r="E275" s="55" t="s">
        <v>228</v>
      </c>
      <c r="F275" s="88">
        <f>61.6*10.764</f>
        <v>663.06240000000003</v>
      </c>
      <c r="G275" s="89"/>
      <c r="H275" s="20">
        <v>0</v>
      </c>
      <c r="I275" s="20">
        <f t="shared" si="26"/>
        <v>1027.7467200000001</v>
      </c>
      <c r="J275" s="1"/>
      <c r="K275" s="1"/>
      <c r="L275" s="1"/>
      <c r="M275" s="1"/>
      <c r="N275" s="1"/>
      <c r="O275" s="1"/>
      <c r="P275" s="1"/>
      <c r="Q275" s="1"/>
      <c r="R275" s="1"/>
      <c r="S275" s="1"/>
      <c r="T275" s="1"/>
      <c r="U275" s="43" t="str">
        <f t="shared" ca="1" si="27"/>
        <v>3604,..,2104</v>
      </c>
      <c r="V275" s="43">
        <f t="shared" ref="V275:W275" ca="1" si="29">V274+1</f>
        <v>3604</v>
      </c>
      <c r="W275" s="43">
        <f t="shared" ca="1" si="29"/>
        <v>2104</v>
      </c>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c r="XFD275" s="1"/>
    </row>
    <row r="276" spans="1:151 16227:16384" s="11" customFormat="1" ht="20.25" customHeight="1" x14ac:dyDescent="0.25">
      <c r="A276" s="99"/>
      <c r="B276" s="100"/>
      <c r="C276" s="88">
        <v>5</v>
      </c>
      <c r="D276" s="89"/>
      <c r="E276" s="55" t="s">
        <v>218</v>
      </c>
      <c r="F276" s="88">
        <f>43.31*10.764</f>
        <v>466.18883999999997</v>
      </c>
      <c r="G276" s="89"/>
      <c r="H276" s="20">
        <v>0</v>
      </c>
      <c r="I276" s="20">
        <f t="shared" si="26"/>
        <v>722.59270200000003</v>
      </c>
      <c r="J276" s="1"/>
      <c r="K276" s="1"/>
      <c r="L276" s="1"/>
      <c r="M276" s="1"/>
      <c r="N276" s="1"/>
      <c r="O276" s="1"/>
      <c r="P276" s="1"/>
      <c r="Q276" s="1"/>
      <c r="R276" s="1"/>
      <c r="S276" s="1"/>
      <c r="T276" s="1"/>
      <c r="U276" s="43" t="str">
        <f t="shared" ca="1" si="27"/>
        <v>3605,..,2105</v>
      </c>
      <c r="V276" s="43">
        <f t="shared" ref="V276:W276" ca="1" si="30">V275+1</f>
        <v>3605</v>
      </c>
      <c r="W276" s="43">
        <f t="shared" ca="1" si="30"/>
        <v>2105</v>
      </c>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c r="XFD276" s="1"/>
    </row>
    <row r="277" spans="1:151 16227:16384" s="11" customFormat="1" ht="20.25" customHeight="1" x14ac:dyDescent="0.25">
      <c r="A277" s="99"/>
      <c r="B277" s="100"/>
      <c r="C277" s="88">
        <v>6</v>
      </c>
      <c r="D277" s="89"/>
      <c r="E277" s="55" t="s">
        <v>218</v>
      </c>
      <c r="F277" s="88">
        <f>39.8*10.764</f>
        <v>428.40719999999993</v>
      </c>
      <c r="G277" s="89"/>
      <c r="H277" s="20">
        <v>0</v>
      </c>
      <c r="I277" s="20">
        <f t="shared" si="26"/>
        <v>664.03115999999989</v>
      </c>
      <c r="J277" s="1"/>
      <c r="K277" s="1"/>
      <c r="L277" s="1"/>
      <c r="M277" s="1"/>
      <c r="N277" s="1"/>
      <c r="O277" s="1"/>
      <c r="P277" s="1"/>
      <c r="Q277" s="1"/>
      <c r="R277" s="1"/>
      <c r="S277" s="1"/>
      <c r="T277" s="1"/>
      <c r="U277" s="43" t="str">
        <f t="shared" ca="1" si="27"/>
        <v>3606,..,2106</v>
      </c>
      <c r="V277" s="43">
        <f t="shared" ref="V277:W277" ca="1" si="31">V276+1</f>
        <v>3606</v>
      </c>
      <c r="W277" s="43">
        <f t="shared" ca="1" si="31"/>
        <v>2106</v>
      </c>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c r="XFD277" s="1"/>
    </row>
    <row r="278" spans="1:151 16227:16384" s="11" customFormat="1" ht="20.25" customHeight="1" x14ac:dyDescent="0.25">
      <c r="A278" s="99"/>
      <c r="B278" s="100"/>
      <c r="C278" s="88">
        <v>7</v>
      </c>
      <c r="D278" s="89"/>
      <c r="E278" s="55" t="s">
        <v>218</v>
      </c>
      <c r="F278" s="88">
        <f>39.8*10.764</f>
        <v>428.40719999999993</v>
      </c>
      <c r="G278" s="89"/>
      <c r="H278" s="20">
        <v>0</v>
      </c>
      <c r="I278" s="20">
        <f t="shared" si="26"/>
        <v>664.03115999999989</v>
      </c>
      <c r="J278" s="1"/>
      <c r="K278" s="1"/>
      <c r="L278" s="1"/>
      <c r="M278" s="1"/>
      <c r="N278" s="1"/>
      <c r="O278" s="1"/>
      <c r="P278" s="1"/>
      <c r="Q278" s="1"/>
      <c r="R278" s="1"/>
      <c r="S278" s="1"/>
      <c r="T278" s="1"/>
      <c r="U278" s="43" t="str">
        <f t="shared" ca="1" si="27"/>
        <v>3607,..,2107</v>
      </c>
      <c r="V278" s="43">
        <f t="shared" ref="V278:W278" ca="1" si="32">V277+1</f>
        <v>3607</v>
      </c>
      <c r="W278" s="43">
        <f t="shared" ca="1" si="32"/>
        <v>2107</v>
      </c>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c r="XFD278" s="1"/>
    </row>
    <row r="279" spans="1:151 16227:16384" s="11" customFormat="1" ht="20.25" customHeight="1" x14ac:dyDescent="0.25">
      <c r="A279" s="99"/>
      <c r="B279" s="100"/>
      <c r="C279" s="88">
        <v>8</v>
      </c>
      <c r="D279" s="89"/>
      <c r="E279" s="55" t="s">
        <v>218</v>
      </c>
      <c r="F279" s="88">
        <f>43.04*10.764</f>
        <v>463.28255999999999</v>
      </c>
      <c r="G279" s="89"/>
      <c r="H279" s="20">
        <v>0</v>
      </c>
      <c r="I279" s="20">
        <f t="shared" si="26"/>
        <v>718.08796800000005</v>
      </c>
      <c r="J279" s="1"/>
      <c r="K279" s="1"/>
      <c r="L279" s="1"/>
      <c r="M279" s="1"/>
      <c r="N279" s="1"/>
      <c r="O279" s="1"/>
      <c r="P279" s="1"/>
      <c r="Q279" s="1"/>
      <c r="R279" s="1"/>
      <c r="S279" s="1"/>
      <c r="T279" s="1"/>
      <c r="U279" s="43" t="str">
        <f t="shared" ca="1" si="27"/>
        <v>3608,..,2108</v>
      </c>
      <c r="V279" s="43">
        <f t="shared" ref="V279:W279" ca="1" si="33">V278+1</f>
        <v>3608</v>
      </c>
      <c r="W279" s="43">
        <f t="shared" ca="1" si="33"/>
        <v>2108</v>
      </c>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c r="XFD279" s="1"/>
    </row>
    <row r="280" spans="1:151 16227:16384" s="11" customFormat="1" ht="20.25" customHeight="1" x14ac:dyDescent="0.25">
      <c r="A280" s="99"/>
      <c r="B280" s="100"/>
      <c r="C280" s="88">
        <v>9</v>
      </c>
      <c r="D280" s="89"/>
      <c r="E280" s="55" t="s">
        <v>218</v>
      </c>
      <c r="F280" s="88">
        <f>43.04*10.764</f>
        <v>463.28255999999999</v>
      </c>
      <c r="G280" s="89"/>
      <c r="H280" s="20">
        <v>0</v>
      </c>
      <c r="I280" s="20">
        <f t="shared" si="26"/>
        <v>718.08796800000005</v>
      </c>
      <c r="J280" s="1"/>
      <c r="K280" s="1"/>
      <c r="L280" s="1"/>
      <c r="M280" s="1"/>
      <c r="N280" s="1"/>
      <c r="O280" s="1"/>
      <c r="P280" s="1"/>
      <c r="Q280" s="1"/>
      <c r="R280" s="1"/>
      <c r="S280" s="1"/>
      <c r="T280" s="1"/>
      <c r="U280" s="43" t="str">
        <f t="shared" ca="1" si="27"/>
        <v>3609,..,2109</v>
      </c>
      <c r="V280" s="43">
        <f t="shared" ref="V280:W280" ca="1" si="34">V279+1</f>
        <v>3609</v>
      </c>
      <c r="W280" s="43">
        <f t="shared" ca="1" si="34"/>
        <v>2109</v>
      </c>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c r="XFD280" s="1"/>
    </row>
    <row r="281" spans="1:151 16227:16384" s="11" customFormat="1" ht="20.25" customHeight="1" x14ac:dyDescent="0.25">
      <c r="A281" s="99"/>
      <c r="B281" s="100"/>
      <c r="C281" s="88">
        <v>10</v>
      </c>
      <c r="D281" s="89"/>
      <c r="E281" s="55" t="s">
        <v>218</v>
      </c>
      <c r="F281" s="88">
        <f>35.34*10.764</f>
        <v>380.39976000000001</v>
      </c>
      <c r="G281" s="89"/>
      <c r="H281" s="20">
        <v>0</v>
      </c>
      <c r="I281" s="20">
        <f t="shared" si="26"/>
        <v>589.61962800000003</v>
      </c>
      <c r="J281" s="1"/>
      <c r="K281" s="1"/>
      <c r="L281" s="1"/>
      <c r="M281" s="1"/>
      <c r="N281" s="1"/>
      <c r="O281" s="1"/>
      <c r="P281" s="1"/>
      <c r="Q281" s="1"/>
      <c r="R281" s="1"/>
      <c r="S281" s="1"/>
      <c r="T281" s="1"/>
      <c r="U281" s="43" t="str">
        <f t="shared" ca="1" si="27"/>
        <v>3610,..,2110</v>
      </c>
      <c r="V281" s="43">
        <f t="shared" ref="V281:W281" ca="1" si="35">V280+1</f>
        <v>3610</v>
      </c>
      <c r="W281" s="43">
        <f t="shared" ca="1" si="35"/>
        <v>2110</v>
      </c>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c r="XFD281" s="1"/>
    </row>
    <row r="282" spans="1:151 16227:16384" s="11" customFormat="1" ht="20.25" customHeight="1" x14ac:dyDescent="0.25">
      <c r="A282" s="101"/>
      <c r="B282" s="102"/>
      <c r="C282" s="88">
        <v>11</v>
      </c>
      <c r="D282" s="89"/>
      <c r="E282" s="55" t="s">
        <v>218</v>
      </c>
      <c r="F282" s="88">
        <f>35.34*10.764</f>
        <v>380.39976000000001</v>
      </c>
      <c r="G282" s="89"/>
      <c r="H282" s="20">
        <v>0</v>
      </c>
      <c r="I282" s="20">
        <f t="shared" si="26"/>
        <v>589.61962800000003</v>
      </c>
      <c r="J282" s="1"/>
      <c r="K282" s="1"/>
      <c r="L282" s="1"/>
      <c r="M282" s="1"/>
      <c r="N282" s="1"/>
      <c r="O282" s="1"/>
      <c r="P282" s="1"/>
      <c r="Q282" s="1"/>
      <c r="R282" s="1"/>
      <c r="S282" s="1"/>
      <c r="T282" s="1"/>
      <c r="U282" s="43" t="str">
        <f t="shared" ca="1" si="27"/>
        <v>3611,..,2111</v>
      </c>
      <c r="V282" s="43">
        <f t="shared" ref="V282:W282" ca="1" si="36">V281+1</f>
        <v>3611</v>
      </c>
      <c r="W282" s="43">
        <f t="shared" ca="1" si="36"/>
        <v>2111</v>
      </c>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c r="XFD282" s="1"/>
    </row>
    <row r="283" spans="1:151 16227:16384" s="11" customFormat="1" ht="20.25" x14ac:dyDescent="0.25">
      <c r="A283" s="94" t="s">
        <v>220</v>
      </c>
      <c r="B283" s="95"/>
      <c r="C283" s="95"/>
      <c r="D283" s="95"/>
      <c r="E283" s="95"/>
      <c r="F283" s="95"/>
      <c r="G283" s="95"/>
      <c r="H283" s="95"/>
      <c r="I283" s="103"/>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c r="XFD283" s="1"/>
    </row>
    <row r="284" spans="1:151 16227:16384" s="11" customFormat="1" ht="20.25" customHeight="1" x14ac:dyDescent="0.25">
      <c r="A284" s="97" t="str">
        <f>A283</f>
        <v>7th, 12th, 17th &amp; 22nd Floor (Part Refuge Area)</v>
      </c>
      <c r="B284" s="98"/>
      <c r="C284" s="88">
        <v>1</v>
      </c>
      <c r="D284" s="89"/>
      <c r="E284" s="55" t="s">
        <v>218</v>
      </c>
      <c r="F284" s="88">
        <f>34.5*10.764</f>
        <v>371.358</v>
      </c>
      <c r="G284" s="89"/>
      <c r="H284" s="20">
        <v>0</v>
      </c>
      <c r="I284" s="20">
        <f t="shared" ref="I284:I294" si="37">F284*(($I$166)+1)+H284</f>
        <v>575.60490000000004</v>
      </c>
      <c r="J284" s="1"/>
      <c r="K284" s="1"/>
      <c r="L284" s="1"/>
      <c r="M284" s="1"/>
      <c r="N284" s="1"/>
      <c r="O284" s="1"/>
      <c r="P284" s="1"/>
      <c r="Q284" s="1"/>
      <c r="R284" s="1"/>
      <c r="S284" s="1"/>
      <c r="T284" s="1"/>
      <c r="U284" s="43" t="str">
        <f t="shared" ref="U284:U294" ca="1" si="38">V284&amp;""&amp;",..,"&amp;""&amp;W284</f>
        <v>701,..,2201</v>
      </c>
      <c r="V284" s="43">
        <f ca="1">(SUMPRODUCT(MID(0&amp;(LEFT(A283,SUM(LEN(A283)-LEN(SUBSTITUTE(A283,{"0","1","2","3"},""))))), LARGE(INDEX(ISNUMBER(--MID((LEFT(A283,SUM(LEN(A283)-LEN(SUBSTITUTE(A283,{"0","1","2","3"},""))))), ROW(INDIRECT("1:"&amp;LEN((LEFT(A283,SUM(LEN(A283)-LEN(SUBSTITUTE(A283,{"0","1","2","3"},"")))))))), 1)) * ROW(INDIRECT("1:"&amp;LEN((LEFT(A283,SUM(LEN(A283)-LEN(SUBSTITUTE(A283,{"0","1","2","3"},"")))))))), 0), ROW(INDIRECT("1:"&amp;LEN((LEFT(A283,SUM(LEN(A283)-LEN(SUBSTITUTE(A283,{"0","1","2","3"},"")))))))))+1, 1) * 10^ROW(INDIRECT("1:"&amp;LEN((LEFT(A283,SUM(LEN(A283)-LEN(SUBSTITUTE(A283,{"0","1","2","3"},""))))))))/10))*100+1</f>
        <v>701</v>
      </c>
      <c r="W284" s="43">
        <f ca="1">(SUMPRODUCT(MID(0&amp;(--TRIM(RIGHT(SUBSTITUTE(LEFT(A283,_xlfn.AGGREGATE(16,6,FIND({0,1,2,3,4,5,6,7,8,9},A283,ROW(INDIRECT("1:"&amp;LEN(A283)))),1))," ",REPT(" ",LEN(A283))),LEN(A283)))), LARGE(INDEX(ISNUMBER(--MID((--TRIM(RIGHT(SUBSTITUTE(LEFT(A283,_xlfn.AGGREGATE(16,6,FIND({0,1,2,3,4,5,6,7,8,9},A283,ROW(INDIRECT("1:"&amp;LEN(A283)))),1))," ",REPT(" ",LEN(A283))),LEN(A283)))), ROW(INDIRECT("1:"&amp;LEN((--TRIM(RIGHT(SUBSTITUTE(LEFT(A283,_xlfn.AGGREGATE(16,6,FIND({0,1,2,3,4,5,6,7,8,9},A283,ROW(INDIRECT("1:"&amp;LEN(A283)))),1))," ",REPT(" ",LEN(A283))),LEN(A283))))))), 1)) * ROW(INDIRECT("1:"&amp;LEN((--TRIM(RIGHT(SUBSTITUTE(LEFT(A283,_xlfn.AGGREGATE(16,6,FIND({0,1,2,3,4,5,6,7,8,9},A283,ROW(INDIRECT("1:"&amp;LEN(A283)))),1))," ",REPT(" ",LEN(A283))),LEN(A283))))))), 0), ROW(INDIRECT("1:"&amp;LEN((--TRIM(RIGHT(SUBSTITUTE(LEFT(A283,_xlfn.AGGREGATE(16,6,FIND({0,1,2,3,4,5,6,7,8,9},A283,ROW(INDIRECT("1:"&amp;LEN(A283)))),1))," ",REPT(" ",LEN(A283))),LEN(A283))))))))+1, 1) * 10^ROW(INDIRECT("1:"&amp;LEN((--TRIM(RIGHT(SUBSTITUTE(LEFT(A283,_xlfn.AGGREGATE(16,6,FIND({0,1,2,3,4,5,6,7,8,9},A283,ROW(INDIRECT("1:"&amp;LEN(A283)))),1))," ",REPT(" ",LEN(A283))),LEN(A283)))))))/10))*100+1</f>
        <v>2201</v>
      </c>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c r="XFD284" s="1"/>
    </row>
    <row r="285" spans="1:151 16227:16384" s="11" customFormat="1" ht="20.25" customHeight="1" x14ac:dyDescent="0.25">
      <c r="A285" s="99"/>
      <c r="B285" s="100"/>
      <c r="C285" s="88">
        <v>2</v>
      </c>
      <c r="D285" s="89"/>
      <c r="E285" s="55" t="s">
        <v>218</v>
      </c>
      <c r="F285" s="88">
        <f>34.5*10.764</f>
        <v>371.358</v>
      </c>
      <c r="G285" s="89"/>
      <c r="H285" s="20">
        <v>0</v>
      </c>
      <c r="I285" s="20">
        <f t="shared" si="37"/>
        <v>575.60490000000004</v>
      </c>
      <c r="J285" s="1"/>
      <c r="K285" s="1"/>
      <c r="L285" s="1"/>
      <c r="M285" s="1"/>
      <c r="N285" s="1"/>
      <c r="O285" s="1"/>
      <c r="P285" s="1"/>
      <c r="Q285" s="1"/>
      <c r="R285" s="1"/>
      <c r="S285" s="1"/>
      <c r="T285" s="1"/>
      <c r="U285" s="43" t="str">
        <f t="shared" ca="1" si="38"/>
        <v>702,..,2202</v>
      </c>
      <c r="V285" s="43">
        <f ca="1">V284+1</f>
        <v>702</v>
      </c>
      <c r="W285" s="43">
        <f ca="1">W284+1</f>
        <v>2202</v>
      </c>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c r="XFD285" s="1"/>
    </row>
    <row r="286" spans="1:151 16227:16384" s="11" customFormat="1" ht="20.25" customHeight="1" x14ac:dyDescent="0.25">
      <c r="A286" s="99"/>
      <c r="B286" s="100"/>
      <c r="C286" s="88">
        <v>3</v>
      </c>
      <c r="D286" s="89"/>
      <c r="E286" s="55" t="s">
        <v>228</v>
      </c>
      <c r="F286" s="88">
        <f>61.23*10.764</f>
        <v>659.07971999999995</v>
      </c>
      <c r="G286" s="89"/>
      <c r="H286" s="20">
        <v>0</v>
      </c>
      <c r="I286" s="20">
        <f t="shared" si="37"/>
        <v>1021.5735659999999</v>
      </c>
      <c r="J286" s="1"/>
      <c r="K286" s="1"/>
      <c r="L286" s="1"/>
      <c r="M286" s="1"/>
      <c r="N286" s="1"/>
      <c r="O286" s="1"/>
      <c r="P286" s="1"/>
      <c r="Q286" s="1"/>
      <c r="R286" s="1"/>
      <c r="S286" s="1"/>
      <c r="T286" s="1"/>
      <c r="U286" s="43" t="str">
        <f t="shared" ca="1" si="38"/>
        <v>703,..,2203</v>
      </c>
      <c r="V286" s="43">
        <f t="shared" ref="V286:W286" ca="1" si="39">V285+1</f>
        <v>703</v>
      </c>
      <c r="W286" s="43">
        <f t="shared" ca="1" si="39"/>
        <v>2203</v>
      </c>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c r="XFD286" s="1"/>
    </row>
    <row r="287" spans="1:151 16227:16384" s="11" customFormat="1" ht="20.25" customHeight="1" x14ac:dyDescent="0.25">
      <c r="A287" s="99"/>
      <c r="B287" s="100"/>
      <c r="C287" s="88">
        <v>4</v>
      </c>
      <c r="D287" s="89"/>
      <c r="E287" s="55" t="s">
        <v>228</v>
      </c>
      <c r="F287" s="88">
        <f>61.6*10.764</f>
        <v>663.06240000000003</v>
      </c>
      <c r="G287" s="89"/>
      <c r="H287" s="20">
        <v>0</v>
      </c>
      <c r="I287" s="20">
        <f t="shared" si="37"/>
        <v>1027.7467200000001</v>
      </c>
      <c r="J287" s="1"/>
      <c r="K287" s="1"/>
      <c r="L287" s="1"/>
      <c r="M287" s="1"/>
      <c r="N287" s="1"/>
      <c r="O287" s="1"/>
      <c r="P287" s="1"/>
      <c r="Q287" s="1"/>
      <c r="R287" s="1"/>
      <c r="S287" s="1"/>
      <c r="T287" s="1"/>
      <c r="U287" s="43" t="str">
        <f t="shared" ca="1" si="38"/>
        <v>704,..,2204</v>
      </c>
      <c r="V287" s="43">
        <f t="shared" ref="V287:W287" ca="1" si="40">V286+1</f>
        <v>704</v>
      </c>
      <c r="W287" s="43">
        <f t="shared" ca="1" si="40"/>
        <v>2204</v>
      </c>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c r="XFD287" s="1"/>
    </row>
    <row r="288" spans="1:151 16227:16384" s="11" customFormat="1" ht="20.25" customHeight="1" x14ac:dyDescent="0.25">
      <c r="A288" s="99"/>
      <c r="B288" s="100"/>
      <c r="C288" s="88">
        <v>5</v>
      </c>
      <c r="D288" s="89"/>
      <c r="E288" s="55" t="s">
        <v>218</v>
      </c>
      <c r="F288" s="88">
        <f>43.31*10.764</f>
        <v>466.18883999999997</v>
      </c>
      <c r="G288" s="89"/>
      <c r="H288" s="20">
        <v>0</v>
      </c>
      <c r="I288" s="20">
        <f t="shared" si="37"/>
        <v>722.59270200000003</v>
      </c>
      <c r="J288" s="1"/>
      <c r="K288" s="1"/>
      <c r="L288" s="1"/>
      <c r="M288" s="1"/>
      <c r="N288" s="1"/>
      <c r="O288" s="1"/>
      <c r="P288" s="1"/>
      <c r="Q288" s="1"/>
      <c r="R288" s="1"/>
      <c r="S288" s="1"/>
      <c r="T288" s="1"/>
      <c r="U288" s="43" t="str">
        <f t="shared" ca="1" si="38"/>
        <v>705,..,2205</v>
      </c>
      <c r="V288" s="43">
        <f t="shared" ref="V288:W288" ca="1" si="41">V287+1</f>
        <v>705</v>
      </c>
      <c r="W288" s="43">
        <f t="shared" ca="1" si="41"/>
        <v>2205</v>
      </c>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c r="XFD288" s="1"/>
    </row>
    <row r="289" spans="1:151 16227:16384" s="11" customFormat="1" ht="20.25" customHeight="1" x14ac:dyDescent="0.25">
      <c r="A289" s="99"/>
      <c r="B289" s="100"/>
      <c r="C289" s="88">
        <v>6</v>
      </c>
      <c r="D289" s="89"/>
      <c r="E289" s="55" t="s">
        <v>218</v>
      </c>
      <c r="F289" s="88">
        <f>39.8*10.764</f>
        <v>428.40719999999993</v>
      </c>
      <c r="G289" s="89"/>
      <c r="H289" s="20">
        <v>0</v>
      </c>
      <c r="I289" s="20">
        <f t="shared" si="37"/>
        <v>664.03115999999989</v>
      </c>
      <c r="J289" s="1"/>
      <c r="K289" s="1"/>
      <c r="L289" s="1"/>
      <c r="M289" s="1"/>
      <c r="N289" s="1"/>
      <c r="O289" s="1"/>
      <c r="P289" s="1"/>
      <c r="Q289" s="1"/>
      <c r="R289" s="1"/>
      <c r="S289" s="1"/>
      <c r="T289" s="1"/>
      <c r="U289" s="43" t="str">
        <f t="shared" ca="1" si="38"/>
        <v>706,..,2206</v>
      </c>
      <c r="V289" s="43">
        <f t="shared" ref="V289:W289" ca="1" si="42">V288+1</f>
        <v>706</v>
      </c>
      <c r="W289" s="43">
        <f t="shared" ca="1" si="42"/>
        <v>2206</v>
      </c>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c r="XFD289" s="1"/>
    </row>
    <row r="290" spans="1:151 16227:16384" s="11" customFormat="1" ht="20.25" customHeight="1" x14ac:dyDescent="0.25">
      <c r="A290" s="99"/>
      <c r="B290" s="100"/>
      <c r="C290" s="88">
        <v>7</v>
      </c>
      <c r="D290" s="89"/>
      <c r="E290" s="55" t="s">
        <v>218</v>
      </c>
      <c r="F290" s="88">
        <f>39.8*10.764</f>
        <v>428.40719999999993</v>
      </c>
      <c r="G290" s="89"/>
      <c r="H290" s="20">
        <v>0</v>
      </c>
      <c r="I290" s="20">
        <f t="shared" si="37"/>
        <v>664.03115999999989</v>
      </c>
      <c r="J290" s="1"/>
      <c r="K290" s="1"/>
      <c r="L290" s="1"/>
      <c r="M290" s="1"/>
      <c r="N290" s="1"/>
      <c r="O290" s="1"/>
      <c r="P290" s="1"/>
      <c r="Q290" s="1"/>
      <c r="R290" s="1"/>
      <c r="S290" s="1"/>
      <c r="T290" s="1"/>
      <c r="U290" s="43" t="str">
        <f t="shared" ca="1" si="38"/>
        <v>707,..,2207</v>
      </c>
      <c r="V290" s="43">
        <f t="shared" ref="V290:W290" ca="1" si="43">V289+1</f>
        <v>707</v>
      </c>
      <c r="W290" s="43">
        <f t="shared" ca="1" si="43"/>
        <v>2207</v>
      </c>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c r="XFD290" s="1"/>
    </row>
    <row r="291" spans="1:151 16227:16384" s="11" customFormat="1" ht="20.25" customHeight="1" x14ac:dyDescent="0.25">
      <c r="A291" s="99"/>
      <c r="B291" s="100"/>
      <c r="C291" s="88">
        <v>8</v>
      </c>
      <c r="D291" s="89"/>
      <c r="E291" s="55" t="s">
        <v>218</v>
      </c>
      <c r="F291" s="88">
        <f>43.04*10.764</f>
        <v>463.28255999999999</v>
      </c>
      <c r="G291" s="89"/>
      <c r="H291" s="20">
        <v>0</v>
      </c>
      <c r="I291" s="20">
        <f t="shared" si="37"/>
        <v>718.08796800000005</v>
      </c>
      <c r="J291" s="1"/>
      <c r="K291" s="1"/>
      <c r="L291" s="1"/>
      <c r="M291" s="1"/>
      <c r="N291" s="1"/>
      <c r="O291" s="1"/>
      <c r="P291" s="1"/>
      <c r="Q291" s="1"/>
      <c r="R291" s="1"/>
      <c r="S291" s="1"/>
      <c r="T291" s="1"/>
      <c r="U291" s="43" t="str">
        <f t="shared" ca="1" si="38"/>
        <v>708,..,2208</v>
      </c>
      <c r="V291" s="43">
        <f t="shared" ref="V291:W291" ca="1" si="44">V290+1</f>
        <v>708</v>
      </c>
      <c r="W291" s="43">
        <f t="shared" ca="1" si="44"/>
        <v>2208</v>
      </c>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c r="XFD291" s="1"/>
    </row>
    <row r="292" spans="1:151 16227:16384" s="11" customFormat="1" ht="20.25" customHeight="1" x14ac:dyDescent="0.25">
      <c r="A292" s="99"/>
      <c r="B292" s="100"/>
      <c r="C292" s="88">
        <v>9</v>
      </c>
      <c r="D292" s="89"/>
      <c r="E292" s="88" t="s">
        <v>221</v>
      </c>
      <c r="F292" s="104"/>
      <c r="G292" s="104"/>
      <c r="H292" s="104"/>
      <c r="I292" s="89"/>
      <c r="J292" s="1"/>
      <c r="K292" s="1"/>
      <c r="L292" s="1"/>
      <c r="M292" s="1"/>
      <c r="N292" s="1"/>
      <c r="O292" s="1"/>
      <c r="P292" s="1"/>
      <c r="Q292" s="1"/>
      <c r="R292" s="1"/>
      <c r="S292" s="1"/>
      <c r="T292" s="1"/>
      <c r="U292" s="43" t="str">
        <f t="shared" ca="1" si="38"/>
        <v>709,..,2209</v>
      </c>
      <c r="V292" s="43">
        <f t="shared" ref="V292:W292" ca="1" si="45">V291+1</f>
        <v>709</v>
      </c>
      <c r="W292" s="43">
        <f t="shared" ca="1" si="45"/>
        <v>2209</v>
      </c>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c r="XFD292" s="1"/>
    </row>
    <row r="293" spans="1:151 16227:16384" s="11" customFormat="1" ht="20.25" customHeight="1" x14ac:dyDescent="0.25">
      <c r="A293" s="99"/>
      <c r="B293" s="100"/>
      <c r="C293" s="88">
        <v>10</v>
      </c>
      <c r="D293" s="89"/>
      <c r="E293" s="55" t="s">
        <v>218</v>
      </c>
      <c r="F293" s="88">
        <f>35.34*10.764</f>
        <v>380.39976000000001</v>
      </c>
      <c r="G293" s="89"/>
      <c r="H293" s="55">
        <v>0</v>
      </c>
      <c r="I293" s="55">
        <f t="shared" ref="I293" si="46">F293*(($I$166)+1)+H293</f>
        <v>589.61962800000003</v>
      </c>
      <c r="J293" s="1"/>
      <c r="K293" s="1"/>
      <c r="L293" s="1"/>
      <c r="M293" s="1"/>
      <c r="N293" s="1"/>
      <c r="O293" s="1"/>
      <c r="P293" s="1"/>
      <c r="Q293" s="1"/>
      <c r="R293" s="1"/>
      <c r="S293" s="1"/>
      <c r="T293" s="1"/>
      <c r="U293" s="43" t="str">
        <f t="shared" ca="1" si="38"/>
        <v>710,..,2210</v>
      </c>
      <c r="V293" s="43">
        <f t="shared" ref="V293:W293" ca="1" si="47">V292+1</f>
        <v>710</v>
      </c>
      <c r="W293" s="43">
        <f t="shared" ca="1" si="47"/>
        <v>2210</v>
      </c>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c r="XFD293" s="1"/>
    </row>
    <row r="294" spans="1:151 16227:16384" s="11" customFormat="1" ht="20.25" customHeight="1" x14ac:dyDescent="0.25">
      <c r="A294" s="101"/>
      <c r="B294" s="102"/>
      <c r="C294" s="88">
        <v>11</v>
      </c>
      <c r="D294" s="89"/>
      <c r="E294" s="55" t="s">
        <v>218</v>
      </c>
      <c r="F294" s="88">
        <f>35.34*10.764</f>
        <v>380.39976000000001</v>
      </c>
      <c r="G294" s="89"/>
      <c r="H294" s="20">
        <v>0</v>
      </c>
      <c r="I294" s="20">
        <f t="shared" si="37"/>
        <v>589.61962800000003</v>
      </c>
      <c r="J294" s="1"/>
      <c r="K294" s="1"/>
      <c r="L294" s="1"/>
      <c r="M294" s="1"/>
      <c r="N294" s="1"/>
      <c r="O294" s="1"/>
      <c r="P294" s="1"/>
      <c r="Q294" s="1"/>
      <c r="R294" s="1"/>
      <c r="S294" s="1"/>
      <c r="T294" s="1"/>
      <c r="U294" s="43" t="str">
        <f t="shared" ca="1" si="38"/>
        <v>711,..,2211</v>
      </c>
      <c r="V294" s="43">
        <f t="shared" ref="V294:W294" ca="1" si="48">V293+1</f>
        <v>711</v>
      </c>
      <c r="W294" s="43">
        <f t="shared" ca="1" si="48"/>
        <v>2211</v>
      </c>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c r="XFD294" s="1"/>
    </row>
    <row r="295" spans="1:151 16227:16384" s="11" customFormat="1" ht="20.25" x14ac:dyDescent="0.25">
      <c r="A295" s="94" t="s">
        <v>252</v>
      </c>
      <c r="B295" s="95"/>
      <c r="C295" s="95"/>
      <c r="D295" s="95"/>
      <c r="E295" s="95"/>
      <c r="F295" s="95"/>
      <c r="G295" s="95"/>
      <c r="H295" s="95"/>
      <c r="I295" s="96"/>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c r="XFD295" s="1"/>
    </row>
    <row r="296" spans="1:151 16227:16384" s="11" customFormat="1" ht="20.25" x14ac:dyDescent="0.25">
      <c r="A296" s="94" t="s">
        <v>245</v>
      </c>
      <c r="B296" s="95"/>
      <c r="C296" s="95"/>
      <c r="D296" s="95"/>
      <c r="E296" s="95"/>
      <c r="F296" s="95"/>
      <c r="G296" s="95"/>
      <c r="H296" s="95"/>
      <c r="I296" s="96"/>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c r="XFD296" s="1"/>
    </row>
    <row r="297" spans="1:151 16227:16384" s="11" customFormat="1" ht="20.25" customHeight="1" x14ac:dyDescent="0.25">
      <c r="A297" s="97" t="str">
        <f>A296</f>
        <v>Ground Floor For Entrance Lobby, OWC Room, Panel Room, Meter Room, Store, Stack Parking &amp; Commercial</v>
      </c>
      <c r="B297" s="98"/>
      <c r="C297" s="87">
        <v>31</v>
      </c>
      <c r="D297" s="87"/>
      <c r="E297" s="20" t="s">
        <v>217</v>
      </c>
      <c r="F297" s="88">
        <f>41.15*10.764</f>
        <v>442.93859999999995</v>
      </c>
      <c r="G297" s="89"/>
      <c r="H297" s="20">
        <v>0</v>
      </c>
      <c r="I297" s="20">
        <f>F297*(($I$166)+1)+H297</f>
        <v>686.55482999999992</v>
      </c>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c r="XFD297" s="1"/>
    </row>
    <row r="298" spans="1:151 16227:16384" s="11" customFormat="1" ht="20.25" customHeight="1" x14ac:dyDescent="0.25">
      <c r="A298" s="99"/>
      <c r="B298" s="100"/>
      <c r="C298" s="87">
        <f>C297+1</f>
        <v>32</v>
      </c>
      <c r="D298" s="87"/>
      <c r="E298" s="20" t="s">
        <v>217</v>
      </c>
      <c r="F298" s="88">
        <f>43.85*10.764</f>
        <v>472.00139999999999</v>
      </c>
      <c r="G298" s="89"/>
      <c r="H298" s="20">
        <v>0</v>
      </c>
      <c r="I298" s="20">
        <f t="shared" ref="I298:I306" si="49">F298*(($I$166)+1)+H298</f>
        <v>731.60217</v>
      </c>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c r="XFD298" s="1"/>
    </row>
    <row r="299" spans="1:151 16227:16384" s="11" customFormat="1" ht="20.25" customHeight="1" x14ac:dyDescent="0.25">
      <c r="A299" s="99"/>
      <c r="B299" s="100"/>
      <c r="C299" s="87">
        <f t="shared" ref="C299:C307" si="50">C298+1</f>
        <v>33</v>
      </c>
      <c r="D299" s="87"/>
      <c r="E299" s="20" t="s">
        <v>217</v>
      </c>
      <c r="F299" s="88">
        <f>22.15*10.764</f>
        <v>238.42259999999996</v>
      </c>
      <c r="G299" s="89"/>
      <c r="H299" s="20">
        <v>0</v>
      </c>
      <c r="I299" s="20">
        <f t="shared" si="49"/>
        <v>369.55502999999993</v>
      </c>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c r="XFD299" s="1"/>
    </row>
    <row r="300" spans="1:151 16227:16384" s="11" customFormat="1" ht="20.25" customHeight="1" x14ac:dyDescent="0.25">
      <c r="A300" s="99"/>
      <c r="B300" s="100"/>
      <c r="C300" s="87">
        <f t="shared" si="50"/>
        <v>34</v>
      </c>
      <c r="D300" s="87"/>
      <c r="E300" s="20" t="s">
        <v>217</v>
      </c>
      <c r="F300" s="88">
        <f>41.18*10.764</f>
        <v>443.26151999999996</v>
      </c>
      <c r="G300" s="89"/>
      <c r="H300" s="20">
        <v>0</v>
      </c>
      <c r="I300" s="20">
        <f t="shared" si="49"/>
        <v>687.05535599999996</v>
      </c>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c r="XFD300" s="1"/>
    </row>
    <row r="301" spans="1:151 16227:16384" s="11" customFormat="1" ht="20.25" customHeight="1" x14ac:dyDescent="0.25">
      <c r="A301" s="99"/>
      <c r="B301" s="100"/>
      <c r="C301" s="87">
        <f t="shared" si="50"/>
        <v>35</v>
      </c>
      <c r="D301" s="87"/>
      <c r="E301" s="20" t="s">
        <v>217</v>
      </c>
      <c r="F301" s="88">
        <f>18.17*10.764</f>
        <v>195.58188000000001</v>
      </c>
      <c r="G301" s="89"/>
      <c r="H301" s="20">
        <v>0</v>
      </c>
      <c r="I301" s="20">
        <f t="shared" si="49"/>
        <v>303.15191400000003</v>
      </c>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c r="XFD301" s="1"/>
    </row>
    <row r="302" spans="1:151 16227:16384" s="11" customFormat="1" ht="20.25" customHeight="1" x14ac:dyDescent="0.25">
      <c r="A302" s="99"/>
      <c r="B302" s="100"/>
      <c r="C302" s="87">
        <f t="shared" si="50"/>
        <v>36</v>
      </c>
      <c r="D302" s="87"/>
      <c r="E302" s="20" t="s">
        <v>217</v>
      </c>
      <c r="F302" s="88">
        <f>25.28*10.764</f>
        <v>272.11392000000001</v>
      </c>
      <c r="G302" s="89"/>
      <c r="H302" s="20">
        <v>0</v>
      </c>
      <c r="I302" s="20">
        <f t="shared" si="49"/>
        <v>421.77657600000003</v>
      </c>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c r="XFD302" s="1"/>
    </row>
    <row r="303" spans="1:151 16227:16384" s="11" customFormat="1" ht="20.25" customHeight="1" x14ac:dyDescent="0.25">
      <c r="A303" s="99"/>
      <c r="B303" s="100"/>
      <c r="C303" s="87">
        <f t="shared" si="50"/>
        <v>37</v>
      </c>
      <c r="D303" s="87"/>
      <c r="E303" s="20" t="s">
        <v>217</v>
      </c>
      <c r="F303" s="88">
        <f>35.26*10.764</f>
        <v>379.53863999999993</v>
      </c>
      <c r="G303" s="89"/>
      <c r="H303" s="20">
        <v>0</v>
      </c>
      <c r="I303" s="20">
        <f t="shared" si="49"/>
        <v>588.2848919999999</v>
      </c>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c r="XFD303" s="1"/>
    </row>
    <row r="304" spans="1:151 16227:16384" s="11" customFormat="1" ht="20.25" customHeight="1" x14ac:dyDescent="0.25">
      <c r="A304" s="99"/>
      <c r="B304" s="100"/>
      <c r="C304" s="87">
        <f t="shared" si="50"/>
        <v>38</v>
      </c>
      <c r="D304" s="87"/>
      <c r="E304" s="20" t="s">
        <v>223</v>
      </c>
      <c r="F304" s="88">
        <f>42.89*10.764</f>
        <v>461.66795999999999</v>
      </c>
      <c r="G304" s="89"/>
      <c r="H304" s="20">
        <v>0</v>
      </c>
      <c r="I304" s="20">
        <f t="shared" si="49"/>
        <v>715.58533799999998</v>
      </c>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c r="XFD304" s="1"/>
    </row>
    <row r="305" spans="1:151 16227:16384" s="11" customFormat="1" ht="20.25" customHeight="1" x14ac:dyDescent="0.25">
      <c r="A305" s="99"/>
      <c r="B305" s="100"/>
      <c r="C305" s="87">
        <f t="shared" si="50"/>
        <v>39</v>
      </c>
      <c r="D305" s="87"/>
      <c r="E305" s="20" t="s">
        <v>217</v>
      </c>
      <c r="F305" s="88">
        <f>22.06*10.764</f>
        <v>237.45383999999999</v>
      </c>
      <c r="G305" s="89"/>
      <c r="H305" s="20">
        <v>0</v>
      </c>
      <c r="I305" s="20">
        <f t="shared" si="49"/>
        <v>368.05345199999999</v>
      </c>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c r="XFD305" s="1"/>
    </row>
    <row r="306" spans="1:151 16227:16384" s="11" customFormat="1" ht="20.25" customHeight="1" x14ac:dyDescent="0.25">
      <c r="A306" s="99"/>
      <c r="B306" s="100"/>
      <c r="C306" s="87">
        <f t="shared" si="50"/>
        <v>40</v>
      </c>
      <c r="D306" s="87"/>
      <c r="E306" s="20" t="s">
        <v>217</v>
      </c>
      <c r="F306" s="88">
        <f>21.25*10.764</f>
        <v>228.73499999999999</v>
      </c>
      <c r="G306" s="89"/>
      <c r="H306" s="20">
        <v>0</v>
      </c>
      <c r="I306" s="20">
        <f t="shared" si="49"/>
        <v>354.53924999999998</v>
      </c>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c r="XFD306" s="1"/>
    </row>
    <row r="307" spans="1:151 16227:16384" s="11" customFormat="1" ht="20.25" customHeight="1" x14ac:dyDescent="0.25">
      <c r="A307" s="101"/>
      <c r="B307" s="102"/>
      <c r="C307" s="87">
        <f t="shared" si="50"/>
        <v>41</v>
      </c>
      <c r="D307" s="87"/>
      <c r="E307" s="55" t="s">
        <v>217</v>
      </c>
      <c r="F307" s="88">
        <f>41.33*10.764</f>
        <v>444.87611999999996</v>
      </c>
      <c r="G307" s="89"/>
      <c r="H307" s="55">
        <v>0</v>
      </c>
      <c r="I307" s="55">
        <f t="shared" ref="I307" si="51">F307*(($I$166)+1)+H307</f>
        <v>689.55798599999991</v>
      </c>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c r="XFD307" s="1"/>
    </row>
    <row r="308" spans="1:151 16227:16384" s="11" customFormat="1" ht="20.25" x14ac:dyDescent="0.25">
      <c r="A308" s="94" t="s">
        <v>224</v>
      </c>
      <c r="B308" s="95"/>
      <c r="C308" s="95"/>
      <c r="D308" s="95"/>
      <c r="E308" s="95"/>
      <c r="F308" s="95"/>
      <c r="G308" s="95"/>
      <c r="H308" s="95"/>
      <c r="I308" s="96"/>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c r="XFD308" s="1"/>
    </row>
    <row r="309" spans="1:151 16227:16384" s="11" customFormat="1" ht="20.25" customHeight="1" x14ac:dyDescent="0.25">
      <c r="A309" s="97" t="str">
        <f>A308</f>
        <v>1st Floor For Commercial &amp; Residential</v>
      </c>
      <c r="B309" s="98"/>
      <c r="C309" s="87">
        <v>16</v>
      </c>
      <c r="D309" s="87"/>
      <c r="E309" s="20" t="s">
        <v>217</v>
      </c>
      <c r="F309" s="88">
        <f>41.27*10.764</f>
        <v>444.23027999999999</v>
      </c>
      <c r="G309" s="89"/>
      <c r="H309" s="20">
        <v>0</v>
      </c>
      <c r="I309" s="20">
        <f>F309*(($I$166)+1)+H309</f>
        <v>688.55693399999996</v>
      </c>
      <c r="J309" s="1">
        <f>2.925*4.265+2.125*2.6+3.13*3.05+2.105*1.225+1.225*1.2+1.525*0.925</f>
        <v>33.005874999999996</v>
      </c>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c r="XFD309" s="1"/>
    </row>
    <row r="310" spans="1:151 16227:16384" s="11" customFormat="1" ht="20.25" customHeight="1" x14ac:dyDescent="0.25">
      <c r="A310" s="99"/>
      <c r="B310" s="100"/>
      <c r="C310" s="87">
        <f>C309+1</f>
        <v>17</v>
      </c>
      <c r="D310" s="87"/>
      <c r="E310" s="20" t="s">
        <v>217</v>
      </c>
      <c r="F310" s="88">
        <f>44.02*10.764</f>
        <v>473.83127999999999</v>
      </c>
      <c r="G310" s="89"/>
      <c r="H310" s="20">
        <v>0</v>
      </c>
      <c r="I310" s="20">
        <f>F310*(($I$166)+1)+H310</f>
        <v>734.43848400000002</v>
      </c>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c r="XFD310" s="1"/>
    </row>
    <row r="311" spans="1:151 16227:16384" s="11" customFormat="1" ht="20.25" customHeight="1" x14ac:dyDescent="0.25">
      <c r="A311" s="99"/>
      <c r="B311" s="100"/>
      <c r="C311" s="87">
        <f t="shared" ref="C311:C323" si="52">C310+1</f>
        <v>18</v>
      </c>
      <c r="D311" s="87"/>
      <c r="E311" s="20" t="s">
        <v>217</v>
      </c>
      <c r="F311" s="88">
        <f>22.3*10.764</f>
        <v>240.03719999999998</v>
      </c>
      <c r="G311" s="89"/>
      <c r="H311" s="20">
        <v>0</v>
      </c>
      <c r="I311" s="20">
        <f>F311*(($I$166)+1)+H311</f>
        <v>372.05766</v>
      </c>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c r="XFD311" s="1"/>
    </row>
    <row r="312" spans="1:151 16227:16384" s="11" customFormat="1" ht="20.25" customHeight="1" x14ac:dyDescent="0.25">
      <c r="A312" s="99"/>
      <c r="B312" s="100"/>
      <c r="C312" s="87">
        <f t="shared" si="52"/>
        <v>19</v>
      </c>
      <c r="D312" s="87"/>
      <c r="E312" s="20" t="s">
        <v>217</v>
      </c>
      <c r="F312" s="88">
        <f>41.23*10.764</f>
        <v>443.79971999999992</v>
      </c>
      <c r="G312" s="89"/>
      <c r="H312" s="20">
        <v>0</v>
      </c>
      <c r="I312" s="20">
        <f>F312*(($I$166)+1)+H312</f>
        <v>687.88956599999995</v>
      </c>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c r="XFD312" s="1"/>
    </row>
    <row r="313" spans="1:151 16227:16384" s="11" customFormat="1" ht="20.25" customHeight="1" x14ac:dyDescent="0.25">
      <c r="A313" s="99"/>
      <c r="B313" s="100"/>
      <c r="C313" s="87">
        <f t="shared" si="52"/>
        <v>20</v>
      </c>
      <c r="D313" s="87"/>
      <c r="E313" s="20" t="s">
        <v>217</v>
      </c>
      <c r="F313" s="88">
        <f>18.26*10.764</f>
        <v>196.55064000000002</v>
      </c>
      <c r="G313" s="89"/>
      <c r="H313" s="20">
        <v>0</v>
      </c>
      <c r="I313" s="20">
        <f t="shared" ref="I313:I319" si="53">F313*(($I$166)+1)+H313</f>
        <v>304.65349200000003</v>
      </c>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c r="XFD313" s="1"/>
    </row>
    <row r="314" spans="1:151 16227:16384" s="11" customFormat="1" ht="20.25" customHeight="1" x14ac:dyDescent="0.25">
      <c r="A314" s="99"/>
      <c r="B314" s="100"/>
      <c r="C314" s="87">
        <f t="shared" si="52"/>
        <v>21</v>
      </c>
      <c r="D314" s="87"/>
      <c r="E314" s="20" t="s">
        <v>217</v>
      </c>
      <c r="F314" s="88">
        <f>25.56*10.764</f>
        <v>275.12783999999999</v>
      </c>
      <c r="G314" s="89"/>
      <c r="H314" s="20">
        <v>0</v>
      </c>
      <c r="I314" s="20">
        <f t="shared" si="53"/>
        <v>426.44815199999999</v>
      </c>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c r="XFD314" s="1"/>
    </row>
    <row r="315" spans="1:151 16227:16384" s="11" customFormat="1" ht="20.25" customHeight="1" x14ac:dyDescent="0.25">
      <c r="A315" s="99"/>
      <c r="B315" s="100"/>
      <c r="C315" s="87">
        <f t="shared" si="52"/>
        <v>22</v>
      </c>
      <c r="D315" s="87"/>
      <c r="E315" s="20" t="s">
        <v>217</v>
      </c>
      <c r="F315" s="88">
        <f>35.28*10.764</f>
        <v>379.75391999999999</v>
      </c>
      <c r="G315" s="89"/>
      <c r="H315" s="20">
        <v>0</v>
      </c>
      <c r="I315" s="20">
        <f t="shared" si="53"/>
        <v>588.61857599999996</v>
      </c>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c r="XFD315" s="1"/>
    </row>
    <row r="316" spans="1:151 16227:16384" s="11" customFormat="1" ht="20.25" customHeight="1" x14ac:dyDescent="0.25">
      <c r="A316" s="99"/>
      <c r="B316" s="100"/>
      <c r="C316" s="87">
        <f t="shared" si="52"/>
        <v>23</v>
      </c>
      <c r="D316" s="87"/>
      <c r="E316" s="20" t="s">
        <v>217</v>
      </c>
      <c r="F316" s="88">
        <f>42.95*10.764</f>
        <v>462.31380000000001</v>
      </c>
      <c r="G316" s="89"/>
      <c r="H316" s="20">
        <v>0</v>
      </c>
      <c r="I316" s="20">
        <f t="shared" si="53"/>
        <v>716.58639000000005</v>
      </c>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c r="XFD316" s="1"/>
    </row>
    <row r="317" spans="1:151 16227:16384" s="11" customFormat="1" ht="20.25" customHeight="1" x14ac:dyDescent="0.25">
      <c r="A317" s="99"/>
      <c r="B317" s="100"/>
      <c r="C317" s="87">
        <f t="shared" si="52"/>
        <v>24</v>
      </c>
      <c r="D317" s="87"/>
      <c r="E317" s="20" t="s">
        <v>217</v>
      </c>
      <c r="F317" s="88">
        <f>22.06*10.764</f>
        <v>237.45383999999999</v>
      </c>
      <c r="G317" s="89"/>
      <c r="H317" s="20">
        <v>0</v>
      </c>
      <c r="I317" s="20">
        <f t="shared" si="53"/>
        <v>368.05345199999999</v>
      </c>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c r="XFD317" s="1"/>
    </row>
    <row r="318" spans="1:151 16227:16384" s="11" customFormat="1" ht="20.25" customHeight="1" x14ac:dyDescent="0.25">
      <c r="A318" s="99"/>
      <c r="B318" s="100"/>
      <c r="C318" s="87">
        <f t="shared" si="52"/>
        <v>25</v>
      </c>
      <c r="D318" s="87"/>
      <c r="E318" s="55" t="s">
        <v>217</v>
      </c>
      <c r="F318" s="88">
        <f>21.41*10.764</f>
        <v>230.45723999999998</v>
      </c>
      <c r="G318" s="89"/>
      <c r="H318" s="55">
        <v>0</v>
      </c>
      <c r="I318" s="55">
        <f t="shared" ref="I318" si="54">F318*(($I$166)+1)+H318</f>
        <v>357.20872199999997</v>
      </c>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c r="XFD318" s="1"/>
    </row>
    <row r="319" spans="1:151 16227:16384" s="11" customFormat="1" ht="20.25" customHeight="1" x14ac:dyDescent="0.25">
      <c r="A319" s="99"/>
      <c r="B319" s="100"/>
      <c r="C319" s="87">
        <f t="shared" si="52"/>
        <v>26</v>
      </c>
      <c r="D319" s="87"/>
      <c r="E319" s="20" t="s">
        <v>217</v>
      </c>
      <c r="F319" s="88">
        <f>41.36*10.764</f>
        <v>445.19903999999997</v>
      </c>
      <c r="G319" s="89"/>
      <c r="H319" s="20">
        <v>0</v>
      </c>
      <c r="I319" s="20">
        <f t="shared" si="53"/>
        <v>690.05851199999995</v>
      </c>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c r="XFD319" s="1"/>
    </row>
    <row r="320" spans="1:151 16227:16384" s="11" customFormat="1" ht="20.25" customHeight="1" x14ac:dyDescent="0.25">
      <c r="A320" s="99"/>
      <c r="B320" s="100"/>
      <c r="C320" s="87">
        <v>1</v>
      </c>
      <c r="D320" s="87"/>
      <c r="E320" s="20" t="s">
        <v>218</v>
      </c>
      <c r="F320" s="88">
        <f>34.49*10.764</f>
        <v>371.25036</v>
      </c>
      <c r="G320" s="89"/>
      <c r="H320" s="20">
        <v>0</v>
      </c>
      <c r="I320" s="20">
        <f t="shared" ref="I320:I321" si="55">F320*(($I$166)+1)+H320</f>
        <v>575.43805800000007</v>
      </c>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c r="XFD320" s="1"/>
    </row>
    <row r="321" spans="1:151 16227:16384" s="11" customFormat="1" ht="20.25" customHeight="1" x14ac:dyDescent="0.25">
      <c r="A321" s="99"/>
      <c r="B321" s="100"/>
      <c r="C321" s="87">
        <f t="shared" si="52"/>
        <v>2</v>
      </c>
      <c r="D321" s="87"/>
      <c r="E321" s="20" t="s">
        <v>228</v>
      </c>
      <c r="F321" s="88">
        <f>46.77*10.764</f>
        <v>503.43227999999999</v>
      </c>
      <c r="G321" s="89"/>
      <c r="H321" s="20">
        <v>0</v>
      </c>
      <c r="I321" s="20">
        <f t="shared" si="55"/>
        <v>780.32003399999996</v>
      </c>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c r="XFD321" s="1"/>
    </row>
    <row r="322" spans="1:151 16227:16384" s="11" customFormat="1" ht="20.25" customHeight="1" x14ac:dyDescent="0.25">
      <c r="A322" s="99"/>
      <c r="B322" s="100"/>
      <c r="C322" s="87">
        <v>8</v>
      </c>
      <c r="D322" s="87"/>
      <c r="E322" s="20" t="s">
        <v>228</v>
      </c>
      <c r="F322" s="88">
        <f>46.77*10.764</f>
        <v>503.43227999999999</v>
      </c>
      <c r="G322" s="89"/>
      <c r="H322" s="20">
        <v>0</v>
      </c>
      <c r="I322" s="20">
        <f t="shared" ref="I322:I323" si="56">F322*(($I$166)+1)+H322</f>
        <v>780.32003399999996</v>
      </c>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c r="XFD322" s="1"/>
    </row>
    <row r="323" spans="1:151 16227:16384" s="11" customFormat="1" ht="20.25" customHeight="1" x14ac:dyDescent="0.25">
      <c r="A323" s="99"/>
      <c r="B323" s="100"/>
      <c r="C323" s="87">
        <f t="shared" si="52"/>
        <v>9</v>
      </c>
      <c r="D323" s="87"/>
      <c r="E323" s="20" t="s">
        <v>218</v>
      </c>
      <c r="F323" s="88">
        <f>34.49*10.764</f>
        <v>371.25036</v>
      </c>
      <c r="G323" s="89"/>
      <c r="H323" s="20">
        <v>0</v>
      </c>
      <c r="I323" s="20">
        <f t="shared" si="56"/>
        <v>575.43805800000007</v>
      </c>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c r="XFD323" s="1"/>
    </row>
    <row r="324" spans="1:151 16227:16384" s="11" customFormat="1" ht="20.25" customHeight="1" x14ac:dyDescent="0.25">
      <c r="A324" s="99"/>
      <c r="B324" s="100"/>
      <c r="C324" s="87">
        <v>10</v>
      </c>
      <c r="D324" s="87"/>
      <c r="E324" s="20" t="s">
        <v>218</v>
      </c>
      <c r="F324" s="88">
        <f>41.07*10.764</f>
        <v>442.07747999999998</v>
      </c>
      <c r="G324" s="89"/>
      <c r="H324" s="20">
        <v>0</v>
      </c>
      <c r="I324" s="20">
        <f t="shared" ref="I324:I325" si="57">F324*(($I$166)+1)+H324</f>
        <v>685.22009400000002</v>
      </c>
      <c r="J324" s="74">
        <f>2.9*4.72+2.6*2.12+3.15*3.65+2.12*1.22+1.22*0.9+2.4*0.92+0.92*1.52</f>
        <v>37.988299999999995</v>
      </c>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c r="XFD324" s="1"/>
    </row>
    <row r="325" spans="1:151 16227:16384" s="11" customFormat="1" ht="20.25" customHeight="1" x14ac:dyDescent="0.25">
      <c r="A325" s="101"/>
      <c r="B325" s="102"/>
      <c r="C325" s="87">
        <v>11</v>
      </c>
      <c r="D325" s="87"/>
      <c r="E325" s="20" t="s">
        <v>218</v>
      </c>
      <c r="F325" s="88">
        <f>41.07*10.764</f>
        <v>442.07747999999998</v>
      </c>
      <c r="G325" s="89"/>
      <c r="H325" s="20">
        <v>0</v>
      </c>
      <c r="I325" s="20">
        <f t="shared" si="57"/>
        <v>685.22009400000002</v>
      </c>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c r="XFD325" s="1"/>
    </row>
    <row r="326" spans="1:151 16227:16384" s="11" customFormat="1" ht="20.25" x14ac:dyDescent="0.25">
      <c r="A326" s="94" t="s">
        <v>225</v>
      </c>
      <c r="B326" s="95"/>
      <c r="C326" s="95"/>
      <c r="D326" s="95"/>
      <c r="E326" s="95"/>
      <c r="F326" s="95"/>
      <c r="G326" s="95"/>
      <c r="H326" s="95"/>
      <c r="I326" s="103"/>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c r="XFD326" s="1"/>
    </row>
    <row r="327" spans="1:151 16227:16384" s="11" customFormat="1" ht="20.25" customHeight="1" x14ac:dyDescent="0.25">
      <c r="A327" s="97" t="str">
        <f>A326</f>
        <v>2nd Floor</v>
      </c>
      <c r="B327" s="98"/>
      <c r="C327" s="88">
        <v>1</v>
      </c>
      <c r="D327" s="89"/>
      <c r="E327" s="20" t="s">
        <v>218</v>
      </c>
      <c r="F327" s="88">
        <f>34.49*10.764</f>
        <v>371.25036</v>
      </c>
      <c r="G327" s="89"/>
      <c r="H327" s="20">
        <v>0</v>
      </c>
      <c r="I327" s="20">
        <f t="shared" ref="I327:I328" si="58">F327*(($I$166)+1)+H327</f>
        <v>575.43805800000007</v>
      </c>
      <c r="J327" s="1"/>
      <c r="K327" s="1"/>
      <c r="L327" s="1"/>
      <c r="M327" s="1"/>
      <c r="N327" s="1"/>
      <c r="O327" s="1"/>
      <c r="P327" s="1"/>
      <c r="Q327" s="1"/>
      <c r="R327" s="1"/>
      <c r="S327" s="1"/>
      <c r="T327" s="1"/>
      <c r="U327" s="43" t="str">
        <f t="shared" ref="U327:U337" ca="1" si="59">V327&amp;""&amp;",..,"&amp;""&amp;W327</f>
        <v>201,..,201</v>
      </c>
      <c r="V327" s="43">
        <f ca="1">(SUMPRODUCT(MID(0&amp;(LEFT(A326,SUM(LEN(A326)-LEN(SUBSTITUTE(A326,{"0","1","2","3"},""))))), LARGE(INDEX(ISNUMBER(--MID((LEFT(A326,SUM(LEN(A326)-LEN(SUBSTITUTE(A326,{"0","1","2","3"},""))))), ROW(INDIRECT("1:"&amp;LEN((LEFT(A326,SUM(LEN(A326)-LEN(SUBSTITUTE(A326,{"0","1","2","3"},"")))))))), 1)) * ROW(INDIRECT("1:"&amp;LEN((LEFT(A326,SUM(LEN(A326)-LEN(SUBSTITUTE(A326,{"0","1","2","3"},"")))))))), 0), ROW(INDIRECT("1:"&amp;LEN((LEFT(A326,SUM(LEN(A326)-LEN(SUBSTITUTE(A326,{"0","1","2","3"},"")))))))))+1, 1) * 10^ROW(INDIRECT("1:"&amp;LEN((LEFT(A326,SUM(LEN(A326)-LEN(SUBSTITUTE(A326,{"0","1","2","3"},""))))))))/10))*100+1</f>
        <v>201</v>
      </c>
      <c r="W327" s="43">
        <f ca="1">(SUMPRODUCT(MID(0&amp;(--TRIM(RIGHT(SUBSTITUTE(LEFT(A326,_xlfn.AGGREGATE(16,6,FIND({0,1,2,3,4,5,6,7,8,9},A326,ROW(INDIRECT("1:"&amp;LEN(A326)))),1))," ",REPT(" ",LEN(A326))),LEN(A326)))), LARGE(INDEX(ISNUMBER(--MID((--TRIM(RIGHT(SUBSTITUTE(LEFT(A326,_xlfn.AGGREGATE(16,6,FIND({0,1,2,3,4,5,6,7,8,9},A326,ROW(INDIRECT("1:"&amp;LEN(A326)))),1))," ",REPT(" ",LEN(A326))),LEN(A326)))), ROW(INDIRECT("1:"&amp;LEN((--TRIM(RIGHT(SUBSTITUTE(LEFT(A326,_xlfn.AGGREGATE(16,6,FIND({0,1,2,3,4,5,6,7,8,9},A326,ROW(INDIRECT("1:"&amp;LEN(A326)))),1))," ",REPT(" ",LEN(A326))),LEN(A326))))))), 1)) * ROW(INDIRECT("1:"&amp;LEN((--TRIM(RIGHT(SUBSTITUTE(LEFT(A326,_xlfn.AGGREGATE(16,6,FIND({0,1,2,3,4,5,6,7,8,9},A326,ROW(INDIRECT("1:"&amp;LEN(A326)))),1))," ",REPT(" ",LEN(A326))),LEN(A326))))))), 0), ROW(INDIRECT("1:"&amp;LEN((--TRIM(RIGHT(SUBSTITUTE(LEFT(A326,_xlfn.AGGREGATE(16,6,FIND({0,1,2,3,4,5,6,7,8,9},A326,ROW(INDIRECT("1:"&amp;LEN(A326)))),1))," ",REPT(" ",LEN(A326))),LEN(A326))))))))+1, 1) * 10^ROW(INDIRECT("1:"&amp;LEN((--TRIM(RIGHT(SUBSTITUTE(LEFT(A326,_xlfn.AGGREGATE(16,6,FIND({0,1,2,3,4,5,6,7,8,9},A326,ROW(INDIRECT("1:"&amp;LEN(A326)))),1))," ",REPT(" ",LEN(A326))),LEN(A326)))))))/10))*100+1</f>
        <v>201</v>
      </c>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c r="XFD327" s="1"/>
    </row>
    <row r="328" spans="1:151 16227:16384" s="11" customFormat="1" ht="20.25" customHeight="1" x14ac:dyDescent="0.25">
      <c r="A328" s="99"/>
      <c r="B328" s="100"/>
      <c r="C328" s="88">
        <v>2</v>
      </c>
      <c r="D328" s="89"/>
      <c r="E328" s="20" t="s">
        <v>228</v>
      </c>
      <c r="F328" s="88">
        <f>46.77*10.764</f>
        <v>503.43227999999999</v>
      </c>
      <c r="G328" s="89"/>
      <c r="H328" s="20">
        <v>0</v>
      </c>
      <c r="I328" s="20">
        <f t="shared" si="58"/>
        <v>780.32003399999996</v>
      </c>
      <c r="J328" s="1">
        <v>274</v>
      </c>
      <c r="K328" s="1"/>
      <c r="L328" s="1"/>
      <c r="M328" s="1"/>
      <c r="N328" s="1"/>
      <c r="O328" s="1"/>
      <c r="P328" s="1"/>
      <c r="Q328" s="1"/>
      <c r="R328" s="1"/>
      <c r="S328" s="1"/>
      <c r="T328" s="1"/>
      <c r="U328" s="43" t="str">
        <f t="shared" ca="1" si="59"/>
        <v>202,..,202</v>
      </c>
      <c r="V328" s="43">
        <f ca="1">V327+1</f>
        <v>202</v>
      </c>
      <c r="W328" s="43">
        <f ca="1">W327+1</f>
        <v>202</v>
      </c>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c r="XFD328" s="1"/>
    </row>
    <row r="329" spans="1:151 16227:16384" s="11" customFormat="1" ht="20.25" customHeight="1" x14ac:dyDescent="0.25">
      <c r="A329" s="99"/>
      <c r="B329" s="100"/>
      <c r="C329" s="88">
        <v>3</v>
      </c>
      <c r="D329" s="89"/>
      <c r="E329" s="20" t="s">
        <v>228</v>
      </c>
      <c r="F329" s="88">
        <f>46.7*10.764</f>
        <v>502.67880000000002</v>
      </c>
      <c r="G329" s="89"/>
      <c r="H329" s="55">
        <f>(3.2*5.4+2.48*3.7+5.75*5.5)*10.764</f>
        <v>625.18388400000003</v>
      </c>
      <c r="I329" s="20">
        <f>(4.5*3.545+4.5*2.925+1.61*2.925+2.275*5.1)*10.764</f>
        <v>488.97353699999996</v>
      </c>
      <c r="J329" s="1">
        <v>274</v>
      </c>
      <c r="K329" s="1"/>
      <c r="L329" s="1"/>
      <c r="M329" s="1"/>
      <c r="N329" s="1"/>
      <c r="O329" s="1"/>
      <c r="P329" s="1"/>
      <c r="Q329" s="1"/>
      <c r="R329" s="1"/>
      <c r="S329" s="1"/>
      <c r="T329" s="1"/>
      <c r="U329" s="43" t="str">
        <f t="shared" ca="1" si="59"/>
        <v>203,..,203</v>
      </c>
      <c r="V329" s="43">
        <f t="shared" ref="V329:W329" ca="1" si="60">V328+1</f>
        <v>203</v>
      </c>
      <c r="W329" s="43">
        <f t="shared" ca="1" si="60"/>
        <v>203</v>
      </c>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c r="XFD329" s="1"/>
    </row>
    <row r="330" spans="1:151 16227:16384" s="11" customFormat="1" ht="20.25" customHeight="1" x14ac:dyDescent="0.25">
      <c r="A330" s="99"/>
      <c r="B330" s="100"/>
      <c r="C330" s="88">
        <v>4</v>
      </c>
      <c r="D330" s="89"/>
      <c r="E330" s="20" t="s">
        <v>218</v>
      </c>
      <c r="F330" s="88">
        <f>34.41*10.764</f>
        <v>370.38923999999992</v>
      </c>
      <c r="G330" s="89"/>
      <c r="H330" s="55">
        <f>(3.55*4.2+2.93*5.9+2.27*5.3)*10.764</f>
        <v>476.07019199999996</v>
      </c>
      <c r="I330" s="20">
        <f>F330*(($I$166)+1)+H330/4</f>
        <v>693.12086999999997</v>
      </c>
      <c r="J330" s="1">
        <v>254</v>
      </c>
      <c r="K330" s="1"/>
      <c r="L330" s="1"/>
      <c r="M330" s="1"/>
      <c r="N330" s="1"/>
      <c r="O330" s="1"/>
      <c r="P330" s="1"/>
      <c r="Q330" s="1"/>
      <c r="R330" s="1"/>
      <c r="S330" s="1"/>
      <c r="T330" s="1"/>
      <c r="U330" s="43" t="str">
        <f t="shared" ca="1" si="59"/>
        <v>204,..,204</v>
      </c>
      <c r="V330" s="43">
        <f t="shared" ref="V330:W330" ca="1" si="61">V329+1</f>
        <v>204</v>
      </c>
      <c r="W330" s="43">
        <f t="shared" ca="1" si="61"/>
        <v>204</v>
      </c>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c r="XFD330" s="1"/>
    </row>
    <row r="331" spans="1:151 16227:16384" s="11" customFormat="1" ht="20.25" customHeight="1" x14ac:dyDescent="0.25">
      <c r="A331" s="99"/>
      <c r="B331" s="100"/>
      <c r="C331" s="88">
        <v>5</v>
      </c>
      <c r="D331" s="89"/>
      <c r="E331" s="20" t="s">
        <v>228</v>
      </c>
      <c r="F331" s="88">
        <f>61.24*10.764</f>
        <v>659.18736000000001</v>
      </c>
      <c r="G331" s="89"/>
      <c r="H331" s="55">
        <f>(3.52*2.8+3*3.5+5.82*3.5)*10.764</f>
        <v>438.37466399999994</v>
      </c>
      <c r="I331" s="20">
        <f>F331*(($I$166)+1)+H331/2</f>
        <v>1240.9277400000001</v>
      </c>
      <c r="J331" s="1">
        <v>248</v>
      </c>
      <c r="K331" s="1"/>
      <c r="L331" s="1"/>
      <c r="M331" s="1"/>
      <c r="N331" s="1"/>
      <c r="O331" s="1"/>
      <c r="P331" s="1"/>
      <c r="Q331" s="1"/>
      <c r="R331" s="1"/>
      <c r="S331" s="1"/>
      <c r="T331" s="1"/>
      <c r="U331" s="43" t="str">
        <f t="shared" ca="1" si="59"/>
        <v>205,..,205</v>
      </c>
      <c r="V331" s="43">
        <f t="shared" ref="V331:W331" ca="1" si="62">V330+1</f>
        <v>205</v>
      </c>
      <c r="W331" s="43">
        <f t="shared" ca="1" si="62"/>
        <v>205</v>
      </c>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c r="XFD331" s="1"/>
    </row>
    <row r="332" spans="1:151 16227:16384" s="11" customFormat="1" ht="20.25" customHeight="1" x14ac:dyDescent="0.25">
      <c r="A332" s="99"/>
      <c r="B332" s="100"/>
      <c r="C332" s="88">
        <v>6</v>
      </c>
      <c r="D332" s="89"/>
      <c r="E332" s="20" t="s">
        <v>218</v>
      </c>
      <c r="F332" s="88">
        <f>34.41*10.764</f>
        <v>370.38923999999992</v>
      </c>
      <c r="G332" s="89"/>
      <c r="H332" s="55">
        <f>(2.72*5.3+2.93*5.9+3.55*4.3)*10.764</f>
        <v>505.56355200000002</v>
      </c>
      <c r="I332" s="20">
        <f>F332*(($I$166)+1)+H332/4</f>
        <v>700.49420999999995</v>
      </c>
      <c r="J332" s="1">
        <f>SUM(J328:J331)</f>
        <v>1050</v>
      </c>
      <c r="K332" s="1"/>
      <c r="L332" s="1"/>
      <c r="M332" s="1"/>
      <c r="N332" s="1"/>
      <c r="O332" s="1"/>
      <c r="P332" s="1"/>
      <c r="Q332" s="1"/>
      <c r="R332" s="1"/>
      <c r="S332" s="1"/>
      <c r="T332" s="1"/>
      <c r="U332" s="43" t="str">
        <f t="shared" ca="1" si="59"/>
        <v>206,..,206</v>
      </c>
      <c r="V332" s="43">
        <f t="shared" ref="V332:W332" ca="1" si="63">V331+1</f>
        <v>206</v>
      </c>
      <c r="W332" s="43">
        <f t="shared" ca="1" si="63"/>
        <v>206</v>
      </c>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c r="XFD332" s="1"/>
    </row>
    <row r="333" spans="1:151 16227:16384" s="11" customFormat="1" ht="20.25" customHeight="1" x14ac:dyDescent="0.25">
      <c r="A333" s="99"/>
      <c r="B333" s="100"/>
      <c r="C333" s="88">
        <v>7</v>
      </c>
      <c r="D333" s="89"/>
      <c r="E333" s="20" t="s">
        <v>228</v>
      </c>
      <c r="F333" s="88">
        <f>46.7*10.764</f>
        <v>502.67880000000002</v>
      </c>
      <c r="G333" s="89"/>
      <c r="H333" s="55">
        <f>(2.9*5.9+2.48*3.8+3.2*5.4)*10.764</f>
        <v>471.61389599999995</v>
      </c>
      <c r="I333" s="20">
        <f>F333*(($I$166)+1)+H333/5</f>
        <v>873.47491920000004</v>
      </c>
      <c r="J333" s="1"/>
      <c r="K333" s="1"/>
      <c r="L333" s="1"/>
      <c r="M333" s="1"/>
      <c r="N333" s="1"/>
      <c r="O333" s="1"/>
      <c r="P333" s="1"/>
      <c r="Q333" s="1"/>
      <c r="R333" s="1"/>
      <c r="S333" s="1"/>
      <c r="T333" s="1"/>
      <c r="U333" s="43" t="str">
        <f t="shared" ca="1" si="59"/>
        <v>207,..,207</v>
      </c>
      <c r="V333" s="43">
        <f t="shared" ref="V333:W333" ca="1" si="64">V332+1</f>
        <v>207</v>
      </c>
      <c r="W333" s="43">
        <f t="shared" ca="1" si="64"/>
        <v>207</v>
      </c>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c r="XFD333" s="1"/>
    </row>
    <row r="334" spans="1:151 16227:16384" s="11" customFormat="1" ht="20.25" customHeight="1" x14ac:dyDescent="0.25">
      <c r="A334" s="99"/>
      <c r="B334" s="100"/>
      <c r="C334" s="88">
        <v>8</v>
      </c>
      <c r="D334" s="89"/>
      <c r="E334" s="20" t="s">
        <v>228</v>
      </c>
      <c r="F334" s="88">
        <f>46.77*10.764</f>
        <v>503.43227999999999</v>
      </c>
      <c r="G334" s="89"/>
      <c r="H334" s="20">
        <v>0</v>
      </c>
      <c r="I334" s="20">
        <f>F334*(($I$166)+1)+H334/2</f>
        <v>780.32003399999996</v>
      </c>
      <c r="J334" s="1"/>
      <c r="K334" s="1"/>
      <c r="L334" s="1"/>
      <c r="M334" s="1"/>
      <c r="N334" s="1"/>
      <c r="O334" s="1"/>
      <c r="P334" s="1"/>
      <c r="Q334" s="1"/>
      <c r="R334" s="1"/>
      <c r="S334" s="1"/>
      <c r="T334" s="1"/>
      <c r="U334" s="43" t="str">
        <f t="shared" ca="1" si="59"/>
        <v>208,..,208</v>
      </c>
      <c r="V334" s="43">
        <f t="shared" ref="V334:W334" ca="1" si="65">V333+1</f>
        <v>208</v>
      </c>
      <c r="W334" s="43">
        <f t="shared" ca="1" si="65"/>
        <v>208</v>
      </c>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c r="XFD334" s="1"/>
    </row>
    <row r="335" spans="1:151 16227:16384" s="11" customFormat="1" ht="20.25" customHeight="1" x14ac:dyDescent="0.25">
      <c r="A335" s="99"/>
      <c r="B335" s="100"/>
      <c r="C335" s="88">
        <v>9</v>
      </c>
      <c r="D335" s="89"/>
      <c r="E335" s="20" t="s">
        <v>218</v>
      </c>
      <c r="F335" s="88">
        <f>34.49*10.764</f>
        <v>371.25036</v>
      </c>
      <c r="G335" s="89"/>
      <c r="H335" s="20">
        <v>0</v>
      </c>
      <c r="I335" s="20">
        <f>F335*(($I$166)+1)+H335</f>
        <v>575.43805800000007</v>
      </c>
      <c r="J335" s="1"/>
      <c r="K335" s="1"/>
      <c r="L335" s="1"/>
      <c r="M335" s="1"/>
      <c r="N335" s="1"/>
      <c r="O335" s="1"/>
      <c r="P335" s="1"/>
      <c r="Q335" s="1"/>
      <c r="R335" s="1"/>
      <c r="S335" s="1"/>
      <c r="T335" s="1"/>
      <c r="U335" s="43" t="str">
        <f t="shared" ca="1" si="59"/>
        <v>209,..,209</v>
      </c>
      <c r="V335" s="43">
        <f t="shared" ref="V335:W335" ca="1" si="66">V334+1</f>
        <v>209</v>
      </c>
      <c r="W335" s="43">
        <f t="shared" ca="1" si="66"/>
        <v>209</v>
      </c>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c r="XFD335" s="1"/>
    </row>
    <row r="336" spans="1:151 16227:16384" s="11" customFormat="1" ht="20.25" customHeight="1" x14ac:dyDescent="0.25">
      <c r="A336" s="99"/>
      <c r="B336" s="100"/>
      <c r="C336" s="88">
        <v>10</v>
      </c>
      <c r="D336" s="89"/>
      <c r="E336" s="20" t="s">
        <v>218</v>
      </c>
      <c r="F336" s="88">
        <f>41.07*10.764</f>
        <v>442.07747999999998</v>
      </c>
      <c r="G336" s="89"/>
      <c r="H336" s="20">
        <v>0</v>
      </c>
      <c r="I336" s="20">
        <f>F336*(($I$166)+1)+H336</f>
        <v>685.22009400000002</v>
      </c>
      <c r="J336" s="1"/>
      <c r="K336" s="1"/>
      <c r="L336" s="1"/>
      <c r="M336" s="1"/>
      <c r="N336" s="1"/>
      <c r="O336" s="1"/>
      <c r="P336" s="1"/>
      <c r="Q336" s="1"/>
      <c r="R336" s="1"/>
      <c r="S336" s="1"/>
      <c r="T336" s="1"/>
      <c r="U336" s="43" t="str">
        <f t="shared" ca="1" si="59"/>
        <v>210,..,210</v>
      </c>
      <c r="V336" s="43">
        <f t="shared" ref="V336:W336" ca="1" si="67">V335+1</f>
        <v>210</v>
      </c>
      <c r="W336" s="43">
        <f t="shared" ca="1" si="67"/>
        <v>210</v>
      </c>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c r="XFD336" s="1"/>
    </row>
    <row r="337" spans="1:151 16227:16384" s="11" customFormat="1" ht="20.25" customHeight="1" x14ac:dyDescent="0.25">
      <c r="A337" s="101"/>
      <c r="B337" s="102"/>
      <c r="C337" s="88">
        <v>11</v>
      </c>
      <c r="D337" s="89"/>
      <c r="E337" s="20" t="s">
        <v>218</v>
      </c>
      <c r="F337" s="88">
        <f>41.07*10.764</f>
        <v>442.07747999999998</v>
      </c>
      <c r="G337" s="89"/>
      <c r="H337" s="20">
        <v>0</v>
      </c>
      <c r="I337" s="20">
        <f>F337*(($I$166)+1)+H337</f>
        <v>685.22009400000002</v>
      </c>
      <c r="J337" s="1"/>
      <c r="K337" s="1"/>
      <c r="L337" s="1"/>
      <c r="M337" s="1"/>
      <c r="N337" s="1"/>
      <c r="O337" s="1"/>
      <c r="P337" s="1"/>
      <c r="Q337" s="1"/>
      <c r="R337" s="1"/>
      <c r="S337" s="1"/>
      <c r="T337" s="1"/>
      <c r="U337" s="43" t="str">
        <f t="shared" ca="1" si="59"/>
        <v>211,..,211</v>
      </c>
      <c r="V337" s="43">
        <f t="shared" ref="V337:W337" ca="1" si="68">V336+1</f>
        <v>211</v>
      </c>
      <c r="W337" s="43">
        <f t="shared" ca="1" si="68"/>
        <v>211</v>
      </c>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c r="XFD337" s="1"/>
    </row>
    <row r="338" spans="1:151 16227:16384" s="11" customFormat="1" ht="20.25" x14ac:dyDescent="0.25">
      <c r="A338" s="94" t="s">
        <v>226</v>
      </c>
      <c r="B338" s="95"/>
      <c r="C338" s="95"/>
      <c r="D338" s="95"/>
      <c r="E338" s="95"/>
      <c r="F338" s="95"/>
      <c r="G338" s="95"/>
      <c r="H338" s="95"/>
      <c r="I338" s="103"/>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c r="XFD338" s="1"/>
    </row>
    <row r="339" spans="1:151 16227:16384" s="11" customFormat="1" ht="20.25" customHeight="1" x14ac:dyDescent="0.25">
      <c r="A339" s="97" t="str">
        <f>A338</f>
        <v>3rd to 6th, 8th to 11th, 13th to 16th, 18th to 21st Floor</v>
      </c>
      <c r="B339" s="98"/>
      <c r="C339" s="88">
        <v>1</v>
      </c>
      <c r="D339" s="89"/>
      <c r="E339" s="20" t="s">
        <v>218</v>
      </c>
      <c r="F339" s="88">
        <f>34.49*10.764</f>
        <v>371.25036</v>
      </c>
      <c r="G339" s="89"/>
      <c r="H339" s="20">
        <v>0</v>
      </c>
      <c r="I339" s="20">
        <f t="shared" ref="I339:I349" si="69">F339*(($I$166)+1)+H339</f>
        <v>575.43805800000007</v>
      </c>
      <c r="J339" s="1"/>
      <c r="K339" s="1"/>
      <c r="L339" s="1"/>
      <c r="M339" s="1"/>
      <c r="N339" s="1"/>
      <c r="O339" s="1"/>
      <c r="P339" s="1"/>
      <c r="Q339" s="1"/>
      <c r="R339" s="1"/>
      <c r="S339" s="1"/>
      <c r="T339" s="1"/>
      <c r="U339" s="43" t="str">
        <f t="shared" ref="U339:U349" ca="1" si="70">V339&amp;""&amp;",..,"&amp;""&amp;W339</f>
        <v>3601,..,2101</v>
      </c>
      <c r="V339" s="43">
        <f ca="1">(SUMPRODUCT(MID(0&amp;(LEFT(A338,SUM(LEN(A338)-LEN(SUBSTITUTE(A338,{"0","1","2","3"},""))))), LARGE(INDEX(ISNUMBER(--MID((LEFT(A338,SUM(LEN(A338)-LEN(SUBSTITUTE(A338,{"0","1","2","3"},""))))), ROW(INDIRECT("1:"&amp;LEN((LEFT(A338,SUM(LEN(A338)-LEN(SUBSTITUTE(A338,{"0","1","2","3"},"")))))))), 1)) * ROW(INDIRECT("1:"&amp;LEN((LEFT(A338,SUM(LEN(A338)-LEN(SUBSTITUTE(A338,{"0","1","2","3"},"")))))))), 0), ROW(INDIRECT("1:"&amp;LEN((LEFT(A338,SUM(LEN(A338)-LEN(SUBSTITUTE(A338,{"0","1","2","3"},"")))))))))+1, 1) * 10^ROW(INDIRECT("1:"&amp;LEN((LEFT(A338,SUM(LEN(A338)-LEN(SUBSTITUTE(A338,{"0","1","2","3"},""))))))))/10))*100+1</f>
        <v>3601</v>
      </c>
      <c r="W339" s="43">
        <f ca="1">(SUMPRODUCT(MID(0&amp;(--TRIM(RIGHT(SUBSTITUTE(LEFT(A338,_xlfn.AGGREGATE(16,6,FIND({0,1,2,3,4,5,6,7,8,9},A338,ROW(INDIRECT("1:"&amp;LEN(A338)))),1))," ",REPT(" ",LEN(A338))),LEN(A338)))), LARGE(INDEX(ISNUMBER(--MID((--TRIM(RIGHT(SUBSTITUTE(LEFT(A338,_xlfn.AGGREGATE(16,6,FIND({0,1,2,3,4,5,6,7,8,9},A338,ROW(INDIRECT("1:"&amp;LEN(A338)))),1))," ",REPT(" ",LEN(A338))),LEN(A338)))), ROW(INDIRECT("1:"&amp;LEN((--TRIM(RIGHT(SUBSTITUTE(LEFT(A338,_xlfn.AGGREGATE(16,6,FIND({0,1,2,3,4,5,6,7,8,9},A338,ROW(INDIRECT("1:"&amp;LEN(A338)))),1))," ",REPT(" ",LEN(A338))),LEN(A338))))))), 1)) * ROW(INDIRECT("1:"&amp;LEN((--TRIM(RIGHT(SUBSTITUTE(LEFT(A338,_xlfn.AGGREGATE(16,6,FIND({0,1,2,3,4,5,6,7,8,9},A338,ROW(INDIRECT("1:"&amp;LEN(A338)))),1))," ",REPT(" ",LEN(A338))),LEN(A338))))))), 0), ROW(INDIRECT("1:"&amp;LEN((--TRIM(RIGHT(SUBSTITUTE(LEFT(A338,_xlfn.AGGREGATE(16,6,FIND({0,1,2,3,4,5,6,7,8,9},A338,ROW(INDIRECT("1:"&amp;LEN(A338)))),1))," ",REPT(" ",LEN(A338))),LEN(A338))))))))+1, 1) * 10^ROW(INDIRECT("1:"&amp;LEN((--TRIM(RIGHT(SUBSTITUTE(LEFT(A338,_xlfn.AGGREGATE(16,6,FIND({0,1,2,3,4,5,6,7,8,9},A338,ROW(INDIRECT("1:"&amp;LEN(A338)))),1))," ",REPT(" ",LEN(A338))),LEN(A338)))))))/10))*100+1</f>
        <v>2101</v>
      </c>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c r="XFD339" s="1"/>
    </row>
    <row r="340" spans="1:151 16227:16384" s="11" customFormat="1" ht="20.25" customHeight="1" x14ac:dyDescent="0.25">
      <c r="A340" s="99"/>
      <c r="B340" s="100"/>
      <c r="C340" s="88">
        <v>2</v>
      </c>
      <c r="D340" s="89"/>
      <c r="E340" s="20" t="s">
        <v>228</v>
      </c>
      <c r="F340" s="88">
        <f>46.77*10.764</f>
        <v>503.43227999999999</v>
      </c>
      <c r="G340" s="89"/>
      <c r="H340" s="20">
        <v>0</v>
      </c>
      <c r="I340" s="20">
        <f t="shared" si="69"/>
        <v>780.32003399999996</v>
      </c>
      <c r="J340" s="1"/>
      <c r="K340" s="1"/>
      <c r="L340" s="1"/>
      <c r="M340" s="1"/>
      <c r="N340" s="1"/>
      <c r="O340" s="1"/>
      <c r="P340" s="1"/>
      <c r="Q340" s="1"/>
      <c r="R340" s="1"/>
      <c r="S340" s="1"/>
      <c r="T340" s="1"/>
      <c r="U340" s="43" t="str">
        <f t="shared" ca="1" si="70"/>
        <v>3602,..,2102</v>
      </c>
      <c r="V340" s="43">
        <f ca="1">V339+1</f>
        <v>3602</v>
      </c>
      <c r="W340" s="43">
        <f ca="1">W339+1</f>
        <v>2102</v>
      </c>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c r="XFD340" s="1"/>
    </row>
    <row r="341" spans="1:151 16227:16384" s="11" customFormat="1" ht="20.25" customHeight="1" x14ac:dyDescent="0.25">
      <c r="A341" s="99"/>
      <c r="B341" s="100"/>
      <c r="C341" s="88">
        <v>3</v>
      </c>
      <c r="D341" s="89"/>
      <c r="E341" s="20" t="s">
        <v>228</v>
      </c>
      <c r="F341" s="88">
        <f>46.77*10.764</f>
        <v>503.43227999999999</v>
      </c>
      <c r="G341" s="89"/>
      <c r="H341" s="20">
        <v>0</v>
      </c>
      <c r="I341" s="20">
        <f t="shared" si="69"/>
        <v>780.32003399999996</v>
      </c>
      <c r="J341" s="1"/>
      <c r="K341" s="1"/>
      <c r="L341" s="1"/>
      <c r="M341" s="1"/>
      <c r="N341" s="1"/>
      <c r="O341" s="1"/>
      <c r="P341" s="1"/>
      <c r="Q341" s="1"/>
      <c r="R341" s="1"/>
      <c r="S341" s="1"/>
      <c r="T341" s="1"/>
      <c r="U341" s="43" t="str">
        <f t="shared" ca="1" si="70"/>
        <v>3603,..,2103</v>
      </c>
      <c r="V341" s="43">
        <f t="shared" ref="V341:W341" ca="1" si="71">V340+1</f>
        <v>3603</v>
      </c>
      <c r="W341" s="43">
        <f t="shared" ca="1" si="71"/>
        <v>2103</v>
      </c>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c r="XFD341" s="1"/>
    </row>
    <row r="342" spans="1:151 16227:16384" s="11" customFormat="1" ht="20.25" customHeight="1" x14ac:dyDescent="0.25">
      <c r="A342" s="99"/>
      <c r="B342" s="100"/>
      <c r="C342" s="88">
        <v>4</v>
      </c>
      <c r="D342" s="89"/>
      <c r="E342" s="20" t="s">
        <v>218</v>
      </c>
      <c r="F342" s="88">
        <f>34.49*10.764</f>
        <v>371.25036</v>
      </c>
      <c r="G342" s="89"/>
      <c r="H342" s="20">
        <v>0</v>
      </c>
      <c r="I342" s="20">
        <f t="shared" si="69"/>
        <v>575.43805800000007</v>
      </c>
      <c r="J342" s="1"/>
      <c r="K342" s="1"/>
      <c r="L342" s="1"/>
      <c r="M342" s="1"/>
      <c r="N342" s="1"/>
      <c r="O342" s="1"/>
      <c r="P342" s="1"/>
      <c r="Q342" s="1"/>
      <c r="R342" s="1"/>
      <c r="S342" s="1"/>
      <c r="T342" s="1"/>
      <c r="U342" s="43" t="str">
        <f t="shared" ca="1" si="70"/>
        <v>3604,..,2104</v>
      </c>
      <c r="V342" s="43">
        <f t="shared" ref="V342:W342" ca="1" si="72">V341+1</f>
        <v>3604</v>
      </c>
      <c r="W342" s="43">
        <f t="shared" ca="1" si="72"/>
        <v>2104</v>
      </c>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c r="XFD342" s="1"/>
    </row>
    <row r="343" spans="1:151 16227:16384" s="11" customFormat="1" ht="20.25" customHeight="1" x14ac:dyDescent="0.25">
      <c r="A343" s="99"/>
      <c r="B343" s="100"/>
      <c r="C343" s="88">
        <v>5</v>
      </c>
      <c r="D343" s="89"/>
      <c r="E343" s="20" t="s">
        <v>228</v>
      </c>
      <c r="F343" s="88">
        <f>61.24*10.764</f>
        <v>659.18736000000001</v>
      </c>
      <c r="G343" s="89"/>
      <c r="H343" s="20">
        <v>0</v>
      </c>
      <c r="I343" s="20">
        <f t="shared" si="69"/>
        <v>1021.740408</v>
      </c>
      <c r="J343" s="1"/>
      <c r="K343" s="1"/>
      <c r="L343" s="1"/>
      <c r="M343" s="1"/>
      <c r="N343" s="1"/>
      <c r="O343" s="1"/>
      <c r="P343" s="1"/>
      <c r="Q343" s="1"/>
      <c r="R343" s="1"/>
      <c r="S343" s="1"/>
      <c r="T343" s="1"/>
      <c r="U343" s="43" t="str">
        <f t="shared" ca="1" si="70"/>
        <v>3605,..,2105</v>
      </c>
      <c r="V343" s="43">
        <f t="shared" ref="V343:W343" ca="1" si="73">V342+1</f>
        <v>3605</v>
      </c>
      <c r="W343" s="43">
        <f t="shared" ca="1" si="73"/>
        <v>2105</v>
      </c>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c r="XFD343" s="1"/>
    </row>
    <row r="344" spans="1:151 16227:16384" s="11" customFormat="1" ht="20.25" customHeight="1" x14ac:dyDescent="0.25">
      <c r="A344" s="99"/>
      <c r="B344" s="100"/>
      <c r="C344" s="88">
        <v>6</v>
      </c>
      <c r="D344" s="89"/>
      <c r="E344" s="20" t="s">
        <v>218</v>
      </c>
      <c r="F344" s="88">
        <f>34.49*10.764</f>
        <v>371.25036</v>
      </c>
      <c r="G344" s="89"/>
      <c r="H344" s="20">
        <v>0</v>
      </c>
      <c r="I344" s="20">
        <f t="shared" si="69"/>
        <v>575.43805800000007</v>
      </c>
      <c r="J344" s="1"/>
      <c r="K344" s="1"/>
      <c r="L344" s="1"/>
      <c r="M344" s="1"/>
      <c r="N344" s="1"/>
      <c r="O344" s="1"/>
      <c r="P344" s="1"/>
      <c r="Q344" s="1"/>
      <c r="R344" s="1"/>
      <c r="S344" s="1"/>
      <c r="T344" s="1"/>
      <c r="U344" s="43" t="str">
        <f t="shared" ca="1" si="70"/>
        <v>3606,..,2106</v>
      </c>
      <c r="V344" s="43">
        <f t="shared" ref="V344:W344" ca="1" si="74">V343+1</f>
        <v>3606</v>
      </c>
      <c r="W344" s="43">
        <f t="shared" ca="1" si="74"/>
        <v>2106</v>
      </c>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c r="XFD344" s="1"/>
    </row>
    <row r="345" spans="1:151 16227:16384" s="11" customFormat="1" ht="20.25" customHeight="1" x14ac:dyDescent="0.25">
      <c r="A345" s="99"/>
      <c r="B345" s="100"/>
      <c r="C345" s="88">
        <v>7</v>
      </c>
      <c r="D345" s="89"/>
      <c r="E345" s="20" t="s">
        <v>228</v>
      </c>
      <c r="F345" s="88">
        <f>46.77*10.764</f>
        <v>503.43227999999999</v>
      </c>
      <c r="G345" s="89"/>
      <c r="H345" s="20">
        <v>0</v>
      </c>
      <c r="I345" s="20">
        <f t="shared" si="69"/>
        <v>780.32003399999996</v>
      </c>
      <c r="J345" s="1"/>
      <c r="K345" s="1"/>
      <c r="L345" s="1"/>
      <c r="M345" s="1"/>
      <c r="N345" s="1"/>
      <c r="O345" s="1"/>
      <c r="P345" s="1"/>
      <c r="Q345" s="1"/>
      <c r="R345" s="1"/>
      <c r="S345" s="1"/>
      <c r="T345" s="1"/>
      <c r="U345" s="43" t="str">
        <f t="shared" ca="1" si="70"/>
        <v>3607,..,2107</v>
      </c>
      <c r="V345" s="43">
        <f t="shared" ref="V345:W345" ca="1" si="75">V344+1</f>
        <v>3607</v>
      </c>
      <c r="W345" s="43">
        <f t="shared" ca="1" si="75"/>
        <v>2107</v>
      </c>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c r="XFD345" s="1"/>
    </row>
    <row r="346" spans="1:151 16227:16384" s="11" customFormat="1" ht="20.25" customHeight="1" x14ac:dyDescent="0.25">
      <c r="A346" s="99"/>
      <c r="B346" s="100"/>
      <c r="C346" s="88">
        <v>8</v>
      </c>
      <c r="D346" s="89"/>
      <c r="E346" s="20" t="s">
        <v>228</v>
      </c>
      <c r="F346" s="88">
        <f>46.77*10.764</f>
        <v>503.43227999999999</v>
      </c>
      <c r="G346" s="89"/>
      <c r="H346" s="20">
        <v>0</v>
      </c>
      <c r="I346" s="20">
        <f t="shared" si="69"/>
        <v>780.32003399999996</v>
      </c>
      <c r="J346" s="1"/>
      <c r="K346" s="1"/>
      <c r="L346" s="1"/>
      <c r="M346" s="1"/>
      <c r="N346" s="1"/>
      <c r="O346" s="1"/>
      <c r="P346" s="1"/>
      <c r="Q346" s="1"/>
      <c r="R346" s="1"/>
      <c r="S346" s="1"/>
      <c r="T346" s="1"/>
      <c r="U346" s="43" t="str">
        <f t="shared" ca="1" si="70"/>
        <v>3608,..,2108</v>
      </c>
      <c r="V346" s="43">
        <f t="shared" ref="V346:W346" ca="1" si="76">V345+1</f>
        <v>3608</v>
      </c>
      <c r="W346" s="43">
        <f t="shared" ca="1" si="76"/>
        <v>2108</v>
      </c>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c r="XFD346" s="1"/>
    </row>
    <row r="347" spans="1:151 16227:16384" s="11" customFormat="1" ht="20.25" customHeight="1" x14ac:dyDescent="0.25">
      <c r="A347" s="99"/>
      <c r="B347" s="100"/>
      <c r="C347" s="88">
        <v>9</v>
      </c>
      <c r="D347" s="89"/>
      <c r="E347" s="20" t="s">
        <v>218</v>
      </c>
      <c r="F347" s="88">
        <f>34.49*10.764</f>
        <v>371.25036</v>
      </c>
      <c r="G347" s="89"/>
      <c r="H347" s="20">
        <v>0</v>
      </c>
      <c r="I347" s="20">
        <f t="shared" si="69"/>
        <v>575.43805800000007</v>
      </c>
      <c r="J347" s="1"/>
      <c r="K347" s="1"/>
      <c r="L347" s="1"/>
      <c r="M347" s="1"/>
      <c r="N347" s="1"/>
      <c r="O347" s="1"/>
      <c r="P347" s="1"/>
      <c r="Q347" s="1"/>
      <c r="R347" s="1"/>
      <c r="S347" s="1"/>
      <c r="T347" s="1"/>
      <c r="U347" s="43" t="str">
        <f t="shared" ca="1" si="70"/>
        <v>3609,..,2109</v>
      </c>
      <c r="V347" s="43">
        <f t="shared" ref="V347:W347" ca="1" si="77">V346+1</f>
        <v>3609</v>
      </c>
      <c r="W347" s="43">
        <f t="shared" ca="1" si="77"/>
        <v>2109</v>
      </c>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c r="XEW347" s="1"/>
      <c r="XEX347" s="1"/>
      <c r="XEY347" s="1"/>
      <c r="XEZ347" s="1"/>
      <c r="XFA347" s="1"/>
      <c r="XFB347" s="1"/>
      <c r="XFC347" s="1"/>
      <c r="XFD347" s="1"/>
    </row>
    <row r="348" spans="1:151 16227:16384" s="11" customFormat="1" ht="20.25" customHeight="1" x14ac:dyDescent="0.25">
      <c r="A348" s="99"/>
      <c r="B348" s="100"/>
      <c r="C348" s="88">
        <v>10</v>
      </c>
      <c r="D348" s="89"/>
      <c r="E348" s="20" t="s">
        <v>218</v>
      </c>
      <c r="F348" s="88">
        <f>41.07*10.764</f>
        <v>442.07747999999998</v>
      </c>
      <c r="G348" s="89"/>
      <c r="H348" s="20">
        <v>0</v>
      </c>
      <c r="I348" s="20">
        <f t="shared" si="69"/>
        <v>685.22009400000002</v>
      </c>
      <c r="J348" s="1"/>
      <c r="K348" s="1"/>
      <c r="L348" s="1"/>
      <c r="M348" s="1"/>
      <c r="N348" s="1"/>
      <c r="O348" s="1"/>
      <c r="P348" s="1"/>
      <c r="Q348" s="1"/>
      <c r="R348" s="1"/>
      <c r="S348" s="1"/>
      <c r="T348" s="1"/>
      <c r="U348" s="43" t="str">
        <f t="shared" ca="1" si="70"/>
        <v>3610,..,2110</v>
      </c>
      <c r="V348" s="43">
        <f t="shared" ref="V348:W348" ca="1" si="78">V347+1</f>
        <v>3610</v>
      </c>
      <c r="W348" s="43">
        <f t="shared" ca="1" si="78"/>
        <v>2110</v>
      </c>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c r="XEW348" s="1"/>
      <c r="XEX348" s="1"/>
      <c r="XEY348" s="1"/>
      <c r="XEZ348" s="1"/>
      <c r="XFA348" s="1"/>
      <c r="XFB348" s="1"/>
      <c r="XFC348" s="1"/>
      <c r="XFD348" s="1"/>
    </row>
    <row r="349" spans="1:151 16227:16384" s="11" customFormat="1" ht="20.25" customHeight="1" x14ac:dyDescent="0.25">
      <c r="A349" s="101"/>
      <c r="B349" s="102"/>
      <c r="C349" s="88">
        <v>11</v>
      </c>
      <c r="D349" s="89"/>
      <c r="E349" s="20" t="s">
        <v>218</v>
      </c>
      <c r="F349" s="88">
        <f>41.07*10.764</f>
        <v>442.07747999999998</v>
      </c>
      <c r="G349" s="89"/>
      <c r="H349" s="20">
        <v>0</v>
      </c>
      <c r="I349" s="20">
        <f t="shared" si="69"/>
        <v>685.22009400000002</v>
      </c>
      <c r="J349" s="1"/>
      <c r="K349" s="1"/>
      <c r="L349" s="1"/>
      <c r="M349" s="1"/>
      <c r="N349" s="1"/>
      <c r="O349" s="1"/>
      <c r="P349" s="1"/>
      <c r="Q349" s="1"/>
      <c r="R349" s="1"/>
      <c r="S349" s="1"/>
      <c r="T349" s="1"/>
      <c r="U349" s="43" t="str">
        <f t="shared" ca="1" si="70"/>
        <v>3611,..,2111</v>
      </c>
      <c r="V349" s="43">
        <f t="shared" ref="V349:W349" ca="1" si="79">V348+1</f>
        <v>3611</v>
      </c>
      <c r="W349" s="43">
        <f t="shared" ca="1" si="79"/>
        <v>2111</v>
      </c>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c r="XEW349" s="1"/>
      <c r="XEX349" s="1"/>
      <c r="XEY349" s="1"/>
      <c r="XEZ349" s="1"/>
      <c r="XFA349" s="1"/>
      <c r="XFB349" s="1"/>
      <c r="XFC349" s="1"/>
      <c r="XFD349" s="1"/>
    </row>
    <row r="350" spans="1:151 16227:16384" s="11" customFormat="1" ht="20.25" x14ac:dyDescent="0.25">
      <c r="A350" s="94" t="s">
        <v>220</v>
      </c>
      <c r="B350" s="95"/>
      <c r="C350" s="95"/>
      <c r="D350" s="95"/>
      <c r="E350" s="95"/>
      <c r="F350" s="95"/>
      <c r="G350" s="95"/>
      <c r="H350" s="95"/>
      <c r="I350" s="103"/>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c r="XEW350" s="1"/>
      <c r="XEX350" s="1"/>
      <c r="XEY350" s="1"/>
      <c r="XEZ350" s="1"/>
      <c r="XFA350" s="1"/>
      <c r="XFB350" s="1"/>
      <c r="XFC350" s="1"/>
      <c r="XFD350" s="1"/>
    </row>
    <row r="351" spans="1:151 16227:16384" s="11" customFormat="1" ht="20.25" customHeight="1" x14ac:dyDescent="0.25">
      <c r="A351" s="97" t="str">
        <f>A350</f>
        <v>7th, 12th, 17th &amp; 22nd Floor (Part Refuge Area)</v>
      </c>
      <c r="B351" s="98"/>
      <c r="C351" s="88">
        <v>1</v>
      </c>
      <c r="D351" s="89"/>
      <c r="E351" s="55" t="s">
        <v>218</v>
      </c>
      <c r="F351" s="88">
        <f>34.49*10.764</f>
        <v>371.25036</v>
      </c>
      <c r="G351" s="89"/>
      <c r="H351" s="20">
        <v>0</v>
      </c>
      <c r="I351" s="20">
        <f t="shared" ref="I351:I358" si="80">F351*(($I$166)+1)+H351</f>
        <v>575.43805800000007</v>
      </c>
      <c r="J351" s="1"/>
      <c r="K351" s="1"/>
      <c r="L351" s="1"/>
      <c r="M351" s="1"/>
      <c r="N351" s="1"/>
      <c r="O351" s="1"/>
      <c r="P351" s="1"/>
      <c r="Q351" s="1"/>
      <c r="R351" s="1"/>
      <c r="S351" s="1"/>
      <c r="T351" s="1"/>
      <c r="U351" s="43" t="str">
        <f t="shared" ref="U351:U361" ca="1" si="81">V351&amp;""&amp;",..,"&amp;""&amp;W351</f>
        <v>701,..,2201</v>
      </c>
      <c r="V351" s="43">
        <f ca="1">(SUMPRODUCT(MID(0&amp;(LEFT(A350,SUM(LEN(A350)-LEN(SUBSTITUTE(A350,{"0","1","2","3"},""))))), LARGE(INDEX(ISNUMBER(--MID((LEFT(A350,SUM(LEN(A350)-LEN(SUBSTITUTE(A350,{"0","1","2","3"},""))))), ROW(INDIRECT("1:"&amp;LEN((LEFT(A350,SUM(LEN(A350)-LEN(SUBSTITUTE(A350,{"0","1","2","3"},"")))))))), 1)) * ROW(INDIRECT("1:"&amp;LEN((LEFT(A350,SUM(LEN(A350)-LEN(SUBSTITUTE(A350,{"0","1","2","3"},"")))))))), 0), ROW(INDIRECT("1:"&amp;LEN((LEFT(A350,SUM(LEN(A350)-LEN(SUBSTITUTE(A350,{"0","1","2","3"},"")))))))))+1, 1) * 10^ROW(INDIRECT("1:"&amp;LEN((LEFT(A350,SUM(LEN(A350)-LEN(SUBSTITUTE(A350,{"0","1","2","3"},""))))))))/10))*100+1</f>
        <v>701</v>
      </c>
      <c r="W351" s="43">
        <f ca="1">(SUMPRODUCT(MID(0&amp;(--TRIM(RIGHT(SUBSTITUTE(LEFT(A350,_xlfn.AGGREGATE(16,6,FIND({0,1,2,3,4,5,6,7,8,9},A350,ROW(INDIRECT("1:"&amp;LEN(A350)))),1))," ",REPT(" ",LEN(A350))),LEN(A350)))), LARGE(INDEX(ISNUMBER(--MID((--TRIM(RIGHT(SUBSTITUTE(LEFT(A350,_xlfn.AGGREGATE(16,6,FIND({0,1,2,3,4,5,6,7,8,9},A350,ROW(INDIRECT("1:"&amp;LEN(A350)))),1))," ",REPT(" ",LEN(A350))),LEN(A350)))), ROW(INDIRECT("1:"&amp;LEN((--TRIM(RIGHT(SUBSTITUTE(LEFT(A350,_xlfn.AGGREGATE(16,6,FIND({0,1,2,3,4,5,6,7,8,9},A350,ROW(INDIRECT("1:"&amp;LEN(A350)))),1))," ",REPT(" ",LEN(A350))),LEN(A350))))))), 1)) * ROW(INDIRECT("1:"&amp;LEN((--TRIM(RIGHT(SUBSTITUTE(LEFT(A350,_xlfn.AGGREGATE(16,6,FIND({0,1,2,3,4,5,6,7,8,9},A350,ROW(INDIRECT("1:"&amp;LEN(A350)))),1))," ",REPT(" ",LEN(A350))),LEN(A350))))))), 0), ROW(INDIRECT("1:"&amp;LEN((--TRIM(RIGHT(SUBSTITUTE(LEFT(A350,_xlfn.AGGREGATE(16,6,FIND({0,1,2,3,4,5,6,7,8,9},A350,ROW(INDIRECT("1:"&amp;LEN(A350)))),1))," ",REPT(" ",LEN(A350))),LEN(A350))))))))+1, 1) * 10^ROW(INDIRECT("1:"&amp;LEN((--TRIM(RIGHT(SUBSTITUTE(LEFT(A350,_xlfn.AGGREGATE(16,6,FIND({0,1,2,3,4,5,6,7,8,9},A350,ROW(INDIRECT("1:"&amp;LEN(A350)))),1))," ",REPT(" ",LEN(A350))),LEN(A350)))))))/10))*100+1</f>
        <v>2201</v>
      </c>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c r="XEV351" s="1"/>
      <c r="XEW351" s="1"/>
      <c r="XEX351" s="1"/>
      <c r="XEY351" s="1"/>
      <c r="XEZ351" s="1"/>
      <c r="XFA351" s="1"/>
      <c r="XFB351" s="1"/>
      <c r="XFC351" s="1"/>
      <c r="XFD351" s="1"/>
    </row>
    <row r="352" spans="1:151 16227:16384" s="11" customFormat="1" ht="20.25" customHeight="1" x14ac:dyDescent="0.25">
      <c r="A352" s="99"/>
      <c r="B352" s="100"/>
      <c r="C352" s="88">
        <v>2</v>
      </c>
      <c r="D352" s="89"/>
      <c r="E352" s="55" t="s">
        <v>228</v>
      </c>
      <c r="F352" s="88">
        <f>46.77*10.764</f>
        <v>503.43227999999999</v>
      </c>
      <c r="G352" s="89"/>
      <c r="H352" s="20">
        <v>0</v>
      </c>
      <c r="I352" s="20">
        <f t="shared" si="80"/>
        <v>780.32003399999996</v>
      </c>
      <c r="J352" s="1"/>
      <c r="K352" s="1"/>
      <c r="L352" s="1"/>
      <c r="M352" s="1"/>
      <c r="N352" s="1"/>
      <c r="O352" s="1"/>
      <c r="P352" s="1"/>
      <c r="Q352" s="1"/>
      <c r="R352" s="1"/>
      <c r="S352" s="1"/>
      <c r="T352" s="1"/>
      <c r="U352" s="43" t="str">
        <f t="shared" ca="1" si="81"/>
        <v>702,..,2202</v>
      </c>
      <c r="V352" s="43">
        <f ca="1">V351+1</f>
        <v>702</v>
      </c>
      <c r="W352" s="43">
        <f ca="1">W351+1</f>
        <v>2202</v>
      </c>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WZC352" s="1"/>
      <c r="WZD352" s="1"/>
      <c r="WZE352" s="1"/>
      <c r="WZF352" s="1"/>
      <c r="WZG352" s="1"/>
      <c r="WZH352" s="1"/>
      <c r="WZI352" s="1"/>
      <c r="WZJ352" s="1"/>
      <c r="WZK352" s="1"/>
      <c r="WZL352" s="1"/>
      <c r="WZM352" s="1"/>
      <c r="WZN352" s="1"/>
      <c r="WZO352" s="1"/>
      <c r="WZP352" s="1"/>
      <c r="WZQ352" s="1"/>
      <c r="WZR352" s="1"/>
      <c r="WZS352" s="1"/>
      <c r="WZT352" s="1"/>
      <c r="WZU352" s="1"/>
      <c r="WZV352" s="1"/>
      <c r="WZW352" s="1"/>
      <c r="WZX352" s="1"/>
      <c r="WZY352" s="1"/>
      <c r="WZZ352" s="1"/>
      <c r="XAA352" s="1"/>
      <c r="XAB352" s="1"/>
      <c r="XAC352" s="1"/>
      <c r="XAD352" s="1"/>
      <c r="XAE352" s="1"/>
      <c r="XAF352" s="1"/>
      <c r="XAG352" s="1"/>
      <c r="XAH352" s="1"/>
      <c r="XAI352" s="1"/>
      <c r="XAJ352" s="1"/>
      <c r="XAK352" s="1"/>
      <c r="XAL352" s="1"/>
      <c r="XAM352" s="1"/>
      <c r="XAN352" s="1"/>
      <c r="XAO352" s="1"/>
      <c r="XAP352" s="1"/>
      <c r="XAQ352" s="1"/>
      <c r="XAR352" s="1"/>
      <c r="XAS352" s="1"/>
      <c r="XAT352" s="1"/>
      <c r="XAU352" s="1"/>
      <c r="XAV352" s="1"/>
      <c r="XAW352" s="1"/>
      <c r="XAX352" s="1"/>
      <c r="XAY352" s="1"/>
      <c r="XAZ352" s="1"/>
      <c r="XBA352" s="1"/>
      <c r="XBB352" s="1"/>
      <c r="XBC352" s="1"/>
      <c r="XBD352" s="1"/>
      <c r="XBE352" s="1"/>
      <c r="XBF352" s="1"/>
      <c r="XBG352" s="1"/>
      <c r="XBH352" s="1"/>
      <c r="XBI352" s="1"/>
      <c r="XBJ352" s="1"/>
      <c r="XBK352" s="1"/>
      <c r="XBL352" s="1"/>
      <c r="XBM352" s="1"/>
      <c r="XBN352" s="1"/>
      <c r="XBO352" s="1"/>
      <c r="XBP352" s="1"/>
      <c r="XBQ352" s="1"/>
      <c r="XBR352" s="1"/>
      <c r="XBS352" s="1"/>
      <c r="XBT352" s="1"/>
      <c r="XBU352" s="1"/>
      <c r="XBV352" s="1"/>
      <c r="XBW352" s="1"/>
      <c r="XBX352" s="1"/>
      <c r="XBY352" s="1"/>
      <c r="XBZ352" s="1"/>
      <c r="XCA352" s="1"/>
      <c r="XCB352" s="1"/>
      <c r="XCC352" s="1"/>
      <c r="XCD352" s="1"/>
      <c r="XCE352" s="1"/>
      <c r="XCF352" s="1"/>
      <c r="XCG352" s="1"/>
      <c r="XCH352" s="1"/>
      <c r="XCI352" s="1"/>
      <c r="XCJ352" s="1"/>
      <c r="XCK352" s="1"/>
      <c r="XCL352" s="1"/>
      <c r="XCM352" s="1"/>
      <c r="XCN352" s="1"/>
      <c r="XCO352" s="1"/>
      <c r="XCP352" s="1"/>
      <c r="XCQ352" s="1"/>
      <c r="XCR352" s="1"/>
      <c r="XCS352" s="1"/>
      <c r="XCT352" s="1"/>
      <c r="XCU352" s="1"/>
      <c r="XCV352" s="1"/>
      <c r="XCW352" s="1"/>
      <c r="XCX352" s="1"/>
      <c r="XCY352" s="1"/>
      <c r="XCZ352" s="1"/>
      <c r="XDA352" s="1"/>
      <c r="XDB352" s="1"/>
      <c r="XDC352" s="1"/>
      <c r="XDD352" s="1"/>
      <c r="XDE352" s="1"/>
      <c r="XDF352" s="1"/>
      <c r="XDG352" s="1"/>
      <c r="XDH352" s="1"/>
      <c r="XDI352" s="1"/>
      <c r="XDJ352" s="1"/>
      <c r="XDK352" s="1"/>
      <c r="XDL352" s="1"/>
      <c r="XDM352" s="1"/>
      <c r="XDN352" s="1"/>
      <c r="XDO352" s="1"/>
      <c r="XDP352" s="1"/>
      <c r="XDQ352" s="1"/>
      <c r="XDR352" s="1"/>
      <c r="XDS352" s="1"/>
      <c r="XDT352" s="1"/>
      <c r="XDU352" s="1"/>
      <c r="XDV352" s="1"/>
      <c r="XDW352" s="1"/>
      <c r="XDX352" s="1"/>
      <c r="XDY352" s="1"/>
      <c r="XDZ352" s="1"/>
      <c r="XEA352" s="1"/>
      <c r="XEB352" s="1"/>
      <c r="XEC352" s="1"/>
      <c r="XED352" s="1"/>
      <c r="XEE352" s="1"/>
      <c r="XEF352" s="1"/>
      <c r="XEG352" s="1"/>
      <c r="XEH352" s="1"/>
      <c r="XEI352" s="1"/>
      <c r="XEJ352" s="1"/>
      <c r="XEK352" s="1"/>
      <c r="XEL352" s="1"/>
      <c r="XEM352" s="1"/>
      <c r="XEN352" s="1"/>
      <c r="XEO352" s="1"/>
      <c r="XEP352" s="1"/>
      <c r="XEQ352" s="1"/>
      <c r="XER352" s="1"/>
      <c r="XES352" s="1"/>
      <c r="XET352" s="1"/>
      <c r="XEU352" s="1"/>
      <c r="XEV352" s="1"/>
      <c r="XEW352" s="1"/>
      <c r="XEX352" s="1"/>
      <c r="XEY352" s="1"/>
      <c r="XEZ352" s="1"/>
      <c r="XFA352" s="1"/>
      <c r="XFB352" s="1"/>
      <c r="XFC352" s="1"/>
      <c r="XFD352" s="1"/>
    </row>
    <row r="353" spans="1:151 16227:16384" s="11" customFormat="1" ht="20.25" customHeight="1" x14ac:dyDescent="0.25">
      <c r="A353" s="99"/>
      <c r="B353" s="100"/>
      <c r="C353" s="88">
        <v>3</v>
      </c>
      <c r="D353" s="89"/>
      <c r="E353" s="55" t="s">
        <v>228</v>
      </c>
      <c r="F353" s="88">
        <f>46.77*10.764</f>
        <v>503.43227999999999</v>
      </c>
      <c r="G353" s="89"/>
      <c r="H353" s="20">
        <v>0</v>
      </c>
      <c r="I353" s="20">
        <f t="shared" si="80"/>
        <v>780.32003399999996</v>
      </c>
      <c r="J353" s="1"/>
      <c r="K353" s="1"/>
      <c r="L353" s="1"/>
      <c r="M353" s="1"/>
      <c r="N353" s="1"/>
      <c r="O353" s="1"/>
      <c r="P353" s="1"/>
      <c r="Q353" s="1"/>
      <c r="R353" s="1"/>
      <c r="S353" s="1"/>
      <c r="T353" s="1"/>
      <c r="U353" s="43" t="str">
        <f t="shared" ca="1" si="81"/>
        <v>703,..,2203</v>
      </c>
      <c r="V353" s="43">
        <f t="shared" ref="V353:W353" ca="1" si="82">V352+1</f>
        <v>703</v>
      </c>
      <c r="W353" s="43">
        <f t="shared" ca="1" si="82"/>
        <v>2203</v>
      </c>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WZC353" s="1"/>
      <c r="WZD353" s="1"/>
      <c r="WZE353" s="1"/>
      <c r="WZF353" s="1"/>
      <c r="WZG353" s="1"/>
      <c r="WZH353" s="1"/>
      <c r="WZI353" s="1"/>
      <c r="WZJ353" s="1"/>
      <c r="WZK353" s="1"/>
      <c r="WZL353" s="1"/>
      <c r="WZM353" s="1"/>
      <c r="WZN353" s="1"/>
      <c r="WZO353" s="1"/>
      <c r="WZP353" s="1"/>
      <c r="WZQ353" s="1"/>
      <c r="WZR353" s="1"/>
      <c r="WZS353" s="1"/>
      <c r="WZT353" s="1"/>
      <c r="WZU353" s="1"/>
      <c r="WZV353" s="1"/>
      <c r="WZW353" s="1"/>
      <c r="WZX353" s="1"/>
      <c r="WZY353" s="1"/>
      <c r="WZZ353" s="1"/>
      <c r="XAA353" s="1"/>
      <c r="XAB353" s="1"/>
      <c r="XAC353" s="1"/>
      <c r="XAD353" s="1"/>
      <c r="XAE353" s="1"/>
      <c r="XAF353" s="1"/>
      <c r="XAG353" s="1"/>
      <c r="XAH353" s="1"/>
      <c r="XAI353" s="1"/>
      <c r="XAJ353" s="1"/>
      <c r="XAK353" s="1"/>
      <c r="XAL353" s="1"/>
      <c r="XAM353" s="1"/>
      <c r="XAN353" s="1"/>
      <c r="XAO353" s="1"/>
      <c r="XAP353" s="1"/>
      <c r="XAQ353" s="1"/>
      <c r="XAR353" s="1"/>
      <c r="XAS353" s="1"/>
      <c r="XAT353" s="1"/>
      <c r="XAU353" s="1"/>
      <c r="XAV353" s="1"/>
      <c r="XAW353" s="1"/>
      <c r="XAX353" s="1"/>
      <c r="XAY353" s="1"/>
      <c r="XAZ353" s="1"/>
      <c r="XBA353" s="1"/>
      <c r="XBB353" s="1"/>
      <c r="XBC353" s="1"/>
      <c r="XBD353" s="1"/>
      <c r="XBE353" s="1"/>
      <c r="XBF353" s="1"/>
      <c r="XBG353" s="1"/>
      <c r="XBH353" s="1"/>
      <c r="XBI353" s="1"/>
      <c r="XBJ353" s="1"/>
      <c r="XBK353" s="1"/>
      <c r="XBL353" s="1"/>
      <c r="XBM353" s="1"/>
      <c r="XBN353" s="1"/>
      <c r="XBO353" s="1"/>
      <c r="XBP353" s="1"/>
      <c r="XBQ353" s="1"/>
      <c r="XBR353" s="1"/>
      <c r="XBS353" s="1"/>
      <c r="XBT353" s="1"/>
      <c r="XBU353" s="1"/>
      <c r="XBV353" s="1"/>
      <c r="XBW353" s="1"/>
      <c r="XBX353" s="1"/>
      <c r="XBY353" s="1"/>
      <c r="XBZ353" s="1"/>
      <c r="XCA353" s="1"/>
      <c r="XCB353" s="1"/>
      <c r="XCC353" s="1"/>
      <c r="XCD353" s="1"/>
      <c r="XCE353" s="1"/>
      <c r="XCF353" s="1"/>
      <c r="XCG353" s="1"/>
      <c r="XCH353" s="1"/>
      <c r="XCI353" s="1"/>
      <c r="XCJ353" s="1"/>
      <c r="XCK353" s="1"/>
      <c r="XCL353" s="1"/>
      <c r="XCM353" s="1"/>
      <c r="XCN353" s="1"/>
      <c r="XCO353" s="1"/>
      <c r="XCP353" s="1"/>
      <c r="XCQ353" s="1"/>
      <c r="XCR353" s="1"/>
      <c r="XCS353" s="1"/>
      <c r="XCT353" s="1"/>
      <c r="XCU353" s="1"/>
      <c r="XCV353" s="1"/>
      <c r="XCW353" s="1"/>
      <c r="XCX353" s="1"/>
      <c r="XCY353" s="1"/>
      <c r="XCZ353" s="1"/>
      <c r="XDA353" s="1"/>
      <c r="XDB353" s="1"/>
      <c r="XDC353" s="1"/>
      <c r="XDD353" s="1"/>
      <c r="XDE353" s="1"/>
      <c r="XDF353" s="1"/>
      <c r="XDG353" s="1"/>
      <c r="XDH353" s="1"/>
      <c r="XDI353" s="1"/>
      <c r="XDJ353" s="1"/>
      <c r="XDK353" s="1"/>
      <c r="XDL353" s="1"/>
      <c r="XDM353" s="1"/>
      <c r="XDN353" s="1"/>
      <c r="XDO353" s="1"/>
      <c r="XDP353" s="1"/>
      <c r="XDQ353" s="1"/>
      <c r="XDR353" s="1"/>
      <c r="XDS353" s="1"/>
      <c r="XDT353" s="1"/>
      <c r="XDU353" s="1"/>
      <c r="XDV353" s="1"/>
      <c r="XDW353" s="1"/>
      <c r="XDX353" s="1"/>
      <c r="XDY353" s="1"/>
      <c r="XDZ353" s="1"/>
      <c r="XEA353" s="1"/>
      <c r="XEB353" s="1"/>
      <c r="XEC353" s="1"/>
      <c r="XED353" s="1"/>
      <c r="XEE353" s="1"/>
      <c r="XEF353" s="1"/>
      <c r="XEG353" s="1"/>
      <c r="XEH353" s="1"/>
      <c r="XEI353" s="1"/>
      <c r="XEJ353" s="1"/>
      <c r="XEK353" s="1"/>
      <c r="XEL353" s="1"/>
      <c r="XEM353" s="1"/>
      <c r="XEN353" s="1"/>
      <c r="XEO353" s="1"/>
      <c r="XEP353" s="1"/>
      <c r="XEQ353" s="1"/>
      <c r="XER353" s="1"/>
      <c r="XES353" s="1"/>
      <c r="XET353" s="1"/>
      <c r="XEU353" s="1"/>
      <c r="XEV353" s="1"/>
      <c r="XEW353" s="1"/>
      <c r="XEX353" s="1"/>
      <c r="XEY353" s="1"/>
      <c r="XEZ353" s="1"/>
      <c r="XFA353" s="1"/>
      <c r="XFB353" s="1"/>
      <c r="XFC353" s="1"/>
      <c r="XFD353" s="1"/>
    </row>
    <row r="354" spans="1:151 16227:16384" s="11" customFormat="1" ht="20.25" customHeight="1" x14ac:dyDescent="0.25">
      <c r="A354" s="99"/>
      <c r="B354" s="100"/>
      <c r="C354" s="88">
        <v>4</v>
      </c>
      <c r="D354" s="89"/>
      <c r="E354" s="55" t="s">
        <v>218</v>
      </c>
      <c r="F354" s="88">
        <f>34.49*10.764</f>
        <v>371.25036</v>
      </c>
      <c r="G354" s="89"/>
      <c r="H354" s="20">
        <v>0</v>
      </c>
      <c r="I354" s="20">
        <f t="shared" si="80"/>
        <v>575.43805800000007</v>
      </c>
      <c r="J354" s="1"/>
      <c r="K354" s="1"/>
      <c r="L354" s="1"/>
      <c r="M354" s="1"/>
      <c r="N354" s="1"/>
      <c r="O354" s="1"/>
      <c r="P354" s="1"/>
      <c r="Q354" s="1"/>
      <c r="R354" s="1"/>
      <c r="S354" s="1"/>
      <c r="T354" s="1"/>
      <c r="U354" s="43" t="str">
        <f t="shared" ca="1" si="81"/>
        <v>704,..,2204</v>
      </c>
      <c r="V354" s="43">
        <f t="shared" ref="V354:W354" ca="1" si="83">V353+1</f>
        <v>704</v>
      </c>
      <c r="W354" s="43">
        <f t="shared" ca="1" si="83"/>
        <v>2204</v>
      </c>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WZC354" s="1"/>
      <c r="WZD354" s="1"/>
      <c r="WZE354" s="1"/>
      <c r="WZF354" s="1"/>
      <c r="WZG354" s="1"/>
      <c r="WZH354" s="1"/>
      <c r="WZI354" s="1"/>
      <c r="WZJ354" s="1"/>
      <c r="WZK354" s="1"/>
      <c r="WZL354" s="1"/>
      <c r="WZM354" s="1"/>
      <c r="WZN354" s="1"/>
      <c r="WZO354" s="1"/>
      <c r="WZP354" s="1"/>
      <c r="WZQ354" s="1"/>
      <c r="WZR354" s="1"/>
      <c r="WZS354" s="1"/>
      <c r="WZT354" s="1"/>
      <c r="WZU354" s="1"/>
      <c r="WZV354" s="1"/>
      <c r="WZW354" s="1"/>
      <c r="WZX354" s="1"/>
      <c r="WZY354" s="1"/>
      <c r="WZZ354" s="1"/>
      <c r="XAA354" s="1"/>
      <c r="XAB354" s="1"/>
      <c r="XAC354" s="1"/>
      <c r="XAD354" s="1"/>
      <c r="XAE354" s="1"/>
      <c r="XAF354" s="1"/>
      <c r="XAG354" s="1"/>
      <c r="XAH354" s="1"/>
      <c r="XAI354" s="1"/>
      <c r="XAJ354" s="1"/>
      <c r="XAK354" s="1"/>
      <c r="XAL354" s="1"/>
      <c r="XAM354" s="1"/>
      <c r="XAN354" s="1"/>
      <c r="XAO354" s="1"/>
      <c r="XAP354" s="1"/>
      <c r="XAQ354" s="1"/>
      <c r="XAR354" s="1"/>
      <c r="XAS354" s="1"/>
      <c r="XAT354" s="1"/>
      <c r="XAU354" s="1"/>
      <c r="XAV354" s="1"/>
      <c r="XAW354" s="1"/>
      <c r="XAX354" s="1"/>
      <c r="XAY354" s="1"/>
      <c r="XAZ354" s="1"/>
      <c r="XBA354" s="1"/>
      <c r="XBB354" s="1"/>
      <c r="XBC354" s="1"/>
      <c r="XBD354" s="1"/>
      <c r="XBE354" s="1"/>
      <c r="XBF354" s="1"/>
      <c r="XBG354" s="1"/>
      <c r="XBH354" s="1"/>
      <c r="XBI354" s="1"/>
      <c r="XBJ354" s="1"/>
      <c r="XBK354" s="1"/>
      <c r="XBL354" s="1"/>
      <c r="XBM354" s="1"/>
      <c r="XBN354" s="1"/>
      <c r="XBO354" s="1"/>
      <c r="XBP354" s="1"/>
      <c r="XBQ354" s="1"/>
      <c r="XBR354" s="1"/>
      <c r="XBS354" s="1"/>
      <c r="XBT354" s="1"/>
      <c r="XBU354" s="1"/>
      <c r="XBV354" s="1"/>
      <c r="XBW354" s="1"/>
      <c r="XBX354" s="1"/>
      <c r="XBY354" s="1"/>
      <c r="XBZ354" s="1"/>
      <c r="XCA354" s="1"/>
      <c r="XCB354" s="1"/>
      <c r="XCC354" s="1"/>
      <c r="XCD354" s="1"/>
      <c r="XCE354" s="1"/>
      <c r="XCF354" s="1"/>
      <c r="XCG354" s="1"/>
      <c r="XCH354" s="1"/>
      <c r="XCI354" s="1"/>
      <c r="XCJ354" s="1"/>
      <c r="XCK354" s="1"/>
      <c r="XCL354" s="1"/>
      <c r="XCM354" s="1"/>
      <c r="XCN354" s="1"/>
      <c r="XCO354" s="1"/>
      <c r="XCP354" s="1"/>
      <c r="XCQ354" s="1"/>
      <c r="XCR354" s="1"/>
      <c r="XCS354" s="1"/>
      <c r="XCT354" s="1"/>
      <c r="XCU354" s="1"/>
      <c r="XCV354" s="1"/>
      <c r="XCW354" s="1"/>
      <c r="XCX354" s="1"/>
      <c r="XCY354" s="1"/>
      <c r="XCZ354" s="1"/>
      <c r="XDA354" s="1"/>
      <c r="XDB354" s="1"/>
      <c r="XDC354" s="1"/>
      <c r="XDD354" s="1"/>
      <c r="XDE354" s="1"/>
      <c r="XDF354" s="1"/>
      <c r="XDG354" s="1"/>
      <c r="XDH354" s="1"/>
      <c r="XDI354" s="1"/>
      <c r="XDJ354" s="1"/>
      <c r="XDK354" s="1"/>
      <c r="XDL354" s="1"/>
      <c r="XDM354" s="1"/>
      <c r="XDN354" s="1"/>
      <c r="XDO354" s="1"/>
      <c r="XDP354" s="1"/>
      <c r="XDQ354" s="1"/>
      <c r="XDR354" s="1"/>
      <c r="XDS354" s="1"/>
      <c r="XDT354" s="1"/>
      <c r="XDU354" s="1"/>
      <c r="XDV354" s="1"/>
      <c r="XDW354" s="1"/>
      <c r="XDX354" s="1"/>
      <c r="XDY354" s="1"/>
      <c r="XDZ354" s="1"/>
      <c r="XEA354" s="1"/>
      <c r="XEB354" s="1"/>
      <c r="XEC354" s="1"/>
      <c r="XED354" s="1"/>
      <c r="XEE354" s="1"/>
      <c r="XEF354" s="1"/>
      <c r="XEG354" s="1"/>
      <c r="XEH354" s="1"/>
      <c r="XEI354" s="1"/>
      <c r="XEJ354" s="1"/>
      <c r="XEK354" s="1"/>
      <c r="XEL354" s="1"/>
      <c r="XEM354" s="1"/>
      <c r="XEN354" s="1"/>
      <c r="XEO354" s="1"/>
      <c r="XEP354" s="1"/>
      <c r="XEQ354" s="1"/>
      <c r="XER354" s="1"/>
      <c r="XES354" s="1"/>
      <c r="XET354" s="1"/>
      <c r="XEU354" s="1"/>
      <c r="XEV354" s="1"/>
      <c r="XEW354" s="1"/>
      <c r="XEX354" s="1"/>
      <c r="XEY354" s="1"/>
      <c r="XEZ354" s="1"/>
      <c r="XFA354" s="1"/>
      <c r="XFB354" s="1"/>
      <c r="XFC354" s="1"/>
      <c r="XFD354" s="1"/>
    </row>
    <row r="355" spans="1:151 16227:16384" s="11" customFormat="1" ht="20.25" customHeight="1" x14ac:dyDescent="0.25">
      <c r="A355" s="99"/>
      <c r="B355" s="100"/>
      <c r="C355" s="88">
        <v>5</v>
      </c>
      <c r="D355" s="89"/>
      <c r="E355" s="55" t="s">
        <v>228</v>
      </c>
      <c r="F355" s="88">
        <f>61.24*10.764</f>
        <v>659.18736000000001</v>
      </c>
      <c r="G355" s="89"/>
      <c r="H355" s="20">
        <v>0</v>
      </c>
      <c r="I355" s="20">
        <f t="shared" si="80"/>
        <v>1021.740408</v>
      </c>
      <c r="J355" s="1"/>
      <c r="K355" s="1"/>
      <c r="L355" s="1"/>
      <c r="M355" s="1"/>
      <c r="N355" s="1"/>
      <c r="O355" s="1"/>
      <c r="P355" s="1"/>
      <c r="Q355" s="1"/>
      <c r="R355" s="1"/>
      <c r="S355" s="1"/>
      <c r="T355" s="1"/>
      <c r="U355" s="43" t="str">
        <f t="shared" ca="1" si="81"/>
        <v>705,..,2205</v>
      </c>
      <c r="V355" s="43">
        <f t="shared" ref="V355:W355" ca="1" si="84">V354+1</f>
        <v>705</v>
      </c>
      <c r="W355" s="43">
        <f t="shared" ca="1" si="84"/>
        <v>2205</v>
      </c>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1"/>
      <c r="XEU355" s="1"/>
      <c r="XEV355" s="1"/>
      <c r="XEW355" s="1"/>
      <c r="XEX355" s="1"/>
      <c r="XEY355" s="1"/>
      <c r="XEZ355" s="1"/>
      <c r="XFA355" s="1"/>
      <c r="XFB355" s="1"/>
      <c r="XFC355" s="1"/>
      <c r="XFD355" s="1"/>
    </row>
    <row r="356" spans="1:151 16227:16384" s="11" customFormat="1" ht="20.25" customHeight="1" x14ac:dyDescent="0.25">
      <c r="A356" s="99"/>
      <c r="B356" s="100"/>
      <c r="C356" s="88">
        <v>6</v>
      </c>
      <c r="D356" s="89"/>
      <c r="E356" s="55" t="s">
        <v>218</v>
      </c>
      <c r="F356" s="88">
        <f>34.49*10.764</f>
        <v>371.25036</v>
      </c>
      <c r="G356" s="89"/>
      <c r="H356" s="20">
        <v>0</v>
      </c>
      <c r="I356" s="20">
        <f t="shared" si="80"/>
        <v>575.43805800000007</v>
      </c>
      <c r="J356" s="1"/>
      <c r="K356" s="1"/>
      <c r="L356" s="1"/>
      <c r="M356" s="1"/>
      <c r="N356" s="1"/>
      <c r="O356" s="1"/>
      <c r="P356" s="1"/>
      <c r="Q356" s="1"/>
      <c r="R356" s="1"/>
      <c r="S356" s="1"/>
      <c r="T356" s="1"/>
      <c r="U356" s="43" t="str">
        <f t="shared" ca="1" si="81"/>
        <v>706,..,2206</v>
      </c>
      <c r="V356" s="43">
        <f t="shared" ref="V356:W356" ca="1" si="85">V355+1</f>
        <v>706</v>
      </c>
      <c r="W356" s="43">
        <f t="shared" ca="1" si="85"/>
        <v>2206</v>
      </c>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WZC356" s="1"/>
      <c r="WZD356" s="1"/>
      <c r="WZE356" s="1"/>
      <c r="WZF356" s="1"/>
      <c r="WZG356" s="1"/>
      <c r="WZH356" s="1"/>
      <c r="WZI356" s="1"/>
      <c r="WZJ356" s="1"/>
      <c r="WZK356" s="1"/>
      <c r="WZL356" s="1"/>
      <c r="WZM356" s="1"/>
      <c r="WZN356" s="1"/>
      <c r="WZO356" s="1"/>
      <c r="WZP356" s="1"/>
      <c r="WZQ356" s="1"/>
      <c r="WZR356" s="1"/>
      <c r="WZS356" s="1"/>
      <c r="WZT356" s="1"/>
      <c r="WZU356" s="1"/>
      <c r="WZV356" s="1"/>
      <c r="WZW356" s="1"/>
      <c r="WZX356" s="1"/>
      <c r="WZY356" s="1"/>
      <c r="WZZ356" s="1"/>
      <c r="XAA356" s="1"/>
      <c r="XAB356" s="1"/>
      <c r="XAC356" s="1"/>
      <c r="XAD356" s="1"/>
      <c r="XAE356" s="1"/>
      <c r="XAF356" s="1"/>
      <c r="XAG356" s="1"/>
      <c r="XAH356" s="1"/>
      <c r="XAI356" s="1"/>
      <c r="XAJ356" s="1"/>
      <c r="XAK356" s="1"/>
      <c r="XAL356" s="1"/>
      <c r="XAM356" s="1"/>
      <c r="XAN356" s="1"/>
      <c r="XAO356" s="1"/>
      <c r="XAP356" s="1"/>
      <c r="XAQ356" s="1"/>
      <c r="XAR356" s="1"/>
      <c r="XAS356" s="1"/>
      <c r="XAT356" s="1"/>
      <c r="XAU356" s="1"/>
      <c r="XAV356" s="1"/>
      <c r="XAW356" s="1"/>
      <c r="XAX356" s="1"/>
      <c r="XAY356" s="1"/>
      <c r="XAZ356" s="1"/>
      <c r="XBA356" s="1"/>
      <c r="XBB356" s="1"/>
      <c r="XBC356" s="1"/>
      <c r="XBD356" s="1"/>
      <c r="XBE356" s="1"/>
      <c r="XBF356" s="1"/>
      <c r="XBG356" s="1"/>
      <c r="XBH356" s="1"/>
      <c r="XBI356" s="1"/>
      <c r="XBJ356" s="1"/>
      <c r="XBK356" s="1"/>
      <c r="XBL356" s="1"/>
      <c r="XBM356" s="1"/>
      <c r="XBN356" s="1"/>
      <c r="XBO356" s="1"/>
      <c r="XBP356" s="1"/>
      <c r="XBQ356" s="1"/>
      <c r="XBR356" s="1"/>
      <c r="XBS356" s="1"/>
      <c r="XBT356" s="1"/>
      <c r="XBU356" s="1"/>
      <c r="XBV356" s="1"/>
      <c r="XBW356" s="1"/>
      <c r="XBX356" s="1"/>
      <c r="XBY356" s="1"/>
      <c r="XBZ356" s="1"/>
      <c r="XCA356" s="1"/>
      <c r="XCB356" s="1"/>
      <c r="XCC356" s="1"/>
      <c r="XCD356" s="1"/>
      <c r="XCE356" s="1"/>
      <c r="XCF356" s="1"/>
      <c r="XCG356" s="1"/>
      <c r="XCH356" s="1"/>
      <c r="XCI356" s="1"/>
      <c r="XCJ356" s="1"/>
      <c r="XCK356" s="1"/>
      <c r="XCL356" s="1"/>
      <c r="XCM356" s="1"/>
      <c r="XCN356" s="1"/>
      <c r="XCO356" s="1"/>
      <c r="XCP356" s="1"/>
      <c r="XCQ356" s="1"/>
      <c r="XCR356" s="1"/>
      <c r="XCS356" s="1"/>
      <c r="XCT356" s="1"/>
      <c r="XCU356" s="1"/>
      <c r="XCV356" s="1"/>
      <c r="XCW356" s="1"/>
      <c r="XCX356" s="1"/>
      <c r="XCY356" s="1"/>
      <c r="XCZ356" s="1"/>
      <c r="XDA356" s="1"/>
      <c r="XDB356" s="1"/>
      <c r="XDC356" s="1"/>
      <c r="XDD356" s="1"/>
      <c r="XDE356" s="1"/>
      <c r="XDF356" s="1"/>
      <c r="XDG356" s="1"/>
      <c r="XDH356" s="1"/>
      <c r="XDI356" s="1"/>
      <c r="XDJ356" s="1"/>
      <c r="XDK356" s="1"/>
      <c r="XDL356" s="1"/>
      <c r="XDM356" s="1"/>
      <c r="XDN356" s="1"/>
      <c r="XDO356" s="1"/>
      <c r="XDP356" s="1"/>
      <c r="XDQ356" s="1"/>
      <c r="XDR356" s="1"/>
      <c r="XDS356" s="1"/>
      <c r="XDT356" s="1"/>
      <c r="XDU356" s="1"/>
      <c r="XDV356" s="1"/>
      <c r="XDW356" s="1"/>
      <c r="XDX356" s="1"/>
      <c r="XDY356" s="1"/>
      <c r="XDZ356" s="1"/>
      <c r="XEA356" s="1"/>
      <c r="XEB356" s="1"/>
      <c r="XEC356" s="1"/>
      <c r="XED356" s="1"/>
      <c r="XEE356" s="1"/>
      <c r="XEF356" s="1"/>
      <c r="XEG356" s="1"/>
      <c r="XEH356" s="1"/>
      <c r="XEI356" s="1"/>
      <c r="XEJ356" s="1"/>
      <c r="XEK356" s="1"/>
      <c r="XEL356" s="1"/>
      <c r="XEM356" s="1"/>
      <c r="XEN356" s="1"/>
      <c r="XEO356" s="1"/>
      <c r="XEP356" s="1"/>
      <c r="XEQ356" s="1"/>
      <c r="XER356" s="1"/>
      <c r="XES356" s="1"/>
      <c r="XET356" s="1"/>
      <c r="XEU356" s="1"/>
      <c r="XEV356" s="1"/>
      <c r="XEW356" s="1"/>
      <c r="XEX356" s="1"/>
      <c r="XEY356" s="1"/>
      <c r="XEZ356" s="1"/>
      <c r="XFA356" s="1"/>
      <c r="XFB356" s="1"/>
      <c r="XFC356" s="1"/>
      <c r="XFD356" s="1"/>
    </row>
    <row r="357" spans="1:151 16227:16384" s="11" customFormat="1" ht="20.25" customHeight="1" x14ac:dyDescent="0.25">
      <c r="A357" s="99"/>
      <c r="B357" s="100"/>
      <c r="C357" s="88">
        <v>7</v>
      </c>
      <c r="D357" s="89"/>
      <c r="E357" s="55" t="s">
        <v>228</v>
      </c>
      <c r="F357" s="88">
        <f>46.77*10.764</f>
        <v>503.43227999999999</v>
      </c>
      <c r="G357" s="89"/>
      <c r="H357" s="20">
        <v>0</v>
      </c>
      <c r="I357" s="20">
        <f t="shared" si="80"/>
        <v>780.32003399999996</v>
      </c>
      <c r="J357" s="1"/>
      <c r="K357" s="1"/>
      <c r="L357" s="1"/>
      <c r="M357" s="1"/>
      <c r="N357" s="1"/>
      <c r="O357" s="1"/>
      <c r="P357" s="1"/>
      <c r="Q357" s="1"/>
      <c r="R357" s="1"/>
      <c r="S357" s="1"/>
      <c r="T357" s="1"/>
      <c r="U357" s="43" t="str">
        <f t="shared" ca="1" si="81"/>
        <v>707,..,2207</v>
      </c>
      <c r="V357" s="43">
        <f t="shared" ref="V357:W357" ca="1" si="86">V356+1</f>
        <v>707</v>
      </c>
      <c r="W357" s="43">
        <f t="shared" ca="1" si="86"/>
        <v>2207</v>
      </c>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WZC357" s="1"/>
      <c r="WZD357" s="1"/>
      <c r="WZE357" s="1"/>
      <c r="WZF357" s="1"/>
      <c r="WZG357" s="1"/>
      <c r="WZH357" s="1"/>
      <c r="WZI357" s="1"/>
      <c r="WZJ357" s="1"/>
      <c r="WZK357" s="1"/>
      <c r="WZL357" s="1"/>
      <c r="WZM357" s="1"/>
      <c r="WZN357" s="1"/>
      <c r="WZO357" s="1"/>
      <c r="WZP357" s="1"/>
      <c r="WZQ357" s="1"/>
      <c r="WZR357" s="1"/>
      <c r="WZS357" s="1"/>
      <c r="WZT357" s="1"/>
      <c r="WZU357" s="1"/>
      <c r="WZV357" s="1"/>
      <c r="WZW357" s="1"/>
      <c r="WZX357" s="1"/>
      <c r="WZY357" s="1"/>
      <c r="WZZ357" s="1"/>
      <c r="XAA357" s="1"/>
      <c r="XAB357" s="1"/>
      <c r="XAC357" s="1"/>
      <c r="XAD357" s="1"/>
      <c r="XAE357" s="1"/>
      <c r="XAF357" s="1"/>
      <c r="XAG357" s="1"/>
      <c r="XAH357" s="1"/>
      <c r="XAI357" s="1"/>
      <c r="XAJ357" s="1"/>
      <c r="XAK357" s="1"/>
      <c r="XAL357" s="1"/>
      <c r="XAM357" s="1"/>
      <c r="XAN357" s="1"/>
      <c r="XAO357" s="1"/>
      <c r="XAP357" s="1"/>
      <c r="XAQ357" s="1"/>
      <c r="XAR357" s="1"/>
      <c r="XAS357" s="1"/>
      <c r="XAT357" s="1"/>
      <c r="XAU357" s="1"/>
      <c r="XAV357" s="1"/>
      <c r="XAW357" s="1"/>
      <c r="XAX357" s="1"/>
      <c r="XAY357" s="1"/>
      <c r="XAZ357" s="1"/>
      <c r="XBA357" s="1"/>
      <c r="XBB357" s="1"/>
      <c r="XBC357" s="1"/>
      <c r="XBD357" s="1"/>
      <c r="XBE357" s="1"/>
      <c r="XBF357" s="1"/>
      <c r="XBG357" s="1"/>
      <c r="XBH357" s="1"/>
      <c r="XBI357" s="1"/>
      <c r="XBJ357" s="1"/>
      <c r="XBK357" s="1"/>
      <c r="XBL357" s="1"/>
      <c r="XBM357" s="1"/>
      <c r="XBN357" s="1"/>
      <c r="XBO357" s="1"/>
      <c r="XBP357" s="1"/>
      <c r="XBQ357" s="1"/>
      <c r="XBR357" s="1"/>
      <c r="XBS357" s="1"/>
      <c r="XBT357" s="1"/>
      <c r="XBU357" s="1"/>
      <c r="XBV357" s="1"/>
      <c r="XBW357" s="1"/>
      <c r="XBX357" s="1"/>
      <c r="XBY357" s="1"/>
      <c r="XBZ357" s="1"/>
      <c r="XCA357" s="1"/>
      <c r="XCB357" s="1"/>
      <c r="XCC357" s="1"/>
      <c r="XCD357" s="1"/>
      <c r="XCE357" s="1"/>
      <c r="XCF357" s="1"/>
      <c r="XCG357" s="1"/>
      <c r="XCH357" s="1"/>
      <c r="XCI357" s="1"/>
      <c r="XCJ357" s="1"/>
      <c r="XCK357" s="1"/>
      <c r="XCL357" s="1"/>
      <c r="XCM357" s="1"/>
      <c r="XCN357" s="1"/>
      <c r="XCO357" s="1"/>
      <c r="XCP357" s="1"/>
      <c r="XCQ357" s="1"/>
      <c r="XCR357" s="1"/>
      <c r="XCS357" s="1"/>
      <c r="XCT357" s="1"/>
      <c r="XCU357" s="1"/>
      <c r="XCV357" s="1"/>
      <c r="XCW357" s="1"/>
      <c r="XCX357" s="1"/>
      <c r="XCY357" s="1"/>
      <c r="XCZ357" s="1"/>
      <c r="XDA357" s="1"/>
      <c r="XDB357" s="1"/>
      <c r="XDC357" s="1"/>
      <c r="XDD357" s="1"/>
      <c r="XDE357" s="1"/>
      <c r="XDF357" s="1"/>
      <c r="XDG357" s="1"/>
      <c r="XDH357" s="1"/>
      <c r="XDI357" s="1"/>
      <c r="XDJ357" s="1"/>
      <c r="XDK357" s="1"/>
      <c r="XDL357" s="1"/>
      <c r="XDM357" s="1"/>
      <c r="XDN357" s="1"/>
      <c r="XDO357" s="1"/>
      <c r="XDP357" s="1"/>
      <c r="XDQ357" s="1"/>
      <c r="XDR357" s="1"/>
      <c r="XDS357" s="1"/>
      <c r="XDT357" s="1"/>
      <c r="XDU357" s="1"/>
      <c r="XDV357" s="1"/>
      <c r="XDW357" s="1"/>
      <c r="XDX357" s="1"/>
      <c r="XDY357" s="1"/>
      <c r="XDZ357" s="1"/>
      <c r="XEA357" s="1"/>
      <c r="XEB357" s="1"/>
      <c r="XEC357" s="1"/>
      <c r="XED357" s="1"/>
      <c r="XEE357" s="1"/>
      <c r="XEF357" s="1"/>
      <c r="XEG357" s="1"/>
      <c r="XEH357" s="1"/>
      <c r="XEI357" s="1"/>
      <c r="XEJ357" s="1"/>
      <c r="XEK357" s="1"/>
      <c r="XEL357" s="1"/>
      <c r="XEM357" s="1"/>
      <c r="XEN357" s="1"/>
      <c r="XEO357" s="1"/>
      <c r="XEP357" s="1"/>
      <c r="XEQ357" s="1"/>
      <c r="XER357" s="1"/>
      <c r="XES357" s="1"/>
      <c r="XET357" s="1"/>
      <c r="XEU357" s="1"/>
      <c r="XEV357" s="1"/>
      <c r="XEW357" s="1"/>
      <c r="XEX357" s="1"/>
      <c r="XEY357" s="1"/>
      <c r="XEZ357" s="1"/>
      <c r="XFA357" s="1"/>
      <c r="XFB357" s="1"/>
      <c r="XFC357" s="1"/>
      <c r="XFD357" s="1"/>
    </row>
    <row r="358" spans="1:151 16227:16384" s="11" customFormat="1" ht="20.25" customHeight="1" x14ac:dyDescent="0.25">
      <c r="A358" s="99"/>
      <c r="B358" s="100"/>
      <c r="C358" s="88">
        <v>8</v>
      </c>
      <c r="D358" s="89"/>
      <c r="E358" s="55" t="s">
        <v>228</v>
      </c>
      <c r="F358" s="88">
        <f>46.77*10.764</f>
        <v>503.43227999999999</v>
      </c>
      <c r="G358" s="89"/>
      <c r="H358" s="20">
        <v>0</v>
      </c>
      <c r="I358" s="20">
        <f t="shared" si="80"/>
        <v>780.32003399999996</v>
      </c>
      <c r="J358" s="1"/>
      <c r="K358" s="1"/>
      <c r="L358" s="1"/>
      <c r="M358" s="1"/>
      <c r="N358" s="1"/>
      <c r="O358" s="1"/>
      <c r="P358" s="1"/>
      <c r="Q358" s="1"/>
      <c r="R358" s="1"/>
      <c r="S358" s="1"/>
      <c r="T358" s="1"/>
      <c r="U358" s="43" t="str">
        <f t="shared" ca="1" si="81"/>
        <v>708,..,2208</v>
      </c>
      <c r="V358" s="43">
        <f t="shared" ref="V358:W358" ca="1" si="87">V357+1</f>
        <v>708</v>
      </c>
      <c r="W358" s="43">
        <f t="shared" ca="1" si="87"/>
        <v>2208</v>
      </c>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WZC358" s="1"/>
      <c r="WZD358" s="1"/>
      <c r="WZE358" s="1"/>
      <c r="WZF358" s="1"/>
      <c r="WZG358" s="1"/>
      <c r="WZH358" s="1"/>
      <c r="WZI358" s="1"/>
      <c r="WZJ358" s="1"/>
      <c r="WZK358" s="1"/>
      <c r="WZL358" s="1"/>
      <c r="WZM358" s="1"/>
      <c r="WZN358" s="1"/>
      <c r="WZO358" s="1"/>
      <c r="WZP358" s="1"/>
      <c r="WZQ358" s="1"/>
      <c r="WZR358" s="1"/>
      <c r="WZS358" s="1"/>
      <c r="WZT358" s="1"/>
      <c r="WZU358" s="1"/>
      <c r="WZV358" s="1"/>
      <c r="WZW358" s="1"/>
      <c r="WZX358" s="1"/>
      <c r="WZY358" s="1"/>
      <c r="WZZ358" s="1"/>
      <c r="XAA358" s="1"/>
      <c r="XAB358" s="1"/>
      <c r="XAC358" s="1"/>
      <c r="XAD358" s="1"/>
      <c r="XAE358" s="1"/>
      <c r="XAF358" s="1"/>
      <c r="XAG358" s="1"/>
      <c r="XAH358" s="1"/>
      <c r="XAI358" s="1"/>
      <c r="XAJ358" s="1"/>
      <c r="XAK358" s="1"/>
      <c r="XAL358" s="1"/>
      <c r="XAM358" s="1"/>
      <c r="XAN358" s="1"/>
      <c r="XAO358" s="1"/>
      <c r="XAP358" s="1"/>
      <c r="XAQ358" s="1"/>
      <c r="XAR358" s="1"/>
      <c r="XAS358" s="1"/>
      <c r="XAT358" s="1"/>
      <c r="XAU358" s="1"/>
      <c r="XAV358" s="1"/>
      <c r="XAW358" s="1"/>
      <c r="XAX358" s="1"/>
      <c r="XAY358" s="1"/>
      <c r="XAZ358" s="1"/>
      <c r="XBA358" s="1"/>
      <c r="XBB358" s="1"/>
      <c r="XBC358" s="1"/>
      <c r="XBD358" s="1"/>
      <c r="XBE358" s="1"/>
      <c r="XBF358" s="1"/>
      <c r="XBG358" s="1"/>
      <c r="XBH358" s="1"/>
      <c r="XBI358" s="1"/>
      <c r="XBJ358" s="1"/>
      <c r="XBK358" s="1"/>
      <c r="XBL358" s="1"/>
      <c r="XBM358" s="1"/>
      <c r="XBN358" s="1"/>
      <c r="XBO358" s="1"/>
      <c r="XBP358" s="1"/>
      <c r="XBQ358" s="1"/>
      <c r="XBR358" s="1"/>
      <c r="XBS358" s="1"/>
      <c r="XBT358" s="1"/>
      <c r="XBU358" s="1"/>
      <c r="XBV358" s="1"/>
      <c r="XBW358" s="1"/>
      <c r="XBX358" s="1"/>
      <c r="XBY358" s="1"/>
      <c r="XBZ358" s="1"/>
      <c r="XCA358" s="1"/>
      <c r="XCB358" s="1"/>
      <c r="XCC358" s="1"/>
      <c r="XCD358" s="1"/>
      <c r="XCE358" s="1"/>
      <c r="XCF358" s="1"/>
      <c r="XCG358" s="1"/>
      <c r="XCH358" s="1"/>
      <c r="XCI358" s="1"/>
      <c r="XCJ358" s="1"/>
      <c r="XCK358" s="1"/>
      <c r="XCL358" s="1"/>
      <c r="XCM358" s="1"/>
      <c r="XCN358" s="1"/>
      <c r="XCO358" s="1"/>
      <c r="XCP358" s="1"/>
      <c r="XCQ358" s="1"/>
      <c r="XCR358" s="1"/>
      <c r="XCS358" s="1"/>
      <c r="XCT358" s="1"/>
      <c r="XCU358" s="1"/>
      <c r="XCV358" s="1"/>
      <c r="XCW358" s="1"/>
      <c r="XCX358" s="1"/>
      <c r="XCY358" s="1"/>
      <c r="XCZ358" s="1"/>
      <c r="XDA358" s="1"/>
      <c r="XDB358" s="1"/>
      <c r="XDC358" s="1"/>
      <c r="XDD358" s="1"/>
      <c r="XDE358" s="1"/>
      <c r="XDF358" s="1"/>
      <c r="XDG358" s="1"/>
      <c r="XDH358" s="1"/>
      <c r="XDI358" s="1"/>
      <c r="XDJ358" s="1"/>
      <c r="XDK358" s="1"/>
      <c r="XDL358" s="1"/>
      <c r="XDM358" s="1"/>
      <c r="XDN358" s="1"/>
      <c r="XDO358" s="1"/>
      <c r="XDP358" s="1"/>
      <c r="XDQ358" s="1"/>
      <c r="XDR358" s="1"/>
      <c r="XDS358" s="1"/>
      <c r="XDT358" s="1"/>
      <c r="XDU358" s="1"/>
      <c r="XDV358" s="1"/>
      <c r="XDW358" s="1"/>
      <c r="XDX358" s="1"/>
      <c r="XDY358" s="1"/>
      <c r="XDZ358" s="1"/>
      <c r="XEA358" s="1"/>
      <c r="XEB358" s="1"/>
      <c r="XEC358" s="1"/>
      <c r="XED358" s="1"/>
      <c r="XEE358" s="1"/>
      <c r="XEF358" s="1"/>
      <c r="XEG358" s="1"/>
      <c r="XEH358" s="1"/>
      <c r="XEI358" s="1"/>
      <c r="XEJ358" s="1"/>
      <c r="XEK358" s="1"/>
      <c r="XEL358" s="1"/>
      <c r="XEM358" s="1"/>
      <c r="XEN358" s="1"/>
      <c r="XEO358" s="1"/>
      <c r="XEP358" s="1"/>
      <c r="XEQ358" s="1"/>
      <c r="XER358" s="1"/>
      <c r="XES358" s="1"/>
      <c r="XET358" s="1"/>
      <c r="XEU358" s="1"/>
      <c r="XEV358" s="1"/>
      <c r="XEW358" s="1"/>
      <c r="XEX358" s="1"/>
      <c r="XEY358" s="1"/>
      <c r="XEZ358" s="1"/>
      <c r="XFA358" s="1"/>
      <c r="XFB358" s="1"/>
      <c r="XFC358" s="1"/>
      <c r="XFD358" s="1"/>
    </row>
    <row r="359" spans="1:151 16227:16384" s="11" customFormat="1" ht="20.25" customHeight="1" x14ac:dyDescent="0.25">
      <c r="A359" s="99"/>
      <c r="B359" s="100"/>
      <c r="C359" s="88">
        <v>9</v>
      </c>
      <c r="D359" s="89"/>
      <c r="E359" s="88" t="s">
        <v>221</v>
      </c>
      <c r="F359" s="104"/>
      <c r="G359" s="104"/>
      <c r="H359" s="104"/>
      <c r="I359" s="89"/>
      <c r="J359" s="1"/>
      <c r="K359" s="1"/>
      <c r="L359" s="1"/>
      <c r="M359" s="1"/>
      <c r="N359" s="1"/>
      <c r="O359" s="1"/>
      <c r="P359" s="1"/>
      <c r="Q359" s="1"/>
      <c r="R359" s="1"/>
      <c r="S359" s="1"/>
      <c r="T359" s="1"/>
      <c r="U359" s="43" t="str">
        <f t="shared" ca="1" si="81"/>
        <v>709,..,2209</v>
      </c>
      <c r="V359" s="43">
        <f t="shared" ref="V359:W359" ca="1" si="88">V358+1</f>
        <v>709</v>
      </c>
      <c r="W359" s="43">
        <f t="shared" ca="1" si="88"/>
        <v>2209</v>
      </c>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WZC359" s="1"/>
      <c r="WZD359" s="1"/>
      <c r="WZE359" s="1"/>
      <c r="WZF359" s="1"/>
      <c r="WZG359" s="1"/>
      <c r="WZH359" s="1"/>
      <c r="WZI359" s="1"/>
      <c r="WZJ359" s="1"/>
      <c r="WZK359" s="1"/>
      <c r="WZL359" s="1"/>
      <c r="WZM359" s="1"/>
      <c r="WZN359" s="1"/>
      <c r="WZO359" s="1"/>
      <c r="WZP359" s="1"/>
      <c r="WZQ359" s="1"/>
      <c r="WZR359" s="1"/>
      <c r="WZS359" s="1"/>
      <c r="WZT359" s="1"/>
      <c r="WZU359" s="1"/>
      <c r="WZV359" s="1"/>
      <c r="WZW359" s="1"/>
      <c r="WZX359" s="1"/>
      <c r="WZY359" s="1"/>
      <c r="WZZ359" s="1"/>
      <c r="XAA359" s="1"/>
      <c r="XAB359" s="1"/>
      <c r="XAC359" s="1"/>
      <c r="XAD359" s="1"/>
      <c r="XAE359" s="1"/>
      <c r="XAF359" s="1"/>
      <c r="XAG359" s="1"/>
      <c r="XAH359" s="1"/>
      <c r="XAI359" s="1"/>
      <c r="XAJ359" s="1"/>
      <c r="XAK359" s="1"/>
      <c r="XAL359" s="1"/>
      <c r="XAM359" s="1"/>
      <c r="XAN359" s="1"/>
      <c r="XAO359" s="1"/>
      <c r="XAP359" s="1"/>
      <c r="XAQ359" s="1"/>
      <c r="XAR359" s="1"/>
      <c r="XAS359" s="1"/>
      <c r="XAT359" s="1"/>
      <c r="XAU359" s="1"/>
      <c r="XAV359" s="1"/>
      <c r="XAW359" s="1"/>
      <c r="XAX359" s="1"/>
      <c r="XAY359" s="1"/>
      <c r="XAZ359" s="1"/>
      <c r="XBA359" s="1"/>
      <c r="XBB359" s="1"/>
      <c r="XBC359" s="1"/>
      <c r="XBD359" s="1"/>
      <c r="XBE359" s="1"/>
      <c r="XBF359" s="1"/>
      <c r="XBG359" s="1"/>
      <c r="XBH359" s="1"/>
      <c r="XBI359" s="1"/>
      <c r="XBJ359" s="1"/>
      <c r="XBK359" s="1"/>
      <c r="XBL359" s="1"/>
      <c r="XBM359" s="1"/>
      <c r="XBN359" s="1"/>
      <c r="XBO359" s="1"/>
      <c r="XBP359" s="1"/>
      <c r="XBQ359" s="1"/>
      <c r="XBR359" s="1"/>
      <c r="XBS359" s="1"/>
      <c r="XBT359" s="1"/>
      <c r="XBU359" s="1"/>
      <c r="XBV359" s="1"/>
      <c r="XBW359" s="1"/>
      <c r="XBX359" s="1"/>
      <c r="XBY359" s="1"/>
      <c r="XBZ359" s="1"/>
      <c r="XCA359" s="1"/>
      <c r="XCB359" s="1"/>
      <c r="XCC359" s="1"/>
      <c r="XCD359" s="1"/>
      <c r="XCE359" s="1"/>
      <c r="XCF359" s="1"/>
      <c r="XCG359" s="1"/>
      <c r="XCH359" s="1"/>
      <c r="XCI359" s="1"/>
      <c r="XCJ359" s="1"/>
      <c r="XCK359" s="1"/>
      <c r="XCL359" s="1"/>
      <c r="XCM359" s="1"/>
      <c r="XCN359" s="1"/>
      <c r="XCO359" s="1"/>
      <c r="XCP359" s="1"/>
      <c r="XCQ359" s="1"/>
      <c r="XCR359" s="1"/>
      <c r="XCS359" s="1"/>
      <c r="XCT359" s="1"/>
      <c r="XCU359" s="1"/>
      <c r="XCV359" s="1"/>
      <c r="XCW359" s="1"/>
      <c r="XCX359" s="1"/>
      <c r="XCY359" s="1"/>
      <c r="XCZ359" s="1"/>
      <c r="XDA359" s="1"/>
      <c r="XDB359" s="1"/>
      <c r="XDC359" s="1"/>
      <c r="XDD359" s="1"/>
      <c r="XDE359" s="1"/>
      <c r="XDF359" s="1"/>
      <c r="XDG359" s="1"/>
      <c r="XDH359" s="1"/>
      <c r="XDI359" s="1"/>
      <c r="XDJ359" s="1"/>
      <c r="XDK359" s="1"/>
      <c r="XDL359" s="1"/>
      <c r="XDM359" s="1"/>
      <c r="XDN359" s="1"/>
      <c r="XDO359" s="1"/>
      <c r="XDP359" s="1"/>
      <c r="XDQ359" s="1"/>
      <c r="XDR359" s="1"/>
      <c r="XDS359" s="1"/>
      <c r="XDT359" s="1"/>
      <c r="XDU359" s="1"/>
      <c r="XDV359" s="1"/>
      <c r="XDW359" s="1"/>
      <c r="XDX359" s="1"/>
      <c r="XDY359" s="1"/>
      <c r="XDZ359" s="1"/>
      <c r="XEA359" s="1"/>
      <c r="XEB359" s="1"/>
      <c r="XEC359" s="1"/>
      <c r="XED359" s="1"/>
      <c r="XEE359" s="1"/>
      <c r="XEF359" s="1"/>
      <c r="XEG359" s="1"/>
      <c r="XEH359" s="1"/>
      <c r="XEI359" s="1"/>
      <c r="XEJ359" s="1"/>
      <c r="XEK359" s="1"/>
      <c r="XEL359" s="1"/>
      <c r="XEM359" s="1"/>
      <c r="XEN359" s="1"/>
      <c r="XEO359" s="1"/>
      <c r="XEP359" s="1"/>
      <c r="XEQ359" s="1"/>
      <c r="XER359" s="1"/>
      <c r="XES359" s="1"/>
      <c r="XET359" s="1"/>
      <c r="XEU359" s="1"/>
      <c r="XEV359" s="1"/>
      <c r="XEW359" s="1"/>
      <c r="XEX359" s="1"/>
      <c r="XEY359" s="1"/>
      <c r="XEZ359" s="1"/>
      <c r="XFA359" s="1"/>
      <c r="XFB359" s="1"/>
      <c r="XFC359" s="1"/>
      <c r="XFD359" s="1"/>
    </row>
    <row r="360" spans="1:151 16227:16384" s="11" customFormat="1" ht="20.25" customHeight="1" x14ac:dyDescent="0.25">
      <c r="A360" s="99"/>
      <c r="B360" s="100"/>
      <c r="C360" s="88">
        <v>10</v>
      </c>
      <c r="D360" s="89"/>
      <c r="E360" s="55" t="s">
        <v>218</v>
      </c>
      <c r="F360" s="88">
        <f>41.07*10.764</f>
        <v>442.07747999999998</v>
      </c>
      <c r="G360" s="89"/>
      <c r="H360" s="20">
        <v>0</v>
      </c>
      <c r="I360" s="20">
        <f>F360*(($I$166)+1)+H360</f>
        <v>685.22009400000002</v>
      </c>
      <c r="J360" s="1"/>
      <c r="K360" s="1"/>
      <c r="L360" s="1"/>
      <c r="M360" s="1"/>
      <c r="N360" s="1"/>
      <c r="O360" s="1"/>
      <c r="P360" s="1"/>
      <c r="Q360" s="1"/>
      <c r="R360" s="1"/>
      <c r="S360" s="1"/>
      <c r="T360" s="1"/>
      <c r="U360" s="43" t="str">
        <f t="shared" ca="1" si="81"/>
        <v>710,..,2210</v>
      </c>
      <c r="V360" s="43">
        <f t="shared" ref="V360:W360" ca="1" si="89">V359+1</f>
        <v>710</v>
      </c>
      <c r="W360" s="43">
        <f t="shared" ca="1" si="89"/>
        <v>2210</v>
      </c>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WZC360" s="1"/>
      <c r="WZD360" s="1"/>
      <c r="WZE360" s="1"/>
      <c r="WZF360" s="1"/>
      <c r="WZG360" s="1"/>
      <c r="WZH360" s="1"/>
      <c r="WZI360" s="1"/>
      <c r="WZJ360" s="1"/>
      <c r="WZK360" s="1"/>
      <c r="WZL360" s="1"/>
      <c r="WZM360" s="1"/>
      <c r="WZN360" s="1"/>
      <c r="WZO360" s="1"/>
      <c r="WZP360" s="1"/>
      <c r="WZQ360" s="1"/>
      <c r="WZR360" s="1"/>
      <c r="WZS360" s="1"/>
      <c r="WZT360" s="1"/>
      <c r="WZU360" s="1"/>
      <c r="WZV360" s="1"/>
      <c r="WZW360" s="1"/>
      <c r="WZX360" s="1"/>
      <c r="WZY360" s="1"/>
      <c r="WZZ360" s="1"/>
      <c r="XAA360" s="1"/>
      <c r="XAB360" s="1"/>
      <c r="XAC360" s="1"/>
      <c r="XAD360" s="1"/>
      <c r="XAE360" s="1"/>
      <c r="XAF360" s="1"/>
      <c r="XAG360" s="1"/>
      <c r="XAH360" s="1"/>
      <c r="XAI360" s="1"/>
      <c r="XAJ360" s="1"/>
      <c r="XAK360" s="1"/>
      <c r="XAL360" s="1"/>
      <c r="XAM360" s="1"/>
      <c r="XAN360" s="1"/>
      <c r="XAO360" s="1"/>
      <c r="XAP360" s="1"/>
      <c r="XAQ360" s="1"/>
      <c r="XAR360" s="1"/>
      <c r="XAS360" s="1"/>
      <c r="XAT360" s="1"/>
      <c r="XAU360" s="1"/>
      <c r="XAV360" s="1"/>
      <c r="XAW360" s="1"/>
      <c r="XAX360" s="1"/>
      <c r="XAY360" s="1"/>
      <c r="XAZ360" s="1"/>
      <c r="XBA360" s="1"/>
      <c r="XBB360" s="1"/>
      <c r="XBC360" s="1"/>
      <c r="XBD360" s="1"/>
      <c r="XBE360" s="1"/>
      <c r="XBF360" s="1"/>
      <c r="XBG360" s="1"/>
      <c r="XBH360" s="1"/>
      <c r="XBI360" s="1"/>
      <c r="XBJ360" s="1"/>
      <c r="XBK360" s="1"/>
      <c r="XBL360" s="1"/>
      <c r="XBM360" s="1"/>
      <c r="XBN360" s="1"/>
      <c r="XBO360" s="1"/>
      <c r="XBP360" s="1"/>
      <c r="XBQ360" s="1"/>
      <c r="XBR360" s="1"/>
      <c r="XBS360" s="1"/>
      <c r="XBT360" s="1"/>
      <c r="XBU360" s="1"/>
      <c r="XBV360" s="1"/>
      <c r="XBW360" s="1"/>
      <c r="XBX360" s="1"/>
      <c r="XBY360" s="1"/>
      <c r="XBZ360" s="1"/>
      <c r="XCA360" s="1"/>
      <c r="XCB360" s="1"/>
      <c r="XCC360" s="1"/>
      <c r="XCD360" s="1"/>
      <c r="XCE360" s="1"/>
      <c r="XCF360" s="1"/>
      <c r="XCG360" s="1"/>
      <c r="XCH360" s="1"/>
      <c r="XCI360" s="1"/>
      <c r="XCJ360" s="1"/>
      <c r="XCK360" s="1"/>
      <c r="XCL360" s="1"/>
      <c r="XCM360" s="1"/>
      <c r="XCN360" s="1"/>
      <c r="XCO360" s="1"/>
      <c r="XCP360" s="1"/>
      <c r="XCQ360" s="1"/>
      <c r="XCR360" s="1"/>
      <c r="XCS360" s="1"/>
      <c r="XCT360" s="1"/>
      <c r="XCU360" s="1"/>
      <c r="XCV360" s="1"/>
      <c r="XCW360" s="1"/>
      <c r="XCX360" s="1"/>
      <c r="XCY360" s="1"/>
      <c r="XCZ360" s="1"/>
      <c r="XDA360" s="1"/>
      <c r="XDB360" s="1"/>
      <c r="XDC360" s="1"/>
      <c r="XDD360" s="1"/>
      <c r="XDE360" s="1"/>
      <c r="XDF360" s="1"/>
      <c r="XDG360" s="1"/>
      <c r="XDH360" s="1"/>
      <c r="XDI360" s="1"/>
      <c r="XDJ360" s="1"/>
      <c r="XDK360" s="1"/>
      <c r="XDL360" s="1"/>
      <c r="XDM360" s="1"/>
      <c r="XDN360" s="1"/>
      <c r="XDO360" s="1"/>
      <c r="XDP360" s="1"/>
      <c r="XDQ360" s="1"/>
      <c r="XDR360" s="1"/>
      <c r="XDS360" s="1"/>
      <c r="XDT360" s="1"/>
      <c r="XDU360" s="1"/>
      <c r="XDV360" s="1"/>
      <c r="XDW360" s="1"/>
      <c r="XDX360" s="1"/>
      <c r="XDY360" s="1"/>
      <c r="XDZ360" s="1"/>
      <c r="XEA360" s="1"/>
      <c r="XEB360" s="1"/>
      <c r="XEC360" s="1"/>
      <c r="XED360" s="1"/>
      <c r="XEE360" s="1"/>
      <c r="XEF360" s="1"/>
      <c r="XEG360" s="1"/>
      <c r="XEH360" s="1"/>
      <c r="XEI360" s="1"/>
      <c r="XEJ360" s="1"/>
      <c r="XEK360" s="1"/>
      <c r="XEL360" s="1"/>
      <c r="XEM360" s="1"/>
      <c r="XEN360" s="1"/>
      <c r="XEO360" s="1"/>
      <c r="XEP360" s="1"/>
      <c r="XEQ360" s="1"/>
      <c r="XER360" s="1"/>
      <c r="XES360" s="1"/>
      <c r="XET360" s="1"/>
      <c r="XEU360" s="1"/>
      <c r="XEV360" s="1"/>
      <c r="XEW360" s="1"/>
      <c r="XEX360" s="1"/>
      <c r="XEY360" s="1"/>
      <c r="XEZ360" s="1"/>
      <c r="XFA360" s="1"/>
      <c r="XFB360" s="1"/>
      <c r="XFC360" s="1"/>
      <c r="XFD360" s="1"/>
    </row>
    <row r="361" spans="1:151 16227:16384" s="11" customFormat="1" ht="20.25" customHeight="1" x14ac:dyDescent="0.25">
      <c r="A361" s="101"/>
      <c r="B361" s="102"/>
      <c r="C361" s="88">
        <v>11</v>
      </c>
      <c r="D361" s="89"/>
      <c r="E361" s="55" t="s">
        <v>218</v>
      </c>
      <c r="F361" s="88">
        <f>41.07*10.764</f>
        <v>442.07747999999998</v>
      </c>
      <c r="G361" s="89"/>
      <c r="H361" s="20">
        <v>0</v>
      </c>
      <c r="I361" s="20">
        <f>F361*(($I$166)+1)+H361</f>
        <v>685.22009400000002</v>
      </c>
      <c r="J361" s="1"/>
      <c r="K361" s="1"/>
      <c r="L361" s="1"/>
      <c r="M361" s="1"/>
      <c r="N361" s="1"/>
      <c r="O361" s="1"/>
      <c r="P361" s="1"/>
      <c r="Q361" s="1"/>
      <c r="R361" s="1"/>
      <c r="S361" s="1"/>
      <c r="T361" s="1"/>
      <c r="U361" s="43" t="str">
        <f t="shared" ca="1" si="81"/>
        <v>711,..,2211</v>
      </c>
      <c r="V361" s="43">
        <f t="shared" ref="V361:W361" ca="1" si="90">V360+1</f>
        <v>711</v>
      </c>
      <c r="W361" s="43">
        <f t="shared" ca="1" si="90"/>
        <v>2211</v>
      </c>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WZC361" s="1"/>
      <c r="WZD361" s="1"/>
      <c r="WZE361" s="1"/>
      <c r="WZF361" s="1"/>
      <c r="WZG361" s="1"/>
      <c r="WZH361" s="1"/>
      <c r="WZI361" s="1"/>
      <c r="WZJ361" s="1"/>
      <c r="WZK361" s="1"/>
      <c r="WZL361" s="1"/>
      <c r="WZM361" s="1"/>
      <c r="WZN361" s="1"/>
      <c r="WZO361" s="1"/>
      <c r="WZP361" s="1"/>
      <c r="WZQ361" s="1"/>
      <c r="WZR361" s="1"/>
      <c r="WZS361" s="1"/>
      <c r="WZT361" s="1"/>
      <c r="WZU361" s="1"/>
      <c r="WZV361" s="1"/>
      <c r="WZW361" s="1"/>
      <c r="WZX361" s="1"/>
      <c r="WZY361" s="1"/>
      <c r="WZZ361" s="1"/>
      <c r="XAA361" s="1"/>
      <c r="XAB361" s="1"/>
      <c r="XAC361" s="1"/>
      <c r="XAD361" s="1"/>
      <c r="XAE361" s="1"/>
      <c r="XAF361" s="1"/>
      <c r="XAG361" s="1"/>
      <c r="XAH361" s="1"/>
      <c r="XAI361" s="1"/>
      <c r="XAJ361" s="1"/>
      <c r="XAK361" s="1"/>
      <c r="XAL361" s="1"/>
      <c r="XAM361" s="1"/>
      <c r="XAN361" s="1"/>
      <c r="XAO361" s="1"/>
      <c r="XAP361" s="1"/>
      <c r="XAQ361" s="1"/>
      <c r="XAR361" s="1"/>
      <c r="XAS361" s="1"/>
      <c r="XAT361" s="1"/>
      <c r="XAU361" s="1"/>
      <c r="XAV361" s="1"/>
      <c r="XAW361" s="1"/>
      <c r="XAX361" s="1"/>
      <c r="XAY361" s="1"/>
      <c r="XAZ361" s="1"/>
      <c r="XBA361" s="1"/>
      <c r="XBB361" s="1"/>
      <c r="XBC361" s="1"/>
      <c r="XBD361" s="1"/>
      <c r="XBE361" s="1"/>
      <c r="XBF361" s="1"/>
      <c r="XBG361" s="1"/>
      <c r="XBH361" s="1"/>
      <c r="XBI361" s="1"/>
      <c r="XBJ361" s="1"/>
      <c r="XBK361" s="1"/>
      <c r="XBL361" s="1"/>
      <c r="XBM361" s="1"/>
      <c r="XBN361" s="1"/>
      <c r="XBO361" s="1"/>
      <c r="XBP361" s="1"/>
      <c r="XBQ361" s="1"/>
      <c r="XBR361" s="1"/>
      <c r="XBS361" s="1"/>
      <c r="XBT361" s="1"/>
      <c r="XBU361" s="1"/>
      <c r="XBV361" s="1"/>
      <c r="XBW361" s="1"/>
      <c r="XBX361" s="1"/>
      <c r="XBY361" s="1"/>
      <c r="XBZ361" s="1"/>
      <c r="XCA361" s="1"/>
      <c r="XCB361" s="1"/>
      <c r="XCC361" s="1"/>
      <c r="XCD361" s="1"/>
      <c r="XCE361" s="1"/>
      <c r="XCF361" s="1"/>
      <c r="XCG361" s="1"/>
      <c r="XCH361" s="1"/>
      <c r="XCI361" s="1"/>
      <c r="XCJ361" s="1"/>
      <c r="XCK361" s="1"/>
      <c r="XCL361" s="1"/>
      <c r="XCM361" s="1"/>
      <c r="XCN361" s="1"/>
      <c r="XCO361" s="1"/>
      <c r="XCP361" s="1"/>
      <c r="XCQ361" s="1"/>
      <c r="XCR361" s="1"/>
      <c r="XCS361" s="1"/>
      <c r="XCT361" s="1"/>
      <c r="XCU361" s="1"/>
      <c r="XCV361" s="1"/>
      <c r="XCW361" s="1"/>
      <c r="XCX361" s="1"/>
      <c r="XCY361" s="1"/>
      <c r="XCZ361" s="1"/>
      <c r="XDA361" s="1"/>
      <c r="XDB361" s="1"/>
      <c r="XDC361" s="1"/>
      <c r="XDD361" s="1"/>
      <c r="XDE361" s="1"/>
      <c r="XDF361" s="1"/>
      <c r="XDG361" s="1"/>
      <c r="XDH361" s="1"/>
      <c r="XDI361" s="1"/>
      <c r="XDJ361" s="1"/>
      <c r="XDK361" s="1"/>
      <c r="XDL361" s="1"/>
      <c r="XDM361" s="1"/>
      <c r="XDN361" s="1"/>
      <c r="XDO361" s="1"/>
      <c r="XDP361" s="1"/>
      <c r="XDQ361" s="1"/>
      <c r="XDR361" s="1"/>
      <c r="XDS361" s="1"/>
      <c r="XDT361" s="1"/>
      <c r="XDU361" s="1"/>
      <c r="XDV361" s="1"/>
      <c r="XDW361" s="1"/>
      <c r="XDX361" s="1"/>
      <c r="XDY361" s="1"/>
      <c r="XDZ361" s="1"/>
      <c r="XEA361" s="1"/>
      <c r="XEB361" s="1"/>
      <c r="XEC361" s="1"/>
      <c r="XED361" s="1"/>
      <c r="XEE361" s="1"/>
      <c r="XEF361" s="1"/>
      <c r="XEG361" s="1"/>
      <c r="XEH361" s="1"/>
      <c r="XEI361" s="1"/>
      <c r="XEJ361" s="1"/>
      <c r="XEK361" s="1"/>
      <c r="XEL361" s="1"/>
      <c r="XEM361" s="1"/>
      <c r="XEN361" s="1"/>
      <c r="XEO361" s="1"/>
      <c r="XEP361" s="1"/>
      <c r="XEQ361" s="1"/>
      <c r="XER361" s="1"/>
      <c r="XES361" s="1"/>
      <c r="XET361" s="1"/>
      <c r="XEU361" s="1"/>
      <c r="XEV361" s="1"/>
      <c r="XEW361" s="1"/>
      <c r="XEX361" s="1"/>
      <c r="XEY361" s="1"/>
      <c r="XEZ361" s="1"/>
      <c r="XFA361" s="1"/>
      <c r="XFB361" s="1"/>
      <c r="XFC361" s="1"/>
      <c r="XFD361" s="1"/>
    </row>
    <row r="362" spans="1:151 16227:16384" s="11" customFormat="1" ht="20.25" x14ac:dyDescent="0.25">
      <c r="A362" s="94" t="s">
        <v>229</v>
      </c>
      <c r="B362" s="95"/>
      <c r="C362" s="95"/>
      <c r="D362" s="95"/>
      <c r="E362" s="95"/>
      <c r="F362" s="95"/>
      <c r="G362" s="95"/>
      <c r="H362" s="95"/>
      <c r="I362" s="96"/>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WZC362" s="1"/>
      <c r="WZD362" s="1"/>
      <c r="WZE362" s="1"/>
      <c r="WZF362" s="1"/>
      <c r="WZG362" s="1"/>
      <c r="WZH362" s="1"/>
      <c r="WZI362" s="1"/>
      <c r="WZJ362" s="1"/>
      <c r="WZK362" s="1"/>
      <c r="WZL362" s="1"/>
      <c r="WZM362" s="1"/>
      <c r="WZN362" s="1"/>
      <c r="WZO362" s="1"/>
      <c r="WZP362" s="1"/>
      <c r="WZQ362" s="1"/>
      <c r="WZR362" s="1"/>
      <c r="WZS362" s="1"/>
      <c r="WZT362" s="1"/>
      <c r="WZU362" s="1"/>
      <c r="WZV362" s="1"/>
      <c r="WZW362" s="1"/>
      <c r="WZX362" s="1"/>
      <c r="WZY362" s="1"/>
      <c r="WZZ362" s="1"/>
      <c r="XAA362" s="1"/>
      <c r="XAB362" s="1"/>
      <c r="XAC362" s="1"/>
      <c r="XAD362" s="1"/>
      <c r="XAE362" s="1"/>
      <c r="XAF362" s="1"/>
      <c r="XAG362" s="1"/>
      <c r="XAH362" s="1"/>
      <c r="XAI362" s="1"/>
      <c r="XAJ362" s="1"/>
      <c r="XAK362" s="1"/>
      <c r="XAL362" s="1"/>
      <c r="XAM362" s="1"/>
      <c r="XAN362" s="1"/>
      <c r="XAO362" s="1"/>
      <c r="XAP362" s="1"/>
      <c r="XAQ362" s="1"/>
      <c r="XAR362" s="1"/>
      <c r="XAS362" s="1"/>
      <c r="XAT362" s="1"/>
      <c r="XAU362" s="1"/>
      <c r="XAV362" s="1"/>
      <c r="XAW362" s="1"/>
      <c r="XAX362" s="1"/>
      <c r="XAY362" s="1"/>
      <c r="XAZ362" s="1"/>
      <c r="XBA362" s="1"/>
      <c r="XBB362" s="1"/>
      <c r="XBC362" s="1"/>
      <c r="XBD362" s="1"/>
      <c r="XBE362" s="1"/>
      <c r="XBF362" s="1"/>
      <c r="XBG362" s="1"/>
      <c r="XBH362" s="1"/>
      <c r="XBI362" s="1"/>
      <c r="XBJ362" s="1"/>
      <c r="XBK362" s="1"/>
      <c r="XBL362" s="1"/>
      <c r="XBM362" s="1"/>
      <c r="XBN362" s="1"/>
      <c r="XBO362" s="1"/>
      <c r="XBP362" s="1"/>
      <c r="XBQ362" s="1"/>
      <c r="XBR362" s="1"/>
      <c r="XBS362" s="1"/>
      <c r="XBT362" s="1"/>
      <c r="XBU362" s="1"/>
      <c r="XBV362" s="1"/>
      <c r="XBW362" s="1"/>
      <c r="XBX362" s="1"/>
      <c r="XBY362" s="1"/>
      <c r="XBZ362" s="1"/>
      <c r="XCA362" s="1"/>
      <c r="XCB362" s="1"/>
      <c r="XCC362" s="1"/>
      <c r="XCD362" s="1"/>
      <c r="XCE362" s="1"/>
      <c r="XCF362" s="1"/>
      <c r="XCG362" s="1"/>
      <c r="XCH362" s="1"/>
      <c r="XCI362" s="1"/>
      <c r="XCJ362" s="1"/>
      <c r="XCK362" s="1"/>
      <c r="XCL362" s="1"/>
      <c r="XCM362" s="1"/>
      <c r="XCN362" s="1"/>
      <c r="XCO362" s="1"/>
      <c r="XCP362" s="1"/>
      <c r="XCQ362" s="1"/>
      <c r="XCR362" s="1"/>
      <c r="XCS362" s="1"/>
      <c r="XCT362" s="1"/>
      <c r="XCU362" s="1"/>
      <c r="XCV362" s="1"/>
      <c r="XCW362" s="1"/>
      <c r="XCX362" s="1"/>
      <c r="XCY362" s="1"/>
      <c r="XCZ362" s="1"/>
      <c r="XDA362" s="1"/>
      <c r="XDB362" s="1"/>
      <c r="XDC362" s="1"/>
      <c r="XDD362" s="1"/>
      <c r="XDE362" s="1"/>
      <c r="XDF362" s="1"/>
      <c r="XDG362" s="1"/>
      <c r="XDH362" s="1"/>
      <c r="XDI362" s="1"/>
      <c r="XDJ362" s="1"/>
      <c r="XDK362" s="1"/>
      <c r="XDL362" s="1"/>
      <c r="XDM362" s="1"/>
      <c r="XDN362" s="1"/>
      <c r="XDO362" s="1"/>
      <c r="XDP362" s="1"/>
      <c r="XDQ362" s="1"/>
      <c r="XDR362" s="1"/>
      <c r="XDS362" s="1"/>
      <c r="XDT362" s="1"/>
      <c r="XDU362" s="1"/>
      <c r="XDV362" s="1"/>
      <c r="XDW362" s="1"/>
      <c r="XDX362" s="1"/>
      <c r="XDY362" s="1"/>
      <c r="XDZ362" s="1"/>
      <c r="XEA362" s="1"/>
      <c r="XEB362" s="1"/>
      <c r="XEC362" s="1"/>
      <c r="XED362" s="1"/>
      <c r="XEE362" s="1"/>
      <c r="XEF362" s="1"/>
      <c r="XEG362" s="1"/>
      <c r="XEH362" s="1"/>
      <c r="XEI362" s="1"/>
      <c r="XEJ362" s="1"/>
      <c r="XEK362" s="1"/>
      <c r="XEL362" s="1"/>
      <c r="XEM362" s="1"/>
      <c r="XEN362" s="1"/>
      <c r="XEO362" s="1"/>
      <c r="XEP362" s="1"/>
      <c r="XEQ362" s="1"/>
      <c r="XER362" s="1"/>
      <c r="XES362" s="1"/>
      <c r="XET362" s="1"/>
      <c r="XEU362" s="1"/>
      <c r="XEV362" s="1"/>
      <c r="XEW362" s="1"/>
      <c r="XEX362" s="1"/>
      <c r="XEY362" s="1"/>
      <c r="XEZ362" s="1"/>
      <c r="XFA362" s="1"/>
      <c r="XFB362" s="1"/>
      <c r="XFC362" s="1"/>
      <c r="XFD362" s="1"/>
    </row>
    <row r="363" spans="1:151 16227:16384" s="11" customFormat="1" ht="20.25" x14ac:dyDescent="0.25">
      <c r="A363" s="94" t="s">
        <v>246</v>
      </c>
      <c r="B363" s="95"/>
      <c r="C363" s="95"/>
      <c r="D363" s="95"/>
      <c r="E363" s="95"/>
      <c r="F363" s="95"/>
      <c r="G363" s="95"/>
      <c r="H363" s="95"/>
      <c r="I363" s="96"/>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WZC363" s="1"/>
      <c r="WZD363" s="1"/>
      <c r="WZE363" s="1"/>
      <c r="WZF363" s="1"/>
      <c r="WZG363" s="1"/>
      <c r="WZH363" s="1"/>
      <c r="WZI363" s="1"/>
      <c r="WZJ363" s="1"/>
      <c r="WZK363" s="1"/>
      <c r="WZL363" s="1"/>
      <c r="WZM363" s="1"/>
      <c r="WZN363" s="1"/>
      <c r="WZO363" s="1"/>
      <c r="WZP363" s="1"/>
      <c r="WZQ363" s="1"/>
      <c r="WZR363" s="1"/>
      <c r="WZS363" s="1"/>
      <c r="WZT363" s="1"/>
      <c r="WZU363" s="1"/>
      <c r="WZV363" s="1"/>
      <c r="WZW363" s="1"/>
      <c r="WZX363" s="1"/>
      <c r="WZY363" s="1"/>
      <c r="WZZ363" s="1"/>
      <c r="XAA363" s="1"/>
      <c r="XAB363" s="1"/>
      <c r="XAC363" s="1"/>
      <c r="XAD363" s="1"/>
      <c r="XAE363" s="1"/>
      <c r="XAF363" s="1"/>
      <c r="XAG363" s="1"/>
      <c r="XAH363" s="1"/>
      <c r="XAI363" s="1"/>
      <c r="XAJ363" s="1"/>
      <c r="XAK363" s="1"/>
      <c r="XAL363" s="1"/>
      <c r="XAM363" s="1"/>
      <c r="XAN363" s="1"/>
      <c r="XAO363" s="1"/>
      <c r="XAP363" s="1"/>
      <c r="XAQ363" s="1"/>
      <c r="XAR363" s="1"/>
      <c r="XAS363" s="1"/>
      <c r="XAT363" s="1"/>
      <c r="XAU363" s="1"/>
      <c r="XAV363" s="1"/>
      <c r="XAW363" s="1"/>
      <c r="XAX363" s="1"/>
      <c r="XAY363" s="1"/>
      <c r="XAZ363" s="1"/>
      <c r="XBA363" s="1"/>
      <c r="XBB363" s="1"/>
      <c r="XBC363" s="1"/>
      <c r="XBD363" s="1"/>
      <c r="XBE363" s="1"/>
      <c r="XBF363" s="1"/>
      <c r="XBG363" s="1"/>
      <c r="XBH363" s="1"/>
      <c r="XBI363" s="1"/>
      <c r="XBJ363" s="1"/>
      <c r="XBK363" s="1"/>
      <c r="XBL363" s="1"/>
      <c r="XBM363" s="1"/>
      <c r="XBN363" s="1"/>
      <c r="XBO363" s="1"/>
      <c r="XBP363" s="1"/>
      <c r="XBQ363" s="1"/>
      <c r="XBR363" s="1"/>
      <c r="XBS363" s="1"/>
      <c r="XBT363" s="1"/>
      <c r="XBU363" s="1"/>
      <c r="XBV363" s="1"/>
      <c r="XBW363" s="1"/>
      <c r="XBX363" s="1"/>
      <c r="XBY363" s="1"/>
      <c r="XBZ363" s="1"/>
      <c r="XCA363" s="1"/>
      <c r="XCB363" s="1"/>
      <c r="XCC363" s="1"/>
      <c r="XCD363" s="1"/>
      <c r="XCE363" s="1"/>
      <c r="XCF363" s="1"/>
      <c r="XCG363" s="1"/>
      <c r="XCH363" s="1"/>
      <c r="XCI363" s="1"/>
      <c r="XCJ363" s="1"/>
      <c r="XCK363" s="1"/>
      <c r="XCL363" s="1"/>
      <c r="XCM363" s="1"/>
      <c r="XCN363" s="1"/>
      <c r="XCO363" s="1"/>
      <c r="XCP363" s="1"/>
      <c r="XCQ363" s="1"/>
      <c r="XCR363" s="1"/>
      <c r="XCS363" s="1"/>
      <c r="XCT363" s="1"/>
      <c r="XCU363" s="1"/>
      <c r="XCV363" s="1"/>
      <c r="XCW363" s="1"/>
      <c r="XCX363" s="1"/>
      <c r="XCY363" s="1"/>
      <c r="XCZ363" s="1"/>
      <c r="XDA363" s="1"/>
      <c r="XDB363" s="1"/>
      <c r="XDC363" s="1"/>
      <c r="XDD363" s="1"/>
      <c r="XDE363" s="1"/>
      <c r="XDF363" s="1"/>
      <c r="XDG363" s="1"/>
      <c r="XDH363" s="1"/>
      <c r="XDI363" s="1"/>
      <c r="XDJ363" s="1"/>
      <c r="XDK363" s="1"/>
      <c r="XDL363" s="1"/>
      <c r="XDM363" s="1"/>
      <c r="XDN363" s="1"/>
      <c r="XDO363" s="1"/>
      <c r="XDP363" s="1"/>
      <c r="XDQ363" s="1"/>
      <c r="XDR363" s="1"/>
      <c r="XDS363" s="1"/>
      <c r="XDT363" s="1"/>
      <c r="XDU363" s="1"/>
      <c r="XDV363" s="1"/>
      <c r="XDW363" s="1"/>
      <c r="XDX363" s="1"/>
      <c r="XDY363" s="1"/>
      <c r="XDZ363" s="1"/>
      <c r="XEA363" s="1"/>
      <c r="XEB363" s="1"/>
      <c r="XEC363" s="1"/>
      <c r="XED363" s="1"/>
      <c r="XEE363" s="1"/>
      <c r="XEF363" s="1"/>
      <c r="XEG363" s="1"/>
      <c r="XEH363" s="1"/>
      <c r="XEI363" s="1"/>
      <c r="XEJ363" s="1"/>
      <c r="XEK363" s="1"/>
      <c r="XEL363" s="1"/>
      <c r="XEM363" s="1"/>
      <c r="XEN363" s="1"/>
      <c r="XEO363" s="1"/>
      <c r="XEP363" s="1"/>
      <c r="XEQ363" s="1"/>
      <c r="XER363" s="1"/>
      <c r="XES363" s="1"/>
      <c r="XET363" s="1"/>
      <c r="XEU363" s="1"/>
      <c r="XEV363" s="1"/>
      <c r="XEW363" s="1"/>
      <c r="XEX363" s="1"/>
      <c r="XEY363" s="1"/>
      <c r="XEZ363" s="1"/>
      <c r="XFA363" s="1"/>
      <c r="XFB363" s="1"/>
      <c r="XFC363" s="1"/>
      <c r="XFD363" s="1"/>
    </row>
    <row r="364" spans="1:151 16227:16384" s="11" customFormat="1" ht="20.25" customHeight="1" x14ac:dyDescent="0.25">
      <c r="A364" s="97" t="str">
        <f>A363</f>
        <v>Ground Floor For Entrance Lobby, Meter Room, Panel Room, Parking &amp; Commercial</v>
      </c>
      <c r="B364" s="98"/>
      <c r="C364" s="87">
        <v>42</v>
      </c>
      <c r="D364" s="87"/>
      <c r="E364" s="20" t="s">
        <v>217</v>
      </c>
      <c r="F364" s="88">
        <f>41.42*10.764</f>
        <v>445.84487999999999</v>
      </c>
      <c r="G364" s="89"/>
      <c r="H364" s="20">
        <v>0</v>
      </c>
      <c r="I364" s="20">
        <f>F364*(($I$166)+1)+H364</f>
        <v>691.05956400000002</v>
      </c>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WZC364" s="1"/>
      <c r="WZD364" s="1"/>
      <c r="WZE364" s="1"/>
      <c r="WZF364" s="1"/>
      <c r="WZG364" s="1"/>
      <c r="WZH364" s="1"/>
      <c r="WZI364" s="1"/>
      <c r="WZJ364" s="1"/>
      <c r="WZK364" s="1"/>
      <c r="WZL364" s="1"/>
      <c r="WZM364" s="1"/>
      <c r="WZN364" s="1"/>
      <c r="WZO364" s="1"/>
      <c r="WZP364" s="1"/>
      <c r="WZQ364" s="1"/>
      <c r="WZR364" s="1"/>
      <c r="WZS364" s="1"/>
      <c r="WZT364" s="1"/>
      <c r="WZU364" s="1"/>
      <c r="WZV364" s="1"/>
      <c r="WZW364" s="1"/>
      <c r="WZX364" s="1"/>
      <c r="WZY364" s="1"/>
      <c r="WZZ364" s="1"/>
      <c r="XAA364" s="1"/>
      <c r="XAB364" s="1"/>
      <c r="XAC364" s="1"/>
      <c r="XAD364" s="1"/>
      <c r="XAE364" s="1"/>
      <c r="XAF364" s="1"/>
      <c r="XAG364" s="1"/>
      <c r="XAH364" s="1"/>
      <c r="XAI364" s="1"/>
      <c r="XAJ364" s="1"/>
      <c r="XAK364" s="1"/>
      <c r="XAL364" s="1"/>
      <c r="XAM364" s="1"/>
      <c r="XAN364" s="1"/>
      <c r="XAO364" s="1"/>
      <c r="XAP364" s="1"/>
      <c r="XAQ364" s="1"/>
      <c r="XAR364" s="1"/>
      <c r="XAS364" s="1"/>
      <c r="XAT364" s="1"/>
      <c r="XAU364" s="1"/>
      <c r="XAV364" s="1"/>
      <c r="XAW364" s="1"/>
      <c r="XAX364" s="1"/>
      <c r="XAY364" s="1"/>
      <c r="XAZ364" s="1"/>
      <c r="XBA364" s="1"/>
      <c r="XBB364" s="1"/>
      <c r="XBC364" s="1"/>
      <c r="XBD364" s="1"/>
      <c r="XBE364" s="1"/>
      <c r="XBF364" s="1"/>
      <c r="XBG364" s="1"/>
      <c r="XBH364" s="1"/>
      <c r="XBI364" s="1"/>
      <c r="XBJ364" s="1"/>
      <c r="XBK364" s="1"/>
      <c r="XBL364" s="1"/>
      <c r="XBM364" s="1"/>
      <c r="XBN364" s="1"/>
      <c r="XBO364" s="1"/>
      <c r="XBP364" s="1"/>
      <c r="XBQ364" s="1"/>
      <c r="XBR364" s="1"/>
      <c r="XBS364" s="1"/>
      <c r="XBT364" s="1"/>
      <c r="XBU364" s="1"/>
      <c r="XBV364" s="1"/>
      <c r="XBW364" s="1"/>
      <c r="XBX364" s="1"/>
      <c r="XBY364" s="1"/>
      <c r="XBZ364" s="1"/>
      <c r="XCA364" s="1"/>
      <c r="XCB364" s="1"/>
      <c r="XCC364" s="1"/>
      <c r="XCD364" s="1"/>
      <c r="XCE364" s="1"/>
      <c r="XCF364" s="1"/>
      <c r="XCG364" s="1"/>
      <c r="XCH364" s="1"/>
      <c r="XCI364" s="1"/>
      <c r="XCJ364" s="1"/>
      <c r="XCK364" s="1"/>
      <c r="XCL364" s="1"/>
      <c r="XCM364" s="1"/>
      <c r="XCN364" s="1"/>
      <c r="XCO364" s="1"/>
      <c r="XCP364" s="1"/>
      <c r="XCQ364" s="1"/>
      <c r="XCR364" s="1"/>
      <c r="XCS364" s="1"/>
      <c r="XCT364" s="1"/>
      <c r="XCU364" s="1"/>
      <c r="XCV364" s="1"/>
      <c r="XCW364" s="1"/>
      <c r="XCX364" s="1"/>
      <c r="XCY364" s="1"/>
      <c r="XCZ364" s="1"/>
      <c r="XDA364" s="1"/>
      <c r="XDB364" s="1"/>
      <c r="XDC364" s="1"/>
      <c r="XDD364" s="1"/>
      <c r="XDE364" s="1"/>
      <c r="XDF364" s="1"/>
      <c r="XDG364" s="1"/>
      <c r="XDH364" s="1"/>
      <c r="XDI364" s="1"/>
      <c r="XDJ364" s="1"/>
      <c r="XDK364" s="1"/>
      <c r="XDL364" s="1"/>
      <c r="XDM364" s="1"/>
      <c r="XDN364" s="1"/>
      <c r="XDO364" s="1"/>
      <c r="XDP364" s="1"/>
      <c r="XDQ364" s="1"/>
      <c r="XDR364" s="1"/>
      <c r="XDS364" s="1"/>
      <c r="XDT364" s="1"/>
      <c r="XDU364" s="1"/>
      <c r="XDV364" s="1"/>
      <c r="XDW364" s="1"/>
      <c r="XDX364" s="1"/>
      <c r="XDY364" s="1"/>
      <c r="XDZ364" s="1"/>
      <c r="XEA364" s="1"/>
      <c r="XEB364" s="1"/>
      <c r="XEC364" s="1"/>
      <c r="XED364" s="1"/>
      <c r="XEE364" s="1"/>
      <c r="XEF364" s="1"/>
      <c r="XEG364" s="1"/>
      <c r="XEH364" s="1"/>
      <c r="XEI364" s="1"/>
      <c r="XEJ364" s="1"/>
      <c r="XEK364" s="1"/>
      <c r="XEL364" s="1"/>
      <c r="XEM364" s="1"/>
      <c r="XEN364" s="1"/>
      <c r="XEO364" s="1"/>
      <c r="XEP364" s="1"/>
      <c r="XEQ364" s="1"/>
      <c r="XER364" s="1"/>
      <c r="XES364" s="1"/>
      <c r="XET364" s="1"/>
      <c r="XEU364" s="1"/>
      <c r="XEV364" s="1"/>
      <c r="XEW364" s="1"/>
      <c r="XEX364" s="1"/>
      <c r="XEY364" s="1"/>
      <c r="XEZ364" s="1"/>
      <c r="XFA364" s="1"/>
      <c r="XFB364" s="1"/>
      <c r="XFC364" s="1"/>
      <c r="XFD364" s="1"/>
    </row>
    <row r="365" spans="1:151 16227:16384" s="11" customFormat="1" ht="20.25" customHeight="1" x14ac:dyDescent="0.25">
      <c r="A365" s="99"/>
      <c r="B365" s="100"/>
      <c r="C365" s="87">
        <f>C364+1</f>
        <v>43</v>
      </c>
      <c r="D365" s="87"/>
      <c r="E365" s="20" t="s">
        <v>217</v>
      </c>
      <c r="F365" s="88">
        <f>24.72*10.764</f>
        <v>266.08607999999998</v>
      </c>
      <c r="G365" s="89"/>
      <c r="H365" s="20">
        <v>0</v>
      </c>
      <c r="I365" s="20">
        <f t="shared" ref="I365:I373" si="91">F365*(($I$166)+1)+H365</f>
        <v>412.433424</v>
      </c>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WZC365" s="1"/>
      <c r="WZD365" s="1"/>
      <c r="WZE365" s="1"/>
      <c r="WZF365" s="1"/>
      <c r="WZG365" s="1"/>
      <c r="WZH365" s="1"/>
      <c r="WZI365" s="1"/>
      <c r="WZJ365" s="1"/>
      <c r="WZK365" s="1"/>
      <c r="WZL365" s="1"/>
      <c r="WZM365" s="1"/>
      <c r="WZN365" s="1"/>
      <c r="WZO365" s="1"/>
      <c r="WZP365" s="1"/>
      <c r="WZQ365" s="1"/>
      <c r="WZR365" s="1"/>
      <c r="WZS365" s="1"/>
      <c r="WZT365" s="1"/>
      <c r="WZU365" s="1"/>
      <c r="WZV365" s="1"/>
      <c r="WZW365" s="1"/>
      <c r="WZX365" s="1"/>
      <c r="WZY365" s="1"/>
      <c r="WZZ365" s="1"/>
      <c r="XAA365" s="1"/>
      <c r="XAB365" s="1"/>
      <c r="XAC365" s="1"/>
      <c r="XAD365" s="1"/>
      <c r="XAE365" s="1"/>
      <c r="XAF365" s="1"/>
      <c r="XAG365" s="1"/>
      <c r="XAH365" s="1"/>
      <c r="XAI365" s="1"/>
      <c r="XAJ365" s="1"/>
      <c r="XAK365" s="1"/>
      <c r="XAL365" s="1"/>
      <c r="XAM365" s="1"/>
      <c r="XAN365" s="1"/>
      <c r="XAO365" s="1"/>
      <c r="XAP365" s="1"/>
      <c r="XAQ365" s="1"/>
      <c r="XAR365" s="1"/>
      <c r="XAS365" s="1"/>
      <c r="XAT365" s="1"/>
      <c r="XAU365" s="1"/>
      <c r="XAV365" s="1"/>
      <c r="XAW365" s="1"/>
      <c r="XAX365" s="1"/>
      <c r="XAY365" s="1"/>
      <c r="XAZ365" s="1"/>
      <c r="XBA365" s="1"/>
      <c r="XBB365" s="1"/>
      <c r="XBC365" s="1"/>
      <c r="XBD365" s="1"/>
      <c r="XBE365" s="1"/>
      <c r="XBF365" s="1"/>
      <c r="XBG365" s="1"/>
      <c r="XBH365" s="1"/>
      <c r="XBI365" s="1"/>
      <c r="XBJ365" s="1"/>
      <c r="XBK365" s="1"/>
      <c r="XBL365" s="1"/>
      <c r="XBM365" s="1"/>
      <c r="XBN365" s="1"/>
      <c r="XBO365" s="1"/>
      <c r="XBP365" s="1"/>
      <c r="XBQ365" s="1"/>
      <c r="XBR365" s="1"/>
      <c r="XBS365" s="1"/>
      <c r="XBT365" s="1"/>
      <c r="XBU365" s="1"/>
      <c r="XBV365" s="1"/>
      <c r="XBW365" s="1"/>
      <c r="XBX365" s="1"/>
      <c r="XBY365" s="1"/>
      <c r="XBZ365" s="1"/>
      <c r="XCA365" s="1"/>
      <c r="XCB365" s="1"/>
      <c r="XCC365" s="1"/>
      <c r="XCD365" s="1"/>
      <c r="XCE365" s="1"/>
      <c r="XCF365" s="1"/>
      <c r="XCG365" s="1"/>
      <c r="XCH365" s="1"/>
      <c r="XCI365" s="1"/>
      <c r="XCJ365" s="1"/>
      <c r="XCK365" s="1"/>
      <c r="XCL365" s="1"/>
      <c r="XCM365" s="1"/>
      <c r="XCN365" s="1"/>
      <c r="XCO365" s="1"/>
      <c r="XCP365" s="1"/>
      <c r="XCQ365" s="1"/>
      <c r="XCR365" s="1"/>
      <c r="XCS365" s="1"/>
      <c r="XCT365" s="1"/>
      <c r="XCU365" s="1"/>
      <c r="XCV365" s="1"/>
      <c r="XCW365" s="1"/>
      <c r="XCX365" s="1"/>
      <c r="XCY365" s="1"/>
      <c r="XCZ365" s="1"/>
      <c r="XDA365" s="1"/>
      <c r="XDB365" s="1"/>
      <c r="XDC365" s="1"/>
      <c r="XDD365" s="1"/>
      <c r="XDE365" s="1"/>
      <c r="XDF365" s="1"/>
      <c r="XDG365" s="1"/>
      <c r="XDH365" s="1"/>
      <c r="XDI365" s="1"/>
      <c r="XDJ365" s="1"/>
      <c r="XDK365" s="1"/>
      <c r="XDL365" s="1"/>
      <c r="XDM365" s="1"/>
      <c r="XDN365" s="1"/>
      <c r="XDO365" s="1"/>
      <c r="XDP365" s="1"/>
      <c r="XDQ365" s="1"/>
      <c r="XDR365" s="1"/>
      <c r="XDS365" s="1"/>
      <c r="XDT365" s="1"/>
      <c r="XDU365" s="1"/>
      <c r="XDV365" s="1"/>
      <c r="XDW365" s="1"/>
      <c r="XDX365" s="1"/>
      <c r="XDY365" s="1"/>
      <c r="XDZ365" s="1"/>
      <c r="XEA365" s="1"/>
      <c r="XEB365" s="1"/>
      <c r="XEC365" s="1"/>
      <c r="XED365" s="1"/>
      <c r="XEE365" s="1"/>
      <c r="XEF365" s="1"/>
      <c r="XEG365" s="1"/>
      <c r="XEH365" s="1"/>
      <c r="XEI365" s="1"/>
      <c r="XEJ365" s="1"/>
      <c r="XEK365" s="1"/>
      <c r="XEL365" s="1"/>
      <c r="XEM365" s="1"/>
      <c r="XEN365" s="1"/>
      <c r="XEO365" s="1"/>
      <c r="XEP365" s="1"/>
      <c r="XEQ365" s="1"/>
      <c r="XER365" s="1"/>
      <c r="XES365" s="1"/>
      <c r="XET365" s="1"/>
      <c r="XEU365" s="1"/>
      <c r="XEV365" s="1"/>
      <c r="XEW365" s="1"/>
      <c r="XEX365" s="1"/>
      <c r="XEY365" s="1"/>
      <c r="XEZ365" s="1"/>
      <c r="XFA365" s="1"/>
      <c r="XFB365" s="1"/>
      <c r="XFC365" s="1"/>
      <c r="XFD365" s="1"/>
    </row>
    <row r="366" spans="1:151 16227:16384" s="11" customFormat="1" ht="20.25" customHeight="1" x14ac:dyDescent="0.25">
      <c r="A366" s="99"/>
      <c r="B366" s="100"/>
      <c r="C366" s="87">
        <f t="shared" ref="C366:C375" si="92">C365+1</f>
        <v>44</v>
      </c>
      <c r="D366" s="87"/>
      <c r="E366" s="20" t="s">
        <v>217</v>
      </c>
      <c r="F366" s="88">
        <f>18.15*10.764</f>
        <v>195.36659999999998</v>
      </c>
      <c r="G366" s="89"/>
      <c r="H366" s="20">
        <v>0</v>
      </c>
      <c r="I366" s="20">
        <f t="shared" si="91"/>
        <v>302.81822999999997</v>
      </c>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1"/>
      <c r="XEU366" s="1"/>
      <c r="XEV366" s="1"/>
      <c r="XEW366" s="1"/>
      <c r="XEX366" s="1"/>
      <c r="XEY366" s="1"/>
      <c r="XEZ366" s="1"/>
      <c r="XFA366" s="1"/>
      <c r="XFB366" s="1"/>
      <c r="XFC366" s="1"/>
      <c r="XFD366" s="1"/>
    </row>
    <row r="367" spans="1:151 16227:16384" s="11" customFormat="1" ht="20.25" customHeight="1" x14ac:dyDescent="0.25">
      <c r="A367" s="99"/>
      <c r="B367" s="100"/>
      <c r="C367" s="87">
        <f t="shared" si="92"/>
        <v>45</v>
      </c>
      <c r="D367" s="87"/>
      <c r="E367" s="20" t="s">
        <v>217</v>
      </c>
      <c r="F367" s="88">
        <f>22.06*10.764</f>
        <v>237.45383999999999</v>
      </c>
      <c r="G367" s="89"/>
      <c r="H367" s="20">
        <v>0</v>
      </c>
      <c r="I367" s="20">
        <f t="shared" si="91"/>
        <v>368.05345199999999</v>
      </c>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WZC367" s="1"/>
      <c r="WZD367" s="1"/>
      <c r="WZE367" s="1"/>
      <c r="WZF367" s="1"/>
      <c r="WZG367" s="1"/>
      <c r="WZH367" s="1"/>
      <c r="WZI367" s="1"/>
      <c r="WZJ367" s="1"/>
      <c r="WZK367" s="1"/>
      <c r="WZL367" s="1"/>
      <c r="WZM367" s="1"/>
      <c r="WZN367" s="1"/>
      <c r="WZO367" s="1"/>
      <c r="WZP367" s="1"/>
      <c r="WZQ367" s="1"/>
      <c r="WZR367" s="1"/>
      <c r="WZS367" s="1"/>
      <c r="WZT367" s="1"/>
      <c r="WZU367" s="1"/>
      <c r="WZV367" s="1"/>
      <c r="WZW367" s="1"/>
      <c r="WZX367" s="1"/>
      <c r="WZY367" s="1"/>
      <c r="WZZ367" s="1"/>
      <c r="XAA367" s="1"/>
      <c r="XAB367" s="1"/>
      <c r="XAC367" s="1"/>
      <c r="XAD367" s="1"/>
      <c r="XAE367" s="1"/>
      <c r="XAF367" s="1"/>
      <c r="XAG367" s="1"/>
      <c r="XAH367" s="1"/>
      <c r="XAI367" s="1"/>
      <c r="XAJ367" s="1"/>
      <c r="XAK367" s="1"/>
      <c r="XAL367" s="1"/>
      <c r="XAM367" s="1"/>
      <c r="XAN367" s="1"/>
      <c r="XAO367" s="1"/>
      <c r="XAP367" s="1"/>
      <c r="XAQ367" s="1"/>
      <c r="XAR367" s="1"/>
      <c r="XAS367" s="1"/>
      <c r="XAT367" s="1"/>
      <c r="XAU367" s="1"/>
      <c r="XAV367" s="1"/>
      <c r="XAW367" s="1"/>
      <c r="XAX367" s="1"/>
      <c r="XAY367" s="1"/>
      <c r="XAZ367" s="1"/>
      <c r="XBA367" s="1"/>
      <c r="XBB367" s="1"/>
      <c r="XBC367" s="1"/>
      <c r="XBD367" s="1"/>
      <c r="XBE367" s="1"/>
      <c r="XBF367" s="1"/>
      <c r="XBG367" s="1"/>
      <c r="XBH367" s="1"/>
      <c r="XBI367" s="1"/>
      <c r="XBJ367" s="1"/>
      <c r="XBK367" s="1"/>
      <c r="XBL367" s="1"/>
      <c r="XBM367" s="1"/>
      <c r="XBN367" s="1"/>
      <c r="XBO367" s="1"/>
      <c r="XBP367" s="1"/>
      <c r="XBQ367" s="1"/>
      <c r="XBR367" s="1"/>
      <c r="XBS367" s="1"/>
      <c r="XBT367" s="1"/>
      <c r="XBU367" s="1"/>
      <c r="XBV367" s="1"/>
      <c r="XBW367" s="1"/>
      <c r="XBX367" s="1"/>
      <c r="XBY367" s="1"/>
      <c r="XBZ367" s="1"/>
      <c r="XCA367" s="1"/>
      <c r="XCB367" s="1"/>
      <c r="XCC367" s="1"/>
      <c r="XCD367" s="1"/>
      <c r="XCE367" s="1"/>
      <c r="XCF367" s="1"/>
      <c r="XCG367" s="1"/>
      <c r="XCH367" s="1"/>
      <c r="XCI367" s="1"/>
      <c r="XCJ367" s="1"/>
      <c r="XCK367" s="1"/>
      <c r="XCL367" s="1"/>
      <c r="XCM367" s="1"/>
      <c r="XCN367" s="1"/>
      <c r="XCO367" s="1"/>
      <c r="XCP367" s="1"/>
      <c r="XCQ367" s="1"/>
      <c r="XCR367" s="1"/>
      <c r="XCS367" s="1"/>
      <c r="XCT367" s="1"/>
      <c r="XCU367" s="1"/>
      <c r="XCV367" s="1"/>
      <c r="XCW367" s="1"/>
      <c r="XCX367" s="1"/>
      <c r="XCY367" s="1"/>
      <c r="XCZ367" s="1"/>
      <c r="XDA367" s="1"/>
      <c r="XDB367" s="1"/>
      <c r="XDC367" s="1"/>
      <c r="XDD367" s="1"/>
      <c r="XDE367" s="1"/>
      <c r="XDF367" s="1"/>
      <c r="XDG367" s="1"/>
      <c r="XDH367" s="1"/>
      <c r="XDI367" s="1"/>
      <c r="XDJ367" s="1"/>
      <c r="XDK367" s="1"/>
      <c r="XDL367" s="1"/>
      <c r="XDM367" s="1"/>
      <c r="XDN367" s="1"/>
      <c r="XDO367" s="1"/>
      <c r="XDP367" s="1"/>
      <c r="XDQ367" s="1"/>
      <c r="XDR367" s="1"/>
      <c r="XDS367" s="1"/>
      <c r="XDT367" s="1"/>
      <c r="XDU367" s="1"/>
      <c r="XDV367" s="1"/>
      <c r="XDW367" s="1"/>
      <c r="XDX367" s="1"/>
      <c r="XDY367" s="1"/>
      <c r="XDZ367" s="1"/>
      <c r="XEA367" s="1"/>
      <c r="XEB367" s="1"/>
      <c r="XEC367" s="1"/>
      <c r="XED367" s="1"/>
      <c r="XEE367" s="1"/>
      <c r="XEF367" s="1"/>
      <c r="XEG367" s="1"/>
      <c r="XEH367" s="1"/>
      <c r="XEI367" s="1"/>
      <c r="XEJ367" s="1"/>
      <c r="XEK367" s="1"/>
      <c r="XEL367" s="1"/>
      <c r="XEM367" s="1"/>
      <c r="XEN367" s="1"/>
      <c r="XEO367" s="1"/>
      <c r="XEP367" s="1"/>
      <c r="XEQ367" s="1"/>
      <c r="XER367" s="1"/>
      <c r="XES367" s="1"/>
      <c r="XET367" s="1"/>
      <c r="XEU367" s="1"/>
      <c r="XEV367" s="1"/>
      <c r="XEW367" s="1"/>
      <c r="XEX367" s="1"/>
      <c r="XEY367" s="1"/>
      <c r="XEZ367" s="1"/>
      <c r="XFA367" s="1"/>
      <c r="XFB367" s="1"/>
      <c r="XFC367" s="1"/>
      <c r="XFD367" s="1"/>
    </row>
    <row r="368" spans="1:151 16227:16384" s="11" customFormat="1" ht="20.25" customHeight="1" x14ac:dyDescent="0.25">
      <c r="A368" s="99"/>
      <c r="B368" s="100"/>
      <c r="C368" s="87">
        <f t="shared" si="92"/>
        <v>46</v>
      </c>
      <c r="D368" s="87"/>
      <c r="E368" s="20" t="s">
        <v>217</v>
      </c>
      <c r="F368" s="88">
        <f>42.89*10.764</f>
        <v>461.66795999999999</v>
      </c>
      <c r="G368" s="89"/>
      <c r="H368" s="20">
        <v>0</v>
      </c>
      <c r="I368" s="20">
        <f t="shared" si="91"/>
        <v>715.58533799999998</v>
      </c>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WZC368" s="1"/>
      <c r="WZD368" s="1"/>
      <c r="WZE368" s="1"/>
      <c r="WZF368" s="1"/>
      <c r="WZG368" s="1"/>
      <c r="WZH368" s="1"/>
      <c r="WZI368" s="1"/>
      <c r="WZJ368" s="1"/>
      <c r="WZK368" s="1"/>
      <c r="WZL368" s="1"/>
      <c r="WZM368" s="1"/>
      <c r="WZN368" s="1"/>
      <c r="WZO368" s="1"/>
      <c r="WZP368" s="1"/>
      <c r="WZQ368" s="1"/>
      <c r="WZR368" s="1"/>
      <c r="WZS368" s="1"/>
      <c r="WZT368" s="1"/>
      <c r="WZU368" s="1"/>
      <c r="WZV368" s="1"/>
      <c r="WZW368" s="1"/>
      <c r="WZX368" s="1"/>
      <c r="WZY368" s="1"/>
      <c r="WZZ368" s="1"/>
      <c r="XAA368" s="1"/>
      <c r="XAB368" s="1"/>
      <c r="XAC368" s="1"/>
      <c r="XAD368" s="1"/>
      <c r="XAE368" s="1"/>
      <c r="XAF368" s="1"/>
      <c r="XAG368" s="1"/>
      <c r="XAH368" s="1"/>
      <c r="XAI368" s="1"/>
      <c r="XAJ368" s="1"/>
      <c r="XAK368" s="1"/>
      <c r="XAL368" s="1"/>
      <c r="XAM368" s="1"/>
      <c r="XAN368" s="1"/>
      <c r="XAO368" s="1"/>
      <c r="XAP368" s="1"/>
      <c r="XAQ368" s="1"/>
      <c r="XAR368" s="1"/>
      <c r="XAS368" s="1"/>
      <c r="XAT368" s="1"/>
      <c r="XAU368" s="1"/>
      <c r="XAV368" s="1"/>
      <c r="XAW368" s="1"/>
      <c r="XAX368" s="1"/>
      <c r="XAY368" s="1"/>
      <c r="XAZ368" s="1"/>
      <c r="XBA368" s="1"/>
      <c r="XBB368" s="1"/>
      <c r="XBC368" s="1"/>
      <c r="XBD368" s="1"/>
      <c r="XBE368" s="1"/>
      <c r="XBF368" s="1"/>
      <c r="XBG368" s="1"/>
      <c r="XBH368" s="1"/>
      <c r="XBI368" s="1"/>
      <c r="XBJ368" s="1"/>
      <c r="XBK368" s="1"/>
      <c r="XBL368" s="1"/>
      <c r="XBM368" s="1"/>
      <c r="XBN368" s="1"/>
      <c r="XBO368" s="1"/>
      <c r="XBP368" s="1"/>
      <c r="XBQ368" s="1"/>
      <c r="XBR368" s="1"/>
      <c r="XBS368" s="1"/>
      <c r="XBT368" s="1"/>
      <c r="XBU368" s="1"/>
      <c r="XBV368" s="1"/>
      <c r="XBW368" s="1"/>
      <c r="XBX368" s="1"/>
      <c r="XBY368" s="1"/>
      <c r="XBZ368" s="1"/>
      <c r="XCA368" s="1"/>
      <c r="XCB368" s="1"/>
      <c r="XCC368" s="1"/>
      <c r="XCD368" s="1"/>
      <c r="XCE368" s="1"/>
      <c r="XCF368" s="1"/>
      <c r="XCG368" s="1"/>
      <c r="XCH368" s="1"/>
      <c r="XCI368" s="1"/>
      <c r="XCJ368" s="1"/>
      <c r="XCK368" s="1"/>
      <c r="XCL368" s="1"/>
      <c r="XCM368" s="1"/>
      <c r="XCN368" s="1"/>
      <c r="XCO368" s="1"/>
      <c r="XCP368" s="1"/>
      <c r="XCQ368" s="1"/>
      <c r="XCR368" s="1"/>
      <c r="XCS368" s="1"/>
      <c r="XCT368" s="1"/>
      <c r="XCU368" s="1"/>
      <c r="XCV368" s="1"/>
      <c r="XCW368" s="1"/>
      <c r="XCX368" s="1"/>
      <c r="XCY368" s="1"/>
      <c r="XCZ368" s="1"/>
      <c r="XDA368" s="1"/>
      <c r="XDB368" s="1"/>
      <c r="XDC368" s="1"/>
      <c r="XDD368" s="1"/>
      <c r="XDE368" s="1"/>
      <c r="XDF368" s="1"/>
      <c r="XDG368" s="1"/>
      <c r="XDH368" s="1"/>
      <c r="XDI368" s="1"/>
      <c r="XDJ368" s="1"/>
      <c r="XDK368" s="1"/>
      <c r="XDL368" s="1"/>
      <c r="XDM368" s="1"/>
      <c r="XDN368" s="1"/>
      <c r="XDO368" s="1"/>
      <c r="XDP368" s="1"/>
      <c r="XDQ368" s="1"/>
      <c r="XDR368" s="1"/>
      <c r="XDS368" s="1"/>
      <c r="XDT368" s="1"/>
      <c r="XDU368" s="1"/>
      <c r="XDV368" s="1"/>
      <c r="XDW368" s="1"/>
      <c r="XDX368" s="1"/>
      <c r="XDY368" s="1"/>
      <c r="XDZ368" s="1"/>
      <c r="XEA368" s="1"/>
      <c r="XEB368" s="1"/>
      <c r="XEC368" s="1"/>
      <c r="XED368" s="1"/>
      <c r="XEE368" s="1"/>
      <c r="XEF368" s="1"/>
      <c r="XEG368" s="1"/>
      <c r="XEH368" s="1"/>
      <c r="XEI368" s="1"/>
      <c r="XEJ368" s="1"/>
      <c r="XEK368" s="1"/>
      <c r="XEL368" s="1"/>
      <c r="XEM368" s="1"/>
      <c r="XEN368" s="1"/>
      <c r="XEO368" s="1"/>
      <c r="XEP368" s="1"/>
      <c r="XEQ368" s="1"/>
      <c r="XER368" s="1"/>
      <c r="XES368" s="1"/>
      <c r="XET368" s="1"/>
      <c r="XEU368" s="1"/>
      <c r="XEV368" s="1"/>
      <c r="XEW368" s="1"/>
      <c r="XEX368" s="1"/>
      <c r="XEY368" s="1"/>
      <c r="XEZ368" s="1"/>
      <c r="XFA368" s="1"/>
      <c r="XFB368" s="1"/>
      <c r="XFC368" s="1"/>
      <c r="XFD368" s="1"/>
    </row>
    <row r="369" spans="1:151 16227:16384" s="11" customFormat="1" ht="20.25" customHeight="1" x14ac:dyDescent="0.25">
      <c r="A369" s="99"/>
      <c r="B369" s="100"/>
      <c r="C369" s="87">
        <f t="shared" si="92"/>
        <v>47</v>
      </c>
      <c r="D369" s="87"/>
      <c r="E369" s="20" t="s">
        <v>217</v>
      </c>
      <c r="F369" s="88">
        <f>35.26*10.764</f>
        <v>379.53863999999993</v>
      </c>
      <c r="G369" s="89"/>
      <c r="H369" s="20">
        <v>0</v>
      </c>
      <c r="I369" s="20">
        <f t="shared" si="91"/>
        <v>588.2848919999999</v>
      </c>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WZC369" s="1"/>
      <c r="WZD369" s="1"/>
      <c r="WZE369" s="1"/>
      <c r="WZF369" s="1"/>
      <c r="WZG369" s="1"/>
      <c r="WZH369" s="1"/>
      <c r="WZI369" s="1"/>
      <c r="WZJ369" s="1"/>
      <c r="WZK369" s="1"/>
      <c r="WZL369" s="1"/>
      <c r="WZM369" s="1"/>
      <c r="WZN369" s="1"/>
      <c r="WZO369" s="1"/>
      <c r="WZP369" s="1"/>
      <c r="WZQ369" s="1"/>
      <c r="WZR369" s="1"/>
      <c r="WZS369" s="1"/>
      <c r="WZT369" s="1"/>
      <c r="WZU369" s="1"/>
      <c r="WZV369" s="1"/>
      <c r="WZW369" s="1"/>
      <c r="WZX369" s="1"/>
      <c r="WZY369" s="1"/>
      <c r="WZZ369" s="1"/>
      <c r="XAA369" s="1"/>
      <c r="XAB369" s="1"/>
      <c r="XAC369" s="1"/>
      <c r="XAD369" s="1"/>
      <c r="XAE369" s="1"/>
      <c r="XAF369" s="1"/>
      <c r="XAG369" s="1"/>
      <c r="XAH369" s="1"/>
      <c r="XAI369" s="1"/>
      <c r="XAJ369" s="1"/>
      <c r="XAK369" s="1"/>
      <c r="XAL369" s="1"/>
      <c r="XAM369" s="1"/>
      <c r="XAN369" s="1"/>
      <c r="XAO369" s="1"/>
      <c r="XAP369" s="1"/>
      <c r="XAQ369" s="1"/>
      <c r="XAR369" s="1"/>
      <c r="XAS369" s="1"/>
      <c r="XAT369" s="1"/>
      <c r="XAU369" s="1"/>
      <c r="XAV369" s="1"/>
      <c r="XAW369" s="1"/>
      <c r="XAX369" s="1"/>
      <c r="XAY369" s="1"/>
      <c r="XAZ369" s="1"/>
      <c r="XBA369" s="1"/>
      <c r="XBB369" s="1"/>
      <c r="XBC369" s="1"/>
      <c r="XBD369" s="1"/>
      <c r="XBE369" s="1"/>
      <c r="XBF369" s="1"/>
      <c r="XBG369" s="1"/>
      <c r="XBH369" s="1"/>
      <c r="XBI369" s="1"/>
      <c r="XBJ369" s="1"/>
      <c r="XBK369" s="1"/>
      <c r="XBL369" s="1"/>
      <c r="XBM369" s="1"/>
      <c r="XBN369" s="1"/>
      <c r="XBO369" s="1"/>
      <c r="XBP369" s="1"/>
      <c r="XBQ369" s="1"/>
      <c r="XBR369" s="1"/>
      <c r="XBS369" s="1"/>
      <c r="XBT369" s="1"/>
      <c r="XBU369" s="1"/>
      <c r="XBV369" s="1"/>
      <c r="XBW369" s="1"/>
      <c r="XBX369" s="1"/>
      <c r="XBY369" s="1"/>
      <c r="XBZ369" s="1"/>
      <c r="XCA369" s="1"/>
      <c r="XCB369" s="1"/>
      <c r="XCC369" s="1"/>
      <c r="XCD369" s="1"/>
      <c r="XCE369" s="1"/>
      <c r="XCF369" s="1"/>
      <c r="XCG369" s="1"/>
      <c r="XCH369" s="1"/>
      <c r="XCI369" s="1"/>
      <c r="XCJ369" s="1"/>
      <c r="XCK369" s="1"/>
      <c r="XCL369" s="1"/>
      <c r="XCM369" s="1"/>
      <c r="XCN369" s="1"/>
      <c r="XCO369" s="1"/>
      <c r="XCP369" s="1"/>
      <c r="XCQ369" s="1"/>
      <c r="XCR369" s="1"/>
      <c r="XCS369" s="1"/>
      <c r="XCT369" s="1"/>
      <c r="XCU369" s="1"/>
      <c r="XCV369" s="1"/>
      <c r="XCW369" s="1"/>
      <c r="XCX369" s="1"/>
      <c r="XCY369" s="1"/>
      <c r="XCZ369" s="1"/>
      <c r="XDA369" s="1"/>
      <c r="XDB369" s="1"/>
      <c r="XDC369" s="1"/>
      <c r="XDD369" s="1"/>
      <c r="XDE369" s="1"/>
      <c r="XDF369" s="1"/>
      <c r="XDG369" s="1"/>
      <c r="XDH369" s="1"/>
      <c r="XDI369" s="1"/>
      <c r="XDJ369" s="1"/>
      <c r="XDK369" s="1"/>
      <c r="XDL369" s="1"/>
      <c r="XDM369" s="1"/>
      <c r="XDN369" s="1"/>
      <c r="XDO369" s="1"/>
      <c r="XDP369" s="1"/>
      <c r="XDQ369" s="1"/>
      <c r="XDR369" s="1"/>
      <c r="XDS369" s="1"/>
      <c r="XDT369" s="1"/>
      <c r="XDU369" s="1"/>
      <c r="XDV369" s="1"/>
      <c r="XDW369" s="1"/>
      <c r="XDX369" s="1"/>
      <c r="XDY369" s="1"/>
      <c r="XDZ369" s="1"/>
      <c r="XEA369" s="1"/>
      <c r="XEB369" s="1"/>
      <c r="XEC369" s="1"/>
      <c r="XED369" s="1"/>
      <c r="XEE369" s="1"/>
      <c r="XEF369" s="1"/>
      <c r="XEG369" s="1"/>
      <c r="XEH369" s="1"/>
      <c r="XEI369" s="1"/>
      <c r="XEJ369" s="1"/>
      <c r="XEK369" s="1"/>
      <c r="XEL369" s="1"/>
      <c r="XEM369" s="1"/>
      <c r="XEN369" s="1"/>
      <c r="XEO369" s="1"/>
      <c r="XEP369" s="1"/>
      <c r="XEQ369" s="1"/>
      <c r="XER369" s="1"/>
      <c r="XES369" s="1"/>
      <c r="XET369" s="1"/>
      <c r="XEU369" s="1"/>
      <c r="XEV369" s="1"/>
      <c r="XEW369" s="1"/>
      <c r="XEX369" s="1"/>
      <c r="XEY369" s="1"/>
      <c r="XEZ369" s="1"/>
      <c r="XFA369" s="1"/>
      <c r="XFB369" s="1"/>
      <c r="XFC369" s="1"/>
      <c r="XFD369" s="1"/>
    </row>
    <row r="370" spans="1:151 16227:16384" s="11" customFormat="1" ht="20.25" customHeight="1" x14ac:dyDescent="0.25">
      <c r="A370" s="99"/>
      <c r="B370" s="100"/>
      <c r="C370" s="87">
        <f t="shared" si="92"/>
        <v>48</v>
      </c>
      <c r="D370" s="87"/>
      <c r="E370" s="20" t="s">
        <v>217</v>
      </c>
      <c r="F370" s="88">
        <f>25.29*10.764</f>
        <v>272.22155999999995</v>
      </c>
      <c r="G370" s="89"/>
      <c r="H370" s="20">
        <v>0</v>
      </c>
      <c r="I370" s="20">
        <f t="shared" si="91"/>
        <v>421.94341799999995</v>
      </c>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WZC370" s="1"/>
      <c r="WZD370" s="1"/>
      <c r="WZE370" s="1"/>
      <c r="WZF370" s="1"/>
      <c r="WZG370" s="1"/>
      <c r="WZH370" s="1"/>
      <c r="WZI370" s="1"/>
      <c r="WZJ370" s="1"/>
      <c r="WZK370" s="1"/>
      <c r="WZL370" s="1"/>
      <c r="WZM370" s="1"/>
      <c r="WZN370" s="1"/>
      <c r="WZO370" s="1"/>
      <c r="WZP370" s="1"/>
      <c r="WZQ370" s="1"/>
      <c r="WZR370" s="1"/>
      <c r="WZS370" s="1"/>
      <c r="WZT370" s="1"/>
      <c r="WZU370" s="1"/>
      <c r="WZV370" s="1"/>
      <c r="WZW370" s="1"/>
      <c r="WZX370" s="1"/>
      <c r="WZY370" s="1"/>
      <c r="WZZ370" s="1"/>
      <c r="XAA370" s="1"/>
      <c r="XAB370" s="1"/>
      <c r="XAC370" s="1"/>
      <c r="XAD370" s="1"/>
      <c r="XAE370" s="1"/>
      <c r="XAF370" s="1"/>
      <c r="XAG370" s="1"/>
      <c r="XAH370" s="1"/>
      <c r="XAI370" s="1"/>
      <c r="XAJ370" s="1"/>
      <c r="XAK370" s="1"/>
      <c r="XAL370" s="1"/>
      <c r="XAM370" s="1"/>
      <c r="XAN370" s="1"/>
      <c r="XAO370" s="1"/>
      <c r="XAP370" s="1"/>
      <c r="XAQ370" s="1"/>
      <c r="XAR370" s="1"/>
      <c r="XAS370" s="1"/>
      <c r="XAT370" s="1"/>
      <c r="XAU370" s="1"/>
      <c r="XAV370" s="1"/>
      <c r="XAW370" s="1"/>
      <c r="XAX370" s="1"/>
      <c r="XAY370" s="1"/>
      <c r="XAZ370" s="1"/>
      <c r="XBA370" s="1"/>
      <c r="XBB370" s="1"/>
      <c r="XBC370" s="1"/>
      <c r="XBD370" s="1"/>
      <c r="XBE370" s="1"/>
      <c r="XBF370" s="1"/>
      <c r="XBG370" s="1"/>
      <c r="XBH370" s="1"/>
      <c r="XBI370" s="1"/>
      <c r="XBJ370" s="1"/>
      <c r="XBK370" s="1"/>
      <c r="XBL370" s="1"/>
      <c r="XBM370" s="1"/>
      <c r="XBN370" s="1"/>
      <c r="XBO370" s="1"/>
      <c r="XBP370" s="1"/>
      <c r="XBQ370" s="1"/>
      <c r="XBR370" s="1"/>
      <c r="XBS370" s="1"/>
      <c r="XBT370" s="1"/>
      <c r="XBU370" s="1"/>
      <c r="XBV370" s="1"/>
      <c r="XBW370" s="1"/>
      <c r="XBX370" s="1"/>
      <c r="XBY370" s="1"/>
      <c r="XBZ370" s="1"/>
      <c r="XCA370" s="1"/>
      <c r="XCB370" s="1"/>
      <c r="XCC370" s="1"/>
      <c r="XCD370" s="1"/>
      <c r="XCE370" s="1"/>
      <c r="XCF370" s="1"/>
      <c r="XCG370" s="1"/>
      <c r="XCH370" s="1"/>
      <c r="XCI370" s="1"/>
      <c r="XCJ370" s="1"/>
      <c r="XCK370" s="1"/>
      <c r="XCL370" s="1"/>
      <c r="XCM370" s="1"/>
      <c r="XCN370" s="1"/>
      <c r="XCO370" s="1"/>
      <c r="XCP370" s="1"/>
      <c r="XCQ370" s="1"/>
      <c r="XCR370" s="1"/>
      <c r="XCS370" s="1"/>
      <c r="XCT370" s="1"/>
      <c r="XCU370" s="1"/>
      <c r="XCV370" s="1"/>
      <c r="XCW370" s="1"/>
      <c r="XCX370" s="1"/>
      <c r="XCY370" s="1"/>
      <c r="XCZ370" s="1"/>
      <c r="XDA370" s="1"/>
      <c r="XDB370" s="1"/>
      <c r="XDC370" s="1"/>
      <c r="XDD370" s="1"/>
      <c r="XDE370" s="1"/>
      <c r="XDF370" s="1"/>
      <c r="XDG370" s="1"/>
      <c r="XDH370" s="1"/>
      <c r="XDI370" s="1"/>
      <c r="XDJ370" s="1"/>
      <c r="XDK370" s="1"/>
      <c r="XDL370" s="1"/>
      <c r="XDM370" s="1"/>
      <c r="XDN370" s="1"/>
      <c r="XDO370" s="1"/>
      <c r="XDP370" s="1"/>
      <c r="XDQ370" s="1"/>
      <c r="XDR370" s="1"/>
      <c r="XDS370" s="1"/>
      <c r="XDT370" s="1"/>
      <c r="XDU370" s="1"/>
      <c r="XDV370" s="1"/>
      <c r="XDW370" s="1"/>
      <c r="XDX370" s="1"/>
      <c r="XDY370" s="1"/>
      <c r="XDZ370" s="1"/>
      <c r="XEA370" s="1"/>
      <c r="XEB370" s="1"/>
      <c r="XEC370" s="1"/>
      <c r="XED370" s="1"/>
      <c r="XEE370" s="1"/>
      <c r="XEF370" s="1"/>
      <c r="XEG370" s="1"/>
      <c r="XEH370" s="1"/>
      <c r="XEI370" s="1"/>
      <c r="XEJ370" s="1"/>
      <c r="XEK370" s="1"/>
      <c r="XEL370" s="1"/>
      <c r="XEM370" s="1"/>
      <c r="XEN370" s="1"/>
      <c r="XEO370" s="1"/>
      <c r="XEP370" s="1"/>
      <c r="XEQ370" s="1"/>
      <c r="XER370" s="1"/>
      <c r="XES370" s="1"/>
      <c r="XET370" s="1"/>
      <c r="XEU370" s="1"/>
      <c r="XEV370" s="1"/>
      <c r="XEW370" s="1"/>
      <c r="XEX370" s="1"/>
      <c r="XEY370" s="1"/>
      <c r="XEZ370" s="1"/>
      <c r="XFA370" s="1"/>
      <c r="XFB370" s="1"/>
      <c r="XFC370" s="1"/>
      <c r="XFD370" s="1"/>
    </row>
    <row r="371" spans="1:151 16227:16384" s="11" customFormat="1" ht="20.25" customHeight="1" x14ac:dyDescent="0.25">
      <c r="A371" s="99"/>
      <c r="B371" s="100"/>
      <c r="C371" s="87">
        <f t="shared" si="92"/>
        <v>49</v>
      </c>
      <c r="D371" s="87"/>
      <c r="E371" s="20" t="s">
        <v>223</v>
      </c>
      <c r="F371" s="88">
        <f>18.17*10.764</f>
        <v>195.58188000000001</v>
      </c>
      <c r="G371" s="89"/>
      <c r="H371" s="20">
        <v>0</v>
      </c>
      <c r="I371" s="20">
        <f t="shared" si="91"/>
        <v>303.15191400000003</v>
      </c>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WZC371" s="1"/>
      <c r="WZD371" s="1"/>
      <c r="WZE371" s="1"/>
      <c r="WZF371" s="1"/>
      <c r="WZG371" s="1"/>
      <c r="WZH371" s="1"/>
      <c r="WZI371" s="1"/>
      <c r="WZJ371" s="1"/>
      <c r="WZK371" s="1"/>
      <c r="WZL371" s="1"/>
      <c r="WZM371" s="1"/>
      <c r="WZN371" s="1"/>
      <c r="WZO371" s="1"/>
      <c r="WZP371" s="1"/>
      <c r="WZQ371" s="1"/>
      <c r="WZR371" s="1"/>
      <c r="WZS371" s="1"/>
      <c r="WZT371" s="1"/>
      <c r="WZU371" s="1"/>
      <c r="WZV371" s="1"/>
      <c r="WZW371" s="1"/>
      <c r="WZX371" s="1"/>
      <c r="WZY371" s="1"/>
      <c r="WZZ371" s="1"/>
      <c r="XAA371" s="1"/>
      <c r="XAB371" s="1"/>
      <c r="XAC371" s="1"/>
      <c r="XAD371" s="1"/>
      <c r="XAE371" s="1"/>
      <c r="XAF371" s="1"/>
      <c r="XAG371" s="1"/>
      <c r="XAH371" s="1"/>
      <c r="XAI371" s="1"/>
      <c r="XAJ371" s="1"/>
      <c r="XAK371" s="1"/>
      <c r="XAL371" s="1"/>
      <c r="XAM371" s="1"/>
      <c r="XAN371" s="1"/>
      <c r="XAO371" s="1"/>
      <c r="XAP371" s="1"/>
      <c r="XAQ371" s="1"/>
      <c r="XAR371" s="1"/>
      <c r="XAS371" s="1"/>
      <c r="XAT371" s="1"/>
      <c r="XAU371" s="1"/>
      <c r="XAV371" s="1"/>
      <c r="XAW371" s="1"/>
      <c r="XAX371" s="1"/>
      <c r="XAY371" s="1"/>
      <c r="XAZ371" s="1"/>
      <c r="XBA371" s="1"/>
      <c r="XBB371" s="1"/>
      <c r="XBC371" s="1"/>
      <c r="XBD371" s="1"/>
      <c r="XBE371" s="1"/>
      <c r="XBF371" s="1"/>
      <c r="XBG371" s="1"/>
      <c r="XBH371" s="1"/>
      <c r="XBI371" s="1"/>
      <c r="XBJ371" s="1"/>
      <c r="XBK371" s="1"/>
      <c r="XBL371" s="1"/>
      <c r="XBM371" s="1"/>
      <c r="XBN371" s="1"/>
      <c r="XBO371" s="1"/>
      <c r="XBP371" s="1"/>
      <c r="XBQ371" s="1"/>
      <c r="XBR371" s="1"/>
      <c r="XBS371" s="1"/>
      <c r="XBT371" s="1"/>
      <c r="XBU371" s="1"/>
      <c r="XBV371" s="1"/>
      <c r="XBW371" s="1"/>
      <c r="XBX371" s="1"/>
      <c r="XBY371" s="1"/>
      <c r="XBZ371" s="1"/>
      <c r="XCA371" s="1"/>
      <c r="XCB371" s="1"/>
      <c r="XCC371" s="1"/>
      <c r="XCD371" s="1"/>
      <c r="XCE371" s="1"/>
      <c r="XCF371" s="1"/>
      <c r="XCG371" s="1"/>
      <c r="XCH371" s="1"/>
      <c r="XCI371" s="1"/>
      <c r="XCJ371" s="1"/>
      <c r="XCK371" s="1"/>
      <c r="XCL371" s="1"/>
      <c r="XCM371" s="1"/>
      <c r="XCN371" s="1"/>
      <c r="XCO371" s="1"/>
      <c r="XCP371" s="1"/>
      <c r="XCQ371" s="1"/>
      <c r="XCR371" s="1"/>
      <c r="XCS371" s="1"/>
      <c r="XCT371" s="1"/>
      <c r="XCU371" s="1"/>
      <c r="XCV371" s="1"/>
      <c r="XCW371" s="1"/>
      <c r="XCX371" s="1"/>
      <c r="XCY371" s="1"/>
      <c r="XCZ371" s="1"/>
      <c r="XDA371" s="1"/>
      <c r="XDB371" s="1"/>
      <c r="XDC371" s="1"/>
      <c r="XDD371" s="1"/>
      <c r="XDE371" s="1"/>
      <c r="XDF371" s="1"/>
      <c r="XDG371" s="1"/>
      <c r="XDH371" s="1"/>
      <c r="XDI371" s="1"/>
      <c r="XDJ371" s="1"/>
      <c r="XDK371" s="1"/>
      <c r="XDL371" s="1"/>
      <c r="XDM371" s="1"/>
      <c r="XDN371" s="1"/>
      <c r="XDO371" s="1"/>
      <c r="XDP371" s="1"/>
      <c r="XDQ371" s="1"/>
      <c r="XDR371" s="1"/>
      <c r="XDS371" s="1"/>
      <c r="XDT371" s="1"/>
      <c r="XDU371" s="1"/>
      <c r="XDV371" s="1"/>
      <c r="XDW371" s="1"/>
      <c r="XDX371" s="1"/>
      <c r="XDY371" s="1"/>
      <c r="XDZ371" s="1"/>
      <c r="XEA371" s="1"/>
      <c r="XEB371" s="1"/>
      <c r="XEC371" s="1"/>
      <c r="XED371" s="1"/>
      <c r="XEE371" s="1"/>
      <c r="XEF371" s="1"/>
      <c r="XEG371" s="1"/>
      <c r="XEH371" s="1"/>
      <c r="XEI371" s="1"/>
      <c r="XEJ371" s="1"/>
      <c r="XEK371" s="1"/>
      <c r="XEL371" s="1"/>
      <c r="XEM371" s="1"/>
      <c r="XEN371" s="1"/>
      <c r="XEO371" s="1"/>
      <c r="XEP371" s="1"/>
      <c r="XEQ371" s="1"/>
      <c r="XER371" s="1"/>
      <c r="XES371" s="1"/>
      <c r="XET371" s="1"/>
      <c r="XEU371" s="1"/>
      <c r="XEV371" s="1"/>
      <c r="XEW371" s="1"/>
      <c r="XEX371" s="1"/>
      <c r="XEY371" s="1"/>
      <c r="XEZ371" s="1"/>
      <c r="XFA371" s="1"/>
      <c r="XFB371" s="1"/>
      <c r="XFC371" s="1"/>
      <c r="XFD371" s="1"/>
    </row>
    <row r="372" spans="1:151 16227:16384" s="11" customFormat="1" ht="20.25" customHeight="1" x14ac:dyDescent="0.25">
      <c r="A372" s="99"/>
      <c r="B372" s="100"/>
      <c r="C372" s="87">
        <f t="shared" si="92"/>
        <v>50</v>
      </c>
      <c r="D372" s="87"/>
      <c r="E372" s="20" t="s">
        <v>217</v>
      </c>
      <c r="F372" s="88">
        <f>41.37*10.764</f>
        <v>445.30667999999997</v>
      </c>
      <c r="G372" s="89"/>
      <c r="H372" s="20">
        <v>0</v>
      </c>
      <c r="I372" s="20">
        <f t="shared" si="91"/>
        <v>690.22535399999992</v>
      </c>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WZC372" s="1"/>
      <c r="WZD372" s="1"/>
      <c r="WZE372" s="1"/>
      <c r="WZF372" s="1"/>
      <c r="WZG372" s="1"/>
      <c r="WZH372" s="1"/>
      <c r="WZI372" s="1"/>
      <c r="WZJ372" s="1"/>
      <c r="WZK372" s="1"/>
      <c r="WZL372" s="1"/>
      <c r="WZM372" s="1"/>
      <c r="WZN372" s="1"/>
      <c r="WZO372" s="1"/>
      <c r="WZP372" s="1"/>
      <c r="WZQ372" s="1"/>
      <c r="WZR372" s="1"/>
      <c r="WZS372" s="1"/>
      <c r="WZT372" s="1"/>
      <c r="WZU372" s="1"/>
      <c r="WZV372" s="1"/>
      <c r="WZW372" s="1"/>
      <c r="WZX372" s="1"/>
      <c r="WZY372" s="1"/>
      <c r="WZZ372" s="1"/>
      <c r="XAA372" s="1"/>
      <c r="XAB372" s="1"/>
      <c r="XAC372" s="1"/>
      <c r="XAD372" s="1"/>
      <c r="XAE372" s="1"/>
      <c r="XAF372" s="1"/>
      <c r="XAG372" s="1"/>
      <c r="XAH372" s="1"/>
      <c r="XAI372" s="1"/>
      <c r="XAJ372" s="1"/>
      <c r="XAK372" s="1"/>
      <c r="XAL372" s="1"/>
      <c r="XAM372" s="1"/>
      <c r="XAN372" s="1"/>
      <c r="XAO372" s="1"/>
      <c r="XAP372" s="1"/>
      <c r="XAQ372" s="1"/>
      <c r="XAR372" s="1"/>
      <c r="XAS372" s="1"/>
      <c r="XAT372" s="1"/>
      <c r="XAU372" s="1"/>
      <c r="XAV372" s="1"/>
      <c r="XAW372" s="1"/>
      <c r="XAX372" s="1"/>
      <c r="XAY372" s="1"/>
      <c r="XAZ372" s="1"/>
      <c r="XBA372" s="1"/>
      <c r="XBB372" s="1"/>
      <c r="XBC372" s="1"/>
      <c r="XBD372" s="1"/>
      <c r="XBE372" s="1"/>
      <c r="XBF372" s="1"/>
      <c r="XBG372" s="1"/>
      <c r="XBH372" s="1"/>
      <c r="XBI372" s="1"/>
      <c r="XBJ372" s="1"/>
      <c r="XBK372" s="1"/>
      <c r="XBL372" s="1"/>
      <c r="XBM372" s="1"/>
      <c r="XBN372" s="1"/>
      <c r="XBO372" s="1"/>
      <c r="XBP372" s="1"/>
      <c r="XBQ372" s="1"/>
      <c r="XBR372" s="1"/>
      <c r="XBS372" s="1"/>
      <c r="XBT372" s="1"/>
      <c r="XBU372" s="1"/>
      <c r="XBV372" s="1"/>
      <c r="XBW372" s="1"/>
      <c r="XBX372" s="1"/>
      <c r="XBY372" s="1"/>
      <c r="XBZ372" s="1"/>
      <c r="XCA372" s="1"/>
      <c r="XCB372" s="1"/>
      <c r="XCC372" s="1"/>
      <c r="XCD372" s="1"/>
      <c r="XCE372" s="1"/>
      <c r="XCF372" s="1"/>
      <c r="XCG372" s="1"/>
      <c r="XCH372" s="1"/>
      <c r="XCI372" s="1"/>
      <c r="XCJ372" s="1"/>
      <c r="XCK372" s="1"/>
      <c r="XCL372" s="1"/>
      <c r="XCM372" s="1"/>
      <c r="XCN372" s="1"/>
      <c r="XCO372" s="1"/>
      <c r="XCP372" s="1"/>
      <c r="XCQ372" s="1"/>
      <c r="XCR372" s="1"/>
      <c r="XCS372" s="1"/>
      <c r="XCT372" s="1"/>
      <c r="XCU372" s="1"/>
      <c r="XCV372" s="1"/>
      <c r="XCW372" s="1"/>
      <c r="XCX372" s="1"/>
      <c r="XCY372" s="1"/>
      <c r="XCZ372" s="1"/>
      <c r="XDA372" s="1"/>
      <c r="XDB372" s="1"/>
      <c r="XDC372" s="1"/>
      <c r="XDD372" s="1"/>
      <c r="XDE372" s="1"/>
      <c r="XDF372" s="1"/>
      <c r="XDG372" s="1"/>
      <c r="XDH372" s="1"/>
      <c r="XDI372" s="1"/>
      <c r="XDJ372" s="1"/>
      <c r="XDK372" s="1"/>
      <c r="XDL372" s="1"/>
      <c r="XDM372" s="1"/>
      <c r="XDN372" s="1"/>
      <c r="XDO372" s="1"/>
      <c r="XDP372" s="1"/>
      <c r="XDQ372" s="1"/>
      <c r="XDR372" s="1"/>
      <c r="XDS372" s="1"/>
      <c r="XDT372" s="1"/>
      <c r="XDU372" s="1"/>
      <c r="XDV372" s="1"/>
      <c r="XDW372" s="1"/>
      <c r="XDX372" s="1"/>
      <c r="XDY372" s="1"/>
      <c r="XDZ372" s="1"/>
      <c r="XEA372" s="1"/>
      <c r="XEB372" s="1"/>
      <c r="XEC372" s="1"/>
      <c r="XED372" s="1"/>
      <c r="XEE372" s="1"/>
      <c r="XEF372" s="1"/>
      <c r="XEG372" s="1"/>
      <c r="XEH372" s="1"/>
      <c r="XEI372" s="1"/>
      <c r="XEJ372" s="1"/>
      <c r="XEK372" s="1"/>
      <c r="XEL372" s="1"/>
      <c r="XEM372" s="1"/>
      <c r="XEN372" s="1"/>
      <c r="XEO372" s="1"/>
      <c r="XEP372" s="1"/>
      <c r="XEQ372" s="1"/>
      <c r="XER372" s="1"/>
      <c r="XES372" s="1"/>
      <c r="XET372" s="1"/>
      <c r="XEU372" s="1"/>
      <c r="XEV372" s="1"/>
      <c r="XEW372" s="1"/>
      <c r="XEX372" s="1"/>
      <c r="XEY372" s="1"/>
      <c r="XEZ372" s="1"/>
      <c r="XFA372" s="1"/>
      <c r="XFB372" s="1"/>
      <c r="XFC372" s="1"/>
      <c r="XFD372" s="1"/>
    </row>
    <row r="373" spans="1:151 16227:16384" s="11" customFormat="1" ht="20.25" customHeight="1" x14ac:dyDescent="0.25">
      <c r="A373" s="99"/>
      <c r="B373" s="100"/>
      <c r="C373" s="87">
        <f t="shared" si="92"/>
        <v>51</v>
      </c>
      <c r="D373" s="87"/>
      <c r="E373" s="20" t="s">
        <v>217</v>
      </c>
      <c r="F373" s="88">
        <f>22.11*10.764</f>
        <v>237.99203999999997</v>
      </c>
      <c r="G373" s="89"/>
      <c r="H373" s="20">
        <v>0</v>
      </c>
      <c r="I373" s="20">
        <f t="shared" si="91"/>
        <v>368.88766199999998</v>
      </c>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WZC373" s="1"/>
      <c r="WZD373" s="1"/>
      <c r="WZE373" s="1"/>
      <c r="WZF373" s="1"/>
      <c r="WZG373" s="1"/>
      <c r="WZH373" s="1"/>
      <c r="WZI373" s="1"/>
      <c r="WZJ373" s="1"/>
      <c r="WZK373" s="1"/>
      <c r="WZL373" s="1"/>
      <c r="WZM373" s="1"/>
      <c r="WZN373" s="1"/>
      <c r="WZO373" s="1"/>
      <c r="WZP373" s="1"/>
      <c r="WZQ373" s="1"/>
      <c r="WZR373" s="1"/>
      <c r="WZS373" s="1"/>
      <c r="WZT373" s="1"/>
      <c r="WZU373" s="1"/>
      <c r="WZV373" s="1"/>
      <c r="WZW373" s="1"/>
      <c r="WZX373" s="1"/>
      <c r="WZY373" s="1"/>
      <c r="WZZ373" s="1"/>
      <c r="XAA373" s="1"/>
      <c r="XAB373" s="1"/>
      <c r="XAC373" s="1"/>
      <c r="XAD373" s="1"/>
      <c r="XAE373" s="1"/>
      <c r="XAF373" s="1"/>
      <c r="XAG373" s="1"/>
      <c r="XAH373" s="1"/>
      <c r="XAI373" s="1"/>
      <c r="XAJ373" s="1"/>
      <c r="XAK373" s="1"/>
      <c r="XAL373" s="1"/>
      <c r="XAM373" s="1"/>
      <c r="XAN373" s="1"/>
      <c r="XAO373" s="1"/>
      <c r="XAP373" s="1"/>
      <c r="XAQ373" s="1"/>
      <c r="XAR373" s="1"/>
      <c r="XAS373" s="1"/>
      <c r="XAT373" s="1"/>
      <c r="XAU373" s="1"/>
      <c r="XAV373" s="1"/>
      <c r="XAW373" s="1"/>
      <c r="XAX373" s="1"/>
      <c r="XAY373" s="1"/>
      <c r="XAZ373" s="1"/>
      <c r="XBA373" s="1"/>
      <c r="XBB373" s="1"/>
      <c r="XBC373" s="1"/>
      <c r="XBD373" s="1"/>
      <c r="XBE373" s="1"/>
      <c r="XBF373" s="1"/>
      <c r="XBG373" s="1"/>
      <c r="XBH373" s="1"/>
      <c r="XBI373" s="1"/>
      <c r="XBJ373" s="1"/>
      <c r="XBK373" s="1"/>
      <c r="XBL373" s="1"/>
      <c r="XBM373" s="1"/>
      <c r="XBN373" s="1"/>
      <c r="XBO373" s="1"/>
      <c r="XBP373" s="1"/>
      <c r="XBQ373" s="1"/>
      <c r="XBR373" s="1"/>
      <c r="XBS373" s="1"/>
      <c r="XBT373" s="1"/>
      <c r="XBU373" s="1"/>
      <c r="XBV373" s="1"/>
      <c r="XBW373" s="1"/>
      <c r="XBX373" s="1"/>
      <c r="XBY373" s="1"/>
      <c r="XBZ373" s="1"/>
      <c r="XCA373" s="1"/>
      <c r="XCB373" s="1"/>
      <c r="XCC373" s="1"/>
      <c r="XCD373" s="1"/>
      <c r="XCE373" s="1"/>
      <c r="XCF373" s="1"/>
      <c r="XCG373" s="1"/>
      <c r="XCH373" s="1"/>
      <c r="XCI373" s="1"/>
      <c r="XCJ373" s="1"/>
      <c r="XCK373" s="1"/>
      <c r="XCL373" s="1"/>
      <c r="XCM373" s="1"/>
      <c r="XCN373" s="1"/>
      <c r="XCO373" s="1"/>
      <c r="XCP373" s="1"/>
      <c r="XCQ373" s="1"/>
      <c r="XCR373" s="1"/>
      <c r="XCS373" s="1"/>
      <c r="XCT373" s="1"/>
      <c r="XCU373" s="1"/>
      <c r="XCV373" s="1"/>
      <c r="XCW373" s="1"/>
      <c r="XCX373" s="1"/>
      <c r="XCY373" s="1"/>
      <c r="XCZ373" s="1"/>
      <c r="XDA373" s="1"/>
      <c r="XDB373" s="1"/>
      <c r="XDC373" s="1"/>
      <c r="XDD373" s="1"/>
      <c r="XDE373" s="1"/>
      <c r="XDF373" s="1"/>
      <c r="XDG373" s="1"/>
      <c r="XDH373" s="1"/>
      <c r="XDI373" s="1"/>
      <c r="XDJ373" s="1"/>
      <c r="XDK373" s="1"/>
      <c r="XDL373" s="1"/>
      <c r="XDM373" s="1"/>
      <c r="XDN373" s="1"/>
      <c r="XDO373" s="1"/>
      <c r="XDP373" s="1"/>
      <c r="XDQ373" s="1"/>
      <c r="XDR373" s="1"/>
      <c r="XDS373" s="1"/>
      <c r="XDT373" s="1"/>
      <c r="XDU373" s="1"/>
      <c r="XDV373" s="1"/>
      <c r="XDW373" s="1"/>
      <c r="XDX373" s="1"/>
      <c r="XDY373" s="1"/>
      <c r="XDZ373" s="1"/>
      <c r="XEA373" s="1"/>
      <c r="XEB373" s="1"/>
      <c r="XEC373" s="1"/>
      <c r="XED373" s="1"/>
      <c r="XEE373" s="1"/>
      <c r="XEF373" s="1"/>
      <c r="XEG373" s="1"/>
      <c r="XEH373" s="1"/>
      <c r="XEI373" s="1"/>
      <c r="XEJ373" s="1"/>
      <c r="XEK373" s="1"/>
      <c r="XEL373" s="1"/>
      <c r="XEM373" s="1"/>
      <c r="XEN373" s="1"/>
      <c r="XEO373" s="1"/>
      <c r="XEP373" s="1"/>
      <c r="XEQ373" s="1"/>
      <c r="XER373" s="1"/>
      <c r="XES373" s="1"/>
      <c r="XET373" s="1"/>
      <c r="XEU373" s="1"/>
      <c r="XEV373" s="1"/>
      <c r="XEW373" s="1"/>
      <c r="XEX373" s="1"/>
      <c r="XEY373" s="1"/>
      <c r="XEZ373" s="1"/>
      <c r="XFA373" s="1"/>
      <c r="XFB373" s="1"/>
      <c r="XFC373" s="1"/>
      <c r="XFD373" s="1"/>
    </row>
    <row r="374" spans="1:151 16227:16384" s="11" customFormat="1" ht="20.25" customHeight="1" x14ac:dyDescent="0.25">
      <c r="A374" s="99"/>
      <c r="B374" s="100"/>
      <c r="C374" s="87">
        <f t="shared" si="92"/>
        <v>52</v>
      </c>
      <c r="D374" s="87"/>
      <c r="E374" s="55" t="s">
        <v>217</v>
      </c>
      <c r="F374" s="88">
        <f>43.66*10.764</f>
        <v>469.95623999999992</v>
      </c>
      <c r="G374" s="89"/>
      <c r="H374" s="55">
        <v>0</v>
      </c>
      <c r="I374" s="55">
        <f t="shared" ref="I374:I375" si="93">F374*(($I$166)+1)+H374</f>
        <v>728.43217199999992</v>
      </c>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WZC374" s="1"/>
      <c r="WZD374" s="1"/>
      <c r="WZE374" s="1"/>
      <c r="WZF374" s="1"/>
      <c r="WZG374" s="1"/>
      <c r="WZH374" s="1"/>
      <c r="WZI374" s="1"/>
      <c r="WZJ374" s="1"/>
      <c r="WZK374" s="1"/>
      <c r="WZL374" s="1"/>
      <c r="WZM374" s="1"/>
      <c r="WZN374" s="1"/>
      <c r="WZO374" s="1"/>
      <c r="WZP374" s="1"/>
      <c r="WZQ374" s="1"/>
      <c r="WZR374" s="1"/>
      <c r="WZS374" s="1"/>
      <c r="WZT374" s="1"/>
      <c r="WZU374" s="1"/>
      <c r="WZV374" s="1"/>
      <c r="WZW374" s="1"/>
      <c r="WZX374" s="1"/>
      <c r="WZY374" s="1"/>
      <c r="WZZ374" s="1"/>
      <c r="XAA374" s="1"/>
      <c r="XAB374" s="1"/>
      <c r="XAC374" s="1"/>
      <c r="XAD374" s="1"/>
      <c r="XAE374" s="1"/>
      <c r="XAF374" s="1"/>
      <c r="XAG374" s="1"/>
      <c r="XAH374" s="1"/>
      <c r="XAI374" s="1"/>
      <c r="XAJ374" s="1"/>
      <c r="XAK374" s="1"/>
      <c r="XAL374" s="1"/>
      <c r="XAM374" s="1"/>
      <c r="XAN374" s="1"/>
      <c r="XAO374" s="1"/>
      <c r="XAP374" s="1"/>
      <c r="XAQ374" s="1"/>
      <c r="XAR374" s="1"/>
      <c r="XAS374" s="1"/>
      <c r="XAT374" s="1"/>
      <c r="XAU374" s="1"/>
      <c r="XAV374" s="1"/>
      <c r="XAW374" s="1"/>
      <c r="XAX374" s="1"/>
      <c r="XAY374" s="1"/>
      <c r="XAZ374" s="1"/>
      <c r="XBA374" s="1"/>
      <c r="XBB374" s="1"/>
      <c r="XBC374" s="1"/>
      <c r="XBD374" s="1"/>
      <c r="XBE374" s="1"/>
      <c r="XBF374" s="1"/>
      <c r="XBG374" s="1"/>
      <c r="XBH374" s="1"/>
      <c r="XBI374" s="1"/>
      <c r="XBJ374" s="1"/>
      <c r="XBK374" s="1"/>
      <c r="XBL374" s="1"/>
      <c r="XBM374" s="1"/>
      <c r="XBN374" s="1"/>
      <c r="XBO374" s="1"/>
      <c r="XBP374" s="1"/>
      <c r="XBQ374" s="1"/>
      <c r="XBR374" s="1"/>
      <c r="XBS374" s="1"/>
      <c r="XBT374" s="1"/>
      <c r="XBU374" s="1"/>
      <c r="XBV374" s="1"/>
      <c r="XBW374" s="1"/>
      <c r="XBX374" s="1"/>
      <c r="XBY374" s="1"/>
      <c r="XBZ374" s="1"/>
      <c r="XCA374" s="1"/>
      <c r="XCB374" s="1"/>
      <c r="XCC374" s="1"/>
      <c r="XCD374" s="1"/>
      <c r="XCE374" s="1"/>
      <c r="XCF374" s="1"/>
      <c r="XCG374" s="1"/>
      <c r="XCH374" s="1"/>
      <c r="XCI374" s="1"/>
      <c r="XCJ374" s="1"/>
      <c r="XCK374" s="1"/>
      <c r="XCL374" s="1"/>
      <c r="XCM374" s="1"/>
      <c r="XCN374" s="1"/>
      <c r="XCO374" s="1"/>
      <c r="XCP374" s="1"/>
      <c r="XCQ374" s="1"/>
      <c r="XCR374" s="1"/>
      <c r="XCS374" s="1"/>
      <c r="XCT374" s="1"/>
      <c r="XCU374" s="1"/>
      <c r="XCV374" s="1"/>
      <c r="XCW374" s="1"/>
      <c r="XCX374" s="1"/>
      <c r="XCY374" s="1"/>
      <c r="XCZ374" s="1"/>
      <c r="XDA374" s="1"/>
      <c r="XDB374" s="1"/>
      <c r="XDC374" s="1"/>
      <c r="XDD374" s="1"/>
      <c r="XDE374" s="1"/>
      <c r="XDF374" s="1"/>
      <c r="XDG374" s="1"/>
      <c r="XDH374" s="1"/>
      <c r="XDI374" s="1"/>
      <c r="XDJ374" s="1"/>
      <c r="XDK374" s="1"/>
      <c r="XDL374" s="1"/>
      <c r="XDM374" s="1"/>
      <c r="XDN374" s="1"/>
      <c r="XDO374" s="1"/>
      <c r="XDP374" s="1"/>
      <c r="XDQ374" s="1"/>
      <c r="XDR374" s="1"/>
      <c r="XDS374" s="1"/>
      <c r="XDT374" s="1"/>
      <c r="XDU374" s="1"/>
      <c r="XDV374" s="1"/>
      <c r="XDW374" s="1"/>
      <c r="XDX374" s="1"/>
      <c r="XDY374" s="1"/>
      <c r="XDZ374" s="1"/>
      <c r="XEA374" s="1"/>
      <c r="XEB374" s="1"/>
      <c r="XEC374" s="1"/>
      <c r="XED374" s="1"/>
      <c r="XEE374" s="1"/>
      <c r="XEF374" s="1"/>
      <c r="XEG374" s="1"/>
      <c r="XEH374" s="1"/>
      <c r="XEI374" s="1"/>
      <c r="XEJ374" s="1"/>
      <c r="XEK374" s="1"/>
      <c r="XEL374" s="1"/>
      <c r="XEM374" s="1"/>
      <c r="XEN374" s="1"/>
      <c r="XEO374" s="1"/>
      <c r="XEP374" s="1"/>
      <c r="XEQ374" s="1"/>
      <c r="XER374" s="1"/>
      <c r="XES374" s="1"/>
      <c r="XET374" s="1"/>
      <c r="XEU374" s="1"/>
      <c r="XEV374" s="1"/>
      <c r="XEW374" s="1"/>
      <c r="XEX374" s="1"/>
      <c r="XEY374" s="1"/>
      <c r="XEZ374" s="1"/>
      <c r="XFA374" s="1"/>
      <c r="XFB374" s="1"/>
      <c r="XFC374" s="1"/>
      <c r="XFD374" s="1"/>
    </row>
    <row r="375" spans="1:151 16227:16384" s="11" customFormat="1" ht="20.25" customHeight="1" x14ac:dyDescent="0.25">
      <c r="A375" s="101"/>
      <c r="B375" s="102"/>
      <c r="C375" s="87">
        <f t="shared" si="92"/>
        <v>53</v>
      </c>
      <c r="D375" s="87"/>
      <c r="E375" s="55" t="s">
        <v>217</v>
      </c>
      <c r="F375" s="88">
        <f>41.67*10.764</f>
        <v>448.53587999999996</v>
      </c>
      <c r="G375" s="89"/>
      <c r="H375" s="55">
        <v>0</v>
      </c>
      <c r="I375" s="55">
        <f t="shared" si="93"/>
        <v>695.23061399999995</v>
      </c>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WZC375" s="1"/>
      <c r="WZD375" s="1"/>
      <c r="WZE375" s="1"/>
      <c r="WZF375" s="1"/>
      <c r="WZG375" s="1"/>
      <c r="WZH375" s="1"/>
      <c r="WZI375" s="1"/>
      <c r="WZJ375" s="1"/>
      <c r="WZK375" s="1"/>
      <c r="WZL375" s="1"/>
      <c r="WZM375" s="1"/>
      <c r="WZN375" s="1"/>
      <c r="WZO375" s="1"/>
      <c r="WZP375" s="1"/>
      <c r="WZQ375" s="1"/>
      <c r="WZR375" s="1"/>
      <c r="WZS375" s="1"/>
      <c r="WZT375" s="1"/>
      <c r="WZU375" s="1"/>
      <c r="WZV375" s="1"/>
      <c r="WZW375" s="1"/>
      <c r="WZX375" s="1"/>
      <c r="WZY375" s="1"/>
      <c r="WZZ375" s="1"/>
      <c r="XAA375" s="1"/>
      <c r="XAB375" s="1"/>
      <c r="XAC375" s="1"/>
      <c r="XAD375" s="1"/>
      <c r="XAE375" s="1"/>
      <c r="XAF375" s="1"/>
      <c r="XAG375" s="1"/>
      <c r="XAH375" s="1"/>
      <c r="XAI375" s="1"/>
      <c r="XAJ375" s="1"/>
      <c r="XAK375" s="1"/>
      <c r="XAL375" s="1"/>
      <c r="XAM375" s="1"/>
      <c r="XAN375" s="1"/>
      <c r="XAO375" s="1"/>
      <c r="XAP375" s="1"/>
      <c r="XAQ375" s="1"/>
      <c r="XAR375" s="1"/>
      <c r="XAS375" s="1"/>
      <c r="XAT375" s="1"/>
      <c r="XAU375" s="1"/>
      <c r="XAV375" s="1"/>
      <c r="XAW375" s="1"/>
      <c r="XAX375" s="1"/>
      <c r="XAY375" s="1"/>
      <c r="XAZ375" s="1"/>
      <c r="XBA375" s="1"/>
      <c r="XBB375" s="1"/>
      <c r="XBC375" s="1"/>
      <c r="XBD375" s="1"/>
      <c r="XBE375" s="1"/>
      <c r="XBF375" s="1"/>
      <c r="XBG375" s="1"/>
      <c r="XBH375" s="1"/>
      <c r="XBI375" s="1"/>
      <c r="XBJ375" s="1"/>
      <c r="XBK375" s="1"/>
      <c r="XBL375" s="1"/>
      <c r="XBM375" s="1"/>
      <c r="XBN375" s="1"/>
      <c r="XBO375" s="1"/>
      <c r="XBP375" s="1"/>
      <c r="XBQ375" s="1"/>
      <c r="XBR375" s="1"/>
      <c r="XBS375" s="1"/>
      <c r="XBT375" s="1"/>
      <c r="XBU375" s="1"/>
      <c r="XBV375" s="1"/>
      <c r="XBW375" s="1"/>
      <c r="XBX375" s="1"/>
      <c r="XBY375" s="1"/>
      <c r="XBZ375" s="1"/>
      <c r="XCA375" s="1"/>
      <c r="XCB375" s="1"/>
      <c r="XCC375" s="1"/>
      <c r="XCD375" s="1"/>
      <c r="XCE375" s="1"/>
      <c r="XCF375" s="1"/>
      <c r="XCG375" s="1"/>
      <c r="XCH375" s="1"/>
      <c r="XCI375" s="1"/>
      <c r="XCJ375" s="1"/>
      <c r="XCK375" s="1"/>
      <c r="XCL375" s="1"/>
      <c r="XCM375" s="1"/>
      <c r="XCN375" s="1"/>
      <c r="XCO375" s="1"/>
      <c r="XCP375" s="1"/>
      <c r="XCQ375" s="1"/>
      <c r="XCR375" s="1"/>
      <c r="XCS375" s="1"/>
      <c r="XCT375" s="1"/>
      <c r="XCU375" s="1"/>
      <c r="XCV375" s="1"/>
      <c r="XCW375" s="1"/>
      <c r="XCX375" s="1"/>
      <c r="XCY375" s="1"/>
      <c r="XCZ375" s="1"/>
      <c r="XDA375" s="1"/>
      <c r="XDB375" s="1"/>
      <c r="XDC375" s="1"/>
      <c r="XDD375" s="1"/>
      <c r="XDE375" s="1"/>
      <c r="XDF375" s="1"/>
      <c r="XDG375" s="1"/>
      <c r="XDH375" s="1"/>
      <c r="XDI375" s="1"/>
      <c r="XDJ375" s="1"/>
      <c r="XDK375" s="1"/>
      <c r="XDL375" s="1"/>
      <c r="XDM375" s="1"/>
      <c r="XDN375" s="1"/>
      <c r="XDO375" s="1"/>
      <c r="XDP375" s="1"/>
      <c r="XDQ375" s="1"/>
      <c r="XDR375" s="1"/>
      <c r="XDS375" s="1"/>
      <c r="XDT375" s="1"/>
      <c r="XDU375" s="1"/>
      <c r="XDV375" s="1"/>
      <c r="XDW375" s="1"/>
      <c r="XDX375" s="1"/>
      <c r="XDY375" s="1"/>
      <c r="XDZ375" s="1"/>
      <c r="XEA375" s="1"/>
      <c r="XEB375" s="1"/>
      <c r="XEC375" s="1"/>
      <c r="XED375" s="1"/>
      <c r="XEE375" s="1"/>
      <c r="XEF375" s="1"/>
      <c r="XEG375" s="1"/>
      <c r="XEH375" s="1"/>
      <c r="XEI375" s="1"/>
      <c r="XEJ375" s="1"/>
      <c r="XEK375" s="1"/>
      <c r="XEL375" s="1"/>
      <c r="XEM375" s="1"/>
      <c r="XEN375" s="1"/>
      <c r="XEO375" s="1"/>
      <c r="XEP375" s="1"/>
      <c r="XEQ375" s="1"/>
      <c r="XER375" s="1"/>
      <c r="XES375" s="1"/>
      <c r="XET375" s="1"/>
      <c r="XEU375" s="1"/>
      <c r="XEV375" s="1"/>
      <c r="XEW375" s="1"/>
      <c r="XEX375" s="1"/>
      <c r="XEY375" s="1"/>
      <c r="XEZ375" s="1"/>
      <c r="XFA375" s="1"/>
      <c r="XFB375" s="1"/>
      <c r="XFC375" s="1"/>
      <c r="XFD375" s="1"/>
    </row>
    <row r="376" spans="1:151 16227:16384" s="11" customFormat="1" ht="20.25" x14ac:dyDescent="0.25">
      <c r="A376" s="94" t="s">
        <v>157</v>
      </c>
      <c r="B376" s="95"/>
      <c r="C376" s="95"/>
      <c r="D376" s="95"/>
      <c r="E376" s="95"/>
      <c r="F376" s="95"/>
      <c r="G376" s="95"/>
      <c r="H376" s="95"/>
      <c r="I376" s="103"/>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WZC376" s="1"/>
      <c r="WZD376" s="1"/>
      <c r="WZE376" s="1"/>
      <c r="WZF376" s="1"/>
      <c r="WZG376" s="1"/>
      <c r="WZH376" s="1"/>
      <c r="WZI376" s="1"/>
      <c r="WZJ376" s="1"/>
      <c r="WZK376" s="1"/>
      <c r="WZL376" s="1"/>
      <c r="WZM376" s="1"/>
      <c r="WZN376" s="1"/>
      <c r="WZO376" s="1"/>
      <c r="WZP376" s="1"/>
      <c r="WZQ376" s="1"/>
      <c r="WZR376" s="1"/>
      <c r="WZS376" s="1"/>
      <c r="WZT376" s="1"/>
      <c r="WZU376" s="1"/>
      <c r="WZV376" s="1"/>
      <c r="WZW376" s="1"/>
      <c r="WZX376" s="1"/>
      <c r="WZY376" s="1"/>
      <c r="WZZ376" s="1"/>
      <c r="XAA376" s="1"/>
      <c r="XAB376" s="1"/>
      <c r="XAC376" s="1"/>
      <c r="XAD376" s="1"/>
      <c r="XAE376" s="1"/>
      <c r="XAF376" s="1"/>
      <c r="XAG376" s="1"/>
      <c r="XAH376" s="1"/>
      <c r="XAI376" s="1"/>
      <c r="XAJ376" s="1"/>
      <c r="XAK376" s="1"/>
      <c r="XAL376" s="1"/>
      <c r="XAM376" s="1"/>
      <c r="XAN376" s="1"/>
      <c r="XAO376" s="1"/>
      <c r="XAP376" s="1"/>
      <c r="XAQ376" s="1"/>
      <c r="XAR376" s="1"/>
      <c r="XAS376" s="1"/>
      <c r="XAT376" s="1"/>
      <c r="XAU376" s="1"/>
      <c r="XAV376" s="1"/>
      <c r="XAW376" s="1"/>
      <c r="XAX376" s="1"/>
      <c r="XAY376" s="1"/>
      <c r="XAZ376" s="1"/>
      <c r="XBA376" s="1"/>
      <c r="XBB376" s="1"/>
      <c r="XBC376" s="1"/>
      <c r="XBD376" s="1"/>
      <c r="XBE376" s="1"/>
      <c r="XBF376" s="1"/>
      <c r="XBG376" s="1"/>
      <c r="XBH376" s="1"/>
      <c r="XBI376" s="1"/>
      <c r="XBJ376" s="1"/>
      <c r="XBK376" s="1"/>
      <c r="XBL376" s="1"/>
      <c r="XBM376" s="1"/>
      <c r="XBN376" s="1"/>
      <c r="XBO376" s="1"/>
      <c r="XBP376" s="1"/>
      <c r="XBQ376" s="1"/>
      <c r="XBR376" s="1"/>
      <c r="XBS376" s="1"/>
      <c r="XBT376" s="1"/>
      <c r="XBU376" s="1"/>
      <c r="XBV376" s="1"/>
      <c r="XBW376" s="1"/>
      <c r="XBX376" s="1"/>
      <c r="XBY376" s="1"/>
      <c r="XBZ376" s="1"/>
      <c r="XCA376" s="1"/>
      <c r="XCB376" s="1"/>
      <c r="XCC376" s="1"/>
      <c r="XCD376" s="1"/>
      <c r="XCE376" s="1"/>
      <c r="XCF376" s="1"/>
      <c r="XCG376" s="1"/>
      <c r="XCH376" s="1"/>
      <c r="XCI376" s="1"/>
      <c r="XCJ376" s="1"/>
      <c r="XCK376" s="1"/>
      <c r="XCL376" s="1"/>
      <c r="XCM376" s="1"/>
      <c r="XCN376" s="1"/>
      <c r="XCO376" s="1"/>
      <c r="XCP376" s="1"/>
      <c r="XCQ376" s="1"/>
      <c r="XCR376" s="1"/>
      <c r="XCS376" s="1"/>
      <c r="XCT376" s="1"/>
      <c r="XCU376" s="1"/>
      <c r="XCV376" s="1"/>
      <c r="XCW376" s="1"/>
      <c r="XCX376" s="1"/>
      <c r="XCY376" s="1"/>
      <c r="XCZ376" s="1"/>
      <c r="XDA376" s="1"/>
      <c r="XDB376" s="1"/>
      <c r="XDC376" s="1"/>
      <c r="XDD376" s="1"/>
      <c r="XDE376" s="1"/>
      <c r="XDF376" s="1"/>
      <c r="XDG376" s="1"/>
      <c r="XDH376" s="1"/>
      <c r="XDI376" s="1"/>
      <c r="XDJ376" s="1"/>
      <c r="XDK376" s="1"/>
      <c r="XDL376" s="1"/>
      <c r="XDM376" s="1"/>
      <c r="XDN376" s="1"/>
      <c r="XDO376" s="1"/>
      <c r="XDP376" s="1"/>
      <c r="XDQ376" s="1"/>
      <c r="XDR376" s="1"/>
      <c r="XDS376" s="1"/>
      <c r="XDT376" s="1"/>
      <c r="XDU376" s="1"/>
      <c r="XDV376" s="1"/>
      <c r="XDW376" s="1"/>
      <c r="XDX376" s="1"/>
      <c r="XDY376" s="1"/>
      <c r="XDZ376" s="1"/>
      <c r="XEA376" s="1"/>
      <c r="XEB376" s="1"/>
      <c r="XEC376" s="1"/>
      <c r="XED376" s="1"/>
      <c r="XEE376" s="1"/>
      <c r="XEF376" s="1"/>
      <c r="XEG376" s="1"/>
      <c r="XEH376" s="1"/>
      <c r="XEI376" s="1"/>
      <c r="XEJ376" s="1"/>
      <c r="XEK376" s="1"/>
      <c r="XEL376" s="1"/>
      <c r="XEM376" s="1"/>
      <c r="XEN376" s="1"/>
      <c r="XEO376" s="1"/>
      <c r="XEP376" s="1"/>
      <c r="XEQ376" s="1"/>
      <c r="XER376" s="1"/>
      <c r="XES376" s="1"/>
      <c r="XET376" s="1"/>
      <c r="XEU376" s="1"/>
      <c r="XEV376" s="1"/>
      <c r="XEW376" s="1"/>
      <c r="XEX376" s="1"/>
      <c r="XEY376" s="1"/>
      <c r="XEZ376" s="1"/>
      <c r="XFA376" s="1"/>
      <c r="XFB376" s="1"/>
      <c r="XFC376" s="1"/>
      <c r="XFD376" s="1"/>
    </row>
    <row r="377" spans="1:151 16227:16384" s="11" customFormat="1" ht="20.25" customHeight="1" x14ac:dyDescent="0.25">
      <c r="A377" s="97" t="str">
        <f>A376</f>
        <v>1st Floor</v>
      </c>
      <c r="B377" s="98"/>
      <c r="C377" s="88">
        <v>1</v>
      </c>
      <c r="D377" s="89"/>
      <c r="E377" s="20" t="s">
        <v>218</v>
      </c>
      <c r="F377" s="88">
        <f>34.49*10.764</f>
        <v>371.25036</v>
      </c>
      <c r="G377" s="89"/>
      <c r="H377" s="20">
        <v>0</v>
      </c>
      <c r="I377" s="20">
        <f t="shared" ref="I377:I378" si="94">F377*(($I$166)+1)+H377</f>
        <v>575.43805800000007</v>
      </c>
      <c r="J377" s="1"/>
      <c r="K377" s="1"/>
      <c r="L377" s="1"/>
      <c r="M377" s="1"/>
      <c r="N377" s="1"/>
      <c r="O377" s="1"/>
      <c r="P377" s="1"/>
      <c r="Q377" s="1"/>
      <c r="R377" s="1"/>
      <c r="S377" s="1"/>
      <c r="T377" s="1"/>
      <c r="U377" s="43" t="str">
        <f t="shared" ref="U377:U387" ca="1" si="95">V377&amp;""&amp;",..,"&amp;""&amp;W377</f>
        <v>101,..,101</v>
      </c>
      <c r="V377" s="43">
        <f ca="1">(SUMPRODUCT(MID(0&amp;(LEFT(A376,SUM(LEN(A376)-LEN(SUBSTITUTE(A376,{"0","1","2","3"},""))))), LARGE(INDEX(ISNUMBER(--MID((LEFT(A376,SUM(LEN(A376)-LEN(SUBSTITUTE(A376,{"0","1","2","3"},""))))), ROW(INDIRECT("1:"&amp;LEN((LEFT(A376,SUM(LEN(A376)-LEN(SUBSTITUTE(A376,{"0","1","2","3"},"")))))))), 1)) * ROW(INDIRECT("1:"&amp;LEN((LEFT(A376,SUM(LEN(A376)-LEN(SUBSTITUTE(A376,{"0","1","2","3"},"")))))))), 0), ROW(INDIRECT("1:"&amp;LEN((LEFT(A376,SUM(LEN(A376)-LEN(SUBSTITUTE(A376,{"0","1","2","3"},"")))))))))+1, 1) * 10^ROW(INDIRECT("1:"&amp;LEN((LEFT(A376,SUM(LEN(A376)-LEN(SUBSTITUTE(A376,{"0","1","2","3"},""))))))))/10))*100+1</f>
        <v>101</v>
      </c>
      <c r="W377" s="43">
        <f ca="1">(SUMPRODUCT(MID(0&amp;(--TRIM(RIGHT(SUBSTITUTE(LEFT(A376,_xlfn.AGGREGATE(16,6,FIND({0,1,2,3,4,5,6,7,8,9},A376,ROW(INDIRECT("1:"&amp;LEN(A376)))),1))," ",REPT(" ",LEN(A376))),LEN(A376)))), LARGE(INDEX(ISNUMBER(--MID((--TRIM(RIGHT(SUBSTITUTE(LEFT(A376,_xlfn.AGGREGATE(16,6,FIND({0,1,2,3,4,5,6,7,8,9},A376,ROW(INDIRECT("1:"&amp;LEN(A376)))),1))," ",REPT(" ",LEN(A376))),LEN(A376)))), ROW(INDIRECT("1:"&amp;LEN((--TRIM(RIGHT(SUBSTITUTE(LEFT(A376,_xlfn.AGGREGATE(16,6,FIND({0,1,2,3,4,5,6,7,8,9},A376,ROW(INDIRECT("1:"&amp;LEN(A376)))),1))," ",REPT(" ",LEN(A376))),LEN(A376))))))), 1)) * ROW(INDIRECT("1:"&amp;LEN((--TRIM(RIGHT(SUBSTITUTE(LEFT(A376,_xlfn.AGGREGATE(16,6,FIND({0,1,2,3,4,5,6,7,8,9},A376,ROW(INDIRECT("1:"&amp;LEN(A376)))),1))," ",REPT(" ",LEN(A376))),LEN(A376))))))), 0), ROW(INDIRECT("1:"&amp;LEN((--TRIM(RIGHT(SUBSTITUTE(LEFT(A376,_xlfn.AGGREGATE(16,6,FIND({0,1,2,3,4,5,6,7,8,9},A376,ROW(INDIRECT("1:"&amp;LEN(A376)))),1))," ",REPT(" ",LEN(A376))),LEN(A376))))))))+1, 1) * 10^ROW(INDIRECT("1:"&amp;LEN((--TRIM(RIGHT(SUBSTITUTE(LEFT(A376,_xlfn.AGGREGATE(16,6,FIND({0,1,2,3,4,5,6,7,8,9},A376,ROW(INDIRECT("1:"&amp;LEN(A376)))),1))," ",REPT(" ",LEN(A376))),LEN(A376)))))))/10))*100+1</f>
        <v>101</v>
      </c>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WZC377" s="1"/>
      <c r="WZD377" s="1"/>
      <c r="WZE377" s="1"/>
      <c r="WZF377" s="1"/>
      <c r="WZG377" s="1"/>
      <c r="WZH377" s="1"/>
      <c r="WZI377" s="1"/>
      <c r="WZJ377" s="1"/>
      <c r="WZK377" s="1"/>
      <c r="WZL377" s="1"/>
      <c r="WZM377" s="1"/>
      <c r="WZN377" s="1"/>
      <c r="WZO377" s="1"/>
      <c r="WZP377" s="1"/>
      <c r="WZQ377" s="1"/>
      <c r="WZR377" s="1"/>
      <c r="WZS377" s="1"/>
      <c r="WZT377" s="1"/>
      <c r="WZU377" s="1"/>
      <c r="WZV377" s="1"/>
      <c r="WZW377" s="1"/>
      <c r="WZX377" s="1"/>
      <c r="WZY377" s="1"/>
      <c r="WZZ377" s="1"/>
      <c r="XAA377" s="1"/>
      <c r="XAB377" s="1"/>
      <c r="XAC377" s="1"/>
      <c r="XAD377" s="1"/>
      <c r="XAE377" s="1"/>
      <c r="XAF377" s="1"/>
      <c r="XAG377" s="1"/>
      <c r="XAH377" s="1"/>
      <c r="XAI377" s="1"/>
      <c r="XAJ377" s="1"/>
      <c r="XAK377" s="1"/>
      <c r="XAL377" s="1"/>
      <c r="XAM377" s="1"/>
      <c r="XAN377" s="1"/>
      <c r="XAO377" s="1"/>
      <c r="XAP377" s="1"/>
      <c r="XAQ377" s="1"/>
      <c r="XAR377" s="1"/>
      <c r="XAS377" s="1"/>
      <c r="XAT377" s="1"/>
      <c r="XAU377" s="1"/>
      <c r="XAV377" s="1"/>
      <c r="XAW377" s="1"/>
      <c r="XAX377" s="1"/>
      <c r="XAY377" s="1"/>
      <c r="XAZ377" s="1"/>
      <c r="XBA377" s="1"/>
      <c r="XBB377" s="1"/>
      <c r="XBC377" s="1"/>
      <c r="XBD377" s="1"/>
      <c r="XBE377" s="1"/>
      <c r="XBF377" s="1"/>
      <c r="XBG377" s="1"/>
      <c r="XBH377" s="1"/>
      <c r="XBI377" s="1"/>
      <c r="XBJ377" s="1"/>
      <c r="XBK377" s="1"/>
      <c r="XBL377" s="1"/>
      <c r="XBM377" s="1"/>
      <c r="XBN377" s="1"/>
      <c r="XBO377" s="1"/>
      <c r="XBP377" s="1"/>
      <c r="XBQ377" s="1"/>
      <c r="XBR377" s="1"/>
      <c r="XBS377" s="1"/>
      <c r="XBT377" s="1"/>
      <c r="XBU377" s="1"/>
      <c r="XBV377" s="1"/>
      <c r="XBW377" s="1"/>
      <c r="XBX377" s="1"/>
      <c r="XBY377" s="1"/>
      <c r="XBZ377" s="1"/>
      <c r="XCA377" s="1"/>
      <c r="XCB377" s="1"/>
      <c r="XCC377" s="1"/>
      <c r="XCD377" s="1"/>
      <c r="XCE377" s="1"/>
      <c r="XCF377" s="1"/>
      <c r="XCG377" s="1"/>
      <c r="XCH377" s="1"/>
      <c r="XCI377" s="1"/>
      <c r="XCJ377" s="1"/>
      <c r="XCK377" s="1"/>
      <c r="XCL377" s="1"/>
      <c r="XCM377" s="1"/>
      <c r="XCN377" s="1"/>
      <c r="XCO377" s="1"/>
      <c r="XCP377" s="1"/>
      <c r="XCQ377" s="1"/>
      <c r="XCR377" s="1"/>
      <c r="XCS377" s="1"/>
      <c r="XCT377" s="1"/>
      <c r="XCU377" s="1"/>
      <c r="XCV377" s="1"/>
      <c r="XCW377" s="1"/>
      <c r="XCX377" s="1"/>
      <c r="XCY377" s="1"/>
      <c r="XCZ377" s="1"/>
      <c r="XDA377" s="1"/>
      <c r="XDB377" s="1"/>
      <c r="XDC377" s="1"/>
      <c r="XDD377" s="1"/>
      <c r="XDE377" s="1"/>
      <c r="XDF377" s="1"/>
      <c r="XDG377" s="1"/>
      <c r="XDH377" s="1"/>
      <c r="XDI377" s="1"/>
      <c r="XDJ377" s="1"/>
      <c r="XDK377" s="1"/>
      <c r="XDL377" s="1"/>
      <c r="XDM377" s="1"/>
      <c r="XDN377" s="1"/>
      <c r="XDO377" s="1"/>
      <c r="XDP377" s="1"/>
      <c r="XDQ377" s="1"/>
      <c r="XDR377" s="1"/>
      <c r="XDS377" s="1"/>
      <c r="XDT377" s="1"/>
      <c r="XDU377" s="1"/>
      <c r="XDV377" s="1"/>
      <c r="XDW377" s="1"/>
      <c r="XDX377" s="1"/>
      <c r="XDY377" s="1"/>
      <c r="XDZ377" s="1"/>
      <c r="XEA377" s="1"/>
      <c r="XEB377" s="1"/>
      <c r="XEC377" s="1"/>
      <c r="XED377" s="1"/>
      <c r="XEE377" s="1"/>
      <c r="XEF377" s="1"/>
      <c r="XEG377" s="1"/>
      <c r="XEH377" s="1"/>
      <c r="XEI377" s="1"/>
      <c r="XEJ377" s="1"/>
      <c r="XEK377" s="1"/>
      <c r="XEL377" s="1"/>
      <c r="XEM377" s="1"/>
      <c r="XEN377" s="1"/>
      <c r="XEO377" s="1"/>
      <c r="XEP377" s="1"/>
      <c r="XEQ377" s="1"/>
      <c r="XER377" s="1"/>
      <c r="XES377" s="1"/>
      <c r="XET377" s="1"/>
      <c r="XEU377" s="1"/>
      <c r="XEV377" s="1"/>
      <c r="XEW377" s="1"/>
      <c r="XEX377" s="1"/>
      <c r="XEY377" s="1"/>
      <c r="XEZ377" s="1"/>
      <c r="XFA377" s="1"/>
      <c r="XFB377" s="1"/>
      <c r="XFC377" s="1"/>
      <c r="XFD377" s="1"/>
    </row>
    <row r="378" spans="1:151 16227:16384" s="11" customFormat="1" ht="20.25" customHeight="1" x14ac:dyDescent="0.25">
      <c r="A378" s="99"/>
      <c r="B378" s="100"/>
      <c r="C378" s="88">
        <v>2</v>
      </c>
      <c r="D378" s="89"/>
      <c r="E378" s="20" t="s">
        <v>228</v>
      </c>
      <c r="F378" s="88">
        <f>46.77*10.764</f>
        <v>503.43227999999999</v>
      </c>
      <c r="G378" s="89"/>
      <c r="H378" s="20">
        <v>0</v>
      </c>
      <c r="I378" s="20">
        <f t="shared" si="94"/>
        <v>780.32003399999996</v>
      </c>
      <c r="J378" s="1"/>
      <c r="K378" s="1"/>
      <c r="L378" s="1"/>
      <c r="M378" s="1"/>
      <c r="N378" s="1"/>
      <c r="O378" s="1"/>
      <c r="P378" s="1"/>
      <c r="Q378" s="1"/>
      <c r="R378" s="1"/>
      <c r="S378" s="1"/>
      <c r="T378" s="1"/>
      <c r="U378" s="43" t="str">
        <f t="shared" ca="1" si="95"/>
        <v>102,..,102</v>
      </c>
      <c r="V378" s="43">
        <f ca="1">V377+1</f>
        <v>102</v>
      </c>
      <c r="W378" s="43">
        <f ca="1">W377+1</f>
        <v>102</v>
      </c>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WZC378" s="1"/>
      <c r="WZD378" s="1"/>
      <c r="WZE378" s="1"/>
      <c r="WZF378" s="1"/>
      <c r="WZG378" s="1"/>
      <c r="WZH378" s="1"/>
      <c r="WZI378" s="1"/>
      <c r="WZJ378" s="1"/>
      <c r="WZK378" s="1"/>
      <c r="WZL378" s="1"/>
      <c r="WZM378" s="1"/>
      <c r="WZN378" s="1"/>
      <c r="WZO378" s="1"/>
      <c r="WZP378" s="1"/>
      <c r="WZQ378" s="1"/>
      <c r="WZR378" s="1"/>
      <c r="WZS378" s="1"/>
      <c r="WZT378" s="1"/>
      <c r="WZU378" s="1"/>
      <c r="WZV378" s="1"/>
      <c r="WZW378" s="1"/>
      <c r="WZX378" s="1"/>
      <c r="WZY378" s="1"/>
      <c r="WZZ378" s="1"/>
      <c r="XAA378" s="1"/>
      <c r="XAB378" s="1"/>
      <c r="XAC378" s="1"/>
      <c r="XAD378" s="1"/>
      <c r="XAE378" s="1"/>
      <c r="XAF378" s="1"/>
      <c r="XAG378" s="1"/>
      <c r="XAH378" s="1"/>
      <c r="XAI378" s="1"/>
      <c r="XAJ378" s="1"/>
      <c r="XAK378" s="1"/>
      <c r="XAL378" s="1"/>
      <c r="XAM378" s="1"/>
      <c r="XAN378" s="1"/>
      <c r="XAO378" s="1"/>
      <c r="XAP378" s="1"/>
      <c r="XAQ378" s="1"/>
      <c r="XAR378" s="1"/>
      <c r="XAS378" s="1"/>
      <c r="XAT378" s="1"/>
      <c r="XAU378" s="1"/>
      <c r="XAV378" s="1"/>
      <c r="XAW378" s="1"/>
      <c r="XAX378" s="1"/>
      <c r="XAY378" s="1"/>
      <c r="XAZ378" s="1"/>
      <c r="XBA378" s="1"/>
      <c r="XBB378" s="1"/>
      <c r="XBC378" s="1"/>
      <c r="XBD378" s="1"/>
      <c r="XBE378" s="1"/>
      <c r="XBF378" s="1"/>
      <c r="XBG378" s="1"/>
      <c r="XBH378" s="1"/>
      <c r="XBI378" s="1"/>
      <c r="XBJ378" s="1"/>
      <c r="XBK378" s="1"/>
      <c r="XBL378" s="1"/>
      <c r="XBM378" s="1"/>
      <c r="XBN378" s="1"/>
      <c r="XBO378" s="1"/>
      <c r="XBP378" s="1"/>
      <c r="XBQ378" s="1"/>
      <c r="XBR378" s="1"/>
      <c r="XBS378" s="1"/>
      <c r="XBT378" s="1"/>
      <c r="XBU378" s="1"/>
      <c r="XBV378" s="1"/>
      <c r="XBW378" s="1"/>
      <c r="XBX378" s="1"/>
      <c r="XBY378" s="1"/>
      <c r="XBZ378" s="1"/>
      <c r="XCA378" s="1"/>
      <c r="XCB378" s="1"/>
      <c r="XCC378" s="1"/>
      <c r="XCD378" s="1"/>
      <c r="XCE378" s="1"/>
      <c r="XCF378" s="1"/>
      <c r="XCG378" s="1"/>
      <c r="XCH378" s="1"/>
      <c r="XCI378" s="1"/>
      <c r="XCJ378" s="1"/>
      <c r="XCK378" s="1"/>
      <c r="XCL378" s="1"/>
      <c r="XCM378" s="1"/>
      <c r="XCN378" s="1"/>
      <c r="XCO378" s="1"/>
      <c r="XCP378" s="1"/>
      <c r="XCQ378" s="1"/>
      <c r="XCR378" s="1"/>
      <c r="XCS378" s="1"/>
      <c r="XCT378" s="1"/>
      <c r="XCU378" s="1"/>
      <c r="XCV378" s="1"/>
      <c r="XCW378" s="1"/>
      <c r="XCX378" s="1"/>
      <c r="XCY378" s="1"/>
      <c r="XCZ378" s="1"/>
      <c r="XDA378" s="1"/>
      <c r="XDB378" s="1"/>
      <c r="XDC378" s="1"/>
      <c r="XDD378" s="1"/>
      <c r="XDE378" s="1"/>
      <c r="XDF378" s="1"/>
      <c r="XDG378" s="1"/>
      <c r="XDH378" s="1"/>
      <c r="XDI378" s="1"/>
      <c r="XDJ378" s="1"/>
      <c r="XDK378" s="1"/>
      <c r="XDL378" s="1"/>
      <c r="XDM378" s="1"/>
      <c r="XDN378" s="1"/>
      <c r="XDO378" s="1"/>
      <c r="XDP378" s="1"/>
      <c r="XDQ378" s="1"/>
      <c r="XDR378" s="1"/>
      <c r="XDS378" s="1"/>
      <c r="XDT378" s="1"/>
      <c r="XDU378" s="1"/>
      <c r="XDV378" s="1"/>
      <c r="XDW378" s="1"/>
      <c r="XDX378" s="1"/>
      <c r="XDY378" s="1"/>
      <c r="XDZ378" s="1"/>
      <c r="XEA378" s="1"/>
      <c r="XEB378" s="1"/>
      <c r="XEC378" s="1"/>
      <c r="XED378" s="1"/>
      <c r="XEE378" s="1"/>
      <c r="XEF378" s="1"/>
      <c r="XEG378" s="1"/>
      <c r="XEH378" s="1"/>
      <c r="XEI378" s="1"/>
      <c r="XEJ378" s="1"/>
      <c r="XEK378" s="1"/>
      <c r="XEL378" s="1"/>
      <c r="XEM378" s="1"/>
      <c r="XEN378" s="1"/>
      <c r="XEO378" s="1"/>
      <c r="XEP378" s="1"/>
      <c r="XEQ378" s="1"/>
      <c r="XER378" s="1"/>
      <c r="XES378" s="1"/>
      <c r="XET378" s="1"/>
      <c r="XEU378" s="1"/>
      <c r="XEV378" s="1"/>
      <c r="XEW378" s="1"/>
      <c r="XEX378" s="1"/>
      <c r="XEY378" s="1"/>
      <c r="XEZ378" s="1"/>
      <c r="XFA378" s="1"/>
      <c r="XFB378" s="1"/>
      <c r="XFC378" s="1"/>
      <c r="XFD378" s="1"/>
    </row>
    <row r="379" spans="1:151 16227:16384" s="11" customFormat="1" ht="20.25" customHeight="1" x14ac:dyDescent="0.25">
      <c r="A379" s="99"/>
      <c r="B379" s="100"/>
      <c r="C379" s="88">
        <v>3</v>
      </c>
      <c r="D379" s="89"/>
      <c r="E379" s="20" t="s">
        <v>228</v>
      </c>
      <c r="F379" s="88">
        <f>46.7*10.764</f>
        <v>502.67880000000002</v>
      </c>
      <c r="G379" s="89"/>
      <c r="H379" s="20">
        <f>(3.2*5.5+2.48*3.7+5.75*5.7)*10.764</f>
        <v>641.00696399999993</v>
      </c>
      <c r="I379" s="20">
        <f>(4.5*3.545+4.5*2.925+1.61*2.925+2.275*5.1)*10.764</f>
        <v>488.97353699999996</v>
      </c>
      <c r="J379" s="1"/>
      <c r="K379" s="1"/>
      <c r="L379" s="1"/>
      <c r="M379" s="1"/>
      <c r="N379" s="1"/>
      <c r="O379" s="1"/>
      <c r="P379" s="1"/>
      <c r="Q379" s="1"/>
      <c r="R379" s="1"/>
      <c r="S379" s="1"/>
      <c r="T379" s="1"/>
      <c r="U379" s="43" t="str">
        <f t="shared" ca="1" si="95"/>
        <v>103,..,103</v>
      </c>
      <c r="V379" s="43">
        <f t="shared" ref="V379:W379" ca="1" si="96">V378+1</f>
        <v>103</v>
      </c>
      <c r="W379" s="43">
        <f t="shared" ca="1" si="96"/>
        <v>103</v>
      </c>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WZC379" s="1"/>
      <c r="WZD379" s="1"/>
      <c r="WZE379" s="1"/>
      <c r="WZF379" s="1"/>
      <c r="WZG379" s="1"/>
      <c r="WZH379" s="1"/>
      <c r="WZI379" s="1"/>
      <c r="WZJ379" s="1"/>
      <c r="WZK379" s="1"/>
      <c r="WZL379" s="1"/>
      <c r="WZM379" s="1"/>
      <c r="WZN379" s="1"/>
      <c r="WZO379" s="1"/>
      <c r="WZP379" s="1"/>
      <c r="WZQ379" s="1"/>
      <c r="WZR379" s="1"/>
      <c r="WZS379" s="1"/>
      <c r="WZT379" s="1"/>
      <c r="WZU379" s="1"/>
      <c r="WZV379" s="1"/>
      <c r="WZW379" s="1"/>
      <c r="WZX379" s="1"/>
      <c r="WZY379" s="1"/>
      <c r="WZZ379" s="1"/>
      <c r="XAA379" s="1"/>
      <c r="XAB379" s="1"/>
      <c r="XAC379" s="1"/>
      <c r="XAD379" s="1"/>
      <c r="XAE379" s="1"/>
      <c r="XAF379" s="1"/>
      <c r="XAG379" s="1"/>
      <c r="XAH379" s="1"/>
      <c r="XAI379" s="1"/>
      <c r="XAJ379" s="1"/>
      <c r="XAK379" s="1"/>
      <c r="XAL379" s="1"/>
      <c r="XAM379" s="1"/>
      <c r="XAN379" s="1"/>
      <c r="XAO379" s="1"/>
      <c r="XAP379" s="1"/>
      <c r="XAQ379" s="1"/>
      <c r="XAR379" s="1"/>
      <c r="XAS379" s="1"/>
      <c r="XAT379" s="1"/>
      <c r="XAU379" s="1"/>
      <c r="XAV379" s="1"/>
      <c r="XAW379" s="1"/>
      <c r="XAX379" s="1"/>
      <c r="XAY379" s="1"/>
      <c r="XAZ379" s="1"/>
      <c r="XBA379" s="1"/>
      <c r="XBB379" s="1"/>
      <c r="XBC379" s="1"/>
      <c r="XBD379" s="1"/>
      <c r="XBE379" s="1"/>
      <c r="XBF379" s="1"/>
      <c r="XBG379" s="1"/>
      <c r="XBH379" s="1"/>
      <c r="XBI379" s="1"/>
      <c r="XBJ379" s="1"/>
      <c r="XBK379" s="1"/>
      <c r="XBL379" s="1"/>
      <c r="XBM379" s="1"/>
      <c r="XBN379" s="1"/>
      <c r="XBO379" s="1"/>
      <c r="XBP379" s="1"/>
      <c r="XBQ379" s="1"/>
      <c r="XBR379" s="1"/>
      <c r="XBS379" s="1"/>
      <c r="XBT379" s="1"/>
      <c r="XBU379" s="1"/>
      <c r="XBV379" s="1"/>
      <c r="XBW379" s="1"/>
      <c r="XBX379" s="1"/>
      <c r="XBY379" s="1"/>
      <c r="XBZ379" s="1"/>
      <c r="XCA379" s="1"/>
      <c r="XCB379" s="1"/>
      <c r="XCC379" s="1"/>
      <c r="XCD379" s="1"/>
      <c r="XCE379" s="1"/>
      <c r="XCF379" s="1"/>
      <c r="XCG379" s="1"/>
      <c r="XCH379" s="1"/>
      <c r="XCI379" s="1"/>
      <c r="XCJ379" s="1"/>
      <c r="XCK379" s="1"/>
      <c r="XCL379" s="1"/>
      <c r="XCM379" s="1"/>
      <c r="XCN379" s="1"/>
      <c r="XCO379" s="1"/>
      <c r="XCP379" s="1"/>
      <c r="XCQ379" s="1"/>
      <c r="XCR379" s="1"/>
      <c r="XCS379" s="1"/>
      <c r="XCT379" s="1"/>
      <c r="XCU379" s="1"/>
      <c r="XCV379" s="1"/>
      <c r="XCW379" s="1"/>
      <c r="XCX379" s="1"/>
      <c r="XCY379" s="1"/>
      <c r="XCZ379" s="1"/>
      <c r="XDA379" s="1"/>
      <c r="XDB379" s="1"/>
      <c r="XDC379" s="1"/>
      <c r="XDD379" s="1"/>
      <c r="XDE379" s="1"/>
      <c r="XDF379" s="1"/>
      <c r="XDG379" s="1"/>
      <c r="XDH379" s="1"/>
      <c r="XDI379" s="1"/>
      <c r="XDJ379" s="1"/>
      <c r="XDK379" s="1"/>
      <c r="XDL379" s="1"/>
      <c r="XDM379" s="1"/>
      <c r="XDN379" s="1"/>
      <c r="XDO379" s="1"/>
      <c r="XDP379" s="1"/>
      <c r="XDQ379" s="1"/>
      <c r="XDR379" s="1"/>
      <c r="XDS379" s="1"/>
      <c r="XDT379" s="1"/>
      <c r="XDU379" s="1"/>
      <c r="XDV379" s="1"/>
      <c r="XDW379" s="1"/>
      <c r="XDX379" s="1"/>
      <c r="XDY379" s="1"/>
      <c r="XDZ379" s="1"/>
      <c r="XEA379" s="1"/>
      <c r="XEB379" s="1"/>
      <c r="XEC379" s="1"/>
      <c r="XED379" s="1"/>
      <c r="XEE379" s="1"/>
      <c r="XEF379" s="1"/>
      <c r="XEG379" s="1"/>
      <c r="XEH379" s="1"/>
      <c r="XEI379" s="1"/>
      <c r="XEJ379" s="1"/>
      <c r="XEK379" s="1"/>
      <c r="XEL379" s="1"/>
      <c r="XEM379" s="1"/>
      <c r="XEN379" s="1"/>
      <c r="XEO379" s="1"/>
      <c r="XEP379" s="1"/>
      <c r="XEQ379" s="1"/>
      <c r="XER379" s="1"/>
      <c r="XES379" s="1"/>
      <c r="XET379" s="1"/>
      <c r="XEU379" s="1"/>
      <c r="XEV379" s="1"/>
      <c r="XEW379" s="1"/>
      <c r="XEX379" s="1"/>
      <c r="XEY379" s="1"/>
      <c r="XEZ379" s="1"/>
      <c r="XFA379" s="1"/>
      <c r="XFB379" s="1"/>
      <c r="XFC379" s="1"/>
      <c r="XFD379" s="1"/>
    </row>
    <row r="380" spans="1:151 16227:16384" s="11" customFormat="1" ht="20.25" customHeight="1" x14ac:dyDescent="0.25">
      <c r="A380" s="99"/>
      <c r="B380" s="100"/>
      <c r="C380" s="88">
        <v>4</v>
      </c>
      <c r="D380" s="89"/>
      <c r="E380" s="20" t="s">
        <v>218</v>
      </c>
      <c r="F380" s="88">
        <f>34.41*10.764</f>
        <v>370.38923999999992</v>
      </c>
      <c r="G380" s="89"/>
      <c r="H380" s="20">
        <f>(3.55*4.4+2.93*6+2.27*5.4)*10.764</f>
        <v>489.30991200000005</v>
      </c>
      <c r="I380" s="20">
        <f>F380*(($I$166)+1)+H380/4</f>
        <v>696.43079999999998</v>
      </c>
      <c r="J380" s="1"/>
      <c r="K380" s="1"/>
      <c r="L380" s="1"/>
      <c r="M380" s="1"/>
      <c r="N380" s="1"/>
      <c r="O380" s="1"/>
      <c r="P380" s="1"/>
      <c r="Q380" s="1"/>
      <c r="R380" s="1"/>
      <c r="S380" s="1"/>
      <c r="T380" s="1"/>
      <c r="U380" s="43" t="str">
        <f t="shared" ca="1" si="95"/>
        <v>104,..,104</v>
      </c>
      <c r="V380" s="43">
        <f t="shared" ref="V380:W380" ca="1" si="97">V379+1</f>
        <v>104</v>
      </c>
      <c r="W380" s="43">
        <f t="shared" ca="1" si="97"/>
        <v>104</v>
      </c>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WZC380" s="1"/>
      <c r="WZD380" s="1"/>
      <c r="WZE380" s="1"/>
      <c r="WZF380" s="1"/>
      <c r="WZG380" s="1"/>
      <c r="WZH380" s="1"/>
      <c r="WZI380" s="1"/>
      <c r="WZJ380" s="1"/>
      <c r="WZK380" s="1"/>
      <c r="WZL380" s="1"/>
      <c r="WZM380" s="1"/>
      <c r="WZN380" s="1"/>
      <c r="WZO380" s="1"/>
      <c r="WZP380" s="1"/>
      <c r="WZQ380" s="1"/>
      <c r="WZR380" s="1"/>
      <c r="WZS380" s="1"/>
      <c r="WZT380" s="1"/>
      <c r="WZU380" s="1"/>
      <c r="WZV380" s="1"/>
      <c r="WZW380" s="1"/>
      <c r="WZX380" s="1"/>
      <c r="WZY380" s="1"/>
      <c r="WZZ380" s="1"/>
      <c r="XAA380" s="1"/>
      <c r="XAB380" s="1"/>
      <c r="XAC380" s="1"/>
      <c r="XAD380" s="1"/>
      <c r="XAE380" s="1"/>
      <c r="XAF380" s="1"/>
      <c r="XAG380" s="1"/>
      <c r="XAH380" s="1"/>
      <c r="XAI380" s="1"/>
      <c r="XAJ380" s="1"/>
      <c r="XAK380" s="1"/>
      <c r="XAL380" s="1"/>
      <c r="XAM380" s="1"/>
      <c r="XAN380" s="1"/>
      <c r="XAO380" s="1"/>
      <c r="XAP380" s="1"/>
      <c r="XAQ380" s="1"/>
      <c r="XAR380" s="1"/>
      <c r="XAS380" s="1"/>
      <c r="XAT380" s="1"/>
      <c r="XAU380" s="1"/>
      <c r="XAV380" s="1"/>
      <c r="XAW380" s="1"/>
      <c r="XAX380" s="1"/>
      <c r="XAY380" s="1"/>
      <c r="XAZ380" s="1"/>
      <c r="XBA380" s="1"/>
      <c r="XBB380" s="1"/>
      <c r="XBC380" s="1"/>
      <c r="XBD380" s="1"/>
      <c r="XBE380" s="1"/>
      <c r="XBF380" s="1"/>
      <c r="XBG380" s="1"/>
      <c r="XBH380" s="1"/>
      <c r="XBI380" s="1"/>
      <c r="XBJ380" s="1"/>
      <c r="XBK380" s="1"/>
      <c r="XBL380" s="1"/>
      <c r="XBM380" s="1"/>
      <c r="XBN380" s="1"/>
      <c r="XBO380" s="1"/>
      <c r="XBP380" s="1"/>
      <c r="XBQ380" s="1"/>
      <c r="XBR380" s="1"/>
      <c r="XBS380" s="1"/>
      <c r="XBT380" s="1"/>
      <c r="XBU380" s="1"/>
      <c r="XBV380" s="1"/>
      <c r="XBW380" s="1"/>
      <c r="XBX380" s="1"/>
      <c r="XBY380" s="1"/>
      <c r="XBZ380" s="1"/>
      <c r="XCA380" s="1"/>
      <c r="XCB380" s="1"/>
      <c r="XCC380" s="1"/>
      <c r="XCD380" s="1"/>
      <c r="XCE380" s="1"/>
      <c r="XCF380" s="1"/>
      <c r="XCG380" s="1"/>
      <c r="XCH380" s="1"/>
      <c r="XCI380" s="1"/>
      <c r="XCJ380" s="1"/>
      <c r="XCK380" s="1"/>
      <c r="XCL380" s="1"/>
      <c r="XCM380" s="1"/>
      <c r="XCN380" s="1"/>
      <c r="XCO380" s="1"/>
      <c r="XCP380" s="1"/>
      <c r="XCQ380" s="1"/>
      <c r="XCR380" s="1"/>
      <c r="XCS380" s="1"/>
      <c r="XCT380" s="1"/>
      <c r="XCU380" s="1"/>
      <c r="XCV380" s="1"/>
      <c r="XCW380" s="1"/>
      <c r="XCX380" s="1"/>
      <c r="XCY380" s="1"/>
      <c r="XCZ380" s="1"/>
      <c r="XDA380" s="1"/>
      <c r="XDB380" s="1"/>
      <c r="XDC380" s="1"/>
      <c r="XDD380" s="1"/>
      <c r="XDE380" s="1"/>
      <c r="XDF380" s="1"/>
      <c r="XDG380" s="1"/>
      <c r="XDH380" s="1"/>
      <c r="XDI380" s="1"/>
      <c r="XDJ380" s="1"/>
      <c r="XDK380" s="1"/>
      <c r="XDL380" s="1"/>
      <c r="XDM380" s="1"/>
      <c r="XDN380" s="1"/>
      <c r="XDO380" s="1"/>
      <c r="XDP380" s="1"/>
      <c r="XDQ380" s="1"/>
      <c r="XDR380" s="1"/>
      <c r="XDS380" s="1"/>
      <c r="XDT380" s="1"/>
      <c r="XDU380" s="1"/>
      <c r="XDV380" s="1"/>
      <c r="XDW380" s="1"/>
      <c r="XDX380" s="1"/>
      <c r="XDY380" s="1"/>
      <c r="XDZ380" s="1"/>
      <c r="XEA380" s="1"/>
      <c r="XEB380" s="1"/>
      <c r="XEC380" s="1"/>
      <c r="XED380" s="1"/>
      <c r="XEE380" s="1"/>
      <c r="XEF380" s="1"/>
      <c r="XEG380" s="1"/>
      <c r="XEH380" s="1"/>
      <c r="XEI380" s="1"/>
      <c r="XEJ380" s="1"/>
      <c r="XEK380" s="1"/>
      <c r="XEL380" s="1"/>
      <c r="XEM380" s="1"/>
      <c r="XEN380" s="1"/>
      <c r="XEO380" s="1"/>
      <c r="XEP380" s="1"/>
      <c r="XEQ380" s="1"/>
      <c r="XER380" s="1"/>
      <c r="XES380" s="1"/>
      <c r="XET380" s="1"/>
      <c r="XEU380" s="1"/>
      <c r="XEV380" s="1"/>
      <c r="XEW380" s="1"/>
      <c r="XEX380" s="1"/>
      <c r="XEY380" s="1"/>
      <c r="XEZ380" s="1"/>
      <c r="XFA380" s="1"/>
      <c r="XFB380" s="1"/>
      <c r="XFC380" s="1"/>
      <c r="XFD380" s="1"/>
    </row>
    <row r="381" spans="1:151 16227:16384" s="11" customFormat="1" ht="20.25" customHeight="1" x14ac:dyDescent="0.25">
      <c r="A381" s="99"/>
      <c r="B381" s="100"/>
      <c r="C381" s="88">
        <v>5</v>
      </c>
      <c r="D381" s="89"/>
      <c r="E381" s="20" t="s">
        <v>228</v>
      </c>
      <c r="F381" s="88">
        <f>61.2*10.764</f>
        <v>658.7568</v>
      </c>
      <c r="G381" s="89"/>
      <c r="H381" s="20">
        <f>(5.82*3.4+3*3.5+3.52*2.8)*10.764</f>
        <v>432.11001599999997</v>
      </c>
      <c r="I381" s="20">
        <f t="shared" ref="I381" si="98">F381*(($I$166)+1)+H381/2</f>
        <v>1237.128048</v>
      </c>
      <c r="J381" s="1"/>
      <c r="K381" s="1"/>
      <c r="L381" s="1"/>
      <c r="M381" s="1"/>
      <c r="N381" s="1"/>
      <c r="O381" s="1"/>
      <c r="P381" s="1"/>
      <c r="Q381" s="1"/>
      <c r="R381" s="1"/>
      <c r="S381" s="1"/>
      <c r="T381" s="1"/>
      <c r="U381" s="43" t="str">
        <f t="shared" ca="1" si="95"/>
        <v>105,..,105</v>
      </c>
      <c r="V381" s="43">
        <f t="shared" ref="V381:W381" ca="1" si="99">V380+1</f>
        <v>105</v>
      </c>
      <c r="W381" s="43">
        <f t="shared" ca="1" si="99"/>
        <v>105</v>
      </c>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WZC381" s="1"/>
      <c r="WZD381" s="1"/>
      <c r="WZE381" s="1"/>
      <c r="WZF381" s="1"/>
      <c r="WZG381" s="1"/>
      <c r="WZH381" s="1"/>
      <c r="WZI381" s="1"/>
      <c r="WZJ381" s="1"/>
      <c r="WZK381" s="1"/>
      <c r="WZL381" s="1"/>
      <c r="WZM381" s="1"/>
      <c r="WZN381" s="1"/>
      <c r="WZO381" s="1"/>
      <c r="WZP381" s="1"/>
      <c r="WZQ381" s="1"/>
      <c r="WZR381" s="1"/>
      <c r="WZS381" s="1"/>
      <c r="WZT381" s="1"/>
      <c r="WZU381" s="1"/>
      <c r="WZV381" s="1"/>
      <c r="WZW381" s="1"/>
      <c r="WZX381" s="1"/>
      <c r="WZY381" s="1"/>
      <c r="WZZ381" s="1"/>
      <c r="XAA381" s="1"/>
      <c r="XAB381" s="1"/>
      <c r="XAC381" s="1"/>
      <c r="XAD381" s="1"/>
      <c r="XAE381" s="1"/>
      <c r="XAF381" s="1"/>
      <c r="XAG381" s="1"/>
      <c r="XAH381" s="1"/>
      <c r="XAI381" s="1"/>
      <c r="XAJ381" s="1"/>
      <c r="XAK381" s="1"/>
      <c r="XAL381" s="1"/>
      <c r="XAM381" s="1"/>
      <c r="XAN381" s="1"/>
      <c r="XAO381" s="1"/>
      <c r="XAP381" s="1"/>
      <c r="XAQ381" s="1"/>
      <c r="XAR381" s="1"/>
      <c r="XAS381" s="1"/>
      <c r="XAT381" s="1"/>
      <c r="XAU381" s="1"/>
      <c r="XAV381" s="1"/>
      <c r="XAW381" s="1"/>
      <c r="XAX381" s="1"/>
      <c r="XAY381" s="1"/>
      <c r="XAZ381" s="1"/>
      <c r="XBA381" s="1"/>
      <c r="XBB381" s="1"/>
      <c r="XBC381" s="1"/>
      <c r="XBD381" s="1"/>
      <c r="XBE381" s="1"/>
      <c r="XBF381" s="1"/>
      <c r="XBG381" s="1"/>
      <c r="XBH381" s="1"/>
      <c r="XBI381" s="1"/>
      <c r="XBJ381" s="1"/>
      <c r="XBK381" s="1"/>
      <c r="XBL381" s="1"/>
      <c r="XBM381" s="1"/>
      <c r="XBN381" s="1"/>
      <c r="XBO381" s="1"/>
      <c r="XBP381" s="1"/>
      <c r="XBQ381" s="1"/>
      <c r="XBR381" s="1"/>
      <c r="XBS381" s="1"/>
      <c r="XBT381" s="1"/>
      <c r="XBU381" s="1"/>
      <c r="XBV381" s="1"/>
      <c r="XBW381" s="1"/>
      <c r="XBX381" s="1"/>
      <c r="XBY381" s="1"/>
      <c r="XBZ381" s="1"/>
      <c r="XCA381" s="1"/>
      <c r="XCB381" s="1"/>
      <c r="XCC381" s="1"/>
      <c r="XCD381" s="1"/>
      <c r="XCE381" s="1"/>
      <c r="XCF381" s="1"/>
      <c r="XCG381" s="1"/>
      <c r="XCH381" s="1"/>
      <c r="XCI381" s="1"/>
      <c r="XCJ381" s="1"/>
      <c r="XCK381" s="1"/>
      <c r="XCL381" s="1"/>
      <c r="XCM381" s="1"/>
      <c r="XCN381" s="1"/>
      <c r="XCO381" s="1"/>
      <c r="XCP381" s="1"/>
      <c r="XCQ381" s="1"/>
      <c r="XCR381" s="1"/>
      <c r="XCS381" s="1"/>
      <c r="XCT381" s="1"/>
      <c r="XCU381" s="1"/>
      <c r="XCV381" s="1"/>
      <c r="XCW381" s="1"/>
      <c r="XCX381" s="1"/>
      <c r="XCY381" s="1"/>
      <c r="XCZ381" s="1"/>
      <c r="XDA381" s="1"/>
      <c r="XDB381" s="1"/>
      <c r="XDC381" s="1"/>
      <c r="XDD381" s="1"/>
      <c r="XDE381" s="1"/>
      <c r="XDF381" s="1"/>
      <c r="XDG381" s="1"/>
      <c r="XDH381" s="1"/>
      <c r="XDI381" s="1"/>
      <c r="XDJ381" s="1"/>
      <c r="XDK381" s="1"/>
      <c r="XDL381" s="1"/>
      <c r="XDM381" s="1"/>
      <c r="XDN381" s="1"/>
      <c r="XDO381" s="1"/>
      <c r="XDP381" s="1"/>
      <c r="XDQ381" s="1"/>
      <c r="XDR381" s="1"/>
      <c r="XDS381" s="1"/>
      <c r="XDT381" s="1"/>
      <c r="XDU381" s="1"/>
      <c r="XDV381" s="1"/>
      <c r="XDW381" s="1"/>
      <c r="XDX381" s="1"/>
      <c r="XDY381" s="1"/>
      <c r="XDZ381" s="1"/>
      <c r="XEA381" s="1"/>
      <c r="XEB381" s="1"/>
      <c r="XEC381" s="1"/>
      <c r="XED381" s="1"/>
      <c r="XEE381" s="1"/>
      <c r="XEF381" s="1"/>
      <c r="XEG381" s="1"/>
      <c r="XEH381" s="1"/>
      <c r="XEI381" s="1"/>
      <c r="XEJ381" s="1"/>
      <c r="XEK381" s="1"/>
      <c r="XEL381" s="1"/>
      <c r="XEM381" s="1"/>
      <c r="XEN381" s="1"/>
      <c r="XEO381" s="1"/>
      <c r="XEP381" s="1"/>
      <c r="XEQ381" s="1"/>
      <c r="XER381" s="1"/>
      <c r="XES381" s="1"/>
      <c r="XET381" s="1"/>
      <c r="XEU381" s="1"/>
      <c r="XEV381" s="1"/>
      <c r="XEW381" s="1"/>
      <c r="XEX381" s="1"/>
      <c r="XEY381" s="1"/>
      <c r="XEZ381" s="1"/>
      <c r="XFA381" s="1"/>
      <c r="XFB381" s="1"/>
      <c r="XFC381" s="1"/>
      <c r="XFD381" s="1"/>
    </row>
    <row r="382" spans="1:151 16227:16384" s="11" customFormat="1" ht="20.25" customHeight="1" x14ac:dyDescent="0.25">
      <c r="A382" s="99"/>
      <c r="B382" s="100"/>
      <c r="C382" s="88">
        <v>6</v>
      </c>
      <c r="D382" s="89"/>
      <c r="E382" s="20" t="s">
        <v>218</v>
      </c>
      <c r="F382" s="88">
        <f>34.41*10.764</f>
        <v>370.38923999999992</v>
      </c>
      <c r="G382" s="89"/>
      <c r="H382" s="20">
        <f>(2.27*5.4+2.93*5.9+3.55*4.4)*10.764</f>
        <v>486.15606000000002</v>
      </c>
      <c r="I382" s="20">
        <f>F382*(($I$166)+1)+H382/4</f>
        <v>695.642337</v>
      </c>
      <c r="J382" s="1"/>
      <c r="K382" s="1"/>
      <c r="L382" s="1"/>
      <c r="M382" s="1"/>
      <c r="N382" s="1"/>
      <c r="O382" s="1"/>
      <c r="P382" s="1"/>
      <c r="Q382" s="1"/>
      <c r="R382" s="1"/>
      <c r="S382" s="1"/>
      <c r="T382" s="1"/>
      <c r="U382" s="43" t="str">
        <f t="shared" ca="1" si="95"/>
        <v>106,..,106</v>
      </c>
      <c r="V382" s="43">
        <f t="shared" ref="V382:W382" ca="1" si="100">V381+1</f>
        <v>106</v>
      </c>
      <c r="W382" s="43">
        <f t="shared" ca="1" si="100"/>
        <v>106</v>
      </c>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WZC382" s="1"/>
      <c r="WZD382" s="1"/>
      <c r="WZE382" s="1"/>
      <c r="WZF382" s="1"/>
      <c r="WZG382" s="1"/>
      <c r="WZH382" s="1"/>
      <c r="WZI382" s="1"/>
      <c r="WZJ382" s="1"/>
      <c r="WZK382" s="1"/>
      <c r="WZL382" s="1"/>
      <c r="WZM382" s="1"/>
      <c r="WZN382" s="1"/>
      <c r="WZO382" s="1"/>
      <c r="WZP382" s="1"/>
      <c r="WZQ382" s="1"/>
      <c r="WZR382" s="1"/>
      <c r="WZS382" s="1"/>
      <c r="WZT382" s="1"/>
      <c r="WZU382" s="1"/>
      <c r="WZV382" s="1"/>
      <c r="WZW382" s="1"/>
      <c r="WZX382" s="1"/>
      <c r="WZY382" s="1"/>
      <c r="WZZ382" s="1"/>
      <c r="XAA382" s="1"/>
      <c r="XAB382" s="1"/>
      <c r="XAC382" s="1"/>
      <c r="XAD382" s="1"/>
      <c r="XAE382" s="1"/>
      <c r="XAF382" s="1"/>
      <c r="XAG382" s="1"/>
      <c r="XAH382" s="1"/>
      <c r="XAI382" s="1"/>
      <c r="XAJ382" s="1"/>
      <c r="XAK382" s="1"/>
      <c r="XAL382" s="1"/>
      <c r="XAM382" s="1"/>
      <c r="XAN382" s="1"/>
      <c r="XAO382" s="1"/>
      <c r="XAP382" s="1"/>
      <c r="XAQ382" s="1"/>
      <c r="XAR382" s="1"/>
      <c r="XAS382" s="1"/>
      <c r="XAT382" s="1"/>
      <c r="XAU382" s="1"/>
      <c r="XAV382" s="1"/>
      <c r="XAW382" s="1"/>
      <c r="XAX382" s="1"/>
      <c r="XAY382" s="1"/>
      <c r="XAZ382" s="1"/>
      <c r="XBA382" s="1"/>
      <c r="XBB382" s="1"/>
      <c r="XBC382" s="1"/>
      <c r="XBD382" s="1"/>
      <c r="XBE382" s="1"/>
      <c r="XBF382" s="1"/>
      <c r="XBG382" s="1"/>
      <c r="XBH382" s="1"/>
      <c r="XBI382" s="1"/>
      <c r="XBJ382" s="1"/>
      <c r="XBK382" s="1"/>
      <c r="XBL382" s="1"/>
      <c r="XBM382" s="1"/>
      <c r="XBN382" s="1"/>
      <c r="XBO382" s="1"/>
      <c r="XBP382" s="1"/>
      <c r="XBQ382" s="1"/>
      <c r="XBR382" s="1"/>
      <c r="XBS382" s="1"/>
      <c r="XBT382" s="1"/>
      <c r="XBU382" s="1"/>
      <c r="XBV382" s="1"/>
      <c r="XBW382" s="1"/>
      <c r="XBX382" s="1"/>
      <c r="XBY382" s="1"/>
      <c r="XBZ382" s="1"/>
      <c r="XCA382" s="1"/>
      <c r="XCB382" s="1"/>
      <c r="XCC382" s="1"/>
      <c r="XCD382" s="1"/>
      <c r="XCE382" s="1"/>
      <c r="XCF382" s="1"/>
      <c r="XCG382" s="1"/>
      <c r="XCH382" s="1"/>
      <c r="XCI382" s="1"/>
      <c r="XCJ382" s="1"/>
      <c r="XCK382" s="1"/>
      <c r="XCL382" s="1"/>
      <c r="XCM382" s="1"/>
      <c r="XCN382" s="1"/>
      <c r="XCO382" s="1"/>
      <c r="XCP382" s="1"/>
      <c r="XCQ382" s="1"/>
      <c r="XCR382" s="1"/>
      <c r="XCS382" s="1"/>
      <c r="XCT382" s="1"/>
      <c r="XCU382" s="1"/>
      <c r="XCV382" s="1"/>
      <c r="XCW382" s="1"/>
      <c r="XCX382" s="1"/>
      <c r="XCY382" s="1"/>
      <c r="XCZ382" s="1"/>
      <c r="XDA382" s="1"/>
      <c r="XDB382" s="1"/>
      <c r="XDC382" s="1"/>
      <c r="XDD382" s="1"/>
      <c r="XDE382" s="1"/>
      <c r="XDF382" s="1"/>
      <c r="XDG382" s="1"/>
      <c r="XDH382" s="1"/>
      <c r="XDI382" s="1"/>
      <c r="XDJ382" s="1"/>
      <c r="XDK382" s="1"/>
      <c r="XDL382" s="1"/>
      <c r="XDM382" s="1"/>
      <c r="XDN382" s="1"/>
      <c r="XDO382" s="1"/>
      <c r="XDP382" s="1"/>
      <c r="XDQ382" s="1"/>
      <c r="XDR382" s="1"/>
      <c r="XDS382" s="1"/>
      <c r="XDT382" s="1"/>
      <c r="XDU382" s="1"/>
      <c r="XDV382" s="1"/>
      <c r="XDW382" s="1"/>
      <c r="XDX382" s="1"/>
      <c r="XDY382" s="1"/>
      <c r="XDZ382" s="1"/>
      <c r="XEA382" s="1"/>
      <c r="XEB382" s="1"/>
      <c r="XEC382" s="1"/>
      <c r="XED382" s="1"/>
      <c r="XEE382" s="1"/>
      <c r="XEF382" s="1"/>
      <c r="XEG382" s="1"/>
      <c r="XEH382" s="1"/>
      <c r="XEI382" s="1"/>
      <c r="XEJ382" s="1"/>
      <c r="XEK382" s="1"/>
      <c r="XEL382" s="1"/>
      <c r="XEM382" s="1"/>
      <c r="XEN382" s="1"/>
      <c r="XEO382" s="1"/>
      <c r="XEP382" s="1"/>
      <c r="XEQ382" s="1"/>
      <c r="XER382" s="1"/>
      <c r="XES382" s="1"/>
      <c r="XET382" s="1"/>
      <c r="XEU382" s="1"/>
      <c r="XEV382" s="1"/>
      <c r="XEW382" s="1"/>
      <c r="XEX382" s="1"/>
      <c r="XEY382" s="1"/>
      <c r="XEZ382" s="1"/>
      <c r="XFA382" s="1"/>
      <c r="XFB382" s="1"/>
      <c r="XFC382" s="1"/>
      <c r="XFD382" s="1"/>
    </row>
    <row r="383" spans="1:151 16227:16384" s="11" customFormat="1" ht="20.25" customHeight="1" x14ac:dyDescent="0.25">
      <c r="A383" s="99"/>
      <c r="B383" s="100"/>
      <c r="C383" s="88">
        <v>7</v>
      </c>
      <c r="D383" s="89"/>
      <c r="E383" s="20" t="s">
        <v>228</v>
      </c>
      <c r="F383" s="88">
        <f>46.7*10.764</f>
        <v>502.67880000000002</v>
      </c>
      <c r="G383" s="89"/>
      <c r="H383" s="20">
        <f>(5.75*5.7+2.48*3.9+3.2*5.5)*10.764</f>
        <v>646.34590800000001</v>
      </c>
      <c r="I383" s="20">
        <f>F383*(($I$166)+1)+H383/5</f>
        <v>908.42132160000006</v>
      </c>
      <c r="J383" s="1"/>
      <c r="K383" s="1"/>
      <c r="L383" s="1"/>
      <c r="M383" s="1"/>
      <c r="N383" s="1"/>
      <c r="O383" s="1"/>
      <c r="P383" s="1"/>
      <c r="Q383" s="1"/>
      <c r="R383" s="1"/>
      <c r="S383" s="1"/>
      <c r="T383" s="1"/>
      <c r="U383" s="43" t="str">
        <f t="shared" ca="1" si="95"/>
        <v>107,..,107</v>
      </c>
      <c r="V383" s="43">
        <f t="shared" ref="V383:W383" ca="1" si="101">V382+1</f>
        <v>107</v>
      </c>
      <c r="W383" s="43">
        <f t="shared" ca="1" si="101"/>
        <v>107</v>
      </c>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WZC383" s="1"/>
      <c r="WZD383" s="1"/>
      <c r="WZE383" s="1"/>
      <c r="WZF383" s="1"/>
      <c r="WZG383" s="1"/>
      <c r="WZH383" s="1"/>
      <c r="WZI383" s="1"/>
      <c r="WZJ383" s="1"/>
      <c r="WZK383" s="1"/>
      <c r="WZL383" s="1"/>
      <c r="WZM383" s="1"/>
      <c r="WZN383" s="1"/>
      <c r="WZO383" s="1"/>
      <c r="WZP383" s="1"/>
      <c r="WZQ383" s="1"/>
      <c r="WZR383" s="1"/>
      <c r="WZS383" s="1"/>
      <c r="WZT383" s="1"/>
      <c r="WZU383" s="1"/>
      <c r="WZV383" s="1"/>
      <c r="WZW383" s="1"/>
      <c r="WZX383" s="1"/>
      <c r="WZY383" s="1"/>
      <c r="WZZ383" s="1"/>
      <c r="XAA383" s="1"/>
      <c r="XAB383" s="1"/>
      <c r="XAC383" s="1"/>
      <c r="XAD383" s="1"/>
      <c r="XAE383" s="1"/>
      <c r="XAF383" s="1"/>
      <c r="XAG383" s="1"/>
      <c r="XAH383" s="1"/>
      <c r="XAI383" s="1"/>
      <c r="XAJ383" s="1"/>
      <c r="XAK383" s="1"/>
      <c r="XAL383" s="1"/>
      <c r="XAM383" s="1"/>
      <c r="XAN383" s="1"/>
      <c r="XAO383" s="1"/>
      <c r="XAP383" s="1"/>
      <c r="XAQ383" s="1"/>
      <c r="XAR383" s="1"/>
      <c r="XAS383" s="1"/>
      <c r="XAT383" s="1"/>
      <c r="XAU383" s="1"/>
      <c r="XAV383" s="1"/>
      <c r="XAW383" s="1"/>
      <c r="XAX383" s="1"/>
      <c r="XAY383" s="1"/>
      <c r="XAZ383" s="1"/>
      <c r="XBA383" s="1"/>
      <c r="XBB383" s="1"/>
      <c r="XBC383" s="1"/>
      <c r="XBD383" s="1"/>
      <c r="XBE383" s="1"/>
      <c r="XBF383" s="1"/>
      <c r="XBG383" s="1"/>
      <c r="XBH383" s="1"/>
      <c r="XBI383" s="1"/>
      <c r="XBJ383" s="1"/>
      <c r="XBK383" s="1"/>
      <c r="XBL383" s="1"/>
      <c r="XBM383" s="1"/>
      <c r="XBN383" s="1"/>
      <c r="XBO383" s="1"/>
      <c r="XBP383" s="1"/>
      <c r="XBQ383" s="1"/>
      <c r="XBR383" s="1"/>
      <c r="XBS383" s="1"/>
      <c r="XBT383" s="1"/>
      <c r="XBU383" s="1"/>
      <c r="XBV383" s="1"/>
      <c r="XBW383" s="1"/>
      <c r="XBX383" s="1"/>
      <c r="XBY383" s="1"/>
      <c r="XBZ383" s="1"/>
      <c r="XCA383" s="1"/>
      <c r="XCB383" s="1"/>
      <c r="XCC383" s="1"/>
      <c r="XCD383" s="1"/>
      <c r="XCE383" s="1"/>
      <c r="XCF383" s="1"/>
      <c r="XCG383" s="1"/>
      <c r="XCH383" s="1"/>
      <c r="XCI383" s="1"/>
      <c r="XCJ383" s="1"/>
      <c r="XCK383" s="1"/>
      <c r="XCL383" s="1"/>
      <c r="XCM383" s="1"/>
      <c r="XCN383" s="1"/>
      <c r="XCO383" s="1"/>
      <c r="XCP383" s="1"/>
      <c r="XCQ383" s="1"/>
      <c r="XCR383" s="1"/>
      <c r="XCS383" s="1"/>
      <c r="XCT383" s="1"/>
      <c r="XCU383" s="1"/>
      <c r="XCV383" s="1"/>
      <c r="XCW383" s="1"/>
      <c r="XCX383" s="1"/>
      <c r="XCY383" s="1"/>
      <c r="XCZ383" s="1"/>
      <c r="XDA383" s="1"/>
      <c r="XDB383" s="1"/>
      <c r="XDC383" s="1"/>
      <c r="XDD383" s="1"/>
      <c r="XDE383" s="1"/>
      <c r="XDF383" s="1"/>
      <c r="XDG383" s="1"/>
      <c r="XDH383" s="1"/>
      <c r="XDI383" s="1"/>
      <c r="XDJ383" s="1"/>
      <c r="XDK383" s="1"/>
      <c r="XDL383" s="1"/>
      <c r="XDM383" s="1"/>
      <c r="XDN383" s="1"/>
      <c r="XDO383" s="1"/>
      <c r="XDP383" s="1"/>
      <c r="XDQ383" s="1"/>
      <c r="XDR383" s="1"/>
      <c r="XDS383" s="1"/>
      <c r="XDT383" s="1"/>
      <c r="XDU383" s="1"/>
      <c r="XDV383" s="1"/>
      <c r="XDW383" s="1"/>
      <c r="XDX383" s="1"/>
      <c r="XDY383" s="1"/>
      <c r="XDZ383" s="1"/>
      <c r="XEA383" s="1"/>
      <c r="XEB383" s="1"/>
      <c r="XEC383" s="1"/>
      <c r="XED383" s="1"/>
      <c r="XEE383" s="1"/>
      <c r="XEF383" s="1"/>
      <c r="XEG383" s="1"/>
      <c r="XEH383" s="1"/>
      <c r="XEI383" s="1"/>
      <c r="XEJ383" s="1"/>
      <c r="XEK383" s="1"/>
      <c r="XEL383" s="1"/>
      <c r="XEM383" s="1"/>
      <c r="XEN383" s="1"/>
      <c r="XEO383" s="1"/>
      <c r="XEP383" s="1"/>
      <c r="XEQ383" s="1"/>
      <c r="XER383" s="1"/>
      <c r="XES383" s="1"/>
      <c r="XET383" s="1"/>
      <c r="XEU383" s="1"/>
      <c r="XEV383" s="1"/>
      <c r="XEW383" s="1"/>
      <c r="XEX383" s="1"/>
      <c r="XEY383" s="1"/>
      <c r="XEZ383" s="1"/>
      <c r="XFA383" s="1"/>
      <c r="XFB383" s="1"/>
      <c r="XFC383" s="1"/>
      <c r="XFD383" s="1"/>
    </row>
    <row r="384" spans="1:151 16227:16384" s="11" customFormat="1" ht="20.25" customHeight="1" x14ac:dyDescent="0.25">
      <c r="A384" s="99"/>
      <c r="B384" s="100"/>
      <c r="C384" s="88">
        <v>8</v>
      </c>
      <c r="D384" s="89"/>
      <c r="E384" s="20" t="s">
        <v>228</v>
      </c>
      <c r="F384" s="88">
        <f>46.77*10.764</f>
        <v>503.43227999999999</v>
      </c>
      <c r="G384" s="89"/>
      <c r="H384" s="20">
        <v>0</v>
      </c>
      <c r="I384" s="20">
        <f t="shared" ref="I384" si="102">F384*(($I$166)+1)+H384/2</f>
        <v>780.32003399999996</v>
      </c>
      <c r="J384" s="1"/>
      <c r="K384" s="1"/>
      <c r="L384" s="1"/>
      <c r="M384" s="1"/>
      <c r="N384" s="1"/>
      <c r="O384" s="1"/>
      <c r="P384" s="1"/>
      <c r="Q384" s="1"/>
      <c r="R384" s="1"/>
      <c r="S384" s="1"/>
      <c r="T384" s="1"/>
      <c r="U384" s="43" t="str">
        <f t="shared" ca="1" si="95"/>
        <v>108,..,108</v>
      </c>
      <c r="V384" s="43">
        <f t="shared" ref="V384:W384" ca="1" si="103">V383+1</f>
        <v>108</v>
      </c>
      <c r="W384" s="43">
        <f t="shared" ca="1" si="103"/>
        <v>108</v>
      </c>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WZC384" s="1"/>
      <c r="WZD384" s="1"/>
      <c r="WZE384" s="1"/>
      <c r="WZF384" s="1"/>
      <c r="WZG384" s="1"/>
      <c r="WZH384" s="1"/>
      <c r="WZI384" s="1"/>
      <c r="WZJ384" s="1"/>
      <c r="WZK384" s="1"/>
      <c r="WZL384" s="1"/>
      <c r="WZM384" s="1"/>
      <c r="WZN384" s="1"/>
      <c r="WZO384" s="1"/>
      <c r="WZP384" s="1"/>
      <c r="WZQ384" s="1"/>
      <c r="WZR384" s="1"/>
      <c r="WZS384" s="1"/>
      <c r="WZT384" s="1"/>
      <c r="WZU384" s="1"/>
      <c r="WZV384" s="1"/>
      <c r="WZW384" s="1"/>
      <c r="WZX384" s="1"/>
      <c r="WZY384" s="1"/>
      <c r="WZZ384" s="1"/>
      <c r="XAA384" s="1"/>
      <c r="XAB384" s="1"/>
      <c r="XAC384" s="1"/>
      <c r="XAD384" s="1"/>
      <c r="XAE384" s="1"/>
      <c r="XAF384" s="1"/>
      <c r="XAG384" s="1"/>
      <c r="XAH384" s="1"/>
      <c r="XAI384" s="1"/>
      <c r="XAJ384" s="1"/>
      <c r="XAK384" s="1"/>
      <c r="XAL384" s="1"/>
      <c r="XAM384" s="1"/>
      <c r="XAN384" s="1"/>
      <c r="XAO384" s="1"/>
      <c r="XAP384" s="1"/>
      <c r="XAQ384" s="1"/>
      <c r="XAR384" s="1"/>
      <c r="XAS384" s="1"/>
      <c r="XAT384" s="1"/>
      <c r="XAU384" s="1"/>
      <c r="XAV384" s="1"/>
      <c r="XAW384" s="1"/>
      <c r="XAX384" s="1"/>
      <c r="XAY384" s="1"/>
      <c r="XAZ384" s="1"/>
      <c r="XBA384" s="1"/>
      <c r="XBB384" s="1"/>
      <c r="XBC384" s="1"/>
      <c r="XBD384" s="1"/>
      <c r="XBE384" s="1"/>
      <c r="XBF384" s="1"/>
      <c r="XBG384" s="1"/>
      <c r="XBH384" s="1"/>
      <c r="XBI384" s="1"/>
      <c r="XBJ384" s="1"/>
      <c r="XBK384" s="1"/>
      <c r="XBL384" s="1"/>
      <c r="XBM384" s="1"/>
      <c r="XBN384" s="1"/>
      <c r="XBO384" s="1"/>
      <c r="XBP384" s="1"/>
      <c r="XBQ384" s="1"/>
      <c r="XBR384" s="1"/>
      <c r="XBS384" s="1"/>
      <c r="XBT384" s="1"/>
      <c r="XBU384" s="1"/>
      <c r="XBV384" s="1"/>
      <c r="XBW384" s="1"/>
      <c r="XBX384" s="1"/>
      <c r="XBY384" s="1"/>
      <c r="XBZ384" s="1"/>
      <c r="XCA384" s="1"/>
      <c r="XCB384" s="1"/>
      <c r="XCC384" s="1"/>
      <c r="XCD384" s="1"/>
      <c r="XCE384" s="1"/>
      <c r="XCF384" s="1"/>
      <c r="XCG384" s="1"/>
      <c r="XCH384" s="1"/>
      <c r="XCI384" s="1"/>
      <c r="XCJ384" s="1"/>
      <c r="XCK384" s="1"/>
      <c r="XCL384" s="1"/>
      <c r="XCM384" s="1"/>
      <c r="XCN384" s="1"/>
      <c r="XCO384" s="1"/>
      <c r="XCP384" s="1"/>
      <c r="XCQ384" s="1"/>
      <c r="XCR384" s="1"/>
      <c r="XCS384" s="1"/>
      <c r="XCT384" s="1"/>
      <c r="XCU384" s="1"/>
      <c r="XCV384" s="1"/>
      <c r="XCW384" s="1"/>
      <c r="XCX384" s="1"/>
      <c r="XCY384" s="1"/>
      <c r="XCZ384" s="1"/>
      <c r="XDA384" s="1"/>
      <c r="XDB384" s="1"/>
      <c r="XDC384" s="1"/>
      <c r="XDD384" s="1"/>
      <c r="XDE384" s="1"/>
      <c r="XDF384" s="1"/>
      <c r="XDG384" s="1"/>
      <c r="XDH384" s="1"/>
      <c r="XDI384" s="1"/>
      <c r="XDJ384" s="1"/>
      <c r="XDK384" s="1"/>
      <c r="XDL384" s="1"/>
      <c r="XDM384" s="1"/>
      <c r="XDN384" s="1"/>
      <c r="XDO384" s="1"/>
      <c r="XDP384" s="1"/>
      <c r="XDQ384" s="1"/>
      <c r="XDR384" s="1"/>
      <c r="XDS384" s="1"/>
      <c r="XDT384" s="1"/>
      <c r="XDU384" s="1"/>
      <c r="XDV384" s="1"/>
      <c r="XDW384" s="1"/>
      <c r="XDX384" s="1"/>
      <c r="XDY384" s="1"/>
      <c r="XDZ384" s="1"/>
      <c r="XEA384" s="1"/>
      <c r="XEB384" s="1"/>
      <c r="XEC384" s="1"/>
      <c r="XED384" s="1"/>
      <c r="XEE384" s="1"/>
      <c r="XEF384" s="1"/>
      <c r="XEG384" s="1"/>
      <c r="XEH384" s="1"/>
      <c r="XEI384" s="1"/>
      <c r="XEJ384" s="1"/>
      <c r="XEK384" s="1"/>
      <c r="XEL384" s="1"/>
      <c r="XEM384" s="1"/>
      <c r="XEN384" s="1"/>
      <c r="XEO384" s="1"/>
      <c r="XEP384" s="1"/>
      <c r="XEQ384" s="1"/>
      <c r="XER384" s="1"/>
      <c r="XES384" s="1"/>
      <c r="XET384" s="1"/>
      <c r="XEU384" s="1"/>
      <c r="XEV384" s="1"/>
      <c r="XEW384" s="1"/>
      <c r="XEX384" s="1"/>
      <c r="XEY384" s="1"/>
      <c r="XEZ384" s="1"/>
      <c r="XFA384" s="1"/>
      <c r="XFB384" s="1"/>
      <c r="XFC384" s="1"/>
      <c r="XFD384" s="1"/>
    </row>
    <row r="385" spans="1:151 16227:16384" s="11" customFormat="1" ht="20.25" customHeight="1" x14ac:dyDescent="0.25">
      <c r="A385" s="99"/>
      <c r="B385" s="100"/>
      <c r="C385" s="88">
        <v>9</v>
      </c>
      <c r="D385" s="89"/>
      <c r="E385" s="20" t="s">
        <v>218</v>
      </c>
      <c r="F385" s="88">
        <f>34.49*10.764</f>
        <v>371.25036</v>
      </c>
      <c r="G385" s="89"/>
      <c r="H385" s="20">
        <v>0</v>
      </c>
      <c r="I385" s="20">
        <f t="shared" ref="I385:I387" si="104">F385*(($I$166)+1)+H385</f>
        <v>575.43805800000007</v>
      </c>
      <c r="J385" s="1"/>
      <c r="K385" s="1"/>
      <c r="L385" s="1"/>
      <c r="M385" s="1"/>
      <c r="N385" s="1"/>
      <c r="O385" s="1"/>
      <c r="P385" s="1"/>
      <c r="Q385" s="1"/>
      <c r="R385" s="1"/>
      <c r="S385" s="1"/>
      <c r="T385" s="1"/>
      <c r="U385" s="43" t="str">
        <f t="shared" ca="1" si="95"/>
        <v>109,..,109</v>
      </c>
      <c r="V385" s="43">
        <f t="shared" ref="V385:W385" ca="1" si="105">V384+1</f>
        <v>109</v>
      </c>
      <c r="W385" s="43">
        <f t="shared" ca="1" si="105"/>
        <v>109</v>
      </c>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WZC385" s="1"/>
      <c r="WZD385" s="1"/>
      <c r="WZE385" s="1"/>
      <c r="WZF385" s="1"/>
      <c r="WZG385" s="1"/>
      <c r="WZH385" s="1"/>
      <c r="WZI385" s="1"/>
      <c r="WZJ385" s="1"/>
      <c r="WZK385" s="1"/>
      <c r="WZL385" s="1"/>
      <c r="WZM385" s="1"/>
      <c r="WZN385" s="1"/>
      <c r="WZO385" s="1"/>
      <c r="WZP385" s="1"/>
      <c r="WZQ385" s="1"/>
      <c r="WZR385" s="1"/>
      <c r="WZS385" s="1"/>
      <c r="WZT385" s="1"/>
      <c r="WZU385" s="1"/>
      <c r="WZV385" s="1"/>
      <c r="WZW385" s="1"/>
      <c r="WZX385" s="1"/>
      <c r="WZY385" s="1"/>
      <c r="WZZ385" s="1"/>
      <c r="XAA385" s="1"/>
      <c r="XAB385" s="1"/>
      <c r="XAC385" s="1"/>
      <c r="XAD385" s="1"/>
      <c r="XAE385" s="1"/>
      <c r="XAF385" s="1"/>
      <c r="XAG385" s="1"/>
      <c r="XAH385" s="1"/>
      <c r="XAI385" s="1"/>
      <c r="XAJ385" s="1"/>
      <c r="XAK385" s="1"/>
      <c r="XAL385" s="1"/>
      <c r="XAM385" s="1"/>
      <c r="XAN385" s="1"/>
      <c r="XAO385" s="1"/>
      <c r="XAP385" s="1"/>
      <c r="XAQ385" s="1"/>
      <c r="XAR385" s="1"/>
      <c r="XAS385" s="1"/>
      <c r="XAT385" s="1"/>
      <c r="XAU385" s="1"/>
      <c r="XAV385" s="1"/>
      <c r="XAW385" s="1"/>
      <c r="XAX385" s="1"/>
      <c r="XAY385" s="1"/>
      <c r="XAZ385" s="1"/>
      <c r="XBA385" s="1"/>
      <c r="XBB385" s="1"/>
      <c r="XBC385" s="1"/>
      <c r="XBD385" s="1"/>
      <c r="XBE385" s="1"/>
      <c r="XBF385" s="1"/>
      <c r="XBG385" s="1"/>
      <c r="XBH385" s="1"/>
      <c r="XBI385" s="1"/>
      <c r="XBJ385" s="1"/>
      <c r="XBK385" s="1"/>
      <c r="XBL385" s="1"/>
      <c r="XBM385" s="1"/>
      <c r="XBN385" s="1"/>
      <c r="XBO385" s="1"/>
      <c r="XBP385" s="1"/>
      <c r="XBQ385" s="1"/>
      <c r="XBR385" s="1"/>
      <c r="XBS385" s="1"/>
      <c r="XBT385" s="1"/>
      <c r="XBU385" s="1"/>
      <c r="XBV385" s="1"/>
      <c r="XBW385" s="1"/>
      <c r="XBX385" s="1"/>
      <c r="XBY385" s="1"/>
      <c r="XBZ385" s="1"/>
      <c r="XCA385" s="1"/>
      <c r="XCB385" s="1"/>
      <c r="XCC385" s="1"/>
      <c r="XCD385" s="1"/>
      <c r="XCE385" s="1"/>
      <c r="XCF385" s="1"/>
      <c r="XCG385" s="1"/>
      <c r="XCH385" s="1"/>
      <c r="XCI385" s="1"/>
      <c r="XCJ385" s="1"/>
      <c r="XCK385" s="1"/>
      <c r="XCL385" s="1"/>
      <c r="XCM385" s="1"/>
      <c r="XCN385" s="1"/>
      <c r="XCO385" s="1"/>
      <c r="XCP385" s="1"/>
      <c r="XCQ385" s="1"/>
      <c r="XCR385" s="1"/>
      <c r="XCS385" s="1"/>
      <c r="XCT385" s="1"/>
      <c r="XCU385" s="1"/>
      <c r="XCV385" s="1"/>
      <c r="XCW385" s="1"/>
      <c r="XCX385" s="1"/>
      <c r="XCY385" s="1"/>
      <c r="XCZ385" s="1"/>
      <c r="XDA385" s="1"/>
      <c r="XDB385" s="1"/>
      <c r="XDC385" s="1"/>
      <c r="XDD385" s="1"/>
      <c r="XDE385" s="1"/>
      <c r="XDF385" s="1"/>
      <c r="XDG385" s="1"/>
      <c r="XDH385" s="1"/>
      <c r="XDI385" s="1"/>
      <c r="XDJ385" s="1"/>
      <c r="XDK385" s="1"/>
      <c r="XDL385" s="1"/>
      <c r="XDM385" s="1"/>
      <c r="XDN385" s="1"/>
      <c r="XDO385" s="1"/>
      <c r="XDP385" s="1"/>
      <c r="XDQ385" s="1"/>
      <c r="XDR385" s="1"/>
      <c r="XDS385" s="1"/>
      <c r="XDT385" s="1"/>
      <c r="XDU385" s="1"/>
      <c r="XDV385" s="1"/>
      <c r="XDW385" s="1"/>
      <c r="XDX385" s="1"/>
      <c r="XDY385" s="1"/>
      <c r="XDZ385" s="1"/>
      <c r="XEA385" s="1"/>
      <c r="XEB385" s="1"/>
      <c r="XEC385" s="1"/>
      <c r="XED385" s="1"/>
      <c r="XEE385" s="1"/>
      <c r="XEF385" s="1"/>
      <c r="XEG385" s="1"/>
      <c r="XEH385" s="1"/>
      <c r="XEI385" s="1"/>
      <c r="XEJ385" s="1"/>
      <c r="XEK385" s="1"/>
      <c r="XEL385" s="1"/>
      <c r="XEM385" s="1"/>
      <c r="XEN385" s="1"/>
      <c r="XEO385" s="1"/>
      <c r="XEP385" s="1"/>
      <c r="XEQ385" s="1"/>
      <c r="XER385" s="1"/>
      <c r="XES385" s="1"/>
      <c r="XET385" s="1"/>
      <c r="XEU385" s="1"/>
      <c r="XEV385" s="1"/>
      <c r="XEW385" s="1"/>
      <c r="XEX385" s="1"/>
      <c r="XEY385" s="1"/>
      <c r="XEZ385" s="1"/>
      <c r="XFA385" s="1"/>
      <c r="XFB385" s="1"/>
      <c r="XFC385" s="1"/>
      <c r="XFD385" s="1"/>
    </row>
    <row r="386" spans="1:151 16227:16384" s="11" customFormat="1" ht="20.25" customHeight="1" x14ac:dyDescent="0.25">
      <c r="A386" s="99"/>
      <c r="B386" s="100"/>
      <c r="C386" s="88">
        <v>10</v>
      </c>
      <c r="D386" s="89"/>
      <c r="E386" s="20" t="s">
        <v>218</v>
      </c>
      <c r="F386" s="88">
        <f>41.07*10.764</f>
        <v>442.07747999999998</v>
      </c>
      <c r="G386" s="89"/>
      <c r="H386" s="20">
        <v>0</v>
      </c>
      <c r="I386" s="20">
        <f t="shared" si="104"/>
        <v>685.22009400000002</v>
      </c>
      <c r="J386" s="1"/>
      <c r="K386" s="1"/>
      <c r="L386" s="1"/>
      <c r="M386" s="1"/>
      <c r="N386" s="1"/>
      <c r="O386" s="1"/>
      <c r="P386" s="1"/>
      <c r="Q386" s="1"/>
      <c r="R386" s="1"/>
      <c r="S386" s="1"/>
      <c r="T386" s="1"/>
      <c r="U386" s="43" t="str">
        <f t="shared" ca="1" si="95"/>
        <v>110,..,110</v>
      </c>
      <c r="V386" s="43">
        <f t="shared" ref="V386:W386" ca="1" si="106">V385+1</f>
        <v>110</v>
      </c>
      <c r="W386" s="43">
        <f t="shared" ca="1" si="106"/>
        <v>110</v>
      </c>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WZC386" s="1"/>
      <c r="WZD386" s="1"/>
      <c r="WZE386" s="1"/>
      <c r="WZF386" s="1"/>
      <c r="WZG386" s="1"/>
      <c r="WZH386" s="1"/>
      <c r="WZI386" s="1"/>
      <c r="WZJ386" s="1"/>
      <c r="WZK386" s="1"/>
      <c r="WZL386" s="1"/>
      <c r="WZM386" s="1"/>
      <c r="WZN386" s="1"/>
      <c r="WZO386" s="1"/>
      <c r="WZP386" s="1"/>
      <c r="WZQ386" s="1"/>
      <c r="WZR386" s="1"/>
      <c r="WZS386" s="1"/>
      <c r="WZT386" s="1"/>
      <c r="WZU386" s="1"/>
      <c r="WZV386" s="1"/>
      <c r="WZW386" s="1"/>
      <c r="WZX386" s="1"/>
      <c r="WZY386" s="1"/>
      <c r="WZZ386" s="1"/>
      <c r="XAA386" s="1"/>
      <c r="XAB386" s="1"/>
      <c r="XAC386" s="1"/>
      <c r="XAD386" s="1"/>
      <c r="XAE386" s="1"/>
      <c r="XAF386" s="1"/>
      <c r="XAG386" s="1"/>
      <c r="XAH386" s="1"/>
      <c r="XAI386" s="1"/>
      <c r="XAJ386" s="1"/>
      <c r="XAK386" s="1"/>
      <c r="XAL386" s="1"/>
      <c r="XAM386" s="1"/>
      <c r="XAN386" s="1"/>
      <c r="XAO386" s="1"/>
      <c r="XAP386" s="1"/>
      <c r="XAQ386" s="1"/>
      <c r="XAR386" s="1"/>
      <c r="XAS386" s="1"/>
      <c r="XAT386" s="1"/>
      <c r="XAU386" s="1"/>
      <c r="XAV386" s="1"/>
      <c r="XAW386" s="1"/>
      <c r="XAX386" s="1"/>
      <c r="XAY386" s="1"/>
      <c r="XAZ386" s="1"/>
      <c r="XBA386" s="1"/>
      <c r="XBB386" s="1"/>
      <c r="XBC386" s="1"/>
      <c r="XBD386" s="1"/>
      <c r="XBE386" s="1"/>
      <c r="XBF386" s="1"/>
      <c r="XBG386" s="1"/>
      <c r="XBH386" s="1"/>
      <c r="XBI386" s="1"/>
      <c r="XBJ386" s="1"/>
      <c r="XBK386" s="1"/>
      <c r="XBL386" s="1"/>
      <c r="XBM386" s="1"/>
      <c r="XBN386" s="1"/>
      <c r="XBO386" s="1"/>
      <c r="XBP386" s="1"/>
      <c r="XBQ386" s="1"/>
      <c r="XBR386" s="1"/>
      <c r="XBS386" s="1"/>
      <c r="XBT386" s="1"/>
      <c r="XBU386" s="1"/>
      <c r="XBV386" s="1"/>
      <c r="XBW386" s="1"/>
      <c r="XBX386" s="1"/>
      <c r="XBY386" s="1"/>
      <c r="XBZ386" s="1"/>
      <c r="XCA386" s="1"/>
      <c r="XCB386" s="1"/>
      <c r="XCC386" s="1"/>
      <c r="XCD386" s="1"/>
      <c r="XCE386" s="1"/>
      <c r="XCF386" s="1"/>
      <c r="XCG386" s="1"/>
      <c r="XCH386" s="1"/>
      <c r="XCI386" s="1"/>
      <c r="XCJ386" s="1"/>
      <c r="XCK386" s="1"/>
      <c r="XCL386" s="1"/>
      <c r="XCM386" s="1"/>
      <c r="XCN386" s="1"/>
      <c r="XCO386" s="1"/>
      <c r="XCP386" s="1"/>
      <c r="XCQ386" s="1"/>
      <c r="XCR386" s="1"/>
      <c r="XCS386" s="1"/>
      <c r="XCT386" s="1"/>
      <c r="XCU386" s="1"/>
      <c r="XCV386" s="1"/>
      <c r="XCW386" s="1"/>
      <c r="XCX386" s="1"/>
      <c r="XCY386" s="1"/>
      <c r="XCZ386" s="1"/>
      <c r="XDA386" s="1"/>
      <c r="XDB386" s="1"/>
      <c r="XDC386" s="1"/>
      <c r="XDD386" s="1"/>
      <c r="XDE386" s="1"/>
      <c r="XDF386" s="1"/>
      <c r="XDG386" s="1"/>
      <c r="XDH386" s="1"/>
      <c r="XDI386" s="1"/>
      <c r="XDJ386" s="1"/>
      <c r="XDK386" s="1"/>
      <c r="XDL386" s="1"/>
      <c r="XDM386" s="1"/>
      <c r="XDN386" s="1"/>
      <c r="XDO386" s="1"/>
      <c r="XDP386" s="1"/>
      <c r="XDQ386" s="1"/>
      <c r="XDR386" s="1"/>
      <c r="XDS386" s="1"/>
      <c r="XDT386" s="1"/>
      <c r="XDU386" s="1"/>
      <c r="XDV386" s="1"/>
      <c r="XDW386" s="1"/>
      <c r="XDX386" s="1"/>
      <c r="XDY386" s="1"/>
      <c r="XDZ386" s="1"/>
      <c r="XEA386" s="1"/>
      <c r="XEB386" s="1"/>
      <c r="XEC386" s="1"/>
      <c r="XED386" s="1"/>
      <c r="XEE386" s="1"/>
      <c r="XEF386" s="1"/>
      <c r="XEG386" s="1"/>
      <c r="XEH386" s="1"/>
      <c r="XEI386" s="1"/>
      <c r="XEJ386" s="1"/>
      <c r="XEK386" s="1"/>
      <c r="XEL386" s="1"/>
      <c r="XEM386" s="1"/>
      <c r="XEN386" s="1"/>
      <c r="XEO386" s="1"/>
      <c r="XEP386" s="1"/>
      <c r="XEQ386" s="1"/>
      <c r="XER386" s="1"/>
      <c r="XES386" s="1"/>
      <c r="XET386" s="1"/>
      <c r="XEU386" s="1"/>
      <c r="XEV386" s="1"/>
      <c r="XEW386" s="1"/>
      <c r="XEX386" s="1"/>
      <c r="XEY386" s="1"/>
      <c r="XEZ386" s="1"/>
      <c r="XFA386" s="1"/>
      <c r="XFB386" s="1"/>
      <c r="XFC386" s="1"/>
      <c r="XFD386" s="1"/>
    </row>
    <row r="387" spans="1:151 16227:16384" s="11" customFormat="1" ht="20.25" customHeight="1" x14ac:dyDescent="0.25">
      <c r="A387" s="101"/>
      <c r="B387" s="102"/>
      <c r="C387" s="88">
        <v>11</v>
      </c>
      <c r="D387" s="89"/>
      <c r="E387" s="20" t="s">
        <v>218</v>
      </c>
      <c r="F387" s="88">
        <f>41.07*10.764</f>
        <v>442.07747999999998</v>
      </c>
      <c r="G387" s="89"/>
      <c r="H387" s="20">
        <v>0</v>
      </c>
      <c r="I387" s="20">
        <f t="shared" si="104"/>
        <v>685.22009400000002</v>
      </c>
      <c r="J387" s="1"/>
      <c r="K387" s="1"/>
      <c r="L387" s="1"/>
      <c r="M387" s="1"/>
      <c r="N387" s="1"/>
      <c r="O387" s="1"/>
      <c r="P387" s="1"/>
      <c r="Q387" s="1"/>
      <c r="R387" s="1"/>
      <c r="S387" s="1"/>
      <c r="T387" s="1"/>
      <c r="U387" s="43" t="str">
        <f t="shared" ca="1" si="95"/>
        <v>111,..,111</v>
      </c>
      <c r="V387" s="43">
        <f t="shared" ref="V387:W387" ca="1" si="107">V386+1</f>
        <v>111</v>
      </c>
      <c r="W387" s="43">
        <f t="shared" ca="1" si="107"/>
        <v>111</v>
      </c>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WZC387" s="1"/>
      <c r="WZD387" s="1"/>
      <c r="WZE387" s="1"/>
      <c r="WZF387" s="1"/>
      <c r="WZG387" s="1"/>
      <c r="WZH387" s="1"/>
      <c r="WZI387" s="1"/>
      <c r="WZJ387" s="1"/>
      <c r="WZK387" s="1"/>
      <c r="WZL387" s="1"/>
      <c r="WZM387" s="1"/>
      <c r="WZN387" s="1"/>
      <c r="WZO387" s="1"/>
      <c r="WZP387" s="1"/>
      <c r="WZQ387" s="1"/>
      <c r="WZR387" s="1"/>
      <c r="WZS387" s="1"/>
      <c r="WZT387" s="1"/>
      <c r="WZU387" s="1"/>
      <c r="WZV387" s="1"/>
      <c r="WZW387" s="1"/>
      <c r="WZX387" s="1"/>
      <c r="WZY387" s="1"/>
      <c r="WZZ387" s="1"/>
      <c r="XAA387" s="1"/>
      <c r="XAB387" s="1"/>
      <c r="XAC387" s="1"/>
      <c r="XAD387" s="1"/>
      <c r="XAE387" s="1"/>
      <c r="XAF387" s="1"/>
      <c r="XAG387" s="1"/>
      <c r="XAH387" s="1"/>
      <c r="XAI387" s="1"/>
      <c r="XAJ387" s="1"/>
      <c r="XAK387" s="1"/>
      <c r="XAL387" s="1"/>
      <c r="XAM387" s="1"/>
      <c r="XAN387" s="1"/>
      <c r="XAO387" s="1"/>
      <c r="XAP387" s="1"/>
      <c r="XAQ387" s="1"/>
      <c r="XAR387" s="1"/>
      <c r="XAS387" s="1"/>
      <c r="XAT387" s="1"/>
      <c r="XAU387" s="1"/>
      <c r="XAV387" s="1"/>
      <c r="XAW387" s="1"/>
      <c r="XAX387" s="1"/>
      <c r="XAY387" s="1"/>
      <c r="XAZ387" s="1"/>
      <c r="XBA387" s="1"/>
      <c r="XBB387" s="1"/>
      <c r="XBC387" s="1"/>
      <c r="XBD387" s="1"/>
      <c r="XBE387" s="1"/>
      <c r="XBF387" s="1"/>
      <c r="XBG387" s="1"/>
      <c r="XBH387" s="1"/>
      <c r="XBI387" s="1"/>
      <c r="XBJ387" s="1"/>
      <c r="XBK387" s="1"/>
      <c r="XBL387" s="1"/>
      <c r="XBM387" s="1"/>
      <c r="XBN387" s="1"/>
      <c r="XBO387" s="1"/>
      <c r="XBP387" s="1"/>
      <c r="XBQ387" s="1"/>
      <c r="XBR387" s="1"/>
      <c r="XBS387" s="1"/>
      <c r="XBT387" s="1"/>
      <c r="XBU387" s="1"/>
      <c r="XBV387" s="1"/>
      <c r="XBW387" s="1"/>
      <c r="XBX387" s="1"/>
      <c r="XBY387" s="1"/>
      <c r="XBZ387" s="1"/>
      <c r="XCA387" s="1"/>
      <c r="XCB387" s="1"/>
      <c r="XCC387" s="1"/>
      <c r="XCD387" s="1"/>
      <c r="XCE387" s="1"/>
      <c r="XCF387" s="1"/>
      <c r="XCG387" s="1"/>
      <c r="XCH387" s="1"/>
      <c r="XCI387" s="1"/>
      <c r="XCJ387" s="1"/>
      <c r="XCK387" s="1"/>
      <c r="XCL387" s="1"/>
      <c r="XCM387" s="1"/>
      <c r="XCN387" s="1"/>
      <c r="XCO387" s="1"/>
      <c r="XCP387" s="1"/>
      <c r="XCQ387" s="1"/>
      <c r="XCR387" s="1"/>
      <c r="XCS387" s="1"/>
      <c r="XCT387" s="1"/>
      <c r="XCU387" s="1"/>
      <c r="XCV387" s="1"/>
      <c r="XCW387" s="1"/>
      <c r="XCX387" s="1"/>
      <c r="XCY387" s="1"/>
      <c r="XCZ387" s="1"/>
      <c r="XDA387" s="1"/>
      <c r="XDB387" s="1"/>
      <c r="XDC387" s="1"/>
      <c r="XDD387" s="1"/>
      <c r="XDE387" s="1"/>
      <c r="XDF387" s="1"/>
      <c r="XDG387" s="1"/>
      <c r="XDH387" s="1"/>
      <c r="XDI387" s="1"/>
      <c r="XDJ387" s="1"/>
      <c r="XDK387" s="1"/>
      <c r="XDL387" s="1"/>
      <c r="XDM387" s="1"/>
      <c r="XDN387" s="1"/>
      <c r="XDO387" s="1"/>
      <c r="XDP387" s="1"/>
      <c r="XDQ387" s="1"/>
      <c r="XDR387" s="1"/>
      <c r="XDS387" s="1"/>
      <c r="XDT387" s="1"/>
      <c r="XDU387" s="1"/>
      <c r="XDV387" s="1"/>
      <c r="XDW387" s="1"/>
      <c r="XDX387" s="1"/>
      <c r="XDY387" s="1"/>
      <c r="XDZ387" s="1"/>
      <c r="XEA387" s="1"/>
      <c r="XEB387" s="1"/>
      <c r="XEC387" s="1"/>
      <c r="XED387" s="1"/>
      <c r="XEE387" s="1"/>
      <c r="XEF387" s="1"/>
      <c r="XEG387" s="1"/>
      <c r="XEH387" s="1"/>
      <c r="XEI387" s="1"/>
      <c r="XEJ387" s="1"/>
      <c r="XEK387" s="1"/>
      <c r="XEL387" s="1"/>
      <c r="XEM387" s="1"/>
      <c r="XEN387" s="1"/>
      <c r="XEO387" s="1"/>
      <c r="XEP387" s="1"/>
      <c r="XEQ387" s="1"/>
      <c r="XER387" s="1"/>
      <c r="XES387" s="1"/>
      <c r="XET387" s="1"/>
      <c r="XEU387" s="1"/>
      <c r="XEV387" s="1"/>
      <c r="XEW387" s="1"/>
      <c r="XEX387" s="1"/>
      <c r="XEY387" s="1"/>
      <c r="XEZ387" s="1"/>
      <c r="XFA387" s="1"/>
      <c r="XFB387" s="1"/>
      <c r="XFC387" s="1"/>
      <c r="XFD387" s="1"/>
    </row>
    <row r="388" spans="1:151 16227:16384" s="11" customFormat="1" ht="20.25" x14ac:dyDescent="0.25">
      <c r="A388" s="94" t="s">
        <v>219</v>
      </c>
      <c r="B388" s="95"/>
      <c r="C388" s="95"/>
      <c r="D388" s="95"/>
      <c r="E388" s="95"/>
      <c r="F388" s="95"/>
      <c r="G388" s="95"/>
      <c r="H388" s="95"/>
      <c r="I388" s="103"/>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WZC388" s="1"/>
      <c r="WZD388" s="1"/>
      <c r="WZE388" s="1"/>
      <c r="WZF388" s="1"/>
      <c r="WZG388" s="1"/>
      <c r="WZH388" s="1"/>
      <c r="WZI388" s="1"/>
      <c r="WZJ388" s="1"/>
      <c r="WZK388" s="1"/>
      <c r="WZL388" s="1"/>
      <c r="WZM388" s="1"/>
      <c r="WZN388" s="1"/>
      <c r="WZO388" s="1"/>
      <c r="WZP388" s="1"/>
      <c r="WZQ388" s="1"/>
      <c r="WZR388" s="1"/>
      <c r="WZS388" s="1"/>
      <c r="WZT388" s="1"/>
      <c r="WZU388" s="1"/>
      <c r="WZV388" s="1"/>
      <c r="WZW388" s="1"/>
      <c r="WZX388" s="1"/>
      <c r="WZY388" s="1"/>
      <c r="WZZ388" s="1"/>
      <c r="XAA388" s="1"/>
      <c r="XAB388" s="1"/>
      <c r="XAC388" s="1"/>
      <c r="XAD388" s="1"/>
      <c r="XAE388" s="1"/>
      <c r="XAF388" s="1"/>
      <c r="XAG388" s="1"/>
      <c r="XAH388" s="1"/>
      <c r="XAI388" s="1"/>
      <c r="XAJ388" s="1"/>
      <c r="XAK388" s="1"/>
      <c r="XAL388" s="1"/>
      <c r="XAM388" s="1"/>
      <c r="XAN388" s="1"/>
      <c r="XAO388" s="1"/>
      <c r="XAP388" s="1"/>
      <c r="XAQ388" s="1"/>
      <c r="XAR388" s="1"/>
      <c r="XAS388" s="1"/>
      <c r="XAT388" s="1"/>
      <c r="XAU388" s="1"/>
      <c r="XAV388" s="1"/>
      <c r="XAW388" s="1"/>
      <c r="XAX388" s="1"/>
      <c r="XAY388" s="1"/>
      <c r="XAZ388" s="1"/>
      <c r="XBA388" s="1"/>
      <c r="XBB388" s="1"/>
      <c r="XBC388" s="1"/>
      <c r="XBD388" s="1"/>
      <c r="XBE388" s="1"/>
      <c r="XBF388" s="1"/>
      <c r="XBG388" s="1"/>
      <c r="XBH388" s="1"/>
      <c r="XBI388" s="1"/>
      <c r="XBJ388" s="1"/>
      <c r="XBK388" s="1"/>
      <c r="XBL388" s="1"/>
      <c r="XBM388" s="1"/>
      <c r="XBN388" s="1"/>
      <c r="XBO388" s="1"/>
      <c r="XBP388" s="1"/>
      <c r="XBQ388" s="1"/>
      <c r="XBR388" s="1"/>
      <c r="XBS388" s="1"/>
      <c r="XBT388" s="1"/>
      <c r="XBU388" s="1"/>
      <c r="XBV388" s="1"/>
      <c r="XBW388" s="1"/>
      <c r="XBX388" s="1"/>
      <c r="XBY388" s="1"/>
      <c r="XBZ388" s="1"/>
      <c r="XCA388" s="1"/>
      <c r="XCB388" s="1"/>
      <c r="XCC388" s="1"/>
      <c r="XCD388" s="1"/>
      <c r="XCE388" s="1"/>
      <c r="XCF388" s="1"/>
      <c r="XCG388" s="1"/>
      <c r="XCH388" s="1"/>
      <c r="XCI388" s="1"/>
      <c r="XCJ388" s="1"/>
      <c r="XCK388" s="1"/>
      <c r="XCL388" s="1"/>
      <c r="XCM388" s="1"/>
      <c r="XCN388" s="1"/>
      <c r="XCO388" s="1"/>
      <c r="XCP388" s="1"/>
      <c r="XCQ388" s="1"/>
      <c r="XCR388" s="1"/>
      <c r="XCS388" s="1"/>
      <c r="XCT388" s="1"/>
      <c r="XCU388" s="1"/>
      <c r="XCV388" s="1"/>
      <c r="XCW388" s="1"/>
      <c r="XCX388" s="1"/>
      <c r="XCY388" s="1"/>
      <c r="XCZ388" s="1"/>
      <c r="XDA388" s="1"/>
      <c r="XDB388" s="1"/>
      <c r="XDC388" s="1"/>
      <c r="XDD388" s="1"/>
      <c r="XDE388" s="1"/>
      <c r="XDF388" s="1"/>
      <c r="XDG388" s="1"/>
      <c r="XDH388" s="1"/>
      <c r="XDI388" s="1"/>
      <c r="XDJ388" s="1"/>
      <c r="XDK388" s="1"/>
      <c r="XDL388" s="1"/>
      <c r="XDM388" s="1"/>
      <c r="XDN388" s="1"/>
      <c r="XDO388" s="1"/>
      <c r="XDP388" s="1"/>
      <c r="XDQ388" s="1"/>
      <c r="XDR388" s="1"/>
      <c r="XDS388" s="1"/>
      <c r="XDT388" s="1"/>
      <c r="XDU388" s="1"/>
      <c r="XDV388" s="1"/>
      <c r="XDW388" s="1"/>
      <c r="XDX388" s="1"/>
      <c r="XDY388" s="1"/>
      <c r="XDZ388" s="1"/>
      <c r="XEA388" s="1"/>
      <c r="XEB388" s="1"/>
      <c r="XEC388" s="1"/>
      <c r="XED388" s="1"/>
      <c r="XEE388" s="1"/>
      <c r="XEF388" s="1"/>
      <c r="XEG388" s="1"/>
      <c r="XEH388" s="1"/>
      <c r="XEI388" s="1"/>
      <c r="XEJ388" s="1"/>
      <c r="XEK388" s="1"/>
      <c r="XEL388" s="1"/>
      <c r="XEM388" s="1"/>
      <c r="XEN388" s="1"/>
      <c r="XEO388" s="1"/>
      <c r="XEP388" s="1"/>
      <c r="XEQ388" s="1"/>
      <c r="XER388" s="1"/>
      <c r="XES388" s="1"/>
      <c r="XET388" s="1"/>
      <c r="XEU388" s="1"/>
      <c r="XEV388" s="1"/>
      <c r="XEW388" s="1"/>
      <c r="XEX388" s="1"/>
      <c r="XEY388" s="1"/>
      <c r="XEZ388" s="1"/>
      <c r="XFA388" s="1"/>
      <c r="XFB388" s="1"/>
      <c r="XFC388" s="1"/>
      <c r="XFD388" s="1"/>
    </row>
    <row r="389" spans="1:151 16227:16384" s="11" customFormat="1" ht="20.25" customHeight="1" x14ac:dyDescent="0.25">
      <c r="A389" s="97" t="str">
        <f>A388</f>
        <v>2nd to 6th, 8th to 11th, 13th to 16th, 18th to 21st Floor</v>
      </c>
      <c r="B389" s="98"/>
      <c r="C389" s="88">
        <v>1</v>
      </c>
      <c r="D389" s="89"/>
      <c r="E389" s="55" t="s">
        <v>218</v>
      </c>
      <c r="F389" s="88">
        <f>34.49*10.764</f>
        <v>371.25036</v>
      </c>
      <c r="G389" s="89"/>
      <c r="H389" s="20">
        <v>0</v>
      </c>
      <c r="I389" s="20">
        <f t="shared" ref="I389:I399" si="108">F389*(($I$166)+1)+H389</f>
        <v>575.43805800000007</v>
      </c>
      <c r="J389" s="1"/>
      <c r="K389" s="1"/>
      <c r="L389" s="1"/>
      <c r="M389" s="1"/>
      <c r="N389" s="1"/>
      <c r="O389" s="1"/>
      <c r="P389" s="1"/>
      <c r="Q389" s="1"/>
      <c r="R389" s="1"/>
      <c r="S389" s="1"/>
      <c r="T389" s="1"/>
      <c r="U389" s="43" t="str">
        <f t="shared" ref="U389:U399" ca="1" si="109">V389&amp;""&amp;",..,"&amp;""&amp;W389</f>
        <v>2601,..,2101</v>
      </c>
      <c r="V389" s="43">
        <f ca="1">(SUMPRODUCT(MID(0&amp;(LEFT(A388,SUM(LEN(A388)-LEN(SUBSTITUTE(A388,{"0","1","2","3"},""))))), LARGE(INDEX(ISNUMBER(--MID((LEFT(A388,SUM(LEN(A388)-LEN(SUBSTITUTE(A388,{"0","1","2","3"},""))))), ROW(INDIRECT("1:"&amp;LEN((LEFT(A388,SUM(LEN(A388)-LEN(SUBSTITUTE(A388,{"0","1","2","3"},"")))))))), 1)) * ROW(INDIRECT("1:"&amp;LEN((LEFT(A388,SUM(LEN(A388)-LEN(SUBSTITUTE(A388,{"0","1","2","3"},"")))))))), 0), ROW(INDIRECT("1:"&amp;LEN((LEFT(A388,SUM(LEN(A388)-LEN(SUBSTITUTE(A388,{"0","1","2","3"},"")))))))))+1, 1) * 10^ROW(INDIRECT("1:"&amp;LEN((LEFT(A388,SUM(LEN(A388)-LEN(SUBSTITUTE(A388,{"0","1","2","3"},""))))))))/10))*100+1</f>
        <v>2601</v>
      </c>
      <c r="W389" s="43">
        <f ca="1">(SUMPRODUCT(MID(0&amp;(--TRIM(RIGHT(SUBSTITUTE(LEFT(A388,_xlfn.AGGREGATE(16,6,FIND({0,1,2,3,4,5,6,7,8,9},A388,ROW(INDIRECT("1:"&amp;LEN(A388)))),1))," ",REPT(" ",LEN(A388))),LEN(A388)))), LARGE(INDEX(ISNUMBER(--MID((--TRIM(RIGHT(SUBSTITUTE(LEFT(A388,_xlfn.AGGREGATE(16,6,FIND({0,1,2,3,4,5,6,7,8,9},A388,ROW(INDIRECT("1:"&amp;LEN(A388)))),1))," ",REPT(" ",LEN(A388))),LEN(A388)))), ROW(INDIRECT("1:"&amp;LEN((--TRIM(RIGHT(SUBSTITUTE(LEFT(A388,_xlfn.AGGREGATE(16,6,FIND({0,1,2,3,4,5,6,7,8,9},A388,ROW(INDIRECT("1:"&amp;LEN(A388)))),1))," ",REPT(" ",LEN(A388))),LEN(A388))))))), 1)) * ROW(INDIRECT("1:"&amp;LEN((--TRIM(RIGHT(SUBSTITUTE(LEFT(A388,_xlfn.AGGREGATE(16,6,FIND({0,1,2,3,4,5,6,7,8,9},A388,ROW(INDIRECT("1:"&amp;LEN(A388)))),1))," ",REPT(" ",LEN(A388))),LEN(A388))))))), 0), ROW(INDIRECT("1:"&amp;LEN((--TRIM(RIGHT(SUBSTITUTE(LEFT(A388,_xlfn.AGGREGATE(16,6,FIND({0,1,2,3,4,5,6,7,8,9},A388,ROW(INDIRECT("1:"&amp;LEN(A388)))),1))," ",REPT(" ",LEN(A388))),LEN(A388))))))))+1, 1) * 10^ROW(INDIRECT("1:"&amp;LEN((--TRIM(RIGHT(SUBSTITUTE(LEFT(A388,_xlfn.AGGREGATE(16,6,FIND({0,1,2,3,4,5,6,7,8,9},A388,ROW(INDIRECT("1:"&amp;LEN(A388)))),1))," ",REPT(" ",LEN(A388))),LEN(A388)))))))/10))*100+1</f>
        <v>2101</v>
      </c>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WZC389" s="1"/>
      <c r="WZD389" s="1"/>
      <c r="WZE389" s="1"/>
      <c r="WZF389" s="1"/>
      <c r="WZG389" s="1"/>
      <c r="WZH389" s="1"/>
      <c r="WZI389" s="1"/>
      <c r="WZJ389" s="1"/>
      <c r="WZK389" s="1"/>
      <c r="WZL389" s="1"/>
      <c r="WZM389" s="1"/>
      <c r="WZN389" s="1"/>
      <c r="WZO389" s="1"/>
      <c r="WZP389" s="1"/>
      <c r="WZQ389" s="1"/>
      <c r="WZR389" s="1"/>
      <c r="WZS389" s="1"/>
      <c r="WZT389" s="1"/>
      <c r="WZU389" s="1"/>
      <c r="WZV389" s="1"/>
      <c r="WZW389" s="1"/>
      <c r="WZX389" s="1"/>
      <c r="WZY389" s="1"/>
      <c r="WZZ389" s="1"/>
      <c r="XAA389" s="1"/>
      <c r="XAB389" s="1"/>
      <c r="XAC389" s="1"/>
      <c r="XAD389" s="1"/>
      <c r="XAE389" s="1"/>
      <c r="XAF389" s="1"/>
      <c r="XAG389" s="1"/>
      <c r="XAH389" s="1"/>
      <c r="XAI389" s="1"/>
      <c r="XAJ389" s="1"/>
      <c r="XAK389" s="1"/>
      <c r="XAL389" s="1"/>
      <c r="XAM389" s="1"/>
      <c r="XAN389" s="1"/>
      <c r="XAO389" s="1"/>
      <c r="XAP389" s="1"/>
      <c r="XAQ389" s="1"/>
      <c r="XAR389" s="1"/>
      <c r="XAS389" s="1"/>
      <c r="XAT389" s="1"/>
      <c r="XAU389" s="1"/>
      <c r="XAV389" s="1"/>
      <c r="XAW389" s="1"/>
      <c r="XAX389" s="1"/>
      <c r="XAY389" s="1"/>
      <c r="XAZ389" s="1"/>
      <c r="XBA389" s="1"/>
      <c r="XBB389" s="1"/>
      <c r="XBC389" s="1"/>
      <c r="XBD389" s="1"/>
      <c r="XBE389" s="1"/>
      <c r="XBF389" s="1"/>
      <c r="XBG389" s="1"/>
      <c r="XBH389" s="1"/>
      <c r="XBI389" s="1"/>
      <c r="XBJ389" s="1"/>
      <c r="XBK389" s="1"/>
      <c r="XBL389" s="1"/>
      <c r="XBM389" s="1"/>
      <c r="XBN389" s="1"/>
      <c r="XBO389" s="1"/>
      <c r="XBP389" s="1"/>
      <c r="XBQ389" s="1"/>
      <c r="XBR389" s="1"/>
      <c r="XBS389" s="1"/>
      <c r="XBT389" s="1"/>
      <c r="XBU389" s="1"/>
      <c r="XBV389" s="1"/>
      <c r="XBW389" s="1"/>
      <c r="XBX389" s="1"/>
      <c r="XBY389" s="1"/>
      <c r="XBZ389" s="1"/>
      <c r="XCA389" s="1"/>
      <c r="XCB389" s="1"/>
      <c r="XCC389" s="1"/>
      <c r="XCD389" s="1"/>
      <c r="XCE389" s="1"/>
      <c r="XCF389" s="1"/>
      <c r="XCG389" s="1"/>
      <c r="XCH389" s="1"/>
      <c r="XCI389" s="1"/>
      <c r="XCJ389" s="1"/>
      <c r="XCK389" s="1"/>
      <c r="XCL389" s="1"/>
      <c r="XCM389" s="1"/>
      <c r="XCN389" s="1"/>
      <c r="XCO389" s="1"/>
      <c r="XCP389" s="1"/>
      <c r="XCQ389" s="1"/>
      <c r="XCR389" s="1"/>
      <c r="XCS389" s="1"/>
      <c r="XCT389" s="1"/>
      <c r="XCU389" s="1"/>
      <c r="XCV389" s="1"/>
      <c r="XCW389" s="1"/>
      <c r="XCX389" s="1"/>
      <c r="XCY389" s="1"/>
      <c r="XCZ389" s="1"/>
      <c r="XDA389" s="1"/>
      <c r="XDB389" s="1"/>
      <c r="XDC389" s="1"/>
      <c r="XDD389" s="1"/>
      <c r="XDE389" s="1"/>
      <c r="XDF389" s="1"/>
      <c r="XDG389" s="1"/>
      <c r="XDH389" s="1"/>
      <c r="XDI389" s="1"/>
      <c r="XDJ389" s="1"/>
      <c r="XDK389" s="1"/>
      <c r="XDL389" s="1"/>
      <c r="XDM389" s="1"/>
      <c r="XDN389" s="1"/>
      <c r="XDO389" s="1"/>
      <c r="XDP389" s="1"/>
      <c r="XDQ389" s="1"/>
      <c r="XDR389" s="1"/>
      <c r="XDS389" s="1"/>
      <c r="XDT389" s="1"/>
      <c r="XDU389" s="1"/>
      <c r="XDV389" s="1"/>
      <c r="XDW389" s="1"/>
      <c r="XDX389" s="1"/>
      <c r="XDY389" s="1"/>
      <c r="XDZ389" s="1"/>
      <c r="XEA389" s="1"/>
      <c r="XEB389" s="1"/>
      <c r="XEC389" s="1"/>
      <c r="XED389" s="1"/>
      <c r="XEE389" s="1"/>
      <c r="XEF389" s="1"/>
      <c r="XEG389" s="1"/>
      <c r="XEH389" s="1"/>
      <c r="XEI389" s="1"/>
      <c r="XEJ389" s="1"/>
      <c r="XEK389" s="1"/>
      <c r="XEL389" s="1"/>
      <c r="XEM389" s="1"/>
      <c r="XEN389" s="1"/>
      <c r="XEO389" s="1"/>
      <c r="XEP389" s="1"/>
      <c r="XEQ389" s="1"/>
      <c r="XER389" s="1"/>
      <c r="XES389" s="1"/>
      <c r="XET389" s="1"/>
      <c r="XEU389" s="1"/>
      <c r="XEV389" s="1"/>
      <c r="XEW389" s="1"/>
      <c r="XEX389" s="1"/>
      <c r="XEY389" s="1"/>
      <c r="XEZ389" s="1"/>
      <c r="XFA389" s="1"/>
      <c r="XFB389" s="1"/>
      <c r="XFC389" s="1"/>
      <c r="XFD389" s="1"/>
    </row>
    <row r="390" spans="1:151 16227:16384" s="11" customFormat="1" ht="20.25" customHeight="1" x14ac:dyDescent="0.25">
      <c r="A390" s="99"/>
      <c r="B390" s="100"/>
      <c r="C390" s="88">
        <v>2</v>
      </c>
      <c r="D390" s="89"/>
      <c r="E390" s="55" t="s">
        <v>228</v>
      </c>
      <c r="F390" s="88">
        <f>46.77*10.764</f>
        <v>503.43227999999999</v>
      </c>
      <c r="G390" s="89"/>
      <c r="H390" s="20">
        <v>0</v>
      </c>
      <c r="I390" s="20">
        <f t="shared" si="108"/>
        <v>780.32003399999996</v>
      </c>
      <c r="J390" s="1"/>
      <c r="K390" s="1"/>
      <c r="L390" s="1"/>
      <c r="M390" s="1"/>
      <c r="N390" s="1"/>
      <c r="O390" s="1"/>
      <c r="P390" s="1"/>
      <c r="Q390" s="1"/>
      <c r="R390" s="1"/>
      <c r="S390" s="1"/>
      <c r="T390" s="1"/>
      <c r="U390" s="43" t="str">
        <f t="shared" ca="1" si="109"/>
        <v>2602,..,2102</v>
      </c>
      <c r="V390" s="43">
        <f ca="1">V389+1</f>
        <v>2602</v>
      </c>
      <c r="W390" s="43">
        <f ca="1">W389+1</f>
        <v>2102</v>
      </c>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WZC390" s="1"/>
      <c r="WZD390" s="1"/>
      <c r="WZE390" s="1"/>
      <c r="WZF390" s="1"/>
      <c r="WZG390" s="1"/>
      <c r="WZH390" s="1"/>
      <c r="WZI390" s="1"/>
      <c r="WZJ390" s="1"/>
      <c r="WZK390" s="1"/>
      <c r="WZL390" s="1"/>
      <c r="WZM390" s="1"/>
      <c r="WZN390" s="1"/>
      <c r="WZO390" s="1"/>
      <c r="WZP390" s="1"/>
      <c r="WZQ390" s="1"/>
      <c r="WZR390" s="1"/>
      <c r="WZS390" s="1"/>
      <c r="WZT390" s="1"/>
      <c r="WZU390" s="1"/>
      <c r="WZV390" s="1"/>
      <c r="WZW390" s="1"/>
      <c r="WZX390" s="1"/>
      <c r="WZY390" s="1"/>
      <c r="WZZ390" s="1"/>
      <c r="XAA390" s="1"/>
      <c r="XAB390" s="1"/>
      <c r="XAC390" s="1"/>
      <c r="XAD390" s="1"/>
      <c r="XAE390" s="1"/>
      <c r="XAF390" s="1"/>
      <c r="XAG390" s="1"/>
      <c r="XAH390" s="1"/>
      <c r="XAI390" s="1"/>
      <c r="XAJ390" s="1"/>
      <c r="XAK390" s="1"/>
      <c r="XAL390" s="1"/>
      <c r="XAM390" s="1"/>
      <c r="XAN390" s="1"/>
      <c r="XAO390" s="1"/>
      <c r="XAP390" s="1"/>
      <c r="XAQ390" s="1"/>
      <c r="XAR390" s="1"/>
      <c r="XAS390" s="1"/>
      <c r="XAT390" s="1"/>
      <c r="XAU390" s="1"/>
      <c r="XAV390" s="1"/>
      <c r="XAW390" s="1"/>
      <c r="XAX390" s="1"/>
      <c r="XAY390" s="1"/>
      <c r="XAZ390" s="1"/>
      <c r="XBA390" s="1"/>
      <c r="XBB390" s="1"/>
      <c r="XBC390" s="1"/>
      <c r="XBD390" s="1"/>
      <c r="XBE390" s="1"/>
      <c r="XBF390" s="1"/>
      <c r="XBG390" s="1"/>
      <c r="XBH390" s="1"/>
      <c r="XBI390" s="1"/>
      <c r="XBJ390" s="1"/>
      <c r="XBK390" s="1"/>
      <c r="XBL390" s="1"/>
      <c r="XBM390" s="1"/>
      <c r="XBN390" s="1"/>
      <c r="XBO390" s="1"/>
      <c r="XBP390" s="1"/>
      <c r="XBQ390" s="1"/>
      <c r="XBR390" s="1"/>
      <c r="XBS390" s="1"/>
      <c r="XBT390" s="1"/>
      <c r="XBU390" s="1"/>
      <c r="XBV390" s="1"/>
      <c r="XBW390" s="1"/>
      <c r="XBX390" s="1"/>
      <c r="XBY390" s="1"/>
      <c r="XBZ390" s="1"/>
      <c r="XCA390" s="1"/>
      <c r="XCB390" s="1"/>
      <c r="XCC390" s="1"/>
      <c r="XCD390" s="1"/>
      <c r="XCE390" s="1"/>
      <c r="XCF390" s="1"/>
      <c r="XCG390" s="1"/>
      <c r="XCH390" s="1"/>
      <c r="XCI390" s="1"/>
      <c r="XCJ390" s="1"/>
      <c r="XCK390" s="1"/>
      <c r="XCL390" s="1"/>
      <c r="XCM390" s="1"/>
      <c r="XCN390" s="1"/>
      <c r="XCO390" s="1"/>
      <c r="XCP390" s="1"/>
      <c r="XCQ390" s="1"/>
      <c r="XCR390" s="1"/>
      <c r="XCS390" s="1"/>
      <c r="XCT390" s="1"/>
      <c r="XCU390" s="1"/>
      <c r="XCV390" s="1"/>
      <c r="XCW390" s="1"/>
      <c r="XCX390" s="1"/>
      <c r="XCY390" s="1"/>
      <c r="XCZ390" s="1"/>
      <c r="XDA390" s="1"/>
      <c r="XDB390" s="1"/>
      <c r="XDC390" s="1"/>
      <c r="XDD390" s="1"/>
      <c r="XDE390" s="1"/>
      <c r="XDF390" s="1"/>
      <c r="XDG390" s="1"/>
      <c r="XDH390" s="1"/>
      <c r="XDI390" s="1"/>
      <c r="XDJ390" s="1"/>
      <c r="XDK390" s="1"/>
      <c r="XDL390" s="1"/>
      <c r="XDM390" s="1"/>
      <c r="XDN390" s="1"/>
      <c r="XDO390" s="1"/>
      <c r="XDP390" s="1"/>
      <c r="XDQ390" s="1"/>
      <c r="XDR390" s="1"/>
      <c r="XDS390" s="1"/>
      <c r="XDT390" s="1"/>
      <c r="XDU390" s="1"/>
      <c r="XDV390" s="1"/>
      <c r="XDW390" s="1"/>
      <c r="XDX390" s="1"/>
      <c r="XDY390" s="1"/>
      <c r="XDZ390" s="1"/>
      <c r="XEA390" s="1"/>
      <c r="XEB390" s="1"/>
      <c r="XEC390" s="1"/>
      <c r="XED390" s="1"/>
      <c r="XEE390" s="1"/>
      <c r="XEF390" s="1"/>
      <c r="XEG390" s="1"/>
      <c r="XEH390" s="1"/>
      <c r="XEI390" s="1"/>
      <c r="XEJ390" s="1"/>
      <c r="XEK390" s="1"/>
      <c r="XEL390" s="1"/>
      <c r="XEM390" s="1"/>
      <c r="XEN390" s="1"/>
      <c r="XEO390" s="1"/>
      <c r="XEP390" s="1"/>
      <c r="XEQ390" s="1"/>
      <c r="XER390" s="1"/>
      <c r="XES390" s="1"/>
      <c r="XET390" s="1"/>
      <c r="XEU390" s="1"/>
      <c r="XEV390" s="1"/>
      <c r="XEW390" s="1"/>
      <c r="XEX390" s="1"/>
      <c r="XEY390" s="1"/>
      <c r="XEZ390" s="1"/>
      <c r="XFA390" s="1"/>
      <c r="XFB390" s="1"/>
      <c r="XFC390" s="1"/>
      <c r="XFD390" s="1"/>
    </row>
    <row r="391" spans="1:151 16227:16384" s="11" customFormat="1" ht="20.25" customHeight="1" x14ac:dyDescent="0.25">
      <c r="A391" s="99"/>
      <c r="B391" s="100"/>
      <c r="C391" s="88">
        <v>3</v>
      </c>
      <c r="D391" s="89"/>
      <c r="E391" s="55" t="s">
        <v>228</v>
      </c>
      <c r="F391" s="88">
        <f>46.77*10.764</f>
        <v>503.43227999999999</v>
      </c>
      <c r="G391" s="89"/>
      <c r="H391" s="20">
        <v>0</v>
      </c>
      <c r="I391" s="20">
        <f t="shared" si="108"/>
        <v>780.32003399999996</v>
      </c>
      <c r="J391" s="1"/>
      <c r="K391" s="1"/>
      <c r="L391" s="1"/>
      <c r="M391" s="1"/>
      <c r="N391" s="1"/>
      <c r="O391" s="1"/>
      <c r="P391" s="1"/>
      <c r="Q391" s="1"/>
      <c r="R391" s="1"/>
      <c r="S391" s="1"/>
      <c r="T391" s="1"/>
      <c r="U391" s="43" t="str">
        <f t="shared" ca="1" si="109"/>
        <v>2603,..,2103</v>
      </c>
      <c r="V391" s="43">
        <f t="shared" ref="V391:W391" ca="1" si="110">V390+1</f>
        <v>2603</v>
      </c>
      <c r="W391" s="43">
        <f t="shared" ca="1" si="110"/>
        <v>2103</v>
      </c>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WZC391" s="1"/>
      <c r="WZD391" s="1"/>
      <c r="WZE391" s="1"/>
      <c r="WZF391" s="1"/>
      <c r="WZG391" s="1"/>
      <c r="WZH391" s="1"/>
      <c r="WZI391" s="1"/>
      <c r="WZJ391" s="1"/>
      <c r="WZK391" s="1"/>
      <c r="WZL391" s="1"/>
      <c r="WZM391" s="1"/>
      <c r="WZN391" s="1"/>
      <c r="WZO391" s="1"/>
      <c r="WZP391" s="1"/>
      <c r="WZQ391" s="1"/>
      <c r="WZR391" s="1"/>
      <c r="WZS391" s="1"/>
      <c r="WZT391" s="1"/>
      <c r="WZU391" s="1"/>
      <c r="WZV391" s="1"/>
      <c r="WZW391" s="1"/>
      <c r="WZX391" s="1"/>
      <c r="WZY391" s="1"/>
      <c r="WZZ391" s="1"/>
      <c r="XAA391" s="1"/>
      <c r="XAB391" s="1"/>
      <c r="XAC391" s="1"/>
      <c r="XAD391" s="1"/>
      <c r="XAE391" s="1"/>
      <c r="XAF391" s="1"/>
      <c r="XAG391" s="1"/>
      <c r="XAH391" s="1"/>
      <c r="XAI391" s="1"/>
      <c r="XAJ391" s="1"/>
      <c r="XAK391" s="1"/>
      <c r="XAL391" s="1"/>
      <c r="XAM391" s="1"/>
      <c r="XAN391" s="1"/>
      <c r="XAO391" s="1"/>
      <c r="XAP391" s="1"/>
      <c r="XAQ391" s="1"/>
      <c r="XAR391" s="1"/>
      <c r="XAS391" s="1"/>
      <c r="XAT391" s="1"/>
      <c r="XAU391" s="1"/>
      <c r="XAV391" s="1"/>
      <c r="XAW391" s="1"/>
      <c r="XAX391" s="1"/>
      <c r="XAY391" s="1"/>
      <c r="XAZ391" s="1"/>
      <c r="XBA391" s="1"/>
      <c r="XBB391" s="1"/>
      <c r="XBC391" s="1"/>
      <c r="XBD391" s="1"/>
      <c r="XBE391" s="1"/>
      <c r="XBF391" s="1"/>
      <c r="XBG391" s="1"/>
      <c r="XBH391" s="1"/>
      <c r="XBI391" s="1"/>
      <c r="XBJ391" s="1"/>
      <c r="XBK391" s="1"/>
      <c r="XBL391" s="1"/>
      <c r="XBM391" s="1"/>
      <c r="XBN391" s="1"/>
      <c r="XBO391" s="1"/>
      <c r="XBP391" s="1"/>
      <c r="XBQ391" s="1"/>
      <c r="XBR391" s="1"/>
      <c r="XBS391" s="1"/>
      <c r="XBT391" s="1"/>
      <c r="XBU391" s="1"/>
      <c r="XBV391" s="1"/>
      <c r="XBW391" s="1"/>
      <c r="XBX391" s="1"/>
      <c r="XBY391" s="1"/>
      <c r="XBZ391" s="1"/>
      <c r="XCA391" s="1"/>
      <c r="XCB391" s="1"/>
      <c r="XCC391" s="1"/>
      <c r="XCD391" s="1"/>
      <c r="XCE391" s="1"/>
      <c r="XCF391" s="1"/>
      <c r="XCG391" s="1"/>
      <c r="XCH391" s="1"/>
      <c r="XCI391" s="1"/>
      <c r="XCJ391" s="1"/>
      <c r="XCK391" s="1"/>
      <c r="XCL391" s="1"/>
      <c r="XCM391" s="1"/>
      <c r="XCN391" s="1"/>
      <c r="XCO391" s="1"/>
      <c r="XCP391" s="1"/>
      <c r="XCQ391" s="1"/>
      <c r="XCR391" s="1"/>
      <c r="XCS391" s="1"/>
      <c r="XCT391" s="1"/>
      <c r="XCU391" s="1"/>
      <c r="XCV391" s="1"/>
      <c r="XCW391" s="1"/>
      <c r="XCX391" s="1"/>
      <c r="XCY391" s="1"/>
      <c r="XCZ391" s="1"/>
      <c r="XDA391" s="1"/>
      <c r="XDB391" s="1"/>
      <c r="XDC391" s="1"/>
      <c r="XDD391" s="1"/>
      <c r="XDE391" s="1"/>
      <c r="XDF391" s="1"/>
      <c r="XDG391" s="1"/>
      <c r="XDH391" s="1"/>
      <c r="XDI391" s="1"/>
      <c r="XDJ391" s="1"/>
      <c r="XDK391" s="1"/>
      <c r="XDL391" s="1"/>
      <c r="XDM391" s="1"/>
      <c r="XDN391" s="1"/>
      <c r="XDO391" s="1"/>
      <c r="XDP391" s="1"/>
      <c r="XDQ391" s="1"/>
      <c r="XDR391" s="1"/>
      <c r="XDS391" s="1"/>
      <c r="XDT391" s="1"/>
      <c r="XDU391" s="1"/>
      <c r="XDV391" s="1"/>
      <c r="XDW391" s="1"/>
      <c r="XDX391" s="1"/>
      <c r="XDY391" s="1"/>
      <c r="XDZ391" s="1"/>
      <c r="XEA391" s="1"/>
      <c r="XEB391" s="1"/>
      <c r="XEC391" s="1"/>
      <c r="XED391" s="1"/>
      <c r="XEE391" s="1"/>
      <c r="XEF391" s="1"/>
      <c r="XEG391" s="1"/>
      <c r="XEH391" s="1"/>
      <c r="XEI391" s="1"/>
      <c r="XEJ391" s="1"/>
      <c r="XEK391" s="1"/>
      <c r="XEL391" s="1"/>
      <c r="XEM391" s="1"/>
      <c r="XEN391" s="1"/>
      <c r="XEO391" s="1"/>
      <c r="XEP391" s="1"/>
      <c r="XEQ391" s="1"/>
      <c r="XER391" s="1"/>
      <c r="XES391" s="1"/>
      <c r="XET391" s="1"/>
      <c r="XEU391" s="1"/>
      <c r="XEV391" s="1"/>
      <c r="XEW391" s="1"/>
      <c r="XEX391" s="1"/>
      <c r="XEY391" s="1"/>
      <c r="XEZ391" s="1"/>
      <c r="XFA391" s="1"/>
      <c r="XFB391" s="1"/>
      <c r="XFC391" s="1"/>
      <c r="XFD391" s="1"/>
    </row>
    <row r="392" spans="1:151 16227:16384" s="11" customFormat="1" ht="20.25" customHeight="1" x14ac:dyDescent="0.25">
      <c r="A392" s="99"/>
      <c r="B392" s="100"/>
      <c r="C392" s="88">
        <v>4</v>
      </c>
      <c r="D392" s="89"/>
      <c r="E392" s="55" t="s">
        <v>218</v>
      </c>
      <c r="F392" s="88">
        <f>34.49*10.764</f>
        <v>371.25036</v>
      </c>
      <c r="G392" s="89"/>
      <c r="H392" s="20">
        <v>0</v>
      </c>
      <c r="I392" s="20">
        <f t="shared" si="108"/>
        <v>575.43805800000007</v>
      </c>
      <c r="J392" s="1"/>
      <c r="K392" s="1"/>
      <c r="L392" s="1"/>
      <c r="M392" s="1"/>
      <c r="N392" s="1"/>
      <c r="O392" s="1"/>
      <c r="P392" s="1"/>
      <c r="Q392" s="1"/>
      <c r="R392" s="1"/>
      <c r="S392" s="1"/>
      <c r="T392" s="1"/>
      <c r="U392" s="43" t="str">
        <f t="shared" ca="1" si="109"/>
        <v>2604,..,2104</v>
      </c>
      <c r="V392" s="43">
        <f t="shared" ref="V392:W392" ca="1" si="111">V391+1</f>
        <v>2604</v>
      </c>
      <c r="W392" s="43">
        <f t="shared" ca="1" si="111"/>
        <v>2104</v>
      </c>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WZC392" s="1"/>
      <c r="WZD392" s="1"/>
      <c r="WZE392" s="1"/>
      <c r="WZF392" s="1"/>
      <c r="WZG392" s="1"/>
      <c r="WZH392" s="1"/>
      <c r="WZI392" s="1"/>
      <c r="WZJ392" s="1"/>
      <c r="WZK392" s="1"/>
      <c r="WZL392" s="1"/>
      <c r="WZM392" s="1"/>
      <c r="WZN392" s="1"/>
      <c r="WZO392" s="1"/>
      <c r="WZP392" s="1"/>
      <c r="WZQ392" s="1"/>
      <c r="WZR392" s="1"/>
      <c r="WZS392" s="1"/>
      <c r="WZT392" s="1"/>
      <c r="WZU392" s="1"/>
      <c r="WZV392" s="1"/>
      <c r="WZW392" s="1"/>
      <c r="WZX392" s="1"/>
      <c r="WZY392" s="1"/>
      <c r="WZZ392" s="1"/>
      <c r="XAA392" s="1"/>
      <c r="XAB392" s="1"/>
      <c r="XAC392" s="1"/>
      <c r="XAD392" s="1"/>
      <c r="XAE392" s="1"/>
      <c r="XAF392" s="1"/>
      <c r="XAG392" s="1"/>
      <c r="XAH392" s="1"/>
      <c r="XAI392" s="1"/>
      <c r="XAJ392" s="1"/>
      <c r="XAK392" s="1"/>
      <c r="XAL392" s="1"/>
      <c r="XAM392" s="1"/>
      <c r="XAN392" s="1"/>
      <c r="XAO392" s="1"/>
      <c r="XAP392" s="1"/>
      <c r="XAQ392" s="1"/>
      <c r="XAR392" s="1"/>
      <c r="XAS392" s="1"/>
      <c r="XAT392" s="1"/>
      <c r="XAU392" s="1"/>
      <c r="XAV392" s="1"/>
      <c r="XAW392" s="1"/>
      <c r="XAX392" s="1"/>
      <c r="XAY392" s="1"/>
      <c r="XAZ392" s="1"/>
      <c r="XBA392" s="1"/>
      <c r="XBB392" s="1"/>
      <c r="XBC392" s="1"/>
      <c r="XBD392" s="1"/>
      <c r="XBE392" s="1"/>
      <c r="XBF392" s="1"/>
      <c r="XBG392" s="1"/>
      <c r="XBH392" s="1"/>
      <c r="XBI392" s="1"/>
      <c r="XBJ392" s="1"/>
      <c r="XBK392" s="1"/>
      <c r="XBL392" s="1"/>
      <c r="XBM392" s="1"/>
      <c r="XBN392" s="1"/>
      <c r="XBO392" s="1"/>
      <c r="XBP392" s="1"/>
      <c r="XBQ392" s="1"/>
      <c r="XBR392" s="1"/>
      <c r="XBS392" s="1"/>
      <c r="XBT392" s="1"/>
      <c r="XBU392" s="1"/>
      <c r="XBV392" s="1"/>
      <c r="XBW392" s="1"/>
      <c r="XBX392" s="1"/>
      <c r="XBY392" s="1"/>
      <c r="XBZ392" s="1"/>
      <c r="XCA392" s="1"/>
      <c r="XCB392" s="1"/>
      <c r="XCC392" s="1"/>
      <c r="XCD392" s="1"/>
      <c r="XCE392" s="1"/>
      <c r="XCF392" s="1"/>
      <c r="XCG392" s="1"/>
      <c r="XCH392" s="1"/>
      <c r="XCI392" s="1"/>
      <c r="XCJ392" s="1"/>
      <c r="XCK392" s="1"/>
      <c r="XCL392" s="1"/>
      <c r="XCM392" s="1"/>
      <c r="XCN392" s="1"/>
      <c r="XCO392" s="1"/>
      <c r="XCP392" s="1"/>
      <c r="XCQ392" s="1"/>
      <c r="XCR392" s="1"/>
      <c r="XCS392" s="1"/>
      <c r="XCT392" s="1"/>
      <c r="XCU392" s="1"/>
      <c r="XCV392" s="1"/>
      <c r="XCW392" s="1"/>
      <c r="XCX392" s="1"/>
      <c r="XCY392" s="1"/>
      <c r="XCZ392" s="1"/>
      <c r="XDA392" s="1"/>
      <c r="XDB392" s="1"/>
      <c r="XDC392" s="1"/>
      <c r="XDD392" s="1"/>
      <c r="XDE392" s="1"/>
      <c r="XDF392" s="1"/>
      <c r="XDG392" s="1"/>
      <c r="XDH392" s="1"/>
      <c r="XDI392" s="1"/>
      <c r="XDJ392" s="1"/>
      <c r="XDK392" s="1"/>
      <c r="XDL392" s="1"/>
      <c r="XDM392" s="1"/>
      <c r="XDN392" s="1"/>
      <c r="XDO392" s="1"/>
      <c r="XDP392" s="1"/>
      <c r="XDQ392" s="1"/>
      <c r="XDR392" s="1"/>
      <c r="XDS392" s="1"/>
      <c r="XDT392" s="1"/>
      <c r="XDU392" s="1"/>
      <c r="XDV392" s="1"/>
      <c r="XDW392" s="1"/>
      <c r="XDX392" s="1"/>
      <c r="XDY392" s="1"/>
      <c r="XDZ392" s="1"/>
      <c r="XEA392" s="1"/>
      <c r="XEB392" s="1"/>
      <c r="XEC392" s="1"/>
      <c r="XED392" s="1"/>
      <c r="XEE392" s="1"/>
      <c r="XEF392" s="1"/>
      <c r="XEG392" s="1"/>
      <c r="XEH392" s="1"/>
      <c r="XEI392" s="1"/>
      <c r="XEJ392" s="1"/>
      <c r="XEK392" s="1"/>
      <c r="XEL392" s="1"/>
      <c r="XEM392" s="1"/>
      <c r="XEN392" s="1"/>
      <c r="XEO392" s="1"/>
      <c r="XEP392" s="1"/>
      <c r="XEQ392" s="1"/>
      <c r="XER392" s="1"/>
      <c r="XES392" s="1"/>
      <c r="XET392" s="1"/>
      <c r="XEU392" s="1"/>
      <c r="XEV392" s="1"/>
      <c r="XEW392" s="1"/>
      <c r="XEX392" s="1"/>
      <c r="XEY392" s="1"/>
      <c r="XEZ392" s="1"/>
      <c r="XFA392" s="1"/>
      <c r="XFB392" s="1"/>
      <c r="XFC392" s="1"/>
      <c r="XFD392" s="1"/>
    </row>
    <row r="393" spans="1:151 16227:16384" s="11" customFormat="1" ht="20.25" customHeight="1" x14ac:dyDescent="0.25">
      <c r="A393" s="99"/>
      <c r="B393" s="100"/>
      <c r="C393" s="88">
        <v>5</v>
      </c>
      <c r="D393" s="89"/>
      <c r="E393" s="55" t="s">
        <v>228</v>
      </c>
      <c r="F393" s="88">
        <f>61.24*10.764</f>
        <v>659.18736000000001</v>
      </c>
      <c r="G393" s="89"/>
      <c r="H393" s="20">
        <v>0</v>
      </c>
      <c r="I393" s="20">
        <f t="shared" si="108"/>
        <v>1021.740408</v>
      </c>
      <c r="J393" s="1"/>
      <c r="K393" s="1"/>
      <c r="L393" s="1"/>
      <c r="M393" s="1"/>
      <c r="N393" s="1"/>
      <c r="O393" s="1"/>
      <c r="P393" s="1"/>
      <c r="Q393" s="1"/>
      <c r="R393" s="1"/>
      <c r="S393" s="1"/>
      <c r="T393" s="1"/>
      <c r="U393" s="43" t="str">
        <f t="shared" ca="1" si="109"/>
        <v>2605,..,2105</v>
      </c>
      <c r="V393" s="43">
        <f t="shared" ref="V393:W393" ca="1" si="112">V392+1</f>
        <v>2605</v>
      </c>
      <c r="W393" s="43">
        <f t="shared" ca="1" si="112"/>
        <v>2105</v>
      </c>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WZC393" s="1"/>
      <c r="WZD393" s="1"/>
      <c r="WZE393" s="1"/>
      <c r="WZF393" s="1"/>
      <c r="WZG393" s="1"/>
      <c r="WZH393" s="1"/>
      <c r="WZI393" s="1"/>
      <c r="WZJ393" s="1"/>
      <c r="WZK393" s="1"/>
      <c r="WZL393" s="1"/>
      <c r="WZM393" s="1"/>
      <c r="WZN393" s="1"/>
      <c r="WZO393" s="1"/>
      <c r="WZP393" s="1"/>
      <c r="WZQ393" s="1"/>
      <c r="WZR393" s="1"/>
      <c r="WZS393" s="1"/>
      <c r="WZT393" s="1"/>
      <c r="WZU393" s="1"/>
      <c r="WZV393" s="1"/>
      <c r="WZW393" s="1"/>
      <c r="WZX393" s="1"/>
      <c r="WZY393" s="1"/>
      <c r="WZZ393" s="1"/>
      <c r="XAA393" s="1"/>
      <c r="XAB393" s="1"/>
      <c r="XAC393" s="1"/>
      <c r="XAD393" s="1"/>
      <c r="XAE393" s="1"/>
      <c r="XAF393" s="1"/>
      <c r="XAG393" s="1"/>
      <c r="XAH393" s="1"/>
      <c r="XAI393" s="1"/>
      <c r="XAJ393" s="1"/>
      <c r="XAK393" s="1"/>
      <c r="XAL393" s="1"/>
      <c r="XAM393" s="1"/>
      <c r="XAN393" s="1"/>
      <c r="XAO393" s="1"/>
      <c r="XAP393" s="1"/>
      <c r="XAQ393" s="1"/>
      <c r="XAR393" s="1"/>
      <c r="XAS393" s="1"/>
      <c r="XAT393" s="1"/>
      <c r="XAU393" s="1"/>
      <c r="XAV393" s="1"/>
      <c r="XAW393" s="1"/>
      <c r="XAX393" s="1"/>
      <c r="XAY393" s="1"/>
      <c r="XAZ393" s="1"/>
      <c r="XBA393" s="1"/>
      <c r="XBB393" s="1"/>
      <c r="XBC393" s="1"/>
      <c r="XBD393" s="1"/>
      <c r="XBE393" s="1"/>
      <c r="XBF393" s="1"/>
      <c r="XBG393" s="1"/>
      <c r="XBH393" s="1"/>
      <c r="XBI393" s="1"/>
      <c r="XBJ393" s="1"/>
      <c r="XBK393" s="1"/>
      <c r="XBL393" s="1"/>
      <c r="XBM393" s="1"/>
      <c r="XBN393" s="1"/>
      <c r="XBO393" s="1"/>
      <c r="XBP393" s="1"/>
      <c r="XBQ393" s="1"/>
      <c r="XBR393" s="1"/>
      <c r="XBS393" s="1"/>
      <c r="XBT393" s="1"/>
      <c r="XBU393" s="1"/>
      <c r="XBV393" s="1"/>
      <c r="XBW393" s="1"/>
      <c r="XBX393" s="1"/>
      <c r="XBY393" s="1"/>
      <c r="XBZ393" s="1"/>
      <c r="XCA393" s="1"/>
      <c r="XCB393" s="1"/>
      <c r="XCC393" s="1"/>
      <c r="XCD393" s="1"/>
      <c r="XCE393" s="1"/>
      <c r="XCF393" s="1"/>
      <c r="XCG393" s="1"/>
      <c r="XCH393" s="1"/>
      <c r="XCI393" s="1"/>
      <c r="XCJ393" s="1"/>
      <c r="XCK393" s="1"/>
      <c r="XCL393" s="1"/>
      <c r="XCM393" s="1"/>
      <c r="XCN393" s="1"/>
      <c r="XCO393" s="1"/>
      <c r="XCP393" s="1"/>
      <c r="XCQ393" s="1"/>
      <c r="XCR393" s="1"/>
      <c r="XCS393" s="1"/>
      <c r="XCT393" s="1"/>
      <c r="XCU393" s="1"/>
      <c r="XCV393" s="1"/>
      <c r="XCW393" s="1"/>
      <c r="XCX393" s="1"/>
      <c r="XCY393" s="1"/>
      <c r="XCZ393" s="1"/>
      <c r="XDA393" s="1"/>
      <c r="XDB393" s="1"/>
      <c r="XDC393" s="1"/>
      <c r="XDD393" s="1"/>
      <c r="XDE393" s="1"/>
      <c r="XDF393" s="1"/>
      <c r="XDG393" s="1"/>
      <c r="XDH393" s="1"/>
      <c r="XDI393" s="1"/>
      <c r="XDJ393" s="1"/>
      <c r="XDK393" s="1"/>
      <c r="XDL393" s="1"/>
      <c r="XDM393" s="1"/>
      <c r="XDN393" s="1"/>
      <c r="XDO393" s="1"/>
      <c r="XDP393" s="1"/>
      <c r="XDQ393" s="1"/>
      <c r="XDR393" s="1"/>
      <c r="XDS393" s="1"/>
      <c r="XDT393" s="1"/>
      <c r="XDU393" s="1"/>
      <c r="XDV393" s="1"/>
      <c r="XDW393" s="1"/>
      <c r="XDX393" s="1"/>
      <c r="XDY393" s="1"/>
      <c r="XDZ393" s="1"/>
      <c r="XEA393" s="1"/>
      <c r="XEB393" s="1"/>
      <c r="XEC393" s="1"/>
      <c r="XED393" s="1"/>
      <c r="XEE393" s="1"/>
      <c r="XEF393" s="1"/>
      <c r="XEG393" s="1"/>
      <c r="XEH393" s="1"/>
      <c r="XEI393" s="1"/>
      <c r="XEJ393" s="1"/>
      <c r="XEK393" s="1"/>
      <c r="XEL393" s="1"/>
      <c r="XEM393" s="1"/>
      <c r="XEN393" s="1"/>
      <c r="XEO393" s="1"/>
      <c r="XEP393" s="1"/>
      <c r="XEQ393" s="1"/>
      <c r="XER393" s="1"/>
      <c r="XES393" s="1"/>
      <c r="XET393" s="1"/>
      <c r="XEU393" s="1"/>
      <c r="XEV393" s="1"/>
      <c r="XEW393" s="1"/>
      <c r="XEX393" s="1"/>
      <c r="XEY393" s="1"/>
      <c r="XEZ393" s="1"/>
      <c r="XFA393" s="1"/>
      <c r="XFB393" s="1"/>
      <c r="XFC393" s="1"/>
      <c r="XFD393" s="1"/>
    </row>
    <row r="394" spans="1:151 16227:16384" s="11" customFormat="1" ht="20.25" customHeight="1" x14ac:dyDescent="0.25">
      <c r="A394" s="99"/>
      <c r="B394" s="100"/>
      <c r="C394" s="88">
        <v>6</v>
      </c>
      <c r="D394" s="89"/>
      <c r="E394" s="55" t="s">
        <v>218</v>
      </c>
      <c r="F394" s="88">
        <f>34.49*10.764</f>
        <v>371.25036</v>
      </c>
      <c r="G394" s="89"/>
      <c r="H394" s="20">
        <v>0</v>
      </c>
      <c r="I394" s="20">
        <f t="shared" si="108"/>
        <v>575.43805800000007</v>
      </c>
      <c r="J394" s="1"/>
      <c r="K394" s="1"/>
      <c r="L394" s="1"/>
      <c r="M394" s="1"/>
      <c r="N394" s="1"/>
      <c r="O394" s="1"/>
      <c r="P394" s="1"/>
      <c r="Q394" s="1"/>
      <c r="R394" s="1"/>
      <c r="S394" s="1"/>
      <c r="T394" s="1"/>
      <c r="U394" s="43" t="str">
        <f t="shared" ca="1" si="109"/>
        <v>2606,..,2106</v>
      </c>
      <c r="V394" s="43">
        <f t="shared" ref="V394:W394" ca="1" si="113">V393+1</f>
        <v>2606</v>
      </c>
      <c r="W394" s="43">
        <f t="shared" ca="1" si="113"/>
        <v>2106</v>
      </c>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WZC394" s="1"/>
      <c r="WZD394" s="1"/>
      <c r="WZE394" s="1"/>
      <c r="WZF394" s="1"/>
      <c r="WZG394" s="1"/>
      <c r="WZH394" s="1"/>
      <c r="WZI394" s="1"/>
      <c r="WZJ394" s="1"/>
      <c r="WZK394" s="1"/>
      <c r="WZL394" s="1"/>
      <c r="WZM394" s="1"/>
      <c r="WZN394" s="1"/>
      <c r="WZO394" s="1"/>
      <c r="WZP394" s="1"/>
      <c r="WZQ394" s="1"/>
      <c r="WZR394" s="1"/>
      <c r="WZS394" s="1"/>
      <c r="WZT394" s="1"/>
      <c r="WZU394" s="1"/>
      <c r="WZV394" s="1"/>
      <c r="WZW394" s="1"/>
      <c r="WZX394" s="1"/>
      <c r="WZY394" s="1"/>
      <c r="WZZ394" s="1"/>
      <c r="XAA394" s="1"/>
      <c r="XAB394" s="1"/>
      <c r="XAC394" s="1"/>
      <c r="XAD394" s="1"/>
      <c r="XAE394" s="1"/>
      <c r="XAF394" s="1"/>
      <c r="XAG394" s="1"/>
      <c r="XAH394" s="1"/>
      <c r="XAI394" s="1"/>
      <c r="XAJ394" s="1"/>
      <c r="XAK394" s="1"/>
      <c r="XAL394" s="1"/>
      <c r="XAM394" s="1"/>
      <c r="XAN394" s="1"/>
      <c r="XAO394" s="1"/>
      <c r="XAP394" s="1"/>
      <c r="XAQ394" s="1"/>
      <c r="XAR394" s="1"/>
      <c r="XAS394" s="1"/>
      <c r="XAT394" s="1"/>
      <c r="XAU394" s="1"/>
      <c r="XAV394" s="1"/>
      <c r="XAW394" s="1"/>
      <c r="XAX394" s="1"/>
      <c r="XAY394" s="1"/>
      <c r="XAZ394" s="1"/>
      <c r="XBA394" s="1"/>
      <c r="XBB394" s="1"/>
      <c r="XBC394" s="1"/>
      <c r="XBD394" s="1"/>
      <c r="XBE394" s="1"/>
      <c r="XBF394" s="1"/>
      <c r="XBG394" s="1"/>
      <c r="XBH394" s="1"/>
      <c r="XBI394" s="1"/>
      <c r="XBJ394" s="1"/>
      <c r="XBK394" s="1"/>
      <c r="XBL394" s="1"/>
      <c r="XBM394" s="1"/>
      <c r="XBN394" s="1"/>
      <c r="XBO394" s="1"/>
      <c r="XBP394" s="1"/>
      <c r="XBQ394" s="1"/>
      <c r="XBR394" s="1"/>
      <c r="XBS394" s="1"/>
      <c r="XBT394" s="1"/>
      <c r="XBU394" s="1"/>
      <c r="XBV394" s="1"/>
      <c r="XBW394" s="1"/>
      <c r="XBX394" s="1"/>
      <c r="XBY394" s="1"/>
      <c r="XBZ394" s="1"/>
      <c r="XCA394" s="1"/>
      <c r="XCB394" s="1"/>
      <c r="XCC394" s="1"/>
      <c r="XCD394" s="1"/>
      <c r="XCE394" s="1"/>
      <c r="XCF394" s="1"/>
      <c r="XCG394" s="1"/>
      <c r="XCH394" s="1"/>
      <c r="XCI394" s="1"/>
      <c r="XCJ394" s="1"/>
      <c r="XCK394" s="1"/>
      <c r="XCL394" s="1"/>
      <c r="XCM394" s="1"/>
      <c r="XCN394" s="1"/>
      <c r="XCO394" s="1"/>
      <c r="XCP394" s="1"/>
      <c r="XCQ394" s="1"/>
      <c r="XCR394" s="1"/>
      <c r="XCS394" s="1"/>
      <c r="XCT394" s="1"/>
      <c r="XCU394" s="1"/>
      <c r="XCV394" s="1"/>
      <c r="XCW394" s="1"/>
      <c r="XCX394" s="1"/>
      <c r="XCY394" s="1"/>
      <c r="XCZ394" s="1"/>
      <c r="XDA394" s="1"/>
      <c r="XDB394" s="1"/>
      <c r="XDC394" s="1"/>
      <c r="XDD394" s="1"/>
      <c r="XDE394" s="1"/>
      <c r="XDF394" s="1"/>
      <c r="XDG394" s="1"/>
      <c r="XDH394" s="1"/>
      <c r="XDI394" s="1"/>
      <c r="XDJ394" s="1"/>
      <c r="XDK394" s="1"/>
      <c r="XDL394" s="1"/>
      <c r="XDM394" s="1"/>
      <c r="XDN394" s="1"/>
      <c r="XDO394" s="1"/>
      <c r="XDP394" s="1"/>
      <c r="XDQ394" s="1"/>
      <c r="XDR394" s="1"/>
      <c r="XDS394" s="1"/>
      <c r="XDT394" s="1"/>
      <c r="XDU394" s="1"/>
      <c r="XDV394" s="1"/>
      <c r="XDW394" s="1"/>
      <c r="XDX394" s="1"/>
      <c r="XDY394" s="1"/>
      <c r="XDZ394" s="1"/>
      <c r="XEA394" s="1"/>
      <c r="XEB394" s="1"/>
      <c r="XEC394" s="1"/>
      <c r="XED394" s="1"/>
      <c r="XEE394" s="1"/>
      <c r="XEF394" s="1"/>
      <c r="XEG394" s="1"/>
      <c r="XEH394" s="1"/>
      <c r="XEI394" s="1"/>
      <c r="XEJ394" s="1"/>
      <c r="XEK394" s="1"/>
      <c r="XEL394" s="1"/>
      <c r="XEM394" s="1"/>
      <c r="XEN394" s="1"/>
      <c r="XEO394" s="1"/>
      <c r="XEP394" s="1"/>
      <c r="XEQ394" s="1"/>
      <c r="XER394" s="1"/>
      <c r="XES394" s="1"/>
      <c r="XET394" s="1"/>
      <c r="XEU394" s="1"/>
      <c r="XEV394" s="1"/>
      <c r="XEW394" s="1"/>
      <c r="XEX394" s="1"/>
      <c r="XEY394" s="1"/>
      <c r="XEZ394" s="1"/>
      <c r="XFA394" s="1"/>
      <c r="XFB394" s="1"/>
      <c r="XFC394" s="1"/>
      <c r="XFD394" s="1"/>
    </row>
    <row r="395" spans="1:151 16227:16384" s="11" customFormat="1" ht="20.25" customHeight="1" x14ac:dyDescent="0.25">
      <c r="A395" s="99"/>
      <c r="B395" s="100"/>
      <c r="C395" s="88">
        <v>7</v>
      </c>
      <c r="D395" s="89"/>
      <c r="E395" s="55" t="s">
        <v>228</v>
      </c>
      <c r="F395" s="88">
        <f>46.77*10.764</f>
        <v>503.43227999999999</v>
      </c>
      <c r="G395" s="89"/>
      <c r="H395" s="20">
        <v>0</v>
      </c>
      <c r="I395" s="20">
        <f t="shared" si="108"/>
        <v>780.32003399999996</v>
      </c>
      <c r="J395" s="1"/>
      <c r="K395" s="1"/>
      <c r="L395" s="1"/>
      <c r="M395" s="1"/>
      <c r="N395" s="1"/>
      <c r="O395" s="1"/>
      <c r="P395" s="1"/>
      <c r="Q395" s="1"/>
      <c r="R395" s="1"/>
      <c r="S395" s="1"/>
      <c r="T395" s="1"/>
      <c r="U395" s="43" t="str">
        <f t="shared" ca="1" si="109"/>
        <v>2607,..,2107</v>
      </c>
      <c r="V395" s="43">
        <f t="shared" ref="V395:W395" ca="1" si="114">V394+1</f>
        <v>2607</v>
      </c>
      <c r="W395" s="43">
        <f t="shared" ca="1" si="114"/>
        <v>2107</v>
      </c>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WZC395" s="1"/>
      <c r="WZD395" s="1"/>
      <c r="WZE395" s="1"/>
      <c r="WZF395" s="1"/>
      <c r="WZG395" s="1"/>
      <c r="WZH395" s="1"/>
      <c r="WZI395" s="1"/>
      <c r="WZJ395" s="1"/>
      <c r="WZK395" s="1"/>
      <c r="WZL395" s="1"/>
      <c r="WZM395" s="1"/>
      <c r="WZN395" s="1"/>
      <c r="WZO395" s="1"/>
      <c r="WZP395" s="1"/>
      <c r="WZQ395" s="1"/>
      <c r="WZR395" s="1"/>
      <c r="WZS395" s="1"/>
      <c r="WZT395" s="1"/>
      <c r="WZU395" s="1"/>
      <c r="WZV395" s="1"/>
      <c r="WZW395" s="1"/>
      <c r="WZX395" s="1"/>
      <c r="WZY395" s="1"/>
      <c r="WZZ395" s="1"/>
      <c r="XAA395" s="1"/>
      <c r="XAB395" s="1"/>
      <c r="XAC395" s="1"/>
      <c r="XAD395" s="1"/>
      <c r="XAE395" s="1"/>
      <c r="XAF395" s="1"/>
      <c r="XAG395" s="1"/>
      <c r="XAH395" s="1"/>
      <c r="XAI395" s="1"/>
      <c r="XAJ395" s="1"/>
      <c r="XAK395" s="1"/>
      <c r="XAL395" s="1"/>
      <c r="XAM395" s="1"/>
      <c r="XAN395" s="1"/>
      <c r="XAO395" s="1"/>
      <c r="XAP395" s="1"/>
      <c r="XAQ395" s="1"/>
      <c r="XAR395" s="1"/>
      <c r="XAS395" s="1"/>
      <c r="XAT395" s="1"/>
      <c r="XAU395" s="1"/>
      <c r="XAV395" s="1"/>
      <c r="XAW395" s="1"/>
      <c r="XAX395" s="1"/>
      <c r="XAY395" s="1"/>
      <c r="XAZ395" s="1"/>
      <c r="XBA395" s="1"/>
      <c r="XBB395" s="1"/>
      <c r="XBC395" s="1"/>
      <c r="XBD395" s="1"/>
      <c r="XBE395" s="1"/>
      <c r="XBF395" s="1"/>
      <c r="XBG395" s="1"/>
      <c r="XBH395" s="1"/>
      <c r="XBI395" s="1"/>
      <c r="XBJ395" s="1"/>
      <c r="XBK395" s="1"/>
      <c r="XBL395" s="1"/>
      <c r="XBM395" s="1"/>
      <c r="XBN395" s="1"/>
      <c r="XBO395" s="1"/>
      <c r="XBP395" s="1"/>
      <c r="XBQ395" s="1"/>
      <c r="XBR395" s="1"/>
      <c r="XBS395" s="1"/>
      <c r="XBT395" s="1"/>
      <c r="XBU395" s="1"/>
      <c r="XBV395" s="1"/>
      <c r="XBW395" s="1"/>
      <c r="XBX395" s="1"/>
      <c r="XBY395" s="1"/>
      <c r="XBZ395" s="1"/>
      <c r="XCA395" s="1"/>
      <c r="XCB395" s="1"/>
      <c r="XCC395" s="1"/>
      <c r="XCD395" s="1"/>
      <c r="XCE395" s="1"/>
      <c r="XCF395" s="1"/>
      <c r="XCG395" s="1"/>
      <c r="XCH395" s="1"/>
      <c r="XCI395" s="1"/>
      <c r="XCJ395" s="1"/>
      <c r="XCK395" s="1"/>
      <c r="XCL395" s="1"/>
      <c r="XCM395" s="1"/>
      <c r="XCN395" s="1"/>
      <c r="XCO395" s="1"/>
      <c r="XCP395" s="1"/>
      <c r="XCQ395" s="1"/>
      <c r="XCR395" s="1"/>
      <c r="XCS395" s="1"/>
      <c r="XCT395" s="1"/>
      <c r="XCU395" s="1"/>
      <c r="XCV395" s="1"/>
      <c r="XCW395" s="1"/>
      <c r="XCX395" s="1"/>
      <c r="XCY395" s="1"/>
      <c r="XCZ395" s="1"/>
      <c r="XDA395" s="1"/>
      <c r="XDB395" s="1"/>
      <c r="XDC395" s="1"/>
      <c r="XDD395" s="1"/>
      <c r="XDE395" s="1"/>
      <c r="XDF395" s="1"/>
      <c r="XDG395" s="1"/>
      <c r="XDH395" s="1"/>
      <c r="XDI395" s="1"/>
      <c r="XDJ395" s="1"/>
      <c r="XDK395" s="1"/>
      <c r="XDL395" s="1"/>
      <c r="XDM395" s="1"/>
      <c r="XDN395" s="1"/>
      <c r="XDO395" s="1"/>
      <c r="XDP395" s="1"/>
      <c r="XDQ395" s="1"/>
      <c r="XDR395" s="1"/>
      <c r="XDS395" s="1"/>
      <c r="XDT395" s="1"/>
      <c r="XDU395" s="1"/>
      <c r="XDV395" s="1"/>
      <c r="XDW395" s="1"/>
      <c r="XDX395" s="1"/>
      <c r="XDY395" s="1"/>
      <c r="XDZ395" s="1"/>
      <c r="XEA395" s="1"/>
      <c r="XEB395" s="1"/>
      <c r="XEC395" s="1"/>
      <c r="XED395" s="1"/>
      <c r="XEE395" s="1"/>
      <c r="XEF395" s="1"/>
      <c r="XEG395" s="1"/>
      <c r="XEH395" s="1"/>
      <c r="XEI395" s="1"/>
      <c r="XEJ395" s="1"/>
      <c r="XEK395" s="1"/>
      <c r="XEL395" s="1"/>
      <c r="XEM395" s="1"/>
      <c r="XEN395" s="1"/>
      <c r="XEO395" s="1"/>
      <c r="XEP395" s="1"/>
      <c r="XEQ395" s="1"/>
      <c r="XER395" s="1"/>
      <c r="XES395" s="1"/>
      <c r="XET395" s="1"/>
      <c r="XEU395" s="1"/>
      <c r="XEV395" s="1"/>
      <c r="XEW395" s="1"/>
      <c r="XEX395" s="1"/>
      <c r="XEY395" s="1"/>
      <c r="XEZ395" s="1"/>
      <c r="XFA395" s="1"/>
      <c r="XFB395" s="1"/>
      <c r="XFC395" s="1"/>
      <c r="XFD395" s="1"/>
    </row>
    <row r="396" spans="1:151 16227:16384" s="11" customFormat="1" ht="20.25" customHeight="1" x14ac:dyDescent="0.25">
      <c r="A396" s="99"/>
      <c r="B396" s="100"/>
      <c r="C396" s="88">
        <v>8</v>
      </c>
      <c r="D396" s="89"/>
      <c r="E396" s="55" t="s">
        <v>228</v>
      </c>
      <c r="F396" s="88">
        <f>46.77*10.764</f>
        <v>503.43227999999999</v>
      </c>
      <c r="G396" s="89"/>
      <c r="H396" s="20">
        <v>0</v>
      </c>
      <c r="I396" s="20">
        <f t="shared" si="108"/>
        <v>780.32003399999996</v>
      </c>
      <c r="J396" s="1"/>
      <c r="K396" s="1"/>
      <c r="L396" s="1"/>
      <c r="M396" s="1"/>
      <c r="N396" s="1"/>
      <c r="O396" s="1"/>
      <c r="P396" s="1"/>
      <c r="Q396" s="1"/>
      <c r="R396" s="1"/>
      <c r="S396" s="1"/>
      <c r="T396" s="1"/>
      <c r="U396" s="43" t="str">
        <f t="shared" ca="1" si="109"/>
        <v>2608,..,2108</v>
      </c>
      <c r="V396" s="43">
        <f t="shared" ref="V396:W396" ca="1" si="115">V395+1</f>
        <v>2608</v>
      </c>
      <c r="W396" s="43">
        <f t="shared" ca="1" si="115"/>
        <v>2108</v>
      </c>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WZC396" s="1"/>
      <c r="WZD396" s="1"/>
      <c r="WZE396" s="1"/>
      <c r="WZF396" s="1"/>
      <c r="WZG396" s="1"/>
      <c r="WZH396" s="1"/>
      <c r="WZI396" s="1"/>
      <c r="WZJ396" s="1"/>
      <c r="WZK396" s="1"/>
      <c r="WZL396" s="1"/>
      <c r="WZM396" s="1"/>
      <c r="WZN396" s="1"/>
      <c r="WZO396" s="1"/>
      <c r="WZP396" s="1"/>
      <c r="WZQ396" s="1"/>
      <c r="WZR396" s="1"/>
      <c r="WZS396" s="1"/>
      <c r="WZT396" s="1"/>
      <c r="WZU396" s="1"/>
      <c r="WZV396" s="1"/>
      <c r="WZW396" s="1"/>
      <c r="WZX396" s="1"/>
      <c r="WZY396" s="1"/>
      <c r="WZZ396" s="1"/>
      <c r="XAA396" s="1"/>
      <c r="XAB396" s="1"/>
      <c r="XAC396" s="1"/>
      <c r="XAD396" s="1"/>
      <c r="XAE396" s="1"/>
      <c r="XAF396" s="1"/>
      <c r="XAG396" s="1"/>
      <c r="XAH396" s="1"/>
      <c r="XAI396" s="1"/>
      <c r="XAJ396" s="1"/>
      <c r="XAK396" s="1"/>
      <c r="XAL396" s="1"/>
      <c r="XAM396" s="1"/>
      <c r="XAN396" s="1"/>
      <c r="XAO396" s="1"/>
      <c r="XAP396" s="1"/>
      <c r="XAQ396" s="1"/>
      <c r="XAR396" s="1"/>
      <c r="XAS396" s="1"/>
      <c r="XAT396" s="1"/>
      <c r="XAU396" s="1"/>
      <c r="XAV396" s="1"/>
      <c r="XAW396" s="1"/>
      <c r="XAX396" s="1"/>
      <c r="XAY396" s="1"/>
      <c r="XAZ396" s="1"/>
      <c r="XBA396" s="1"/>
      <c r="XBB396" s="1"/>
      <c r="XBC396" s="1"/>
      <c r="XBD396" s="1"/>
      <c r="XBE396" s="1"/>
      <c r="XBF396" s="1"/>
      <c r="XBG396" s="1"/>
      <c r="XBH396" s="1"/>
      <c r="XBI396" s="1"/>
      <c r="XBJ396" s="1"/>
      <c r="XBK396" s="1"/>
      <c r="XBL396" s="1"/>
      <c r="XBM396" s="1"/>
      <c r="XBN396" s="1"/>
      <c r="XBO396" s="1"/>
      <c r="XBP396" s="1"/>
      <c r="XBQ396" s="1"/>
      <c r="XBR396" s="1"/>
      <c r="XBS396" s="1"/>
      <c r="XBT396" s="1"/>
      <c r="XBU396" s="1"/>
      <c r="XBV396" s="1"/>
      <c r="XBW396" s="1"/>
      <c r="XBX396" s="1"/>
      <c r="XBY396" s="1"/>
      <c r="XBZ396" s="1"/>
      <c r="XCA396" s="1"/>
      <c r="XCB396" s="1"/>
      <c r="XCC396" s="1"/>
      <c r="XCD396" s="1"/>
      <c r="XCE396" s="1"/>
      <c r="XCF396" s="1"/>
      <c r="XCG396" s="1"/>
      <c r="XCH396" s="1"/>
      <c r="XCI396" s="1"/>
      <c r="XCJ396" s="1"/>
      <c r="XCK396" s="1"/>
      <c r="XCL396" s="1"/>
      <c r="XCM396" s="1"/>
      <c r="XCN396" s="1"/>
      <c r="XCO396" s="1"/>
      <c r="XCP396" s="1"/>
      <c r="XCQ396" s="1"/>
      <c r="XCR396" s="1"/>
      <c r="XCS396" s="1"/>
      <c r="XCT396" s="1"/>
      <c r="XCU396" s="1"/>
      <c r="XCV396" s="1"/>
      <c r="XCW396" s="1"/>
      <c r="XCX396" s="1"/>
      <c r="XCY396" s="1"/>
      <c r="XCZ396" s="1"/>
      <c r="XDA396" s="1"/>
      <c r="XDB396" s="1"/>
      <c r="XDC396" s="1"/>
      <c r="XDD396" s="1"/>
      <c r="XDE396" s="1"/>
      <c r="XDF396" s="1"/>
      <c r="XDG396" s="1"/>
      <c r="XDH396" s="1"/>
      <c r="XDI396" s="1"/>
      <c r="XDJ396" s="1"/>
      <c r="XDK396" s="1"/>
      <c r="XDL396" s="1"/>
      <c r="XDM396" s="1"/>
      <c r="XDN396" s="1"/>
      <c r="XDO396" s="1"/>
      <c r="XDP396" s="1"/>
      <c r="XDQ396" s="1"/>
      <c r="XDR396" s="1"/>
      <c r="XDS396" s="1"/>
      <c r="XDT396" s="1"/>
      <c r="XDU396" s="1"/>
      <c r="XDV396" s="1"/>
      <c r="XDW396" s="1"/>
      <c r="XDX396" s="1"/>
      <c r="XDY396" s="1"/>
      <c r="XDZ396" s="1"/>
      <c r="XEA396" s="1"/>
      <c r="XEB396" s="1"/>
      <c r="XEC396" s="1"/>
      <c r="XED396" s="1"/>
      <c r="XEE396" s="1"/>
      <c r="XEF396" s="1"/>
      <c r="XEG396" s="1"/>
      <c r="XEH396" s="1"/>
      <c r="XEI396" s="1"/>
      <c r="XEJ396" s="1"/>
      <c r="XEK396" s="1"/>
      <c r="XEL396" s="1"/>
      <c r="XEM396" s="1"/>
      <c r="XEN396" s="1"/>
      <c r="XEO396" s="1"/>
      <c r="XEP396" s="1"/>
      <c r="XEQ396" s="1"/>
      <c r="XER396" s="1"/>
      <c r="XES396" s="1"/>
      <c r="XET396" s="1"/>
      <c r="XEU396" s="1"/>
      <c r="XEV396" s="1"/>
      <c r="XEW396" s="1"/>
      <c r="XEX396" s="1"/>
      <c r="XEY396" s="1"/>
      <c r="XEZ396" s="1"/>
      <c r="XFA396" s="1"/>
      <c r="XFB396" s="1"/>
      <c r="XFC396" s="1"/>
      <c r="XFD396" s="1"/>
    </row>
    <row r="397" spans="1:151 16227:16384" s="11" customFormat="1" ht="20.25" customHeight="1" x14ac:dyDescent="0.25">
      <c r="A397" s="99"/>
      <c r="B397" s="100"/>
      <c r="C397" s="88">
        <v>9</v>
      </c>
      <c r="D397" s="89"/>
      <c r="E397" s="55" t="s">
        <v>218</v>
      </c>
      <c r="F397" s="88">
        <f>34.49*10.764</f>
        <v>371.25036</v>
      </c>
      <c r="G397" s="89"/>
      <c r="H397" s="20">
        <v>0</v>
      </c>
      <c r="I397" s="20">
        <f t="shared" si="108"/>
        <v>575.43805800000007</v>
      </c>
      <c r="J397" s="1"/>
      <c r="K397" s="1"/>
      <c r="L397" s="1"/>
      <c r="M397" s="1"/>
      <c r="N397" s="1"/>
      <c r="O397" s="1"/>
      <c r="P397" s="1"/>
      <c r="Q397" s="1"/>
      <c r="R397" s="1"/>
      <c r="S397" s="1"/>
      <c r="T397" s="1"/>
      <c r="U397" s="43" t="str">
        <f t="shared" ca="1" si="109"/>
        <v>2609,..,2109</v>
      </c>
      <c r="V397" s="43">
        <f t="shared" ref="V397:W397" ca="1" si="116">V396+1</f>
        <v>2609</v>
      </c>
      <c r="W397" s="43">
        <f t="shared" ca="1" si="116"/>
        <v>2109</v>
      </c>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WZC397" s="1"/>
      <c r="WZD397" s="1"/>
      <c r="WZE397" s="1"/>
      <c r="WZF397" s="1"/>
      <c r="WZG397" s="1"/>
      <c r="WZH397" s="1"/>
      <c r="WZI397" s="1"/>
      <c r="WZJ397" s="1"/>
      <c r="WZK397" s="1"/>
      <c r="WZL397" s="1"/>
      <c r="WZM397" s="1"/>
      <c r="WZN397" s="1"/>
      <c r="WZO397" s="1"/>
      <c r="WZP397" s="1"/>
      <c r="WZQ397" s="1"/>
      <c r="WZR397" s="1"/>
      <c r="WZS397" s="1"/>
      <c r="WZT397" s="1"/>
      <c r="WZU397" s="1"/>
      <c r="WZV397" s="1"/>
      <c r="WZW397" s="1"/>
      <c r="WZX397" s="1"/>
      <c r="WZY397" s="1"/>
      <c r="WZZ397" s="1"/>
      <c r="XAA397" s="1"/>
      <c r="XAB397" s="1"/>
      <c r="XAC397" s="1"/>
      <c r="XAD397" s="1"/>
      <c r="XAE397" s="1"/>
      <c r="XAF397" s="1"/>
      <c r="XAG397" s="1"/>
      <c r="XAH397" s="1"/>
      <c r="XAI397" s="1"/>
      <c r="XAJ397" s="1"/>
      <c r="XAK397" s="1"/>
      <c r="XAL397" s="1"/>
      <c r="XAM397" s="1"/>
      <c r="XAN397" s="1"/>
      <c r="XAO397" s="1"/>
      <c r="XAP397" s="1"/>
      <c r="XAQ397" s="1"/>
      <c r="XAR397" s="1"/>
      <c r="XAS397" s="1"/>
      <c r="XAT397" s="1"/>
      <c r="XAU397" s="1"/>
      <c r="XAV397" s="1"/>
      <c r="XAW397" s="1"/>
      <c r="XAX397" s="1"/>
      <c r="XAY397" s="1"/>
      <c r="XAZ397" s="1"/>
      <c r="XBA397" s="1"/>
      <c r="XBB397" s="1"/>
      <c r="XBC397" s="1"/>
      <c r="XBD397" s="1"/>
      <c r="XBE397" s="1"/>
      <c r="XBF397" s="1"/>
      <c r="XBG397" s="1"/>
      <c r="XBH397" s="1"/>
      <c r="XBI397" s="1"/>
      <c r="XBJ397" s="1"/>
      <c r="XBK397" s="1"/>
      <c r="XBL397" s="1"/>
      <c r="XBM397" s="1"/>
      <c r="XBN397" s="1"/>
      <c r="XBO397" s="1"/>
      <c r="XBP397" s="1"/>
      <c r="XBQ397" s="1"/>
      <c r="XBR397" s="1"/>
      <c r="XBS397" s="1"/>
      <c r="XBT397" s="1"/>
      <c r="XBU397" s="1"/>
      <c r="XBV397" s="1"/>
      <c r="XBW397" s="1"/>
      <c r="XBX397" s="1"/>
      <c r="XBY397" s="1"/>
      <c r="XBZ397" s="1"/>
      <c r="XCA397" s="1"/>
      <c r="XCB397" s="1"/>
      <c r="XCC397" s="1"/>
      <c r="XCD397" s="1"/>
      <c r="XCE397" s="1"/>
      <c r="XCF397" s="1"/>
      <c r="XCG397" s="1"/>
      <c r="XCH397" s="1"/>
      <c r="XCI397" s="1"/>
      <c r="XCJ397" s="1"/>
      <c r="XCK397" s="1"/>
      <c r="XCL397" s="1"/>
      <c r="XCM397" s="1"/>
      <c r="XCN397" s="1"/>
      <c r="XCO397" s="1"/>
      <c r="XCP397" s="1"/>
      <c r="XCQ397" s="1"/>
      <c r="XCR397" s="1"/>
      <c r="XCS397" s="1"/>
      <c r="XCT397" s="1"/>
      <c r="XCU397" s="1"/>
      <c r="XCV397" s="1"/>
      <c r="XCW397" s="1"/>
      <c r="XCX397" s="1"/>
      <c r="XCY397" s="1"/>
      <c r="XCZ397" s="1"/>
      <c r="XDA397" s="1"/>
      <c r="XDB397" s="1"/>
      <c r="XDC397" s="1"/>
      <c r="XDD397" s="1"/>
      <c r="XDE397" s="1"/>
      <c r="XDF397" s="1"/>
      <c r="XDG397" s="1"/>
      <c r="XDH397" s="1"/>
      <c r="XDI397" s="1"/>
      <c r="XDJ397" s="1"/>
      <c r="XDK397" s="1"/>
      <c r="XDL397" s="1"/>
      <c r="XDM397" s="1"/>
      <c r="XDN397" s="1"/>
      <c r="XDO397" s="1"/>
      <c r="XDP397" s="1"/>
      <c r="XDQ397" s="1"/>
      <c r="XDR397" s="1"/>
      <c r="XDS397" s="1"/>
      <c r="XDT397" s="1"/>
      <c r="XDU397" s="1"/>
      <c r="XDV397" s="1"/>
      <c r="XDW397" s="1"/>
      <c r="XDX397" s="1"/>
      <c r="XDY397" s="1"/>
      <c r="XDZ397" s="1"/>
      <c r="XEA397" s="1"/>
      <c r="XEB397" s="1"/>
      <c r="XEC397" s="1"/>
      <c r="XED397" s="1"/>
      <c r="XEE397" s="1"/>
      <c r="XEF397" s="1"/>
      <c r="XEG397" s="1"/>
      <c r="XEH397" s="1"/>
      <c r="XEI397" s="1"/>
      <c r="XEJ397" s="1"/>
      <c r="XEK397" s="1"/>
      <c r="XEL397" s="1"/>
      <c r="XEM397" s="1"/>
      <c r="XEN397" s="1"/>
      <c r="XEO397" s="1"/>
      <c r="XEP397" s="1"/>
      <c r="XEQ397" s="1"/>
      <c r="XER397" s="1"/>
      <c r="XES397" s="1"/>
      <c r="XET397" s="1"/>
      <c r="XEU397" s="1"/>
      <c r="XEV397" s="1"/>
      <c r="XEW397" s="1"/>
      <c r="XEX397" s="1"/>
      <c r="XEY397" s="1"/>
      <c r="XEZ397" s="1"/>
      <c r="XFA397" s="1"/>
      <c r="XFB397" s="1"/>
      <c r="XFC397" s="1"/>
      <c r="XFD397" s="1"/>
    </row>
    <row r="398" spans="1:151 16227:16384" s="11" customFormat="1" ht="20.25" customHeight="1" x14ac:dyDescent="0.25">
      <c r="A398" s="99"/>
      <c r="B398" s="100"/>
      <c r="C398" s="88">
        <v>10</v>
      </c>
      <c r="D398" s="89"/>
      <c r="E398" s="55" t="s">
        <v>218</v>
      </c>
      <c r="F398" s="88">
        <f>41.07*10.764</f>
        <v>442.07747999999998</v>
      </c>
      <c r="G398" s="89"/>
      <c r="H398" s="20">
        <v>0</v>
      </c>
      <c r="I398" s="20">
        <f t="shared" si="108"/>
        <v>685.22009400000002</v>
      </c>
      <c r="J398" s="1"/>
      <c r="K398" s="1"/>
      <c r="L398" s="1"/>
      <c r="M398" s="1"/>
      <c r="N398" s="1"/>
      <c r="O398" s="1"/>
      <c r="P398" s="1"/>
      <c r="Q398" s="1"/>
      <c r="R398" s="1"/>
      <c r="S398" s="1"/>
      <c r="T398" s="1"/>
      <c r="U398" s="43" t="str">
        <f t="shared" ca="1" si="109"/>
        <v>2610,..,2110</v>
      </c>
      <c r="V398" s="43">
        <f t="shared" ref="V398:W398" ca="1" si="117">V397+1</f>
        <v>2610</v>
      </c>
      <c r="W398" s="43">
        <f t="shared" ca="1" si="117"/>
        <v>2110</v>
      </c>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WZC398" s="1"/>
      <c r="WZD398" s="1"/>
      <c r="WZE398" s="1"/>
      <c r="WZF398" s="1"/>
      <c r="WZG398" s="1"/>
      <c r="WZH398" s="1"/>
      <c r="WZI398" s="1"/>
      <c r="WZJ398" s="1"/>
      <c r="WZK398" s="1"/>
      <c r="WZL398" s="1"/>
      <c r="WZM398" s="1"/>
      <c r="WZN398" s="1"/>
      <c r="WZO398" s="1"/>
      <c r="WZP398" s="1"/>
      <c r="WZQ398" s="1"/>
      <c r="WZR398" s="1"/>
      <c r="WZS398" s="1"/>
      <c r="WZT398" s="1"/>
      <c r="WZU398" s="1"/>
      <c r="WZV398" s="1"/>
      <c r="WZW398" s="1"/>
      <c r="WZX398" s="1"/>
      <c r="WZY398" s="1"/>
      <c r="WZZ398" s="1"/>
      <c r="XAA398" s="1"/>
      <c r="XAB398" s="1"/>
      <c r="XAC398" s="1"/>
      <c r="XAD398" s="1"/>
      <c r="XAE398" s="1"/>
      <c r="XAF398" s="1"/>
      <c r="XAG398" s="1"/>
      <c r="XAH398" s="1"/>
      <c r="XAI398" s="1"/>
      <c r="XAJ398" s="1"/>
      <c r="XAK398" s="1"/>
      <c r="XAL398" s="1"/>
      <c r="XAM398" s="1"/>
      <c r="XAN398" s="1"/>
      <c r="XAO398" s="1"/>
      <c r="XAP398" s="1"/>
      <c r="XAQ398" s="1"/>
      <c r="XAR398" s="1"/>
      <c r="XAS398" s="1"/>
      <c r="XAT398" s="1"/>
      <c r="XAU398" s="1"/>
      <c r="XAV398" s="1"/>
      <c r="XAW398" s="1"/>
      <c r="XAX398" s="1"/>
      <c r="XAY398" s="1"/>
      <c r="XAZ398" s="1"/>
      <c r="XBA398" s="1"/>
      <c r="XBB398" s="1"/>
      <c r="XBC398" s="1"/>
      <c r="XBD398" s="1"/>
      <c r="XBE398" s="1"/>
      <c r="XBF398" s="1"/>
      <c r="XBG398" s="1"/>
      <c r="XBH398" s="1"/>
      <c r="XBI398" s="1"/>
      <c r="XBJ398" s="1"/>
      <c r="XBK398" s="1"/>
      <c r="XBL398" s="1"/>
      <c r="XBM398" s="1"/>
      <c r="XBN398" s="1"/>
      <c r="XBO398" s="1"/>
      <c r="XBP398" s="1"/>
      <c r="XBQ398" s="1"/>
      <c r="XBR398" s="1"/>
      <c r="XBS398" s="1"/>
      <c r="XBT398" s="1"/>
      <c r="XBU398" s="1"/>
      <c r="XBV398" s="1"/>
      <c r="XBW398" s="1"/>
      <c r="XBX398" s="1"/>
      <c r="XBY398" s="1"/>
      <c r="XBZ398" s="1"/>
      <c r="XCA398" s="1"/>
      <c r="XCB398" s="1"/>
      <c r="XCC398" s="1"/>
      <c r="XCD398" s="1"/>
      <c r="XCE398" s="1"/>
      <c r="XCF398" s="1"/>
      <c r="XCG398" s="1"/>
      <c r="XCH398" s="1"/>
      <c r="XCI398" s="1"/>
      <c r="XCJ398" s="1"/>
      <c r="XCK398" s="1"/>
      <c r="XCL398" s="1"/>
      <c r="XCM398" s="1"/>
      <c r="XCN398" s="1"/>
      <c r="XCO398" s="1"/>
      <c r="XCP398" s="1"/>
      <c r="XCQ398" s="1"/>
      <c r="XCR398" s="1"/>
      <c r="XCS398" s="1"/>
      <c r="XCT398" s="1"/>
      <c r="XCU398" s="1"/>
      <c r="XCV398" s="1"/>
      <c r="XCW398" s="1"/>
      <c r="XCX398" s="1"/>
      <c r="XCY398" s="1"/>
      <c r="XCZ398" s="1"/>
      <c r="XDA398" s="1"/>
      <c r="XDB398" s="1"/>
      <c r="XDC398" s="1"/>
      <c r="XDD398" s="1"/>
      <c r="XDE398" s="1"/>
      <c r="XDF398" s="1"/>
      <c r="XDG398" s="1"/>
      <c r="XDH398" s="1"/>
      <c r="XDI398" s="1"/>
      <c r="XDJ398" s="1"/>
      <c r="XDK398" s="1"/>
      <c r="XDL398" s="1"/>
      <c r="XDM398" s="1"/>
      <c r="XDN398" s="1"/>
      <c r="XDO398" s="1"/>
      <c r="XDP398" s="1"/>
      <c r="XDQ398" s="1"/>
      <c r="XDR398" s="1"/>
      <c r="XDS398" s="1"/>
      <c r="XDT398" s="1"/>
      <c r="XDU398" s="1"/>
      <c r="XDV398" s="1"/>
      <c r="XDW398" s="1"/>
      <c r="XDX398" s="1"/>
      <c r="XDY398" s="1"/>
      <c r="XDZ398" s="1"/>
      <c r="XEA398" s="1"/>
      <c r="XEB398" s="1"/>
      <c r="XEC398" s="1"/>
      <c r="XED398" s="1"/>
      <c r="XEE398" s="1"/>
      <c r="XEF398" s="1"/>
      <c r="XEG398" s="1"/>
      <c r="XEH398" s="1"/>
      <c r="XEI398" s="1"/>
      <c r="XEJ398" s="1"/>
      <c r="XEK398" s="1"/>
      <c r="XEL398" s="1"/>
      <c r="XEM398" s="1"/>
      <c r="XEN398" s="1"/>
      <c r="XEO398" s="1"/>
      <c r="XEP398" s="1"/>
      <c r="XEQ398" s="1"/>
      <c r="XER398" s="1"/>
      <c r="XES398" s="1"/>
      <c r="XET398" s="1"/>
      <c r="XEU398" s="1"/>
      <c r="XEV398" s="1"/>
      <c r="XEW398" s="1"/>
      <c r="XEX398" s="1"/>
      <c r="XEY398" s="1"/>
      <c r="XEZ398" s="1"/>
      <c r="XFA398" s="1"/>
      <c r="XFB398" s="1"/>
      <c r="XFC398" s="1"/>
      <c r="XFD398" s="1"/>
    </row>
    <row r="399" spans="1:151 16227:16384" s="11" customFormat="1" ht="20.25" customHeight="1" x14ac:dyDescent="0.25">
      <c r="A399" s="101"/>
      <c r="B399" s="102"/>
      <c r="C399" s="88">
        <v>11</v>
      </c>
      <c r="D399" s="89"/>
      <c r="E399" s="55" t="s">
        <v>218</v>
      </c>
      <c r="F399" s="88">
        <f>41.07*10.764</f>
        <v>442.07747999999998</v>
      </c>
      <c r="G399" s="89"/>
      <c r="H399" s="20">
        <v>0</v>
      </c>
      <c r="I399" s="20">
        <f t="shared" si="108"/>
        <v>685.22009400000002</v>
      </c>
      <c r="J399" s="1"/>
      <c r="K399" s="1"/>
      <c r="L399" s="1"/>
      <c r="M399" s="1"/>
      <c r="N399" s="1"/>
      <c r="O399" s="1"/>
      <c r="P399" s="1"/>
      <c r="Q399" s="1"/>
      <c r="R399" s="1"/>
      <c r="S399" s="1"/>
      <c r="T399" s="1"/>
      <c r="U399" s="43" t="str">
        <f t="shared" ca="1" si="109"/>
        <v>2611,..,2111</v>
      </c>
      <c r="V399" s="43">
        <f t="shared" ref="V399:W399" ca="1" si="118">V398+1</f>
        <v>2611</v>
      </c>
      <c r="W399" s="43">
        <f t="shared" ca="1" si="118"/>
        <v>2111</v>
      </c>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WZC399" s="1"/>
      <c r="WZD399" s="1"/>
      <c r="WZE399" s="1"/>
      <c r="WZF399" s="1"/>
      <c r="WZG399" s="1"/>
      <c r="WZH399" s="1"/>
      <c r="WZI399" s="1"/>
      <c r="WZJ399" s="1"/>
      <c r="WZK399" s="1"/>
      <c r="WZL399" s="1"/>
      <c r="WZM399" s="1"/>
      <c r="WZN399" s="1"/>
      <c r="WZO399" s="1"/>
      <c r="WZP399" s="1"/>
      <c r="WZQ399" s="1"/>
      <c r="WZR399" s="1"/>
      <c r="WZS399" s="1"/>
      <c r="WZT399" s="1"/>
      <c r="WZU399" s="1"/>
      <c r="WZV399" s="1"/>
      <c r="WZW399" s="1"/>
      <c r="WZX399" s="1"/>
      <c r="WZY399" s="1"/>
      <c r="WZZ399" s="1"/>
      <c r="XAA399" s="1"/>
      <c r="XAB399" s="1"/>
      <c r="XAC399" s="1"/>
      <c r="XAD399" s="1"/>
      <c r="XAE399" s="1"/>
      <c r="XAF399" s="1"/>
      <c r="XAG399" s="1"/>
      <c r="XAH399" s="1"/>
      <c r="XAI399" s="1"/>
      <c r="XAJ399" s="1"/>
      <c r="XAK399" s="1"/>
      <c r="XAL399" s="1"/>
      <c r="XAM399" s="1"/>
      <c r="XAN399" s="1"/>
      <c r="XAO399" s="1"/>
      <c r="XAP399" s="1"/>
      <c r="XAQ399" s="1"/>
      <c r="XAR399" s="1"/>
      <c r="XAS399" s="1"/>
      <c r="XAT399" s="1"/>
      <c r="XAU399" s="1"/>
      <c r="XAV399" s="1"/>
      <c r="XAW399" s="1"/>
      <c r="XAX399" s="1"/>
      <c r="XAY399" s="1"/>
      <c r="XAZ399" s="1"/>
      <c r="XBA399" s="1"/>
      <c r="XBB399" s="1"/>
      <c r="XBC399" s="1"/>
      <c r="XBD399" s="1"/>
      <c r="XBE399" s="1"/>
      <c r="XBF399" s="1"/>
      <c r="XBG399" s="1"/>
      <c r="XBH399" s="1"/>
      <c r="XBI399" s="1"/>
      <c r="XBJ399" s="1"/>
      <c r="XBK399" s="1"/>
      <c r="XBL399" s="1"/>
      <c r="XBM399" s="1"/>
      <c r="XBN399" s="1"/>
      <c r="XBO399" s="1"/>
      <c r="XBP399" s="1"/>
      <c r="XBQ399" s="1"/>
      <c r="XBR399" s="1"/>
      <c r="XBS399" s="1"/>
      <c r="XBT399" s="1"/>
      <c r="XBU399" s="1"/>
      <c r="XBV399" s="1"/>
      <c r="XBW399" s="1"/>
      <c r="XBX399" s="1"/>
      <c r="XBY399" s="1"/>
      <c r="XBZ399" s="1"/>
      <c r="XCA399" s="1"/>
      <c r="XCB399" s="1"/>
      <c r="XCC399" s="1"/>
      <c r="XCD399" s="1"/>
      <c r="XCE399" s="1"/>
      <c r="XCF399" s="1"/>
      <c r="XCG399" s="1"/>
      <c r="XCH399" s="1"/>
      <c r="XCI399" s="1"/>
      <c r="XCJ399" s="1"/>
      <c r="XCK399" s="1"/>
      <c r="XCL399" s="1"/>
      <c r="XCM399" s="1"/>
      <c r="XCN399" s="1"/>
      <c r="XCO399" s="1"/>
      <c r="XCP399" s="1"/>
      <c r="XCQ399" s="1"/>
      <c r="XCR399" s="1"/>
      <c r="XCS399" s="1"/>
      <c r="XCT399" s="1"/>
      <c r="XCU399" s="1"/>
      <c r="XCV399" s="1"/>
      <c r="XCW399" s="1"/>
      <c r="XCX399" s="1"/>
      <c r="XCY399" s="1"/>
      <c r="XCZ399" s="1"/>
      <c r="XDA399" s="1"/>
      <c r="XDB399" s="1"/>
      <c r="XDC399" s="1"/>
      <c r="XDD399" s="1"/>
      <c r="XDE399" s="1"/>
      <c r="XDF399" s="1"/>
      <c r="XDG399" s="1"/>
      <c r="XDH399" s="1"/>
      <c r="XDI399" s="1"/>
      <c r="XDJ399" s="1"/>
      <c r="XDK399" s="1"/>
      <c r="XDL399" s="1"/>
      <c r="XDM399" s="1"/>
      <c r="XDN399" s="1"/>
      <c r="XDO399" s="1"/>
      <c r="XDP399" s="1"/>
      <c r="XDQ399" s="1"/>
      <c r="XDR399" s="1"/>
      <c r="XDS399" s="1"/>
      <c r="XDT399" s="1"/>
      <c r="XDU399" s="1"/>
      <c r="XDV399" s="1"/>
      <c r="XDW399" s="1"/>
      <c r="XDX399" s="1"/>
      <c r="XDY399" s="1"/>
      <c r="XDZ399" s="1"/>
      <c r="XEA399" s="1"/>
      <c r="XEB399" s="1"/>
      <c r="XEC399" s="1"/>
      <c r="XED399" s="1"/>
      <c r="XEE399" s="1"/>
      <c r="XEF399" s="1"/>
      <c r="XEG399" s="1"/>
      <c r="XEH399" s="1"/>
      <c r="XEI399" s="1"/>
      <c r="XEJ399" s="1"/>
      <c r="XEK399" s="1"/>
      <c r="XEL399" s="1"/>
      <c r="XEM399" s="1"/>
      <c r="XEN399" s="1"/>
      <c r="XEO399" s="1"/>
      <c r="XEP399" s="1"/>
      <c r="XEQ399" s="1"/>
      <c r="XER399" s="1"/>
      <c r="XES399" s="1"/>
      <c r="XET399" s="1"/>
      <c r="XEU399" s="1"/>
      <c r="XEV399" s="1"/>
      <c r="XEW399" s="1"/>
      <c r="XEX399" s="1"/>
      <c r="XEY399" s="1"/>
      <c r="XEZ399" s="1"/>
      <c r="XFA399" s="1"/>
      <c r="XFB399" s="1"/>
      <c r="XFC399" s="1"/>
      <c r="XFD399" s="1"/>
    </row>
    <row r="400" spans="1:151 16227:16384" s="11" customFormat="1" ht="20.25" x14ac:dyDescent="0.25">
      <c r="A400" s="94" t="s">
        <v>220</v>
      </c>
      <c r="B400" s="95"/>
      <c r="C400" s="95"/>
      <c r="D400" s="95"/>
      <c r="E400" s="95"/>
      <c r="F400" s="95"/>
      <c r="G400" s="95"/>
      <c r="H400" s="95"/>
      <c r="I400" s="103"/>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WZC400" s="1"/>
      <c r="WZD400" s="1"/>
      <c r="WZE400" s="1"/>
      <c r="WZF400" s="1"/>
      <c r="WZG400" s="1"/>
      <c r="WZH400" s="1"/>
      <c r="WZI400" s="1"/>
      <c r="WZJ400" s="1"/>
      <c r="WZK400" s="1"/>
      <c r="WZL400" s="1"/>
      <c r="WZM400" s="1"/>
      <c r="WZN400" s="1"/>
      <c r="WZO400" s="1"/>
      <c r="WZP400" s="1"/>
      <c r="WZQ400" s="1"/>
      <c r="WZR400" s="1"/>
      <c r="WZS400" s="1"/>
      <c r="WZT400" s="1"/>
      <c r="WZU400" s="1"/>
      <c r="WZV400" s="1"/>
      <c r="WZW400" s="1"/>
      <c r="WZX400" s="1"/>
      <c r="WZY400" s="1"/>
      <c r="WZZ400" s="1"/>
      <c r="XAA400" s="1"/>
      <c r="XAB400" s="1"/>
      <c r="XAC400" s="1"/>
      <c r="XAD400" s="1"/>
      <c r="XAE400" s="1"/>
      <c r="XAF400" s="1"/>
      <c r="XAG400" s="1"/>
      <c r="XAH400" s="1"/>
      <c r="XAI400" s="1"/>
      <c r="XAJ400" s="1"/>
      <c r="XAK400" s="1"/>
      <c r="XAL400" s="1"/>
      <c r="XAM400" s="1"/>
      <c r="XAN400" s="1"/>
      <c r="XAO400" s="1"/>
      <c r="XAP400" s="1"/>
      <c r="XAQ400" s="1"/>
      <c r="XAR400" s="1"/>
      <c r="XAS400" s="1"/>
      <c r="XAT400" s="1"/>
      <c r="XAU400" s="1"/>
      <c r="XAV400" s="1"/>
      <c r="XAW400" s="1"/>
      <c r="XAX400" s="1"/>
      <c r="XAY400" s="1"/>
      <c r="XAZ400" s="1"/>
      <c r="XBA400" s="1"/>
      <c r="XBB400" s="1"/>
      <c r="XBC400" s="1"/>
      <c r="XBD400" s="1"/>
      <c r="XBE400" s="1"/>
      <c r="XBF400" s="1"/>
      <c r="XBG400" s="1"/>
      <c r="XBH400" s="1"/>
      <c r="XBI400" s="1"/>
      <c r="XBJ400" s="1"/>
      <c r="XBK400" s="1"/>
      <c r="XBL400" s="1"/>
      <c r="XBM400" s="1"/>
      <c r="XBN400" s="1"/>
      <c r="XBO400" s="1"/>
      <c r="XBP400" s="1"/>
      <c r="XBQ400" s="1"/>
      <c r="XBR400" s="1"/>
      <c r="XBS400" s="1"/>
      <c r="XBT400" s="1"/>
      <c r="XBU400" s="1"/>
      <c r="XBV400" s="1"/>
      <c r="XBW400" s="1"/>
      <c r="XBX400" s="1"/>
      <c r="XBY400" s="1"/>
      <c r="XBZ400" s="1"/>
      <c r="XCA400" s="1"/>
      <c r="XCB400" s="1"/>
      <c r="XCC400" s="1"/>
      <c r="XCD400" s="1"/>
      <c r="XCE400" s="1"/>
      <c r="XCF400" s="1"/>
      <c r="XCG400" s="1"/>
      <c r="XCH400" s="1"/>
      <c r="XCI400" s="1"/>
      <c r="XCJ400" s="1"/>
      <c r="XCK400" s="1"/>
      <c r="XCL400" s="1"/>
      <c r="XCM400" s="1"/>
      <c r="XCN400" s="1"/>
      <c r="XCO400" s="1"/>
      <c r="XCP400" s="1"/>
      <c r="XCQ400" s="1"/>
      <c r="XCR400" s="1"/>
      <c r="XCS400" s="1"/>
      <c r="XCT400" s="1"/>
      <c r="XCU400" s="1"/>
      <c r="XCV400" s="1"/>
      <c r="XCW400" s="1"/>
      <c r="XCX400" s="1"/>
      <c r="XCY400" s="1"/>
      <c r="XCZ400" s="1"/>
      <c r="XDA400" s="1"/>
      <c r="XDB400" s="1"/>
      <c r="XDC400" s="1"/>
      <c r="XDD400" s="1"/>
      <c r="XDE400" s="1"/>
      <c r="XDF400" s="1"/>
      <c r="XDG400" s="1"/>
      <c r="XDH400" s="1"/>
      <c r="XDI400" s="1"/>
      <c r="XDJ400" s="1"/>
      <c r="XDK400" s="1"/>
      <c r="XDL400" s="1"/>
      <c r="XDM400" s="1"/>
      <c r="XDN400" s="1"/>
      <c r="XDO400" s="1"/>
      <c r="XDP400" s="1"/>
      <c r="XDQ400" s="1"/>
      <c r="XDR400" s="1"/>
      <c r="XDS400" s="1"/>
      <c r="XDT400" s="1"/>
      <c r="XDU400" s="1"/>
      <c r="XDV400" s="1"/>
      <c r="XDW400" s="1"/>
      <c r="XDX400" s="1"/>
      <c r="XDY400" s="1"/>
      <c r="XDZ400" s="1"/>
      <c r="XEA400" s="1"/>
      <c r="XEB400" s="1"/>
      <c r="XEC400" s="1"/>
      <c r="XED400" s="1"/>
      <c r="XEE400" s="1"/>
      <c r="XEF400" s="1"/>
      <c r="XEG400" s="1"/>
      <c r="XEH400" s="1"/>
      <c r="XEI400" s="1"/>
      <c r="XEJ400" s="1"/>
      <c r="XEK400" s="1"/>
      <c r="XEL400" s="1"/>
      <c r="XEM400" s="1"/>
      <c r="XEN400" s="1"/>
      <c r="XEO400" s="1"/>
      <c r="XEP400" s="1"/>
      <c r="XEQ400" s="1"/>
      <c r="XER400" s="1"/>
      <c r="XES400" s="1"/>
      <c r="XET400" s="1"/>
      <c r="XEU400" s="1"/>
      <c r="XEV400" s="1"/>
      <c r="XEW400" s="1"/>
      <c r="XEX400" s="1"/>
      <c r="XEY400" s="1"/>
      <c r="XEZ400" s="1"/>
      <c r="XFA400" s="1"/>
      <c r="XFB400" s="1"/>
      <c r="XFC400" s="1"/>
      <c r="XFD400" s="1"/>
    </row>
    <row r="401" spans="1:151 16227:16384" s="11" customFormat="1" ht="20.25" customHeight="1" x14ac:dyDescent="0.25">
      <c r="A401" s="97" t="str">
        <f>A400</f>
        <v>7th, 12th, 17th &amp; 22nd Floor (Part Refuge Area)</v>
      </c>
      <c r="B401" s="98"/>
      <c r="C401" s="88">
        <v>1</v>
      </c>
      <c r="D401" s="89"/>
      <c r="E401" s="88" t="s">
        <v>221</v>
      </c>
      <c r="F401" s="104"/>
      <c r="G401" s="104"/>
      <c r="H401" s="104"/>
      <c r="I401" s="89"/>
      <c r="J401" s="1"/>
      <c r="K401" s="1"/>
      <c r="L401" s="1"/>
      <c r="M401" s="1"/>
      <c r="N401" s="1"/>
      <c r="O401" s="1"/>
      <c r="P401" s="1"/>
      <c r="Q401" s="1"/>
      <c r="R401" s="1"/>
      <c r="S401" s="1"/>
      <c r="T401" s="1"/>
      <c r="U401" s="43" t="str">
        <f t="shared" ref="U401:U411" ca="1" si="119">V401&amp;""&amp;",..,"&amp;""&amp;W401</f>
        <v>701,..,2201</v>
      </c>
      <c r="V401" s="43">
        <f ca="1">(SUMPRODUCT(MID(0&amp;(LEFT(A400,SUM(LEN(A400)-LEN(SUBSTITUTE(A400,{"0","1","2","3"},""))))), LARGE(INDEX(ISNUMBER(--MID((LEFT(A400,SUM(LEN(A400)-LEN(SUBSTITUTE(A400,{"0","1","2","3"},""))))), ROW(INDIRECT("1:"&amp;LEN((LEFT(A400,SUM(LEN(A400)-LEN(SUBSTITUTE(A400,{"0","1","2","3"},"")))))))), 1)) * ROW(INDIRECT("1:"&amp;LEN((LEFT(A400,SUM(LEN(A400)-LEN(SUBSTITUTE(A400,{"0","1","2","3"},"")))))))), 0), ROW(INDIRECT("1:"&amp;LEN((LEFT(A400,SUM(LEN(A400)-LEN(SUBSTITUTE(A400,{"0","1","2","3"},"")))))))))+1, 1) * 10^ROW(INDIRECT("1:"&amp;LEN((LEFT(A400,SUM(LEN(A400)-LEN(SUBSTITUTE(A400,{"0","1","2","3"},""))))))))/10))*100+1</f>
        <v>701</v>
      </c>
      <c r="W401" s="43">
        <f ca="1">(SUMPRODUCT(MID(0&amp;(--TRIM(RIGHT(SUBSTITUTE(LEFT(A400,_xlfn.AGGREGATE(16,6,FIND({0,1,2,3,4,5,6,7,8,9},A400,ROW(INDIRECT("1:"&amp;LEN(A400)))),1))," ",REPT(" ",LEN(A400))),LEN(A400)))), LARGE(INDEX(ISNUMBER(--MID((--TRIM(RIGHT(SUBSTITUTE(LEFT(A400,_xlfn.AGGREGATE(16,6,FIND({0,1,2,3,4,5,6,7,8,9},A400,ROW(INDIRECT("1:"&amp;LEN(A400)))),1))," ",REPT(" ",LEN(A400))),LEN(A400)))), ROW(INDIRECT("1:"&amp;LEN((--TRIM(RIGHT(SUBSTITUTE(LEFT(A400,_xlfn.AGGREGATE(16,6,FIND({0,1,2,3,4,5,6,7,8,9},A400,ROW(INDIRECT("1:"&amp;LEN(A400)))),1))," ",REPT(" ",LEN(A400))),LEN(A400))))))), 1)) * ROW(INDIRECT("1:"&amp;LEN((--TRIM(RIGHT(SUBSTITUTE(LEFT(A400,_xlfn.AGGREGATE(16,6,FIND({0,1,2,3,4,5,6,7,8,9},A400,ROW(INDIRECT("1:"&amp;LEN(A400)))),1))," ",REPT(" ",LEN(A400))),LEN(A400))))))), 0), ROW(INDIRECT("1:"&amp;LEN((--TRIM(RIGHT(SUBSTITUTE(LEFT(A400,_xlfn.AGGREGATE(16,6,FIND({0,1,2,3,4,5,6,7,8,9},A400,ROW(INDIRECT("1:"&amp;LEN(A400)))),1))," ",REPT(" ",LEN(A400))),LEN(A400))))))))+1, 1) * 10^ROW(INDIRECT("1:"&amp;LEN((--TRIM(RIGHT(SUBSTITUTE(LEFT(A400,_xlfn.AGGREGATE(16,6,FIND({0,1,2,3,4,5,6,7,8,9},A400,ROW(INDIRECT("1:"&amp;LEN(A400)))),1))," ",REPT(" ",LEN(A400))),LEN(A400)))))))/10))*100+1</f>
        <v>2201</v>
      </c>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WZC401" s="1"/>
      <c r="WZD401" s="1"/>
      <c r="WZE401" s="1"/>
      <c r="WZF401" s="1"/>
      <c r="WZG401" s="1"/>
      <c r="WZH401" s="1"/>
      <c r="WZI401" s="1"/>
      <c r="WZJ401" s="1"/>
      <c r="WZK401" s="1"/>
      <c r="WZL401" s="1"/>
      <c r="WZM401" s="1"/>
      <c r="WZN401" s="1"/>
      <c r="WZO401" s="1"/>
      <c r="WZP401" s="1"/>
      <c r="WZQ401" s="1"/>
      <c r="WZR401" s="1"/>
      <c r="WZS401" s="1"/>
      <c r="WZT401" s="1"/>
      <c r="WZU401" s="1"/>
      <c r="WZV401" s="1"/>
      <c r="WZW401" s="1"/>
      <c r="WZX401" s="1"/>
      <c r="WZY401" s="1"/>
      <c r="WZZ401" s="1"/>
      <c r="XAA401" s="1"/>
      <c r="XAB401" s="1"/>
      <c r="XAC401" s="1"/>
      <c r="XAD401" s="1"/>
      <c r="XAE401" s="1"/>
      <c r="XAF401" s="1"/>
      <c r="XAG401" s="1"/>
      <c r="XAH401" s="1"/>
      <c r="XAI401" s="1"/>
      <c r="XAJ401" s="1"/>
      <c r="XAK401" s="1"/>
      <c r="XAL401" s="1"/>
      <c r="XAM401" s="1"/>
      <c r="XAN401" s="1"/>
      <c r="XAO401" s="1"/>
      <c r="XAP401" s="1"/>
      <c r="XAQ401" s="1"/>
      <c r="XAR401" s="1"/>
      <c r="XAS401" s="1"/>
      <c r="XAT401" s="1"/>
      <c r="XAU401" s="1"/>
      <c r="XAV401" s="1"/>
      <c r="XAW401" s="1"/>
      <c r="XAX401" s="1"/>
      <c r="XAY401" s="1"/>
      <c r="XAZ401" s="1"/>
      <c r="XBA401" s="1"/>
      <c r="XBB401" s="1"/>
      <c r="XBC401" s="1"/>
      <c r="XBD401" s="1"/>
      <c r="XBE401" s="1"/>
      <c r="XBF401" s="1"/>
      <c r="XBG401" s="1"/>
      <c r="XBH401" s="1"/>
      <c r="XBI401" s="1"/>
      <c r="XBJ401" s="1"/>
      <c r="XBK401" s="1"/>
      <c r="XBL401" s="1"/>
      <c r="XBM401" s="1"/>
      <c r="XBN401" s="1"/>
      <c r="XBO401" s="1"/>
      <c r="XBP401" s="1"/>
      <c r="XBQ401" s="1"/>
      <c r="XBR401" s="1"/>
      <c r="XBS401" s="1"/>
      <c r="XBT401" s="1"/>
      <c r="XBU401" s="1"/>
      <c r="XBV401" s="1"/>
      <c r="XBW401" s="1"/>
      <c r="XBX401" s="1"/>
      <c r="XBY401" s="1"/>
      <c r="XBZ401" s="1"/>
      <c r="XCA401" s="1"/>
      <c r="XCB401" s="1"/>
      <c r="XCC401" s="1"/>
      <c r="XCD401" s="1"/>
      <c r="XCE401" s="1"/>
      <c r="XCF401" s="1"/>
      <c r="XCG401" s="1"/>
      <c r="XCH401" s="1"/>
      <c r="XCI401" s="1"/>
      <c r="XCJ401" s="1"/>
      <c r="XCK401" s="1"/>
      <c r="XCL401" s="1"/>
      <c r="XCM401" s="1"/>
      <c r="XCN401" s="1"/>
      <c r="XCO401" s="1"/>
      <c r="XCP401" s="1"/>
      <c r="XCQ401" s="1"/>
      <c r="XCR401" s="1"/>
      <c r="XCS401" s="1"/>
      <c r="XCT401" s="1"/>
      <c r="XCU401" s="1"/>
      <c r="XCV401" s="1"/>
      <c r="XCW401" s="1"/>
      <c r="XCX401" s="1"/>
      <c r="XCY401" s="1"/>
      <c r="XCZ401" s="1"/>
      <c r="XDA401" s="1"/>
      <c r="XDB401" s="1"/>
      <c r="XDC401" s="1"/>
      <c r="XDD401" s="1"/>
      <c r="XDE401" s="1"/>
      <c r="XDF401" s="1"/>
      <c r="XDG401" s="1"/>
      <c r="XDH401" s="1"/>
      <c r="XDI401" s="1"/>
      <c r="XDJ401" s="1"/>
      <c r="XDK401" s="1"/>
      <c r="XDL401" s="1"/>
      <c r="XDM401" s="1"/>
      <c r="XDN401" s="1"/>
      <c r="XDO401" s="1"/>
      <c r="XDP401" s="1"/>
      <c r="XDQ401" s="1"/>
      <c r="XDR401" s="1"/>
      <c r="XDS401" s="1"/>
      <c r="XDT401" s="1"/>
      <c r="XDU401" s="1"/>
      <c r="XDV401" s="1"/>
      <c r="XDW401" s="1"/>
      <c r="XDX401" s="1"/>
      <c r="XDY401" s="1"/>
      <c r="XDZ401" s="1"/>
      <c r="XEA401" s="1"/>
      <c r="XEB401" s="1"/>
      <c r="XEC401" s="1"/>
      <c r="XED401" s="1"/>
      <c r="XEE401" s="1"/>
      <c r="XEF401" s="1"/>
      <c r="XEG401" s="1"/>
      <c r="XEH401" s="1"/>
      <c r="XEI401" s="1"/>
      <c r="XEJ401" s="1"/>
      <c r="XEK401" s="1"/>
      <c r="XEL401" s="1"/>
      <c r="XEM401" s="1"/>
      <c r="XEN401" s="1"/>
      <c r="XEO401" s="1"/>
      <c r="XEP401" s="1"/>
      <c r="XEQ401" s="1"/>
      <c r="XER401" s="1"/>
      <c r="XES401" s="1"/>
      <c r="XET401" s="1"/>
      <c r="XEU401" s="1"/>
      <c r="XEV401" s="1"/>
      <c r="XEW401" s="1"/>
      <c r="XEX401" s="1"/>
      <c r="XEY401" s="1"/>
      <c r="XEZ401" s="1"/>
      <c r="XFA401" s="1"/>
      <c r="XFB401" s="1"/>
      <c r="XFC401" s="1"/>
      <c r="XFD401" s="1"/>
    </row>
    <row r="402" spans="1:151 16227:16384" s="11" customFormat="1" ht="20.25" customHeight="1" x14ac:dyDescent="0.25">
      <c r="A402" s="99"/>
      <c r="B402" s="100"/>
      <c r="C402" s="88">
        <v>2</v>
      </c>
      <c r="D402" s="89"/>
      <c r="E402" s="55" t="s">
        <v>228</v>
      </c>
      <c r="F402" s="88">
        <f>46.77*10.764</f>
        <v>503.43227999999999</v>
      </c>
      <c r="G402" s="89"/>
      <c r="H402" s="20">
        <v>0</v>
      </c>
      <c r="I402" s="20">
        <f t="shared" ref="I402:I411" si="120">F402*(($I$166)+1)+H402</f>
        <v>780.32003399999996</v>
      </c>
      <c r="J402" s="1"/>
      <c r="K402" s="1"/>
      <c r="L402" s="1"/>
      <c r="M402" s="1"/>
      <c r="N402" s="1"/>
      <c r="O402" s="1"/>
      <c r="P402" s="1"/>
      <c r="Q402" s="1"/>
      <c r="R402" s="1"/>
      <c r="S402" s="1"/>
      <c r="T402" s="1"/>
      <c r="U402" s="43" t="str">
        <f t="shared" ca="1" si="119"/>
        <v>702,..,2202</v>
      </c>
      <c r="V402" s="43">
        <f ca="1">V401+1</f>
        <v>702</v>
      </c>
      <c r="W402" s="43">
        <f ca="1">W401+1</f>
        <v>2202</v>
      </c>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WZC402" s="1"/>
      <c r="WZD402" s="1"/>
      <c r="WZE402" s="1"/>
      <c r="WZF402" s="1"/>
      <c r="WZG402" s="1"/>
      <c r="WZH402" s="1"/>
      <c r="WZI402" s="1"/>
      <c r="WZJ402" s="1"/>
      <c r="WZK402" s="1"/>
      <c r="WZL402" s="1"/>
      <c r="WZM402" s="1"/>
      <c r="WZN402" s="1"/>
      <c r="WZO402" s="1"/>
      <c r="WZP402" s="1"/>
      <c r="WZQ402" s="1"/>
      <c r="WZR402" s="1"/>
      <c r="WZS402" s="1"/>
      <c r="WZT402" s="1"/>
      <c r="WZU402" s="1"/>
      <c r="WZV402" s="1"/>
      <c r="WZW402" s="1"/>
      <c r="WZX402" s="1"/>
      <c r="WZY402" s="1"/>
      <c r="WZZ402" s="1"/>
      <c r="XAA402" s="1"/>
      <c r="XAB402" s="1"/>
      <c r="XAC402" s="1"/>
      <c r="XAD402" s="1"/>
      <c r="XAE402" s="1"/>
      <c r="XAF402" s="1"/>
      <c r="XAG402" s="1"/>
      <c r="XAH402" s="1"/>
      <c r="XAI402" s="1"/>
      <c r="XAJ402" s="1"/>
      <c r="XAK402" s="1"/>
      <c r="XAL402" s="1"/>
      <c r="XAM402" s="1"/>
      <c r="XAN402" s="1"/>
      <c r="XAO402" s="1"/>
      <c r="XAP402" s="1"/>
      <c r="XAQ402" s="1"/>
      <c r="XAR402" s="1"/>
      <c r="XAS402" s="1"/>
      <c r="XAT402" s="1"/>
      <c r="XAU402" s="1"/>
      <c r="XAV402" s="1"/>
      <c r="XAW402" s="1"/>
      <c r="XAX402" s="1"/>
      <c r="XAY402" s="1"/>
      <c r="XAZ402" s="1"/>
      <c r="XBA402" s="1"/>
      <c r="XBB402" s="1"/>
      <c r="XBC402" s="1"/>
      <c r="XBD402" s="1"/>
      <c r="XBE402" s="1"/>
      <c r="XBF402" s="1"/>
      <c r="XBG402" s="1"/>
      <c r="XBH402" s="1"/>
      <c r="XBI402" s="1"/>
      <c r="XBJ402" s="1"/>
      <c r="XBK402" s="1"/>
      <c r="XBL402" s="1"/>
      <c r="XBM402" s="1"/>
      <c r="XBN402" s="1"/>
      <c r="XBO402" s="1"/>
      <c r="XBP402" s="1"/>
      <c r="XBQ402" s="1"/>
      <c r="XBR402" s="1"/>
      <c r="XBS402" s="1"/>
      <c r="XBT402" s="1"/>
      <c r="XBU402" s="1"/>
      <c r="XBV402" s="1"/>
      <c r="XBW402" s="1"/>
      <c r="XBX402" s="1"/>
      <c r="XBY402" s="1"/>
      <c r="XBZ402" s="1"/>
      <c r="XCA402" s="1"/>
      <c r="XCB402" s="1"/>
      <c r="XCC402" s="1"/>
      <c r="XCD402" s="1"/>
      <c r="XCE402" s="1"/>
      <c r="XCF402" s="1"/>
      <c r="XCG402" s="1"/>
      <c r="XCH402" s="1"/>
      <c r="XCI402" s="1"/>
      <c r="XCJ402" s="1"/>
      <c r="XCK402" s="1"/>
      <c r="XCL402" s="1"/>
      <c r="XCM402" s="1"/>
      <c r="XCN402" s="1"/>
      <c r="XCO402" s="1"/>
      <c r="XCP402" s="1"/>
      <c r="XCQ402" s="1"/>
      <c r="XCR402" s="1"/>
      <c r="XCS402" s="1"/>
      <c r="XCT402" s="1"/>
      <c r="XCU402" s="1"/>
      <c r="XCV402" s="1"/>
      <c r="XCW402" s="1"/>
      <c r="XCX402" s="1"/>
      <c r="XCY402" s="1"/>
      <c r="XCZ402" s="1"/>
      <c r="XDA402" s="1"/>
      <c r="XDB402" s="1"/>
      <c r="XDC402" s="1"/>
      <c r="XDD402" s="1"/>
      <c r="XDE402" s="1"/>
      <c r="XDF402" s="1"/>
      <c r="XDG402" s="1"/>
      <c r="XDH402" s="1"/>
      <c r="XDI402" s="1"/>
      <c r="XDJ402" s="1"/>
      <c r="XDK402" s="1"/>
      <c r="XDL402" s="1"/>
      <c r="XDM402" s="1"/>
      <c r="XDN402" s="1"/>
      <c r="XDO402" s="1"/>
      <c r="XDP402" s="1"/>
      <c r="XDQ402" s="1"/>
      <c r="XDR402" s="1"/>
      <c r="XDS402" s="1"/>
      <c r="XDT402" s="1"/>
      <c r="XDU402" s="1"/>
      <c r="XDV402" s="1"/>
      <c r="XDW402" s="1"/>
      <c r="XDX402" s="1"/>
      <c r="XDY402" s="1"/>
      <c r="XDZ402" s="1"/>
      <c r="XEA402" s="1"/>
      <c r="XEB402" s="1"/>
      <c r="XEC402" s="1"/>
      <c r="XED402" s="1"/>
      <c r="XEE402" s="1"/>
      <c r="XEF402" s="1"/>
      <c r="XEG402" s="1"/>
      <c r="XEH402" s="1"/>
      <c r="XEI402" s="1"/>
      <c r="XEJ402" s="1"/>
      <c r="XEK402" s="1"/>
      <c r="XEL402" s="1"/>
      <c r="XEM402" s="1"/>
      <c r="XEN402" s="1"/>
      <c r="XEO402" s="1"/>
      <c r="XEP402" s="1"/>
      <c r="XEQ402" s="1"/>
      <c r="XER402" s="1"/>
      <c r="XES402" s="1"/>
      <c r="XET402" s="1"/>
      <c r="XEU402" s="1"/>
      <c r="XEV402" s="1"/>
      <c r="XEW402" s="1"/>
      <c r="XEX402" s="1"/>
      <c r="XEY402" s="1"/>
      <c r="XEZ402" s="1"/>
      <c r="XFA402" s="1"/>
      <c r="XFB402" s="1"/>
      <c r="XFC402" s="1"/>
      <c r="XFD402" s="1"/>
    </row>
    <row r="403" spans="1:151 16227:16384" s="11" customFormat="1" ht="20.25" customHeight="1" x14ac:dyDescent="0.25">
      <c r="A403" s="99"/>
      <c r="B403" s="100"/>
      <c r="C403" s="88">
        <v>3</v>
      </c>
      <c r="D403" s="89"/>
      <c r="E403" s="55" t="s">
        <v>228</v>
      </c>
      <c r="F403" s="88">
        <f>46.77*10.764</f>
        <v>503.43227999999999</v>
      </c>
      <c r="G403" s="89"/>
      <c r="H403" s="20">
        <v>0</v>
      </c>
      <c r="I403" s="20">
        <f t="shared" si="120"/>
        <v>780.32003399999996</v>
      </c>
      <c r="J403" s="1"/>
      <c r="K403" s="1"/>
      <c r="L403" s="1"/>
      <c r="M403" s="1"/>
      <c r="N403" s="1"/>
      <c r="O403" s="1"/>
      <c r="P403" s="1"/>
      <c r="Q403" s="1"/>
      <c r="R403" s="1"/>
      <c r="S403" s="1"/>
      <c r="T403" s="1"/>
      <c r="U403" s="43" t="str">
        <f t="shared" ca="1" si="119"/>
        <v>703,..,2203</v>
      </c>
      <c r="V403" s="43">
        <f t="shared" ref="V403:W403" ca="1" si="121">V402+1</f>
        <v>703</v>
      </c>
      <c r="W403" s="43">
        <f t="shared" ca="1" si="121"/>
        <v>2203</v>
      </c>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WZC403" s="1"/>
      <c r="WZD403" s="1"/>
      <c r="WZE403" s="1"/>
      <c r="WZF403" s="1"/>
      <c r="WZG403" s="1"/>
      <c r="WZH403" s="1"/>
      <c r="WZI403" s="1"/>
      <c r="WZJ403" s="1"/>
      <c r="WZK403" s="1"/>
      <c r="WZL403" s="1"/>
      <c r="WZM403" s="1"/>
      <c r="WZN403" s="1"/>
      <c r="WZO403" s="1"/>
      <c r="WZP403" s="1"/>
      <c r="WZQ403" s="1"/>
      <c r="WZR403" s="1"/>
      <c r="WZS403" s="1"/>
      <c r="WZT403" s="1"/>
      <c r="WZU403" s="1"/>
      <c r="WZV403" s="1"/>
      <c r="WZW403" s="1"/>
      <c r="WZX403" s="1"/>
      <c r="WZY403" s="1"/>
      <c r="WZZ403" s="1"/>
      <c r="XAA403" s="1"/>
      <c r="XAB403" s="1"/>
      <c r="XAC403" s="1"/>
      <c r="XAD403" s="1"/>
      <c r="XAE403" s="1"/>
      <c r="XAF403" s="1"/>
      <c r="XAG403" s="1"/>
      <c r="XAH403" s="1"/>
      <c r="XAI403" s="1"/>
      <c r="XAJ403" s="1"/>
      <c r="XAK403" s="1"/>
      <c r="XAL403" s="1"/>
      <c r="XAM403" s="1"/>
      <c r="XAN403" s="1"/>
      <c r="XAO403" s="1"/>
      <c r="XAP403" s="1"/>
      <c r="XAQ403" s="1"/>
      <c r="XAR403" s="1"/>
      <c r="XAS403" s="1"/>
      <c r="XAT403" s="1"/>
      <c r="XAU403" s="1"/>
      <c r="XAV403" s="1"/>
      <c r="XAW403" s="1"/>
      <c r="XAX403" s="1"/>
      <c r="XAY403" s="1"/>
      <c r="XAZ403" s="1"/>
      <c r="XBA403" s="1"/>
      <c r="XBB403" s="1"/>
      <c r="XBC403" s="1"/>
      <c r="XBD403" s="1"/>
      <c r="XBE403" s="1"/>
      <c r="XBF403" s="1"/>
      <c r="XBG403" s="1"/>
      <c r="XBH403" s="1"/>
      <c r="XBI403" s="1"/>
      <c r="XBJ403" s="1"/>
      <c r="XBK403" s="1"/>
      <c r="XBL403" s="1"/>
      <c r="XBM403" s="1"/>
      <c r="XBN403" s="1"/>
      <c r="XBO403" s="1"/>
      <c r="XBP403" s="1"/>
      <c r="XBQ403" s="1"/>
      <c r="XBR403" s="1"/>
      <c r="XBS403" s="1"/>
      <c r="XBT403" s="1"/>
      <c r="XBU403" s="1"/>
      <c r="XBV403" s="1"/>
      <c r="XBW403" s="1"/>
      <c r="XBX403" s="1"/>
      <c r="XBY403" s="1"/>
      <c r="XBZ403" s="1"/>
      <c r="XCA403" s="1"/>
      <c r="XCB403" s="1"/>
      <c r="XCC403" s="1"/>
      <c r="XCD403" s="1"/>
      <c r="XCE403" s="1"/>
      <c r="XCF403" s="1"/>
      <c r="XCG403" s="1"/>
      <c r="XCH403" s="1"/>
      <c r="XCI403" s="1"/>
      <c r="XCJ403" s="1"/>
      <c r="XCK403" s="1"/>
      <c r="XCL403" s="1"/>
      <c r="XCM403" s="1"/>
      <c r="XCN403" s="1"/>
      <c r="XCO403" s="1"/>
      <c r="XCP403" s="1"/>
      <c r="XCQ403" s="1"/>
      <c r="XCR403" s="1"/>
      <c r="XCS403" s="1"/>
      <c r="XCT403" s="1"/>
      <c r="XCU403" s="1"/>
      <c r="XCV403" s="1"/>
      <c r="XCW403" s="1"/>
      <c r="XCX403" s="1"/>
      <c r="XCY403" s="1"/>
      <c r="XCZ403" s="1"/>
      <c r="XDA403" s="1"/>
      <c r="XDB403" s="1"/>
      <c r="XDC403" s="1"/>
      <c r="XDD403" s="1"/>
      <c r="XDE403" s="1"/>
      <c r="XDF403" s="1"/>
      <c r="XDG403" s="1"/>
      <c r="XDH403" s="1"/>
      <c r="XDI403" s="1"/>
      <c r="XDJ403" s="1"/>
      <c r="XDK403" s="1"/>
      <c r="XDL403" s="1"/>
      <c r="XDM403" s="1"/>
      <c r="XDN403" s="1"/>
      <c r="XDO403" s="1"/>
      <c r="XDP403" s="1"/>
      <c r="XDQ403" s="1"/>
      <c r="XDR403" s="1"/>
      <c r="XDS403" s="1"/>
      <c r="XDT403" s="1"/>
      <c r="XDU403" s="1"/>
      <c r="XDV403" s="1"/>
      <c r="XDW403" s="1"/>
      <c r="XDX403" s="1"/>
      <c r="XDY403" s="1"/>
      <c r="XDZ403" s="1"/>
      <c r="XEA403" s="1"/>
      <c r="XEB403" s="1"/>
      <c r="XEC403" s="1"/>
      <c r="XED403" s="1"/>
      <c r="XEE403" s="1"/>
      <c r="XEF403" s="1"/>
      <c r="XEG403" s="1"/>
      <c r="XEH403" s="1"/>
      <c r="XEI403" s="1"/>
      <c r="XEJ403" s="1"/>
      <c r="XEK403" s="1"/>
      <c r="XEL403" s="1"/>
      <c r="XEM403" s="1"/>
      <c r="XEN403" s="1"/>
      <c r="XEO403" s="1"/>
      <c r="XEP403" s="1"/>
      <c r="XEQ403" s="1"/>
      <c r="XER403" s="1"/>
      <c r="XES403" s="1"/>
      <c r="XET403" s="1"/>
      <c r="XEU403" s="1"/>
      <c r="XEV403" s="1"/>
      <c r="XEW403" s="1"/>
      <c r="XEX403" s="1"/>
      <c r="XEY403" s="1"/>
      <c r="XEZ403" s="1"/>
      <c r="XFA403" s="1"/>
      <c r="XFB403" s="1"/>
      <c r="XFC403" s="1"/>
      <c r="XFD403" s="1"/>
    </row>
    <row r="404" spans="1:151 16227:16384" s="11" customFormat="1" ht="20.25" customHeight="1" x14ac:dyDescent="0.25">
      <c r="A404" s="99"/>
      <c r="B404" s="100"/>
      <c r="C404" s="88">
        <v>4</v>
      </c>
      <c r="D404" s="89"/>
      <c r="E404" s="55" t="s">
        <v>218</v>
      </c>
      <c r="F404" s="88">
        <f>34.49*10.764</f>
        <v>371.25036</v>
      </c>
      <c r="G404" s="89"/>
      <c r="H404" s="20">
        <v>0</v>
      </c>
      <c r="I404" s="20">
        <f t="shared" si="120"/>
        <v>575.43805800000007</v>
      </c>
      <c r="J404" s="1"/>
      <c r="K404" s="1"/>
      <c r="L404" s="1"/>
      <c r="M404" s="1"/>
      <c r="N404" s="1"/>
      <c r="O404" s="1"/>
      <c r="P404" s="1"/>
      <c r="Q404" s="1"/>
      <c r="R404" s="1"/>
      <c r="S404" s="1"/>
      <c r="T404" s="1"/>
      <c r="U404" s="43" t="str">
        <f t="shared" ca="1" si="119"/>
        <v>704,..,2204</v>
      </c>
      <c r="V404" s="43">
        <f t="shared" ref="V404:W404" ca="1" si="122">V403+1</f>
        <v>704</v>
      </c>
      <c r="W404" s="43">
        <f t="shared" ca="1" si="122"/>
        <v>2204</v>
      </c>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WZC404" s="1"/>
      <c r="WZD404" s="1"/>
      <c r="WZE404" s="1"/>
      <c r="WZF404" s="1"/>
      <c r="WZG404" s="1"/>
      <c r="WZH404" s="1"/>
      <c r="WZI404" s="1"/>
      <c r="WZJ404" s="1"/>
      <c r="WZK404" s="1"/>
      <c r="WZL404" s="1"/>
      <c r="WZM404" s="1"/>
      <c r="WZN404" s="1"/>
      <c r="WZO404" s="1"/>
      <c r="WZP404" s="1"/>
      <c r="WZQ404" s="1"/>
      <c r="WZR404" s="1"/>
      <c r="WZS404" s="1"/>
      <c r="WZT404" s="1"/>
      <c r="WZU404" s="1"/>
      <c r="WZV404" s="1"/>
      <c r="WZW404" s="1"/>
      <c r="WZX404" s="1"/>
      <c r="WZY404" s="1"/>
      <c r="WZZ404" s="1"/>
      <c r="XAA404" s="1"/>
      <c r="XAB404" s="1"/>
      <c r="XAC404" s="1"/>
      <c r="XAD404" s="1"/>
      <c r="XAE404" s="1"/>
      <c r="XAF404" s="1"/>
      <c r="XAG404" s="1"/>
      <c r="XAH404" s="1"/>
      <c r="XAI404" s="1"/>
      <c r="XAJ404" s="1"/>
      <c r="XAK404" s="1"/>
      <c r="XAL404" s="1"/>
      <c r="XAM404" s="1"/>
      <c r="XAN404" s="1"/>
      <c r="XAO404" s="1"/>
      <c r="XAP404" s="1"/>
      <c r="XAQ404" s="1"/>
      <c r="XAR404" s="1"/>
      <c r="XAS404" s="1"/>
      <c r="XAT404" s="1"/>
      <c r="XAU404" s="1"/>
      <c r="XAV404" s="1"/>
      <c r="XAW404" s="1"/>
      <c r="XAX404" s="1"/>
      <c r="XAY404" s="1"/>
      <c r="XAZ404" s="1"/>
      <c r="XBA404" s="1"/>
      <c r="XBB404" s="1"/>
      <c r="XBC404" s="1"/>
      <c r="XBD404" s="1"/>
      <c r="XBE404" s="1"/>
      <c r="XBF404" s="1"/>
      <c r="XBG404" s="1"/>
      <c r="XBH404" s="1"/>
      <c r="XBI404" s="1"/>
      <c r="XBJ404" s="1"/>
      <c r="XBK404" s="1"/>
      <c r="XBL404" s="1"/>
      <c r="XBM404" s="1"/>
      <c r="XBN404" s="1"/>
      <c r="XBO404" s="1"/>
      <c r="XBP404" s="1"/>
      <c r="XBQ404" s="1"/>
      <c r="XBR404" s="1"/>
      <c r="XBS404" s="1"/>
      <c r="XBT404" s="1"/>
      <c r="XBU404" s="1"/>
      <c r="XBV404" s="1"/>
      <c r="XBW404" s="1"/>
      <c r="XBX404" s="1"/>
      <c r="XBY404" s="1"/>
      <c r="XBZ404" s="1"/>
      <c r="XCA404" s="1"/>
      <c r="XCB404" s="1"/>
      <c r="XCC404" s="1"/>
      <c r="XCD404" s="1"/>
      <c r="XCE404" s="1"/>
      <c r="XCF404" s="1"/>
      <c r="XCG404" s="1"/>
      <c r="XCH404" s="1"/>
      <c r="XCI404" s="1"/>
      <c r="XCJ404" s="1"/>
      <c r="XCK404" s="1"/>
      <c r="XCL404" s="1"/>
      <c r="XCM404" s="1"/>
      <c r="XCN404" s="1"/>
      <c r="XCO404" s="1"/>
      <c r="XCP404" s="1"/>
      <c r="XCQ404" s="1"/>
      <c r="XCR404" s="1"/>
      <c r="XCS404" s="1"/>
      <c r="XCT404" s="1"/>
      <c r="XCU404" s="1"/>
      <c r="XCV404" s="1"/>
      <c r="XCW404" s="1"/>
      <c r="XCX404" s="1"/>
      <c r="XCY404" s="1"/>
      <c r="XCZ404" s="1"/>
      <c r="XDA404" s="1"/>
      <c r="XDB404" s="1"/>
      <c r="XDC404" s="1"/>
      <c r="XDD404" s="1"/>
      <c r="XDE404" s="1"/>
      <c r="XDF404" s="1"/>
      <c r="XDG404" s="1"/>
      <c r="XDH404" s="1"/>
      <c r="XDI404" s="1"/>
      <c r="XDJ404" s="1"/>
      <c r="XDK404" s="1"/>
      <c r="XDL404" s="1"/>
      <c r="XDM404" s="1"/>
      <c r="XDN404" s="1"/>
      <c r="XDO404" s="1"/>
      <c r="XDP404" s="1"/>
      <c r="XDQ404" s="1"/>
      <c r="XDR404" s="1"/>
      <c r="XDS404" s="1"/>
      <c r="XDT404" s="1"/>
      <c r="XDU404" s="1"/>
      <c r="XDV404" s="1"/>
      <c r="XDW404" s="1"/>
      <c r="XDX404" s="1"/>
      <c r="XDY404" s="1"/>
      <c r="XDZ404" s="1"/>
      <c r="XEA404" s="1"/>
      <c r="XEB404" s="1"/>
      <c r="XEC404" s="1"/>
      <c r="XED404" s="1"/>
      <c r="XEE404" s="1"/>
      <c r="XEF404" s="1"/>
      <c r="XEG404" s="1"/>
      <c r="XEH404" s="1"/>
      <c r="XEI404" s="1"/>
      <c r="XEJ404" s="1"/>
      <c r="XEK404" s="1"/>
      <c r="XEL404" s="1"/>
      <c r="XEM404" s="1"/>
      <c r="XEN404" s="1"/>
      <c r="XEO404" s="1"/>
      <c r="XEP404" s="1"/>
      <c r="XEQ404" s="1"/>
      <c r="XER404" s="1"/>
      <c r="XES404" s="1"/>
      <c r="XET404" s="1"/>
      <c r="XEU404" s="1"/>
      <c r="XEV404" s="1"/>
      <c r="XEW404" s="1"/>
      <c r="XEX404" s="1"/>
      <c r="XEY404" s="1"/>
      <c r="XEZ404" s="1"/>
      <c r="XFA404" s="1"/>
      <c r="XFB404" s="1"/>
      <c r="XFC404" s="1"/>
      <c r="XFD404" s="1"/>
    </row>
    <row r="405" spans="1:151 16227:16384" s="11" customFormat="1" ht="20.25" customHeight="1" x14ac:dyDescent="0.25">
      <c r="A405" s="99"/>
      <c r="B405" s="100"/>
      <c r="C405" s="88">
        <v>5</v>
      </c>
      <c r="D405" s="89"/>
      <c r="E405" s="55" t="s">
        <v>228</v>
      </c>
      <c r="F405" s="88">
        <f>61.24*10.764</f>
        <v>659.18736000000001</v>
      </c>
      <c r="G405" s="89"/>
      <c r="H405" s="20">
        <v>0</v>
      </c>
      <c r="I405" s="20">
        <f t="shared" si="120"/>
        <v>1021.740408</v>
      </c>
      <c r="J405" s="1"/>
      <c r="K405" s="1"/>
      <c r="L405" s="1"/>
      <c r="M405" s="1"/>
      <c r="N405" s="1"/>
      <c r="O405" s="1"/>
      <c r="P405" s="1"/>
      <c r="Q405" s="1"/>
      <c r="R405" s="1"/>
      <c r="S405" s="1"/>
      <c r="T405" s="1"/>
      <c r="U405" s="43" t="str">
        <f t="shared" ca="1" si="119"/>
        <v>705,..,2205</v>
      </c>
      <c r="V405" s="43">
        <f t="shared" ref="V405:W405" ca="1" si="123">V404+1</f>
        <v>705</v>
      </c>
      <c r="W405" s="43">
        <f t="shared" ca="1" si="123"/>
        <v>2205</v>
      </c>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WZC405" s="1"/>
      <c r="WZD405" s="1"/>
      <c r="WZE405" s="1"/>
      <c r="WZF405" s="1"/>
      <c r="WZG405" s="1"/>
      <c r="WZH405" s="1"/>
      <c r="WZI405" s="1"/>
      <c r="WZJ405" s="1"/>
      <c r="WZK405" s="1"/>
      <c r="WZL405" s="1"/>
      <c r="WZM405" s="1"/>
      <c r="WZN405" s="1"/>
      <c r="WZO405" s="1"/>
      <c r="WZP405" s="1"/>
      <c r="WZQ405" s="1"/>
      <c r="WZR405" s="1"/>
      <c r="WZS405" s="1"/>
      <c r="WZT405" s="1"/>
      <c r="WZU405" s="1"/>
      <c r="WZV405" s="1"/>
      <c r="WZW405" s="1"/>
      <c r="WZX405" s="1"/>
      <c r="WZY405" s="1"/>
      <c r="WZZ405" s="1"/>
      <c r="XAA405" s="1"/>
      <c r="XAB405" s="1"/>
      <c r="XAC405" s="1"/>
      <c r="XAD405" s="1"/>
      <c r="XAE405" s="1"/>
      <c r="XAF405" s="1"/>
      <c r="XAG405" s="1"/>
      <c r="XAH405" s="1"/>
      <c r="XAI405" s="1"/>
      <c r="XAJ405" s="1"/>
      <c r="XAK405" s="1"/>
      <c r="XAL405" s="1"/>
      <c r="XAM405" s="1"/>
      <c r="XAN405" s="1"/>
      <c r="XAO405" s="1"/>
      <c r="XAP405" s="1"/>
      <c r="XAQ405" s="1"/>
      <c r="XAR405" s="1"/>
      <c r="XAS405" s="1"/>
      <c r="XAT405" s="1"/>
      <c r="XAU405" s="1"/>
      <c r="XAV405" s="1"/>
      <c r="XAW405" s="1"/>
      <c r="XAX405" s="1"/>
      <c r="XAY405" s="1"/>
      <c r="XAZ405" s="1"/>
      <c r="XBA405" s="1"/>
      <c r="XBB405" s="1"/>
      <c r="XBC405" s="1"/>
      <c r="XBD405" s="1"/>
      <c r="XBE405" s="1"/>
      <c r="XBF405" s="1"/>
      <c r="XBG405" s="1"/>
      <c r="XBH405" s="1"/>
      <c r="XBI405" s="1"/>
      <c r="XBJ405" s="1"/>
      <c r="XBK405" s="1"/>
      <c r="XBL405" s="1"/>
      <c r="XBM405" s="1"/>
      <c r="XBN405" s="1"/>
      <c r="XBO405" s="1"/>
      <c r="XBP405" s="1"/>
      <c r="XBQ405" s="1"/>
      <c r="XBR405" s="1"/>
      <c r="XBS405" s="1"/>
      <c r="XBT405" s="1"/>
      <c r="XBU405" s="1"/>
      <c r="XBV405" s="1"/>
      <c r="XBW405" s="1"/>
      <c r="XBX405" s="1"/>
      <c r="XBY405" s="1"/>
      <c r="XBZ405" s="1"/>
      <c r="XCA405" s="1"/>
      <c r="XCB405" s="1"/>
      <c r="XCC405" s="1"/>
      <c r="XCD405" s="1"/>
      <c r="XCE405" s="1"/>
      <c r="XCF405" s="1"/>
      <c r="XCG405" s="1"/>
      <c r="XCH405" s="1"/>
      <c r="XCI405" s="1"/>
      <c r="XCJ405" s="1"/>
      <c r="XCK405" s="1"/>
      <c r="XCL405" s="1"/>
      <c r="XCM405" s="1"/>
      <c r="XCN405" s="1"/>
      <c r="XCO405" s="1"/>
      <c r="XCP405" s="1"/>
      <c r="XCQ405" s="1"/>
      <c r="XCR405" s="1"/>
      <c r="XCS405" s="1"/>
      <c r="XCT405" s="1"/>
      <c r="XCU405" s="1"/>
      <c r="XCV405" s="1"/>
      <c r="XCW405" s="1"/>
      <c r="XCX405" s="1"/>
      <c r="XCY405" s="1"/>
      <c r="XCZ405" s="1"/>
      <c r="XDA405" s="1"/>
      <c r="XDB405" s="1"/>
      <c r="XDC405" s="1"/>
      <c r="XDD405" s="1"/>
      <c r="XDE405" s="1"/>
      <c r="XDF405" s="1"/>
      <c r="XDG405" s="1"/>
      <c r="XDH405" s="1"/>
      <c r="XDI405" s="1"/>
      <c r="XDJ405" s="1"/>
      <c r="XDK405" s="1"/>
      <c r="XDL405" s="1"/>
      <c r="XDM405" s="1"/>
      <c r="XDN405" s="1"/>
      <c r="XDO405" s="1"/>
      <c r="XDP405" s="1"/>
      <c r="XDQ405" s="1"/>
      <c r="XDR405" s="1"/>
      <c r="XDS405" s="1"/>
      <c r="XDT405" s="1"/>
      <c r="XDU405" s="1"/>
      <c r="XDV405" s="1"/>
      <c r="XDW405" s="1"/>
      <c r="XDX405" s="1"/>
      <c r="XDY405" s="1"/>
      <c r="XDZ405" s="1"/>
      <c r="XEA405" s="1"/>
      <c r="XEB405" s="1"/>
      <c r="XEC405" s="1"/>
      <c r="XED405" s="1"/>
      <c r="XEE405" s="1"/>
      <c r="XEF405" s="1"/>
      <c r="XEG405" s="1"/>
      <c r="XEH405" s="1"/>
      <c r="XEI405" s="1"/>
      <c r="XEJ405" s="1"/>
      <c r="XEK405" s="1"/>
      <c r="XEL405" s="1"/>
      <c r="XEM405" s="1"/>
      <c r="XEN405" s="1"/>
      <c r="XEO405" s="1"/>
      <c r="XEP405" s="1"/>
      <c r="XEQ405" s="1"/>
      <c r="XER405" s="1"/>
      <c r="XES405" s="1"/>
      <c r="XET405" s="1"/>
      <c r="XEU405" s="1"/>
      <c r="XEV405" s="1"/>
      <c r="XEW405" s="1"/>
      <c r="XEX405" s="1"/>
      <c r="XEY405" s="1"/>
      <c r="XEZ405" s="1"/>
      <c r="XFA405" s="1"/>
      <c r="XFB405" s="1"/>
      <c r="XFC405" s="1"/>
      <c r="XFD405" s="1"/>
    </row>
    <row r="406" spans="1:151 16227:16384" s="11" customFormat="1" ht="20.25" customHeight="1" x14ac:dyDescent="0.25">
      <c r="A406" s="99"/>
      <c r="B406" s="100"/>
      <c r="C406" s="88">
        <v>6</v>
      </c>
      <c r="D406" s="89"/>
      <c r="E406" s="55" t="s">
        <v>218</v>
      </c>
      <c r="F406" s="88">
        <f>34.49*10.764</f>
        <v>371.25036</v>
      </c>
      <c r="G406" s="89"/>
      <c r="H406" s="20">
        <v>0</v>
      </c>
      <c r="I406" s="20">
        <f t="shared" si="120"/>
        <v>575.43805800000007</v>
      </c>
      <c r="J406" s="1"/>
      <c r="K406" s="1"/>
      <c r="L406" s="1"/>
      <c r="M406" s="1"/>
      <c r="N406" s="1"/>
      <c r="O406" s="1"/>
      <c r="P406" s="1"/>
      <c r="Q406" s="1"/>
      <c r="R406" s="1"/>
      <c r="S406" s="1"/>
      <c r="T406" s="1"/>
      <c r="U406" s="43" t="str">
        <f t="shared" ca="1" si="119"/>
        <v>706,..,2206</v>
      </c>
      <c r="V406" s="43">
        <f t="shared" ref="V406:W406" ca="1" si="124">V405+1</f>
        <v>706</v>
      </c>
      <c r="W406" s="43">
        <f t="shared" ca="1" si="124"/>
        <v>2206</v>
      </c>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WZC406" s="1"/>
      <c r="WZD406" s="1"/>
      <c r="WZE406" s="1"/>
      <c r="WZF406" s="1"/>
      <c r="WZG406" s="1"/>
      <c r="WZH406" s="1"/>
      <c r="WZI406" s="1"/>
      <c r="WZJ406" s="1"/>
      <c r="WZK406" s="1"/>
      <c r="WZL406" s="1"/>
      <c r="WZM406" s="1"/>
      <c r="WZN406" s="1"/>
      <c r="WZO406" s="1"/>
      <c r="WZP406" s="1"/>
      <c r="WZQ406" s="1"/>
      <c r="WZR406" s="1"/>
      <c r="WZS406" s="1"/>
      <c r="WZT406" s="1"/>
      <c r="WZU406" s="1"/>
      <c r="WZV406" s="1"/>
      <c r="WZW406" s="1"/>
      <c r="WZX406" s="1"/>
      <c r="WZY406" s="1"/>
      <c r="WZZ406" s="1"/>
      <c r="XAA406" s="1"/>
      <c r="XAB406" s="1"/>
      <c r="XAC406" s="1"/>
      <c r="XAD406" s="1"/>
      <c r="XAE406" s="1"/>
      <c r="XAF406" s="1"/>
      <c r="XAG406" s="1"/>
      <c r="XAH406" s="1"/>
      <c r="XAI406" s="1"/>
      <c r="XAJ406" s="1"/>
      <c r="XAK406" s="1"/>
      <c r="XAL406" s="1"/>
      <c r="XAM406" s="1"/>
      <c r="XAN406" s="1"/>
      <c r="XAO406" s="1"/>
      <c r="XAP406" s="1"/>
      <c r="XAQ406" s="1"/>
      <c r="XAR406" s="1"/>
      <c r="XAS406" s="1"/>
      <c r="XAT406" s="1"/>
      <c r="XAU406" s="1"/>
      <c r="XAV406" s="1"/>
      <c r="XAW406" s="1"/>
      <c r="XAX406" s="1"/>
      <c r="XAY406" s="1"/>
      <c r="XAZ406" s="1"/>
      <c r="XBA406" s="1"/>
      <c r="XBB406" s="1"/>
      <c r="XBC406" s="1"/>
      <c r="XBD406" s="1"/>
      <c r="XBE406" s="1"/>
      <c r="XBF406" s="1"/>
      <c r="XBG406" s="1"/>
      <c r="XBH406" s="1"/>
      <c r="XBI406" s="1"/>
      <c r="XBJ406" s="1"/>
      <c r="XBK406" s="1"/>
      <c r="XBL406" s="1"/>
      <c r="XBM406" s="1"/>
      <c r="XBN406" s="1"/>
      <c r="XBO406" s="1"/>
      <c r="XBP406" s="1"/>
      <c r="XBQ406" s="1"/>
      <c r="XBR406" s="1"/>
      <c r="XBS406" s="1"/>
      <c r="XBT406" s="1"/>
      <c r="XBU406" s="1"/>
      <c r="XBV406" s="1"/>
      <c r="XBW406" s="1"/>
      <c r="XBX406" s="1"/>
      <c r="XBY406" s="1"/>
      <c r="XBZ406" s="1"/>
      <c r="XCA406" s="1"/>
      <c r="XCB406" s="1"/>
      <c r="XCC406" s="1"/>
      <c r="XCD406" s="1"/>
      <c r="XCE406" s="1"/>
      <c r="XCF406" s="1"/>
      <c r="XCG406" s="1"/>
      <c r="XCH406" s="1"/>
      <c r="XCI406" s="1"/>
      <c r="XCJ406" s="1"/>
      <c r="XCK406" s="1"/>
      <c r="XCL406" s="1"/>
      <c r="XCM406" s="1"/>
      <c r="XCN406" s="1"/>
      <c r="XCO406" s="1"/>
      <c r="XCP406" s="1"/>
      <c r="XCQ406" s="1"/>
      <c r="XCR406" s="1"/>
      <c r="XCS406" s="1"/>
      <c r="XCT406" s="1"/>
      <c r="XCU406" s="1"/>
      <c r="XCV406" s="1"/>
      <c r="XCW406" s="1"/>
      <c r="XCX406" s="1"/>
      <c r="XCY406" s="1"/>
      <c r="XCZ406" s="1"/>
      <c r="XDA406" s="1"/>
      <c r="XDB406" s="1"/>
      <c r="XDC406" s="1"/>
      <c r="XDD406" s="1"/>
      <c r="XDE406" s="1"/>
      <c r="XDF406" s="1"/>
      <c r="XDG406" s="1"/>
      <c r="XDH406" s="1"/>
      <c r="XDI406" s="1"/>
      <c r="XDJ406" s="1"/>
      <c r="XDK406" s="1"/>
      <c r="XDL406" s="1"/>
      <c r="XDM406" s="1"/>
      <c r="XDN406" s="1"/>
      <c r="XDO406" s="1"/>
      <c r="XDP406" s="1"/>
      <c r="XDQ406" s="1"/>
      <c r="XDR406" s="1"/>
      <c r="XDS406" s="1"/>
      <c r="XDT406" s="1"/>
      <c r="XDU406" s="1"/>
      <c r="XDV406" s="1"/>
      <c r="XDW406" s="1"/>
      <c r="XDX406" s="1"/>
      <c r="XDY406" s="1"/>
      <c r="XDZ406" s="1"/>
      <c r="XEA406" s="1"/>
      <c r="XEB406" s="1"/>
      <c r="XEC406" s="1"/>
      <c r="XED406" s="1"/>
      <c r="XEE406" s="1"/>
      <c r="XEF406" s="1"/>
      <c r="XEG406" s="1"/>
      <c r="XEH406" s="1"/>
      <c r="XEI406" s="1"/>
      <c r="XEJ406" s="1"/>
      <c r="XEK406" s="1"/>
      <c r="XEL406" s="1"/>
      <c r="XEM406" s="1"/>
      <c r="XEN406" s="1"/>
      <c r="XEO406" s="1"/>
      <c r="XEP406" s="1"/>
      <c r="XEQ406" s="1"/>
      <c r="XER406" s="1"/>
      <c r="XES406" s="1"/>
      <c r="XET406" s="1"/>
      <c r="XEU406" s="1"/>
      <c r="XEV406" s="1"/>
      <c r="XEW406" s="1"/>
      <c r="XEX406" s="1"/>
      <c r="XEY406" s="1"/>
      <c r="XEZ406" s="1"/>
      <c r="XFA406" s="1"/>
      <c r="XFB406" s="1"/>
      <c r="XFC406" s="1"/>
      <c r="XFD406" s="1"/>
    </row>
    <row r="407" spans="1:151 16227:16384" s="11" customFormat="1" ht="20.25" customHeight="1" x14ac:dyDescent="0.25">
      <c r="A407" s="99"/>
      <c r="B407" s="100"/>
      <c r="C407" s="88">
        <v>7</v>
      </c>
      <c r="D407" s="89"/>
      <c r="E407" s="55" t="s">
        <v>228</v>
      </c>
      <c r="F407" s="88">
        <f>46.77*10.764</f>
        <v>503.43227999999999</v>
      </c>
      <c r="G407" s="89"/>
      <c r="H407" s="20">
        <v>0</v>
      </c>
      <c r="I407" s="20">
        <f t="shared" si="120"/>
        <v>780.32003399999996</v>
      </c>
      <c r="J407" s="1"/>
      <c r="K407" s="1"/>
      <c r="L407" s="1"/>
      <c r="M407" s="1"/>
      <c r="N407" s="1"/>
      <c r="O407" s="1"/>
      <c r="P407" s="1"/>
      <c r="Q407" s="1"/>
      <c r="R407" s="1"/>
      <c r="S407" s="1"/>
      <c r="T407" s="1"/>
      <c r="U407" s="43" t="str">
        <f t="shared" ca="1" si="119"/>
        <v>707,..,2207</v>
      </c>
      <c r="V407" s="43">
        <f t="shared" ref="V407:W407" ca="1" si="125">V406+1</f>
        <v>707</v>
      </c>
      <c r="W407" s="43">
        <f t="shared" ca="1" si="125"/>
        <v>2207</v>
      </c>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WZC407" s="1"/>
      <c r="WZD407" s="1"/>
      <c r="WZE407" s="1"/>
      <c r="WZF407" s="1"/>
      <c r="WZG407" s="1"/>
      <c r="WZH407" s="1"/>
      <c r="WZI407" s="1"/>
      <c r="WZJ407" s="1"/>
      <c r="WZK407" s="1"/>
      <c r="WZL407" s="1"/>
      <c r="WZM407" s="1"/>
      <c r="WZN407" s="1"/>
      <c r="WZO407" s="1"/>
      <c r="WZP407" s="1"/>
      <c r="WZQ407" s="1"/>
      <c r="WZR407" s="1"/>
      <c r="WZS407" s="1"/>
      <c r="WZT407" s="1"/>
      <c r="WZU407" s="1"/>
      <c r="WZV407" s="1"/>
      <c r="WZW407" s="1"/>
      <c r="WZX407" s="1"/>
      <c r="WZY407" s="1"/>
      <c r="WZZ407" s="1"/>
      <c r="XAA407" s="1"/>
      <c r="XAB407" s="1"/>
      <c r="XAC407" s="1"/>
      <c r="XAD407" s="1"/>
      <c r="XAE407" s="1"/>
      <c r="XAF407" s="1"/>
      <c r="XAG407" s="1"/>
      <c r="XAH407" s="1"/>
      <c r="XAI407" s="1"/>
      <c r="XAJ407" s="1"/>
      <c r="XAK407" s="1"/>
      <c r="XAL407" s="1"/>
      <c r="XAM407" s="1"/>
      <c r="XAN407" s="1"/>
      <c r="XAO407" s="1"/>
      <c r="XAP407" s="1"/>
      <c r="XAQ407" s="1"/>
      <c r="XAR407" s="1"/>
      <c r="XAS407" s="1"/>
      <c r="XAT407" s="1"/>
      <c r="XAU407" s="1"/>
      <c r="XAV407" s="1"/>
      <c r="XAW407" s="1"/>
      <c r="XAX407" s="1"/>
      <c r="XAY407" s="1"/>
      <c r="XAZ407" s="1"/>
      <c r="XBA407" s="1"/>
      <c r="XBB407" s="1"/>
      <c r="XBC407" s="1"/>
      <c r="XBD407" s="1"/>
      <c r="XBE407" s="1"/>
      <c r="XBF407" s="1"/>
      <c r="XBG407" s="1"/>
      <c r="XBH407" s="1"/>
      <c r="XBI407" s="1"/>
      <c r="XBJ407" s="1"/>
      <c r="XBK407" s="1"/>
      <c r="XBL407" s="1"/>
      <c r="XBM407" s="1"/>
      <c r="XBN407" s="1"/>
      <c r="XBO407" s="1"/>
      <c r="XBP407" s="1"/>
      <c r="XBQ407" s="1"/>
      <c r="XBR407" s="1"/>
      <c r="XBS407" s="1"/>
      <c r="XBT407" s="1"/>
      <c r="XBU407" s="1"/>
      <c r="XBV407" s="1"/>
      <c r="XBW407" s="1"/>
      <c r="XBX407" s="1"/>
      <c r="XBY407" s="1"/>
      <c r="XBZ407" s="1"/>
      <c r="XCA407" s="1"/>
      <c r="XCB407" s="1"/>
      <c r="XCC407" s="1"/>
      <c r="XCD407" s="1"/>
      <c r="XCE407" s="1"/>
      <c r="XCF407" s="1"/>
      <c r="XCG407" s="1"/>
      <c r="XCH407" s="1"/>
      <c r="XCI407" s="1"/>
      <c r="XCJ407" s="1"/>
      <c r="XCK407" s="1"/>
      <c r="XCL407" s="1"/>
      <c r="XCM407" s="1"/>
      <c r="XCN407" s="1"/>
      <c r="XCO407" s="1"/>
      <c r="XCP407" s="1"/>
      <c r="XCQ407" s="1"/>
      <c r="XCR407" s="1"/>
      <c r="XCS407" s="1"/>
      <c r="XCT407" s="1"/>
      <c r="XCU407" s="1"/>
      <c r="XCV407" s="1"/>
      <c r="XCW407" s="1"/>
      <c r="XCX407" s="1"/>
      <c r="XCY407" s="1"/>
      <c r="XCZ407" s="1"/>
      <c r="XDA407" s="1"/>
      <c r="XDB407" s="1"/>
      <c r="XDC407" s="1"/>
      <c r="XDD407" s="1"/>
      <c r="XDE407" s="1"/>
      <c r="XDF407" s="1"/>
      <c r="XDG407" s="1"/>
      <c r="XDH407" s="1"/>
      <c r="XDI407" s="1"/>
      <c r="XDJ407" s="1"/>
      <c r="XDK407" s="1"/>
      <c r="XDL407" s="1"/>
      <c r="XDM407" s="1"/>
      <c r="XDN407" s="1"/>
      <c r="XDO407" s="1"/>
      <c r="XDP407" s="1"/>
      <c r="XDQ407" s="1"/>
      <c r="XDR407" s="1"/>
      <c r="XDS407" s="1"/>
      <c r="XDT407" s="1"/>
      <c r="XDU407" s="1"/>
      <c r="XDV407" s="1"/>
      <c r="XDW407" s="1"/>
      <c r="XDX407" s="1"/>
      <c r="XDY407" s="1"/>
      <c r="XDZ407" s="1"/>
      <c r="XEA407" s="1"/>
      <c r="XEB407" s="1"/>
      <c r="XEC407" s="1"/>
      <c r="XED407" s="1"/>
      <c r="XEE407" s="1"/>
      <c r="XEF407" s="1"/>
      <c r="XEG407" s="1"/>
      <c r="XEH407" s="1"/>
      <c r="XEI407" s="1"/>
      <c r="XEJ407" s="1"/>
      <c r="XEK407" s="1"/>
      <c r="XEL407" s="1"/>
      <c r="XEM407" s="1"/>
      <c r="XEN407" s="1"/>
      <c r="XEO407" s="1"/>
      <c r="XEP407" s="1"/>
      <c r="XEQ407" s="1"/>
      <c r="XER407" s="1"/>
      <c r="XES407" s="1"/>
      <c r="XET407" s="1"/>
      <c r="XEU407" s="1"/>
      <c r="XEV407" s="1"/>
      <c r="XEW407" s="1"/>
      <c r="XEX407" s="1"/>
      <c r="XEY407" s="1"/>
      <c r="XEZ407" s="1"/>
      <c r="XFA407" s="1"/>
      <c r="XFB407" s="1"/>
      <c r="XFC407" s="1"/>
      <c r="XFD407" s="1"/>
    </row>
    <row r="408" spans="1:151 16227:16384" s="11" customFormat="1" ht="20.25" customHeight="1" x14ac:dyDescent="0.25">
      <c r="A408" s="99"/>
      <c r="B408" s="100"/>
      <c r="C408" s="88">
        <v>8</v>
      </c>
      <c r="D408" s="89"/>
      <c r="E408" s="55" t="s">
        <v>228</v>
      </c>
      <c r="F408" s="88">
        <f>46.77*10.764</f>
        <v>503.43227999999999</v>
      </c>
      <c r="G408" s="89"/>
      <c r="H408" s="20">
        <v>0</v>
      </c>
      <c r="I408" s="20">
        <f t="shared" si="120"/>
        <v>780.32003399999996</v>
      </c>
      <c r="J408" s="1"/>
      <c r="K408" s="1"/>
      <c r="L408" s="1"/>
      <c r="M408" s="1"/>
      <c r="N408" s="1"/>
      <c r="O408" s="1"/>
      <c r="P408" s="1"/>
      <c r="Q408" s="1"/>
      <c r="R408" s="1"/>
      <c r="S408" s="1"/>
      <c r="T408" s="1"/>
      <c r="U408" s="43" t="str">
        <f t="shared" ca="1" si="119"/>
        <v>708,..,2208</v>
      </c>
      <c r="V408" s="43">
        <f t="shared" ref="V408:W408" ca="1" si="126">V407+1</f>
        <v>708</v>
      </c>
      <c r="W408" s="43">
        <f t="shared" ca="1" si="126"/>
        <v>2208</v>
      </c>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WZC408" s="1"/>
      <c r="WZD408" s="1"/>
      <c r="WZE408" s="1"/>
      <c r="WZF408" s="1"/>
      <c r="WZG408" s="1"/>
      <c r="WZH408" s="1"/>
      <c r="WZI408" s="1"/>
      <c r="WZJ408" s="1"/>
      <c r="WZK408" s="1"/>
      <c r="WZL408" s="1"/>
      <c r="WZM408" s="1"/>
      <c r="WZN408" s="1"/>
      <c r="WZO408" s="1"/>
      <c r="WZP408" s="1"/>
      <c r="WZQ408" s="1"/>
      <c r="WZR408" s="1"/>
      <c r="WZS408" s="1"/>
      <c r="WZT408" s="1"/>
      <c r="WZU408" s="1"/>
      <c r="WZV408" s="1"/>
      <c r="WZW408" s="1"/>
      <c r="WZX408" s="1"/>
      <c r="WZY408" s="1"/>
      <c r="WZZ408" s="1"/>
      <c r="XAA408" s="1"/>
      <c r="XAB408" s="1"/>
      <c r="XAC408" s="1"/>
      <c r="XAD408" s="1"/>
      <c r="XAE408" s="1"/>
      <c r="XAF408" s="1"/>
      <c r="XAG408" s="1"/>
      <c r="XAH408" s="1"/>
      <c r="XAI408" s="1"/>
      <c r="XAJ408" s="1"/>
      <c r="XAK408" s="1"/>
      <c r="XAL408" s="1"/>
      <c r="XAM408" s="1"/>
      <c r="XAN408" s="1"/>
      <c r="XAO408" s="1"/>
      <c r="XAP408" s="1"/>
      <c r="XAQ408" s="1"/>
      <c r="XAR408" s="1"/>
      <c r="XAS408" s="1"/>
      <c r="XAT408" s="1"/>
      <c r="XAU408" s="1"/>
      <c r="XAV408" s="1"/>
      <c r="XAW408" s="1"/>
      <c r="XAX408" s="1"/>
      <c r="XAY408" s="1"/>
      <c r="XAZ408" s="1"/>
      <c r="XBA408" s="1"/>
      <c r="XBB408" s="1"/>
      <c r="XBC408" s="1"/>
      <c r="XBD408" s="1"/>
      <c r="XBE408" s="1"/>
      <c r="XBF408" s="1"/>
      <c r="XBG408" s="1"/>
      <c r="XBH408" s="1"/>
      <c r="XBI408" s="1"/>
      <c r="XBJ408" s="1"/>
      <c r="XBK408" s="1"/>
      <c r="XBL408" s="1"/>
      <c r="XBM408" s="1"/>
      <c r="XBN408" s="1"/>
      <c r="XBO408" s="1"/>
      <c r="XBP408" s="1"/>
      <c r="XBQ408" s="1"/>
      <c r="XBR408" s="1"/>
      <c r="XBS408" s="1"/>
      <c r="XBT408" s="1"/>
      <c r="XBU408" s="1"/>
      <c r="XBV408" s="1"/>
      <c r="XBW408" s="1"/>
      <c r="XBX408" s="1"/>
      <c r="XBY408" s="1"/>
      <c r="XBZ408" s="1"/>
      <c r="XCA408" s="1"/>
      <c r="XCB408" s="1"/>
      <c r="XCC408" s="1"/>
      <c r="XCD408" s="1"/>
      <c r="XCE408" s="1"/>
      <c r="XCF408" s="1"/>
      <c r="XCG408" s="1"/>
      <c r="XCH408" s="1"/>
      <c r="XCI408" s="1"/>
      <c r="XCJ408" s="1"/>
      <c r="XCK408" s="1"/>
      <c r="XCL408" s="1"/>
      <c r="XCM408" s="1"/>
      <c r="XCN408" s="1"/>
      <c r="XCO408" s="1"/>
      <c r="XCP408" s="1"/>
      <c r="XCQ408" s="1"/>
      <c r="XCR408" s="1"/>
      <c r="XCS408" s="1"/>
      <c r="XCT408" s="1"/>
      <c r="XCU408" s="1"/>
      <c r="XCV408" s="1"/>
      <c r="XCW408" s="1"/>
      <c r="XCX408" s="1"/>
      <c r="XCY408" s="1"/>
      <c r="XCZ408" s="1"/>
      <c r="XDA408" s="1"/>
      <c r="XDB408" s="1"/>
      <c r="XDC408" s="1"/>
      <c r="XDD408" s="1"/>
      <c r="XDE408" s="1"/>
      <c r="XDF408" s="1"/>
      <c r="XDG408" s="1"/>
      <c r="XDH408" s="1"/>
      <c r="XDI408" s="1"/>
      <c r="XDJ408" s="1"/>
      <c r="XDK408" s="1"/>
      <c r="XDL408" s="1"/>
      <c r="XDM408" s="1"/>
      <c r="XDN408" s="1"/>
      <c r="XDO408" s="1"/>
      <c r="XDP408" s="1"/>
      <c r="XDQ408" s="1"/>
      <c r="XDR408" s="1"/>
      <c r="XDS408" s="1"/>
      <c r="XDT408" s="1"/>
      <c r="XDU408" s="1"/>
      <c r="XDV408" s="1"/>
      <c r="XDW408" s="1"/>
      <c r="XDX408" s="1"/>
      <c r="XDY408" s="1"/>
      <c r="XDZ408" s="1"/>
      <c r="XEA408" s="1"/>
      <c r="XEB408" s="1"/>
      <c r="XEC408" s="1"/>
      <c r="XED408" s="1"/>
      <c r="XEE408" s="1"/>
      <c r="XEF408" s="1"/>
      <c r="XEG408" s="1"/>
      <c r="XEH408" s="1"/>
      <c r="XEI408" s="1"/>
      <c r="XEJ408" s="1"/>
      <c r="XEK408" s="1"/>
      <c r="XEL408" s="1"/>
      <c r="XEM408" s="1"/>
      <c r="XEN408" s="1"/>
      <c r="XEO408" s="1"/>
      <c r="XEP408" s="1"/>
      <c r="XEQ408" s="1"/>
      <c r="XER408" s="1"/>
      <c r="XES408" s="1"/>
      <c r="XET408" s="1"/>
      <c r="XEU408" s="1"/>
      <c r="XEV408" s="1"/>
      <c r="XEW408" s="1"/>
      <c r="XEX408" s="1"/>
      <c r="XEY408" s="1"/>
      <c r="XEZ408" s="1"/>
      <c r="XFA408" s="1"/>
      <c r="XFB408" s="1"/>
      <c r="XFC408" s="1"/>
      <c r="XFD408" s="1"/>
    </row>
    <row r="409" spans="1:151 16227:16384" s="11" customFormat="1" ht="20.25" customHeight="1" x14ac:dyDescent="0.25">
      <c r="A409" s="99"/>
      <c r="B409" s="100"/>
      <c r="C409" s="88">
        <v>9</v>
      </c>
      <c r="D409" s="89"/>
      <c r="E409" s="55" t="s">
        <v>218</v>
      </c>
      <c r="F409" s="88">
        <f>34.49*10.764</f>
        <v>371.25036</v>
      </c>
      <c r="G409" s="89"/>
      <c r="H409" s="20">
        <v>0</v>
      </c>
      <c r="I409" s="20">
        <f t="shared" si="120"/>
        <v>575.43805800000007</v>
      </c>
      <c r="J409" s="1"/>
      <c r="K409" s="1"/>
      <c r="L409" s="1"/>
      <c r="M409" s="1"/>
      <c r="N409" s="1"/>
      <c r="O409" s="1"/>
      <c r="P409" s="1"/>
      <c r="Q409" s="1"/>
      <c r="R409" s="1"/>
      <c r="S409" s="1"/>
      <c r="T409" s="1"/>
      <c r="U409" s="43" t="str">
        <f t="shared" ca="1" si="119"/>
        <v>709,..,2209</v>
      </c>
      <c r="V409" s="43">
        <f t="shared" ref="V409:W409" ca="1" si="127">V408+1</f>
        <v>709</v>
      </c>
      <c r="W409" s="43">
        <f t="shared" ca="1" si="127"/>
        <v>2209</v>
      </c>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WZC409" s="1"/>
      <c r="WZD409" s="1"/>
      <c r="WZE409" s="1"/>
      <c r="WZF409" s="1"/>
      <c r="WZG409" s="1"/>
      <c r="WZH409" s="1"/>
      <c r="WZI409" s="1"/>
      <c r="WZJ409" s="1"/>
      <c r="WZK409" s="1"/>
      <c r="WZL409" s="1"/>
      <c r="WZM409" s="1"/>
      <c r="WZN409" s="1"/>
      <c r="WZO409" s="1"/>
      <c r="WZP409" s="1"/>
      <c r="WZQ409" s="1"/>
      <c r="WZR409" s="1"/>
      <c r="WZS409" s="1"/>
      <c r="WZT409" s="1"/>
      <c r="WZU409" s="1"/>
      <c r="WZV409" s="1"/>
      <c r="WZW409" s="1"/>
      <c r="WZX409" s="1"/>
      <c r="WZY409" s="1"/>
      <c r="WZZ409" s="1"/>
      <c r="XAA409" s="1"/>
      <c r="XAB409" s="1"/>
      <c r="XAC409" s="1"/>
      <c r="XAD409" s="1"/>
      <c r="XAE409" s="1"/>
      <c r="XAF409" s="1"/>
      <c r="XAG409" s="1"/>
      <c r="XAH409" s="1"/>
      <c r="XAI409" s="1"/>
      <c r="XAJ409" s="1"/>
      <c r="XAK409" s="1"/>
      <c r="XAL409" s="1"/>
      <c r="XAM409" s="1"/>
      <c r="XAN409" s="1"/>
      <c r="XAO409" s="1"/>
      <c r="XAP409" s="1"/>
      <c r="XAQ409" s="1"/>
      <c r="XAR409" s="1"/>
      <c r="XAS409" s="1"/>
      <c r="XAT409" s="1"/>
      <c r="XAU409" s="1"/>
      <c r="XAV409" s="1"/>
      <c r="XAW409" s="1"/>
      <c r="XAX409" s="1"/>
      <c r="XAY409" s="1"/>
      <c r="XAZ409" s="1"/>
      <c r="XBA409" s="1"/>
      <c r="XBB409" s="1"/>
      <c r="XBC409" s="1"/>
      <c r="XBD409" s="1"/>
      <c r="XBE409" s="1"/>
      <c r="XBF409" s="1"/>
      <c r="XBG409" s="1"/>
      <c r="XBH409" s="1"/>
      <c r="XBI409" s="1"/>
      <c r="XBJ409" s="1"/>
      <c r="XBK409" s="1"/>
      <c r="XBL409" s="1"/>
      <c r="XBM409" s="1"/>
      <c r="XBN409" s="1"/>
      <c r="XBO409" s="1"/>
      <c r="XBP409" s="1"/>
      <c r="XBQ409" s="1"/>
      <c r="XBR409" s="1"/>
      <c r="XBS409" s="1"/>
      <c r="XBT409" s="1"/>
      <c r="XBU409" s="1"/>
      <c r="XBV409" s="1"/>
      <c r="XBW409" s="1"/>
      <c r="XBX409" s="1"/>
      <c r="XBY409" s="1"/>
      <c r="XBZ409" s="1"/>
      <c r="XCA409" s="1"/>
      <c r="XCB409" s="1"/>
      <c r="XCC409" s="1"/>
      <c r="XCD409" s="1"/>
      <c r="XCE409" s="1"/>
      <c r="XCF409" s="1"/>
      <c r="XCG409" s="1"/>
      <c r="XCH409" s="1"/>
      <c r="XCI409" s="1"/>
      <c r="XCJ409" s="1"/>
      <c r="XCK409" s="1"/>
      <c r="XCL409" s="1"/>
      <c r="XCM409" s="1"/>
      <c r="XCN409" s="1"/>
      <c r="XCO409" s="1"/>
      <c r="XCP409" s="1"/>
      <c r="XCQ409" s="1"/>
      <c r="XCR409" s="1"/>
      <c r="XCS409" s="1"/>
      <c r="XCT409" s="1"/>
      <c r="XCU409" s="1"/>
      <c r="XCV409" s="1"/>
      <c r="XCW409" s="1"/>
      <c r="XCX409" s="1"/>
      <c r="XCY409" s="1"/>
      <c r="XCZ409" s="1"/>
      <c r="XDA409" s="1"/>
      <c r="XDB409" s="1"/>
      <c r="XDC409" s="1"/>
      <c r="XDD409" s="1"/>
      <c r="XDE409" s="1"/>
      <c r="XDF409" s="1"/>
      <c r="XDG409" s="1"/>
      <c r="XDH409" s="1"/>
      <c r="XDI409" s="1"/>
      <c r="XDJ409" s="1"/>
      <c r="XDK409" s="1"/>
      <c r="XDL409" s="1"/>
      <c r="XDM409" s="1"/>
      <c r="XDN409" s="1"/>
      <c r="XDO409" s="1"/>
      <c r="XDP409" s="1"/>
      <c r="XDQ409" s="1"/>
      <c r="XDR409" s="1"/>
      <c r="XDS409" s="1"/>
      <c r="XDT409" s="1"/>
      <c r="XDU409" s="1"/>
      <c r="XDV409" s="1"/>
      <c r="XDW409" s="1"/>
      <c r="XDX409" s="1"/>
      <c r="XDY409" s="1"/>
      <c r="XDZ409" s="1"/>
      <c r="XEA409" s="1"/>
      <c r="XEB409" s="1"/>
      <c r="XEC409" s="1"/>
      <c r="XED409" s="1"/>
      <c r="XEE409" s="1"/>
      <c r="XEF409" s="1"/>
      <c r="XEG409" s="1"/>
      <c r="XEH409" s="1"/>
      <c r="XEI409" s="1"/>
      <c r="XEJ409" s="1"/>
      <c r="XEK409" s="1"/>
      <c r="XEL409" s="1"/>
      <c r="XEM409" s="1"/>
      <c r="XEN409" s="1"/>
      <c r="XEO409" s="1"/>
      <c r="XEP409" s="1"/>
      <c r="XEQ409" s="1"/>
      <c r="XER409" s="1"/>
      <c r="XES409" s="1"/>
      <c r="XET409" s="1"/>
      <c r="XEU409" s="1"/>
      <c r="XEV409" s="1"/>
      <c r="XEW409" s="1"/>
      <c r="XEX409" s="1"/>
      <c r="XEY409" s="1"/>
      <c r="XEZ409" s="1"/>
      <c r="XFA409" s="1"/>
      <c r="XFB409" s="1"/>
      <c r="XFC409" s="1"/>
      <c r="XFD409" s="1"/>
    </row>
    <row r="410" spans="1:151 16227:16384" s="11" customFormat="1" ht="20.25" customHeight="1" x14ac:dyDescent="0.25">
      <c r="A410" s="99"/>
      <c r="B410" s="100"/>
      <c r="C410" s="88">
        <v>10</v>
      </c>
      <c r="D410" s="89"/>
      <c r="E410" s="55" t="s">
        <v>218</v>
      </c>
      <c r="F410" s="88">
        <f>41.07*10.764</f>
        <v>442.07747999999998</v>
      </c>
      <c r="G410" s="89"/>
      <c r="H410" s="20">
        <v>0</v>
      </c>
      <c r="I410" s="20">
        <f t="shared" si="120"/>
        <v>685.22009400000002</v>
      </c>
      <c r="J410" s="1"/>
      <c r="K410" s="1"/>
      <c r="L410" s="1"/>
      <c r="M410" s="1"/>
      <c r="N410" s="1"/>
      <c r="O410" s="1"/>
      <c r="P410" s="1"/>
      <c r="Q410" s="1"/>
      <c r="R410" s="1"/>
      <c r="S410" s="1"/>
      <c r="T410" s="1"/>
      <c r="U410" s="43" t="str">
        <f t="shared" ca="1" si="119"/>
        <v>710,..,2210</v>
      </c>
      <c r="V410" s="43">
        <f t="shared" ref="V410:W410" ca="1" si="128">V409+1</f>
        <v>710</v>
      </c>
      <c r="W410" s="43">
        <f t="shared" ca="1" si="128"/>
        <v>2210</v>
      </c>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WZC410" s="1"/>
      <c r="WZD410" s="1"/>
      <c r="WZE410" s="1"/>
      <c r="WZF410" s="1"/>
      <c r="WZG410" s="1"/>
      <c r="WZH410" s="1"/>
      <c r="WZI410" s="1"/>
      <c r="WZJ410" s="1"/>
      <c r="WZK410" s="1"/>
      <c r="WZL410" s="1"/>
      <c r="WZM410" s="1"/>
      <c r="WZN410" s="1"/>
      <c r="WZO410" s="1"/>
      <c r="WZP410" s="1"/>
      <c r="WZQ410" s="1"/>
      <c r="WZR410" s="1"/>
      <c r="WZS410" s="1"/>
      <c r="WZT410" s="1"/>
      <c r="WZU410" s="1"/>
      <c r="WZV410" s="1"/>
      <c r="WZW410" s="1"/>
      <c r="WZX410" s="1"/>
      <c r="WZY410" s="1"/>
      <c r="WZZ410" s="1"/>
      <c r="XAA410" s="1"/>
      <c r="XAB410" s="1"/>
      <c r="XAC410" s="1"/>
      <c r="XAD410" s="1"/>
      <c r="XAE410" s="1"/>
      <c r="XAF410" s="1"/>
      <c r="XAG410" s="1"/>
      <c r="XAH410" s="1"/>
      <c r="XAI410" s="1"/>
      <c r="XAJ410" s="1"/>
      <c r="XAK410" s="1"/>
      <c r="XAL410" s="1"/>
      <c r="XAM410" s="1"/>
      <c r="XAN410" s="1"/>
      <c r="XAO410" s="1"/>
      <c r="XAP410" s="1"/>
      <c r="XAQ410" s="1"/>
      <c r="XAR410" s="1"/>
      <c r="XAS410" s="1"/>
      <c r="XAT410" s="1"/>
      <c r="XAU410" s="1"/>
      <c r="XAV410" s="1"/>
      <c r="XAW410" s="1"/>
      <c r="XAX410" s="1"/>
      <c r="XAY410" s="1"/>
      <c r="XAZ410" s="1"/>
      <c r="XBA410" s="1"/>
      <c r="XBB410" s="1"/>
      <c r="XBC410" s="1"/>
      <c r="XBD410" s="1"/>
      <c r="XBE410" s="1"/>
      <c r="XBF410" s="1"/>
      <c r="XBG410" s="1"/>
      <c r="XBH410" s="1"/>
      <c r="XBI410" s="1"/>
      <c r="XBJ410" s="1"/>
      <c r="XBK410" s="1"/>
      <c r="XBL410" s="1"/>
      <c r="XBM410" s="1"/>
      <c r="XBN410" s="1"/>
      <c r="XBO410" s="1"/>
      <c r="XBP410" s="1"/>
      <c r="XBQ410" s="1"/>
      <c r="XBR410" s="1"/>
      <c r="XBS410" s="1"/>
      <c r="XBT410" s="1"/>
      <c r="XBU410" s="1"/>
      <c r="XBV410" s="1"/>
      <c r="XBW410" s="1"/>
      <c r="XBX410" s="1"/>
      <c r="XBY410" s="1"/>
      <c r="XBZ410" s="1"/>
      <c r="XCA410" s="1"/>
      <c r="XCB410" s="1"/>
      <c r="XCC410" s="1"/>
      <c r="XCD410" s="1"/>
      <c r="XCE410" s="1"/>
      <c r="XCF410" s="1"/>
      <c r="XCG410" s="1"/>
      <c r="XCH410" s="1"/>
      <c r="XCI410" s="1"/>
      <c r="XCJ410" s="1"/>
      <c r="XCK410" s="1"/>
      <c r="XCL410" s="1"/>
      <c r="XCM410" s="1"/>
      <c r="XCN410" s="1"/>
      <c r="XCO410" s="1"/>
      <c r="XCP410" s="1"/>
      <c r="XCQ410" s="1"/>
      <c r="XCR410" s="1"/>
      <c r="XCS410" s="1"/>
      <c r="XCT410" s="1"/>
      <c r="XCU410" s="1"/>
      <c r="XCV410" s="1"/>
      <c r="XCW410" s="1"/>
      <c r="XCX410" s="1"/>
      <c r="XCY410" s="1"/>
      <c r="XCZ410" s="1"/>
      <c r="XDA410" s="1"/>
      <c r="XDB410" s="1"/>
      <c r="XDC410" s="1"/>
      <c r="XDD410" s="1"/>
      <c r="XDE410" s="1"/>
      <c r="XDF410" s="1"/>
      <c r="XDG410" s="1"/>
      <c r="XDH410" s="1"/>
      <c r="XDI410" s="1"/>
      <c r="XDJ410" s="1"/>
      <c r="XDK410" s="1"/>
      <c r="XDL410" s="1"/>
      <c r="XDM410" s="1"/>
      <c r="XDN410" s="1"/>
      <c r="XDO410" s="1"/>
      <c r="XDP410" s="1"/>
      <c r="XDQ410" s="1"/>
      <c r="XDR410" s="1"/>
      <c r="XDS410" s="1"/>
      <c r="XDT410" s="1"/>
      <c r="XDU410" s="1"/>
      <c r="XDV410" s="1"/>
      <c r="XDW410" s="1"/>
      <c r="XDX410" s="1"/>
      <c r="XDY410" s="1"/>
      <c r="XDZ410" s="1"/>
      <c r="XEA410" s="1"/>
      <c r="XEB410" s="1"/>
      <c r="XEC410" s="1"/>
      <c r="XED410" s="1"/>
      <c r="XEE410" s="1"/>
      <c r="XEF410" s="1"/>
      <c r="XEG410" s="1"/>
      <c r="XEH410" s="1"/>
      <c r="XEI410" s="1"/>
      <c r="XEJ410" s="1"/>
      <c r="XEK410" s="1"/>
      <c r="XEL410" s="1"/>
      <c r="XEM410" s="1"/>
      <c r="XEN410" s="1"/>
      <c r="XEO410" s="1"/>
      <c r="XEP410" s="1"/>
      <c r="XEQ410" s="1"/>
      <c r="XER410" s="1"/>
      <c r="XES410" s="1"/>
      <c r="XET410" s="1"/>
      <c r="XEU410" s="1"/>
      <c r="XEV410" s="1"/>
      <c r="XEW410" s="1"/>
      <c r="XEX410" s="1"/>
      <c r="XEY410" s="1"/>
      <c r="XEZ410" s="1"/>
      <c r="XFA410" s="1"/>
      <c r="XFB410" s="1"/>
      <c r="XFC410" s="1"/>
      <c r="XFD410" s="1"/>
    </row>
    <row r="411" spans="1:151 16227:16384" s="11" customFormat="1" ht="20.25" customHeight="1" x14ac:dyDescent="0.25">
      <c r="A411" s="101"/>
      <c r="B411" s="102"/>
      <c r="C411" s="88">
        <v>11</v>
      </c>
      <c r="D411" s="89"/>
      <c r="E411" s="55" t="s">
        <v>218</v>
      </c>
      <c r="F411" s="88">
        <f>41.07*10.764</f>
        <v>442.07747999999998</v>
      </c>
      <c r="G411" s="89"/>
      <c r="H411" s="20">
        <v>0</v>
      </c>
      <c r="I411" s="20">
        <f t="shared" si="120"/>
        <v>685.22009400000002</v>
      </c>
      <c r="J411" s="1"/>
      <c r="K411" s="1"/>
      <c r="L411" s="1"/>
      <c r="M411" s="1"/>
      <c r="N411" s="1"/>
      <c r="O411" s="1"/>
      <c r="P411" s="1"/>
      <c r="Q411" s="1"/>
      <c r="R411" s="1"/>
      <c r="S411" s="1"/>
      <c r="T411" s="1"/>
      <c r="U411" s="43" t="str">
        <f t="shared" ca="1" si="119"/>
        <v>711,..,2211</v>
      </c>
      <c r="V411" s="43">
        <f t="shared" ref="V411:W411" ca="1" si="129">V410+1</f>
        <v>711</v>
      </c>
      <c r="W411" s="43">
        <f t="shared" ca="1" si="129"/>
        <v>2211</v>
      </c>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WZC411" s="1"/>
      <c r="WZD411" s="1"/>
      <c r="WZE411" s="1"/>
      <c r="WZF411" s="1"/>
      <c r="WZG411" s="1"/>
      <c r="WZH411" s="1"/>
      <c r="WZI411" s="1"/>
      <c r="WZJ411" s="1"/>
      <c r="WZK411" s="1"/>
      <c r="WZL411" s="1"/>
      <c r="WZM411" s="1"/>
      <c r="WZN411" s="1"/>
      <c r="WZO411" s="1"/>
      <c r="WZP411" s="1"/>
      <c r="WZQ411" s="1"/>
      <c r="WZR411" s="1"/>
      <c r="WZS411" s="1"/>
      <c r="WZT411" s="1"/>
      <c r="WZU411" s="1"/>
      <c r="WZV411" s="1"/>
      <c r="WZW411" s="1"/>
      <c r="WZX411" s="1"/>
      <c r="WZY411" s="1"/>
      <c r="WZZ411" s="1"/>
      <c r="XAA411" s="1"/>
      <c r="XAB411" s="1"/>
      <c r="XAC411" s="1"/>
      <c r="XAD411" s="1"/>
      <c r="XAE411" s="1"/>
      <c r="XAF411" s="1"/>
      <c r="XAG411" s="1"/>
      <c r="XAH411" s="1"/>
      <c r="XAI411" s="1"/>
      <c r="XAJ411" s="1"/>
      <c r="XAK411" s="1"/>
      <c r="XAL411" s="1"/>
      <c r="XAM411" s="1"/>
      <c r="XAN411" s="1"/>
      <c r="XAO411" s="1"/>
      <c r="XAP411" s="1"/>
      <c r="XAQ411" s="1"/>
      <c r="XAR411" s="1"/>
      <c r="XAS411" s="1"/>
      <c r="XAT411" s="1"/>
      <c r="XAU411" s="1"/>
      <c r="XAV411" s="1"/>
      <c r="XAW411" s="1"/>
      <c r="XAX411" s="1"/>
      <c r="XAY411" s="1"/>
      <c r="XAZ411" s="1"/>
      <c r="XBA411" s="1"/>
      <c r="XBB411" s="1"/>
      <c r="XBC411" s="1"/>
      <c r="XBD411" s="1"/>
      <c r="XBE411" s="1"/>
      <c r="XBF411" s="1"/>
      <c r="XBG411" s="1"/>
      <c r="XBH411" s="1"/>
      <c r="XBI411" s="1"/>
      <c r="XBJ411" s="1"/>
      <c r="XBK411" s="1"/>
      <c r="XBL411" s="1"/>
      <c r="XBM411" s="1"/>
      <c r="XBN411" s="1"/>
      <c r="XBO411" s="1"/>
      <c r="XBP411" s="1"/>
      <c r="XBQ411" s="1"/>
      <c r="XBR411" s="1"/>
      <c r="XBS411" s="1"/>
      <c r="XBT411" s="1"/>
      <c r="XBU411" s="1"/>
      <c r="XBV411" s="1"/>
      <c r="XBW411" s="1"/>
      <c r="XBX411" s="1"/>
      <c r="XBY411" s="1"/>
      <c r="XBZ411" s="1"/>
      <c r="XCA411" s="1"/>
      <c r="XCB411" s="1"/>
      <c r="XCC411" s="1"/>
      <c r="XCD411" s="1"/>
      <c r="XCE411" s="1"/>
      <c r="XCF411" s="1"/>
      <c r="XCG411" s="1"/>
      <c r="XCH411" s="1"/>
      <c r="XCI411" s="1"/>
      <c r="XCJ411" s="1"/>
      <c r="XCK411" s="1"/>
      <c r="XCL411" s="1"/>
      <c r="XCM411" s="1"/>
      <c r="XCN411" s="1"/>
      <c r="XCO411" s="1"/>
      <c r="XCP411" s="1"/>
      <c r="XCQ411" s="1"/>
      <c r="XCR411" s="1"/>
      <c r="XCS411" s="1"/>
      <c r="XCT411" s="1"/>
      <c r="XCU411" s="1"/>
      <c r="XCV411" s="1"/>
      <c r="XCW411" s="1"/>
      <c r="XCX411" s="1"/>
      <c r="XCY411" s="1"/>
      <c r="XCZ411" s="1"/>
      <c r="XDA411" s="1"/>
      <c r="XDB411" s="1"/>
      <c r="XDC411" s="1"/>
      <c r="XDD411" s="1"/>
      <c r="XDE411" s="1"/>
      <c r="XDF411" s="1"/>
      <c r="XDG411" s="1"/>
      <c r="XDH411" s="1"/>
      <c r="XDI411" s="1"/>
      <c r="XDJ411" s="1"/>
      <c r="XDK411" s="1"/>
      <c r="XDL411" s="1"/>
      <c r="XDM411" s="1"/>
      <c r="XDN411" s="1"/>
      <c r="XDO411" s="1"/>
      <c r="XDP411" s="1"/>
      <c r="XDQ411" s="1"/>
      <c r="XDR411" s="1"/>
      <c r="XDS411" s="1"/>
      <c r="XDT411" s="1"/>
      <c r="XDU411" s="1"/>
      <c r="XDV411" s="1"/>
      <c r="XDW411" s="1"/>
      <c r="XDX411" s="1"/>
      <c r="XDY411" s="1"/>
      <c r="XDZ411" s="1"/>
      <c r="XEA411" s="1"/>
      <c r="XEB411" s="1"/>
      <c r="XEC411" s="1"/>
      <c r="XED411" s="1"/>
      <c r="XEE411" s="1"/>
      <c r="XEF411" s="1"/>
      <c r="XEG411" s="1"/>
      <c r="XEH411" s="1"/>
      <c r="XEI411" s="1"/>
      <c r="XEJ411" s="1"/>
      <c r="XEK411" s="1"/>
      <c r="XEL411" s="1"/>
      <c r="XEM411" s="1"/>
      <c r="XEN411" s="1"/>
      <c r="XEO411" s="1"/>
      <c r="XEP411" s="1"/>
      <c r="XEQ411" s="1"/>
      <c r="XER411" s="1"/>
      <c r="XES411" s="1"/>
      <c r="XET411" s="1"/>
      <c r="XEU411" s="1"/>
      <c r="XEV411" s="1"/>
      <c r="XEW411" s="1"/>
      <c r="XEX411" s="1"/>
      <c r="XEY411" s="1"/>
      <c r="XEZ411" s="1"/>
      <c r="XFA411" s="1"/>
      <c r="XFB411" s="1"/>
      <c r="XFC411" s="1"/>
      <c r="XFD411" s="1"/>
    </row>
    <row r="412" spans="1:151 16227:16384" ht="20.25" x14ac:dyDescent="0.25">
      <c r="A412" s="139" t="s">
        <v>69</v>
      </c>
      <c r="B412" s="139"/>
      <c r="C412" s="139"/>
      <c r="D412" s="139"/>
      <c r="E412" s="139"/>
      <c r="F412" s="139"/>
      <c r="G412" s="139"/>
      <c r="H412" s="139"/>
      <c r="I412" s="139"/>
    </row>
    <row r="413" spans="1:151 16227:16384" ht="207.75" customHeight="1" x14ac:dyDescent="0.25">
      <c r="A413" s="9" t="s">
        <v>77</v>
      </c>
      <c r="B413" s="12" t="s">
        <v>4</v>
      </c>
      <c r="C413" s="151" t="s">
        <v>265</v>
      </c>
      <c r="D413" s="151"/>
      <c r="E413" s="151"/>
      <c r="F413" s="151"/>
      <c r="G413" s="151"/>
      <c r="H413" s="151"/>
      <c r="I413" s="151"/>
    </row>
    <row r="414" spans="1:151 16227:16384" ht="20.25" x14ac:dyDescent="0.25">
      <c r="A414" s="153" t="s">
        <v>78</v>
      </c>
      <c r="B414" s="153"/>
      <c r="C414" s="153"/>
      <c r="D414" s="153"/>
      <c r="E414" s="153"/>
      <c r="F414" s="153"/>
      <c r="G414" s="153"/>
      <c r="H414" s="153"/>
      <c r="I414" s="153"/>
    </row>
    <row r="415" spans="1:151 16227:16384" ht="20.25" x14ac:dyDescent="0.25">
      <c r="A415" s="131" t="s">
        <v>70</v>
      </c>
      <c r="B415" s="131"/>
      <c r="C415" s="131"/>
      <c r="D415" s="2" t="s">
        <v>4</v>
      </c>
      <c r="E415" s="132" t="str">
        <f>E3</f>
        <v>Godrej Riviera Phase 1 
(Building No. 1 to 4)</v>
      </c>
      <c r="F415" s="154"/>
      <c r="G415" s="154"/>
      <c r="H415" s="154"/>
      <c r="I415" s="133"/>
    </row>
    <row r="416" spans="1:151 16227:16384" ht="40.5" customHeight="1" x14ac:dyDescent="0.25">
      <c r="A416" s="131" t="s">
        <v>131</v>
      </c>
      <c r="B416" s="131"/>
      <c r="C416" s="131"/>
      <c r="D416" s="2" t="s">
        <v>4</v>
      </c>
      <c r="E416" s="132" t="str">
        <f>E9</f>
        <v>Godrej Riviera Phase 1, New Survey number. 54B/1, 54B/2, 54B/3 and 52/1 of Village - Vadavli, Taluka - Kalyan</v>
      </c>
      <c r="F416" s="154"/>
      <c r="G416" s="154"/>
      <c r="H416" s="154"/>
      <c r="I416" s="133"/>
    </row>
    <row r="417" spans="1:9" ht="20.25" customHeight="1" x14ac:dyDescent="0.25">
      <c r="A417" s="164" t="s">
        <v>137</v>
      </c>
      <c r="B417" s="164"/>
      <c r="C417" s="164"/>
      <c r="D417" s="15" t="s">
        <v>4</v>
      </c>
      <c r="E417" s="165" t="str">
        <f>I3</f>
        <v>03/08/2025 at 03:05PM</v>
      </c>
      <c r="F417" s="166"/>
      <c r="G417" s="166"/>
      <c r="H417" s="166"/>
      <c r="I417" s="167"/>
    </row>
    <row r="418" spans="1:9" ht="20.25" x14ac:dyDescent="0.25">
      <c r="A418" s="28"/>
      <c r="B418" s="29"/>
      <c r="C418" s="29"/>
      <c r="D418" s="29"/>
      <c r="E418" s="29"/>
      <c r="F418" s="29"/>
      <c r="G418" s="29"/>
      <c r="H418" s="29"/>
      <c r="I418" s="25"/>
    </row>
    <row r="419" spans="1:9" ht="20.25" x14ac:dyDescent="0.25">
      <c r="A419" s="30"/>
      <c r="B419" s="31"/>
      <c r="C419" s="31"/>
      <c r="D419" s="31"/>
      <c r="E419" s="31"/>
      <c r="F419" s="31"/>
      <c r="G419" s="31"/>
      <c r="H419" s="31"/>
      <c r="I419" s="26"/>
    </row>
    <row r="420" spans="1:9" ht="20.25" x14ac:dyDescent="0.25">
      <c r="A420" s="30"/>
      <c r="B420" s="31"/>
      <c r="C420" s="31"/>
      <c r="D420" s="31"/>
      <c r="E420" s="31"/>
      <c r="F420" s="31"/>
      <c r="G420" s="31"/>
      <c r="H420" s="31"/>
      <c r="I420" s="26"/>
    </row>
    <row r="421" spans="1:9" ht="20.25" x14ac:dyDescent="0.25">
      <c r="A421" s="30"/>
      <c r="B421" s="31"/>
      <c r="C421" s="31"/>
      <c r="D421" s="31"/>
      <c r="E421" s="31"/>
      <c r="F421" s="31"/>
      <c r="G421" s="31"/>
      <c r="H421" s="31"/>
      <c r="I421" s="26"/>
    </row>
    <row r="422" spans="1:9" ht="20.25" x14ac:dyDescent="0.25">
      <c r="A422" s="30"/>
      <c r="B422" s="31"/>
      <c r="C422" s="31"/>
      <c r="D422" s="31"/>
      <c r="E422" s="31"/>
      <c r="F422" s="31"/>
      <c r="G422" s="31"/>
      <c r="H422" s="31"/>
      <c r="I422" s="26"/>
    </row>
    <row r="423" spans="1:9" ht="20.25" x14ac:dyDescent="0.25">
      <c r="A423" s="30"/>
      <c r="B423" s="31"/>
      <c r="C423" s="31"/>
      <c r="D423" s="31"/>
      <c r="E423" s="31"/>
      <c r="F423" s="31"/>
      <c r="G423" s="31"/>
      <c r="H423" s="31"/>
      <c r="I423" s="26"/>
    </row>
    <row r="424" spans="1:9" ht="20.25" x14ac:dyDescent="0.25">
      <c r="A424" s="30"/>
      <c r="B424" s="31"/>
      <c r="C424" s="31"/>
      <c r="D424" s="31"/>
      <c r="E424" s="31"/>
      <c r="F424" s="31"/>
      <c r="G424" s="31"/>
      <c r="H424" s="31"/>
      <c r="I424" s="26"/>
    </row>
    <row r="425" spans="1:9" ht="20.25" x14ac:dyDescent="0.25">
      <c r="A425" s="30"/>
      <c r="B425" s="31"/>
      <c r="C425" s="31"/>
      <c r="D425" s="31"/>
      <c r="E425" s="31"/>
      <c r="F425" s="31"/>
      <c r="G425" s="31"/>
      <c r="H425" s="31"/>
      <c r="I425" s="26"/>
    </row>
    <row r="426" spans="1:9" ht="20.25" x14ac:dyDescent="0.25">
      <c r="A426" s="30"/>
      <c r="B426" s="31"/>
      <c r="C426" s="31"/>
      <c r="D426" s="31"/>
      <c r="E426" s="31"/>
      <c r="F426" s="31"/>
      <c r="G426" s="31"/>
      <c r="H426" s="31"/>
      <c r="I426" s="26"/>
    </row>
    <row r="427" spans="1:9" ht="20.25" x14ac:dyDescent="0.25">
      <c r="A427" s="30"/>
      <c r="B427" s="31"/>
      <c r="C427" s="31"/>
      <c r="D427" s="31"/>
      <c r="E427" s="31"/>
      <c r="F427" s="31"/>
      <c r="G427" s="31"/>
      <c r="H427" s="31"/>
      <c r="I427" s="26"/>
    </row>
    <row r="428" spans="1:9" ht="20.25" x14ac:dyDescent="0.25">
      <c r="A428" s="30"/>
      <c r="B428" s="31"/>
      <c r="C428" s="31"/>
      <c r="D428" s="31"/>
      <c r="E428" s="31"/>
      <c r="F428" s="31"/>
      <c r="G428" s="31"/>
      <c r="H428" s="31"/>
      <c r="I428" s="26"/>
    </row>
    <row r="429" spans="1:9" ht="20.25" x14ac:dyDescent="0.25">
      <c r="A429" s="30"/>
      <c r="B429" s="31"/>
      <c r="C429" s="31"/>
      <c r="D429" s="31"/>
      <c r="E429" s="31"/>
      <c r="F429" s="31"/>
      <c r="G429" s="31"/>
      <c r="H429" s="31"/>
      <c r="I429" s="26"/>
    </row>
    <row r="430" spans="1:9" ht="20.25" x14ac:dyDescent="0.25">
      <c r="A430" s="30"/>
      <c r="B430" s="31"/>
      <c r="C430" s="31"/>
      <c r="D430" s="31"/>
      <c r="E430" s="31"/>
      <c r="F430" s="31"/>
      <c r="G430" s="31"/>
      <c r="H430" s="31"/>
      <c r="I430" s="26"/>
    </row>
    <row r="431" spans="1:9" ht="20.25" x14ac:dyDescent="0.25">
      <c r="A431" s="30"/>
      <c r="B431" s="31"/>
      <c r="C431" s="31"/>
      <c r="D431" s="31"/>
      <c r="E431" s="31"/>
      <c r="F431" s="31"/>
      <c r="G431" s="31"/>
      <c r="H431" s="31"/>
      <c r="I431" s="26"/>
    </row>
    <row r="432" spans="1:9" ht="20.25" x14ac:dyDescent="0.25">
      <c r="A432" s="30"/>
      <c r="B432" s="31"/>
      <c r="C432" s="31"/>
      <c r="D432" s="31"/>
      <c r="E432" s="31"/>
      <c r="F432" s="31"/>
      <c r="G432" s="31"/>
      <c r="H432" s="31"/>
      <c r="I432" s="26"/>
    </row>
    <row r="433" spans="1:9" ht="20.25" x14ac:dyDescent="0.25">
      <c r="A433" s="30"/>
      <c r="B433" s="31"/>
      <c r="C433" s="31"/>
      <c r="D433" s="31"/>
      <c r="E433" s="31"/>
      <c r="F433" s="31"/>
      <c r="G433" s="31"/>
      <c r="H433" s="31"/>
      <c r="I433" s="26"/>
    </row>
    <row r="434" spans="1:9" ht="20.25" x14ac:dyDescent="0.25">
      <c r="A434" s="30"/>
      <c r="B434" s="31"/>
      <c r="C434" s="31"/>
      <c r="D434" s="31"/>
      <c r="E434" s="31"/>
      <c r="F434" s="31"/>
      <c r="G434" s="31"/>
      <c r="H434" s="31"/>
      <c r="I434" s="26"/>
    </row>
    <row r="435" spans="1:9" ht="20.25" x14ac:dyDescent="0.25">
      <c r="A435" s="30"/>
      <c r="B435" s="31"/>
      <c r="C435" s="31"/>
      <c r="D435" s="31"/>
      <c r="E435" s="31"/>
      <c r="F435" s="31"/>
      <c r="G435" s="31"/>
      <c r="H435" s="31"/>
      <c r="I435" s="26"/>
    </row>
    <row r="436" spans="1:9" ht="20.25" x14ac:dyDescent="0.25">
      <c r="A436" s="30"/>
      <c r="B436" s="31"/>
      <c r="C436" s="31"/>
      <c r="D436" s="31"/>
      <c r="E436" s="31"/>
      <c r="F436" s="31"/>
      <c r="G436" s="31"/>
      <c r="H436" s="31"/>
      <c r="I436" s="26"/>
    </row>
    <row r="437" spans="1:9" ht="20.25" x14ac:dyDescent="0.25">
      <c r="A437" s="30"/>
      <c r="B437" s="31"/>
      <c r="C437" s="31"/>
      <c r="D437" s="31"/>
      <c r="E437" s="31"/>
      <c r="F437" s="31"/>
      <c r="G437" s="31"/>
      <c r="H437" s="31"/>
      <c r="I437" s="26"/>
    </row>
    <row r="438" spans="1:9" ht="20.25" x14ac:dyDescent="0.25">
      <c r="A438" s="30"/>
      <c r="B438" s="31"/>
      <c r="C438" s="31"/>
      <c r="D438" s="31"/>
      <c r="E438" s="31"/>
      <c r="F438" s="31"/>
      <c r="G438" s="31"/>
      <c r="H438" s="31"/>
      <c r="I438" s="26"/>
    </row>
    <row r="439" spans="1:9" ht="20.25" x14ac:dyDescent="0.25">
      <c r="A439" s="30"/>
      <c r="B439" s="31"/>
      <c r="C439" s="31"/>
      <c r="D439" s="31"/>
      <c r="E439" s="31"/>
      <c r="F439" s="31"/>
      <c r="G439" s="31"/>
      <c r="H439" s="31"/>
      <c r="I439" s="26"/>
    </row>
    <row r="440" spans="1:9" ht="20.25" x14ac:dyDescent="0.25">
      <c r="A440" s="30"/>
      <c r="B440" s="31"/>
      <c r="C440" s="31"/>
      <c r="D440" s="31"/>
      <c r="E440" s="31"/>
      <c r="F440" s="31"/>
      <c r="G440" s="31"/>
      <c r="H440" s="31"/>
      <c r="I440" s="26"/>
    </row>
    <row r="441" spans="1:9" ht="20.25" x14ac:dyDescent="0.25">
      <c r="A441" s="30"/>
      <c r="B441" s="31"/>
      <c r="C441" s="31"/>
      <c r="D441" s="31"/>
      <c r="E441" s="31"/>
      <c r="F441" s="31"/>
      <c r="G441" s="31"/>
      <c r="H441" s="31"/>
      <c r="I441" s="26"/>
    </row>
    <row r="442" spans="1:9" ht="20.25" x14ac:dyDescent="0.25">
      <c r="A442" s="30"/>
      <c r="B442" s="31"/>
      <c r="C442" s="31"/>
      <c r="D442" s="31"/>
      <c r="E442" s="31"/>
      <c r="F442" s="31"/>
      <c r="G442" s="31"/>
      <c r="H442" s="31"/>
      <c r="I442" s="26"/>
    </row>
    <row r="443" spans="1:9" ht="20.25" x14ac:dyDescent="0.25">
      <c r="A443" s="30"/>
      <c r="B443" s="31"/>
      <c r="C443" s="31"/>
      <c r="D443" s="31"/>
      <c r="E443" s="31"/>
      <c r="F443" s="31"/>
      <c r="G443" s="31"/>
      <c r="H443" s="31"/>
      <c r="I443" s="26"/>
    </row>
    <row r="444" spans="1:9" ht="20.25" x14ac:dyDescent="0.25">
      <c r="A444" s="30"/>
      <c r="B444" s="31"/>
      <c r="C444" s="31"/>
      <c r="D444" s="31"/>
      <c r="E444" s="31"/>
      <c r="F444" s="31"/>
      <c r="G444" s="31"/>
      <c r="H444" s="31"/>
      <c r="I444" s="26"/>
    </row>
    <row r="445" spans="1:9" ht="20.25" x14ac:dyDescent="0.25">
      <c r="A445" s="30"/>
      <c r="B445" s="31"/>
      <c r="C445" s="31"/>
      <c r="D445" s="31"/>
      <c r="E445" s="31"/>
      <c r="F445" s="31"/>
      <c r="G445" s="31"/>
      <c r="H445" s="31"/>
      <c r="I445" s="26"/>
    </row>
    <row r="446" spans="1:9" ht="20.25" x14ac:dyDescent="0.25">
      <c r="A446" s="30"/>
      <c r="B446" s="31"/>
      <c r="C446" s="31"/>
      <c r="D446" s="31"/>
      <c r="E446" s="31"/>
      <c r="F446" s="31"/>
      <c r="G446" s="31"/>
      <c r="H446" s="31"/>
      <c r="I446" s="26"/>
    </row>
    <row r="447" spans="1:9" ht="20.25" x14ac:dyDescent="0.25">
      <c r="A447" s="30"/>
      <c r="B447" s="31"/>
      <c r="C447" s="31"/>
      <c r="D447" s="31"/>
      <c r="E447" s="31"/>
      <c r="F447" s="31"/>
      <c r="G447" s="31"/>
      <c r="H447" s="31"/>
      <c r="I447" s="26"/>
    </row>
    <row r="448" spans="1:9" ht="20.25" x14ac:dyDescent="0.25">
      <c r="A448" s="30"/>
      <c r="B448" s="31"/>
      <c r="C448" s="31"/>
      <c r="D448" s="31"/>
      <c r="E448" s="31"/>
      <c r="F448" s="31"/>
      <c r="G448" s="31"/>
      <c r="H448" s="31"/>
      <c r="I448" s="26"/>
    </row>
    <row r="449" spans="1:9" ht="20.25" x14ac:dyDescent="0.25">
      <c r="A449" s="30"/>
      <c r="B449" s="31"/>
      <c r="C449" s="31"/>
      <c r="D449" s="31"/>
      <c r="E449" s="31"/>
      <c r="F449" s="31"/>
      <c r="G449" s="31"/>
      <c r="H449" s="31"/>
      <c r="I449" s="26"/>
    </row>
    <row r="450" spans="1:9" ht="20.25" x14ac:dyDescent="0.25">
      <c r="A450" s="30"/>
      <c r="B450" s="31"/>
      <c r="C450" s="31"/>
      <c r="D450" s="31"/>
      <c r="E450" s="31"/>
      <c r="F450" s="31"/>
      <c r="G450" s="31"/>
      <c r="H450" s="31"/>
      <c r="I450" s="26"/>
    </row>
    <row r="451" spans="1:9" ht="20.25" x14ac:dyDescent="0.25">
      <c r="A451" s="30"/>
      <c r="B451" s="31"/>
      <c r="C451" s="31"/>
      <c r="D451" s="31"/>
      <c r="E451" s="31"/>
      <c r="F451" s="31"/>
      <c r="G451" s="31"/>
      <c r="H451" s="31"/>
      <c r="I451" s="26"/>
    </row>
    <row r="452" spans="1:9" ht="20.25" x14ac:dyDescent="0.25">
      <c r="A452" s="30"/>
      <c r="B452" s="31"/>
      <c r="C452" s="31"/>
      <c r="D452" s="31"/>
      <c r="E452" s="31"/>
      <c r="F452" s="31"/>
      <c r="G452" s="31"/>
      <c r="H452" s="31"/>
      <c r="I452" s="26"/>
    </row>
    <row r="453" spans="1:9" ht="20.25" x14ac:dyDescent="0.25">
      <c r="A453" s="30"/>
      <c r="B453" s="31"/>
      <c r="C453" s="31"/>
      <c r="D453" s="31"/>
      <c r="E453" s="31"/>
      <c r="F453" s="31"/>
      <c r="G453" s="31"/>
      <c r="H453" s="31"/>
      <c r="I453" s="26"/>
    </row>
    <row r="454" spans="1:9" ht="20.25" x14ac:dyDescent="0.25">
      <c r="A454" s="30"/>
      <c r="B454" s="31"/>
      <c r="C454" s="31"/>
      <c r="D454" s="31"/>
      <c r="E454" s="31"/>
      <c r="F454" s="31"/>
      <c r="G454" s="31"/>
      <c r="H454" s="31"/>
      <c r="I454" s="26"/>
    </row>
    <row r="455" spans="1:9" ht="20.25" x14ac:dyDescent="0.25">
      <c r="A455" s="30"/>
      <c r="B455" s="31"/>
      <c r="C455" s="31"/>
      <c r="D455" s="31"/>
      <c r="E455" s="31"/>
      <c r="F455" s="31"/>
      <c r="G455" s="31"/>
      <c r="H455" s="31"/>
      <c r="I455" s="26"/>
    </row>
    <row r="456" spans="1:9" ht="20.25" x14ac:dyDescent="0.25">
      <c r="A456" s="30"/>
      <c r="B456" s="31"/>
      <c r="C456" s="31"/>
      <c r="D456" s="31"/>
      <c r="E456" s="31"/>
      <c r="F456" s="31"/>
      <c r="G456" s="31"/>
      <c r="H456" s="31"/>
      <c r="I456" s="26"/>
    </row>
    <row r="457" spans="1:9" ht="20.25" x14ac:dyDescent="0.25">
      <c r="A457" s="30"/>
      <c r="B457" s="31"/>
      <c r="C457" s="31"/>
      <c r="D457" s="31"/>
      <c r="E457" s="31"/>
      <c r="F457" s="31"/>
      <c r="G457" s="31"/>
      <c r="H457" s="31"/>
      <c r="I457" s="26"/>
    </row>
    <row r="458" spans="1:9" ht="20.25" x14ac:dyDescent="0.25">
      <c r="A458" s="30"/>
      <c r="B458" s="31"/>
      <c r="C458" s="31"/>
      <c r="D458" s="31"/>
      <c r="E458" s="31"/>
      <c r="F458" s="31"/>
      <c r="G458" s="31"/>
      <c r="H458" s="31"/>
      <c r="I458" s="26"/>
    </row>
    <row r="459" spans="1:9" ht="20.25" x14ac:dyDescent="0.25">
      <c r="A459" s="30"/>
      <c r="B459" s="31"/>
      <c r="C459" s="31"/>
      <c r="D459" s="31"/>
      <c r="E459" s="31"/>
      <c r="F459" s="31"/>
      <c r="G459" s="31"/>
      <c r="H459" s="31"/>
      <c r="I459" s="26"/>
    </row>
    <row r="460" spans="1:9" ht="20.25" x14ac:dyDescent="0.25">
      <c r="A460" s="30"/>
      <c r="B460" s="31"/>
      <c r="C460" s="31"/>
      <c r="D460" s="31"/>
      <c r="E460" s="31"/>
      <c r="F460" s="31"/>
      <c r="G460" s="31"/>
      <c r="H460" s="31"/>
      <c r="I460" s="26"/>
    </row>
    <row r="461" spans="1:9" ht="20.25" x14ac:dyDescent="0.25">
      <c r="A461" s="30"/>
      <c r="B461" s="31"/>
      <c r="C461" s="31"/>
      <c r="D461" s="31"/>
      <c r="E461" s="31"/>
      <c r="F461" s="31"/>
      <c r="G461" s="31"/>
      <c r="H461" s="31"/>
      <c r="I461" s="26"/>
    </row>
    <row r="462" spans="1:9" ht="20.25" x14ac:dyDescent="0.25">
      <c r="A462" s="30"/>
      <c r="B462" s="31"/>
      <c r="C462" s="31"/>
      <c r="D462" s="31"/>
      <c r="E462" s="31"/>
      <c r="F462" s="31"/>
      <c r="G462" s="31"/>
      <c r="H462" s="31"/>
      <c r="I462" s="26"/>
    </row>
    <row r="463" spans="1:9" ht="20.25" x14ac:dyDescent="0.25">
      <c r="A463" s="30"/>
      <c r="B463" s="31"/>
      <c r="C463" s="31"/>
      <c r="D463" s="31"/>
      <c r="E463" s="31"/>
      <c r="F463" s="31"/>
      <c r="G463" s="31"/>
      <c r="H463" s="31"/>
      <c r="I463" s="26"/>
    </row>
    <row r="464" spans="1:9" ht="20.25" x14ac:dyDescent="0.25">
      <c r="A464" s="30"/>
      <c r="B464" s="31"/>
      <c r="C464" s="31"/>
      <c r="D464" s="31"/>
      <c r="E464" s="31"/>
      <c r="F464" s="31"/>
      <c r="G464" s="31"/>
      <c r="H464" s="31"/>
      <c r="I464" s="26"/>
    </row>
    <row r="465" spans="1:9" ht="20.25" hidden="1" x14ac:dyDescent="0.25">
      <c r="A465" s="30"/>
      <c r="B465" s="31"/>
      <c r="C465" s="31"/>
      <c r="D465" s="31"/>
      <c r="E465" s="31"/>
      <c r="F465" s="31"/>
      <c r="G465" s="31"/>
      <c r="H465" s="31"/>
      <c r="I465" s="26"/>
    </row>
    <row r="466" spans="1:9" ht="20.25" hidden="1" x14ac:dyDescent="0.25">
      <c r="A466" s="30"/>
      <c r="B466" s="31"/>
      <c r="C466" s="31"/>
      <c r="D466" s="31"/>
      <c r="E466" s="31"/>
      <c r="F466" s="31"/>
      <c r="G466" s="31"/>
      <c r="H466" s="31"/>
      <c r="I466" s="26"/>
    </row>
    <row r="467" spans="1:9" ht="20.25" hidden="1" x14ac:dyDescent="0.25">
      <c r="A467" s="30"/>
      <c r="B467" s="31"/>
      <c r="C467" s="31"/>
      <c r="D467" s="31"/>
      <c r="E467" s="31"/>
      <c r="F467" s="31"/>
      <c r="G467" s="31"/>
      <c r="H467" s="31"/>
      <c r="I467" s="26"/>
    </row>
    <row r="468" spans="1:9" ht="20.25" hidden="1" x14ac:dyDescent="0.25">
      <c r="A468" s="30"/>
      <c r="B468" s="31"/>
      <c r="C468" s="31"/>
      <c r="D468" s="31"/>
      <c r="E468" s="31"/>
      <c r="F468" s="31"/>
      <c r="G468" s="31"/>
      <c r="H468" s="31"/>
      <c r="I468" s="26"/>
    </row>
    <row r="469" spans="1:9" ht="20.25" hidden="1" x14ac:dyDescent="0.25">
      <c r="A469" s="30"/>
      <c r="B469" s="31"/>
      <c r="C469" s="31"/>
      <c r="D469" s="31"/>
      <c r="E469" s="31"/>
      <c r="F469" s="31"/>
      <c r="G469" s="31"/>
      <c r="H469" s="31"/>
      <c r="I469" s="26"/>
    </row>
    <row r="470" spans="1:9" ht="20.25" hidden="1" x14ac:dyDescent="0.25">
      <c r="A470" s="30"/>
      <c r="B470" s="31"/>
      <c r="C470" s="31"/>
      <c r="D470" s="31"/>
      <c r="E470" s="31"/>
      <c r="F470" s="31"/>
      <c r="G470" s="31"/>
      <c r="H470" s="31"/>
      <c r="I470" s="26"/>
    </row>
    <row r="471" spans="1:9" ht="20.25" x14ac:dyDescent="0.25">
      <c r="A471" s="32"/>
      <c r="B471" s="33"/>
      <c r="C471" s="33"/>
      <c r="D471" s="33"/>
      <c r="E471" s="33"/>
      <c r="F471" s="33"/>
      <c r="G471" s="33"/>
      <c r="H471" s="33"/>
      <c r="I471" s="27"/>
    </row>
    <row r="472" spans="1:9" ht="20.25" x14ac:dyDescent="0.25">
      <c r="A472" s="115" t="s">
        <v>272</v>
      </c>
      <c r="B472" s="116"/>
      <c r="C472" s="116"/>
      <c r="D472" s="116"/>
      <c r="E472" s="116"/>
      <c r="F472" s="116"/>
      <c r="G472" s="116"/>
      <c r="H472" s="116"/>
      <c r="I472" s="117"/>
    </row>
    <row r="473" spans="1:9" ht="20.25" x14ac:dyDescent="0.25">
      <c r="A473" s="28"/>
      <c r="B473" s="29"/>
      <c r="C473" s="29"/>
      <c r="D473" s="29"/>
      <c r="E473" s="29"/>
      <c r="F473" s="29"/>
      <c r="G473" s="29"/>
      <c r="H473" s="29"/>
      <c r="I473" s="25"/>
    </row>
    <row r="474" spans="1:9" ht="20.25" x14ac:dyDescent="0.25">
      <c r="A474" s="30"/>
      <c r="B474" s="31"/>
      <c r="C474" s="31"/>
      <c r="D474" s="31"/>
      <c r="E474" s="31"/>
      <c r="F474" s="31"/>
      <c r="G474" s="31"/>
      <c r="H474" s="31"/>
      <c r="I474" s="26"/>
    </row>
    <row r="475" spans="1:9" ht="20.25" x14ac:dyDescent="0.25">
      <c r="A475" s="30"/>
      <c r="B475" s="31"/>
      <c r="C475" s="31"/>
      <c r="D475" s="31"/>
      <c r="E475" s="31"/>
      <c r="F475" s="31"/>
      <c r="G475" s="31"/>
      <c r="H475" s="31"/>
      <c r="I475" s="26"/>
    </row>
    <row r="476" spans="1:9" ht="20.25" x14ac:dyDescent="0.25">
      <c r="A476" s="30"/>
      <c r="B476" s="31"/>
      <c r="C476" s="31"/>
      <c r="D476" s="31"/>
      <c r="E476" s="31"/>
      <c r="F476" s="31"/>
      <c r="G476" s="31"/>
      <c r="H476" s="31"/>
      <c r="I476" s="26"/>
    </row>
    <row r="477" spans="1:9" ht="20.25" x14ac:dyDescent="0.25">
      <c r="A477" s="30"/>
      <c r="B477" s="31"/>
      <c r="C477" s="31"/>
      <c r="D477" s="31"/>
      <c r="E477" s="31"/>
      <c r="F477" s="31"/>
      <c r="G477" s="31"/>
      <c r="H477" s="31"/>
      <c r="I477" s="26"/>
    </row>
    <row r="478" spans="1:9" ht="20.25" x14ac:dyDescent="0.25">
      <c r="A478" s="30"/>
      <c r="B478" s="31"/>
      <c r="C478" s="31"/>
      <c r="D478" s="31"/>
      <c r="E478" s="31"/>
      <c r="F478" s="31"/>
      <c r="G478" s="31"/>
      <c r="H478" s="31"/>
      <c r="I478" s="26"/>
    </row>
    <row r="479" spans="1:9" ht="20.25" x14ac:dyDescent="0.25">
      <c r="A479" s="30"/>
      <c r="B479" s="31"/>
      <c r="C479" s="31"/>
      <c r="D479" s="31"/>
      <c r="E479" s="31"/>
      <c r="F479" s="31"/>
      <c r="G479" s="31"/>
      <c r="H479" s="31"/>
      <c r="I479" s="26"/>
    </row>
    <row r="480" spans="1:9" ht="20.25" x14ac:dyDescent="0.25">
      <c r="A480" s="30"/>
      <c r="B480" s="31"/>
      <c r="C480" s="31"/>
      <c r="D480" s="31"/>
      <c r="E480" s="31"/>
      <c r="F480" s="31"/>
      <c r="G480" s="31"/>
      <c r="H480" s="31"/>
      <c r="I480" s="26"/>
    </row>
    <row r="481" spans="1:9" ht="20.25" x14ac:dyDescent="0.25">
      <c r="A481" s="30"/>
      <c r="B481" s="31"/>
      <c r="C481" s="31"/>
      <c r="D481" s="31"/>
      <c r="E481" s="31"/>
      <c r="F481" s="31"/>
      <c r="G481" s="31"/>
      <c r="H481" s="31"/>
      <c r="I481" s="26"/>
    </row>
    <row r="482" spans="1:9" ht="20.25" x14ac:dyDescent="0.25">
      <c r="A482" s="30"/>
      <c r="B482" s="31"/>
      <c r="C482" s="31"/>
      <c r="D482" s="31"/>
      <c r="E482" s="31"/>
      <c r="F482" s="31"/>
      <c r="G482" s="31"/>
      <c r="H482" s="31"/>
      <c r="I482" s="26"/>
    </row>
    <row r="483" spans="1:9" ht="20.25" x14ac:dyDescent="0.25">
      <c r="A483" s="30"/>
      <c r="B483" s="31"/>
      <c r="C483" s="31"/>
      <c r="D483" s="31"/>
      <c r="E483" s="31"/>
      <c r="F483" s="31"/>
      <c r="G483" s="31"/>
      <c r="H483" s="31"/>
      <c r="I483" s="26"/>
    </row>
    <row r="484" spans="1:9" ht="20.25" x14ac:dyDescent="0.25">
      <c r="A484" s="30"/>
      <c r="B484" s="31"/>
      <c r="C484" s="31"/>
      <c r="D484" s="31"/>
      <c r="E484" s="31"/>
      <c r="F484" s="31"/>
      <c r="G484" s="31"/>
      <c r="H484" s="31"/>
      <c r="I484" s="26"/>
    </row>
    <row r="485" spans="1:9" ht="20.25" x14ac:dyDescent="0.25">
      <c r="A485" s="30"/>
      <c r="B485" s="31"/>
      <c r="C485" s="31"/>
      <c r="D485" s="31"/>
      <c r="E485" s="31"/>
      <c r="F485" s="31"/>
      <c r="G485" s="31"/>
      <c r="H485" s="31"/>
      <c r="I485" s="26"/>
    </row>
    <row r="486" spans="1:9" ht="20.25" x14ac:dyDescent="0.25">
      <c r="A486" s="30"/>
      <c r="B486" s="31"/>
      <c r="C486" s="31"/>
      <c r="D486" s="31"/>
      <c r="E486" s="31"/>
      <c r="F486" s="31"/>
      <c r="G486" s="31"/>
      <c r="H486" s="31"/>
      <c r="I486" s="26"/>
    </row>
    <row r="487" spans="1:9" ht="20.25" x14ac:dyDescent="0.25">
      <c r="A487" s="30"/>
      <c r="B487" s="31"/>
      <c r="C487" s="31"/>
      <c r="D487" s="31"/>
      <c r="E487" s="31"/>
      <c r="F487" s="31"/>
      <c r="G487" s="31"/>
      <c r="H487" s="31"/>
      <c r="I487" s="26"/>
    </row>
    <row r="488" spans="1:9" ht="20.25" x14ac:dyDescent="0.25">
      <c r="A488" s="30"/>
      <c r="B488" s="31"/>
      <c r="C488" s="31"/>
      <c r="D488" s="31"/>
      <c r="E488" s="31"/>
      <c r="F488" s="31"/>
      <c r="G488" s="31"/>
      <c r="H488" s="31"/>
      <c r="I488" s="26"/>
    </row>
    <row r="489" spans="1:9" ht="20.25" x14ac:dyDescent="0.25">
      <c r="A489" s="30"/>
      <c r="B489" s="31"/>
      <c r="C489" s="31"/>
      <c r="D489" s="31"/>
      <c r="E489" s="31"/>
      <c r="F489" s="31"/>
      <c r="G489" s="31"/>
      <c r="H489" s="31"/>
      <c r="I489" s="26"/>
    </row>
    <row r="490" spans="1:9" ht="20.25" x14ac:dyDescent="0.25">
      <c r="A490" s="30"/>
      <c r="B490" s="31"/>
      <c r="C490" s="31"/>
      <c r="D490" s="31"/>
      <c r="E490" s="31"/>
      <c r="F490" s="31"/>
      <c r="G490" s="31"/>
      <c r="H490" s="31"/>
      <c r="I490" s="26"/>
    </row>
    <row r="491" spans="1:9" ht="20.25" x14ac:dyDescent="0.25">
      <c r="A491" s="30"/>
      <c r="B491" s="31"/>
      <c r="C491" s="31"/>
      <c r="D491" s="31"/>
      <c r="E491" s="31"/>
      <c r="F491" s="31"/>
      <c r="G491" s="31"/>
      <c r="H491" s="31"/>
      <c r="I491" s="26"/>
    </row>
    <row r="492" spans="1:9" ht="20.25" x14ac:dyDescent="0.25">
      <c r="A492" s="30"/>
      <c r="B492" s="31"/>
      <c r="C492" s="31"/>
      <c r="D492" s="31"/>
      <c r="E492" s="31"/>
      <c r="F492" s="31"/>
      <c r="G492" s="31"/>
      <c r="H492" s="31"/>
      <c r="I492" s="26"/>
    </row>
    <row r="493" spans="1:9" ht="20.25" x14ac:dyDescent="0.25">
      <c r="A493" s="30"/>
      <c r="B493" s="31"/>
      <c r="C493" s="31"/>
      <c r="D493" s="31"/>
      <c r="E493" s="31"/>
      <c r="F493" s="31"/>
      <c r="G493" s="31"/>
      <c r="H493" s="31"/>
      <c r="I493" s="26"/>
    </row>
    <row r="494" spans="1:9" ht="20.25" x14ac:dyDescent="0.25">
      <c r="A494" s="30"/>
      <c r="B494" s="31"/>
      <c r="C494" s="31"/>
      <c r="D494" s="31"/>
      <c r="E494" s="31"/>
      <c r="F494" s="31"/>
      <c r="G494" s="31"/>
      <c r="H494" s="31"/>
      <c r="I494" s="26"/>
    </row>
    <row r="495" spans="1:9" ht="20.25" x14ac:dyDescent="0.25">
      <c r="A495" s="30"/>
      <c r="B495" s="31"/>
      <c r="C495" s="31"/>
      <c r="D495" s="31"/>
      <c r="E495" s="31"/>
      <c r="F495" s="31"/>
      <c r="G495" s="31"/>
      <c r="H495" s="31"/>
      <c r="I495" s="26"/>
    </row>
    <row r="496" spans="1:9" ht="20.25" x14ac:dyDescent="0.25">
      <c r="A496" s="30"/>
      <c r="B496" s="31"/>
      <c r="C496" s="31"/>
      <c r="D496" s="31"/>
      <c r="E496" s="31"/>
      <c r="F496" s="31"/>
      <c r="G496" s="31"/>
      <c r="H496" s="31"/>
      <c r="I496" s="26"/>
    </row>
    <row r="497" spans="1:9" ht="20.25" x14ac:dyDescent="0.25">
      <c r="A497" s="30"/>
      <c r="B497" s="31"/>
      <c r="C497" s="31"/>
      <c r="D497" s="31"/>
      <c r="E497" s="31"/>
      <c r="F497" s="31"/>
      <c r="G497" s="31"/>
      <c r="H497" s="31"/>
      <c r="I497" s="26"/>
    </row>
    <row r="498" spans="1:9" ht="20.25" x14ac:dyDescent="0.25">
      <c r="A498" s="30"/>
      <c r="B498" s="31"/>
      <c r="C498" s="31"/>
      <c r="D498" s="31"/>
      <c r="E498" s="31"/>
      <c r="F498" s="31"/>
      <c r="G498" s="31"/>
      <c r="H498" s="31"/>
      <c r="I498" s="26"/>
    </row>
    <row r="499" spans="1:9" ht="20.25" x14ac:dyDescent="0.25">
      <c r="A499" s="30"/>
      <c r="B499" s="31"/>
      <c r="C499" s="31"/>
      <c r="D499" s="31"/>
      <c r="E499" s="31"/>
      <c r="F499" s="31"/>
      <c r="G499" s="31"/>
      <c r="H499" s="31"/>
      <c r="I499" s="26"/>
    </row>
    <row r="500" spans="1:9" ht="20.25" x14ac:dyDescent="0.25">
      <c r="A500" s="30"/>
      <c r="B500" s="31"/>
      <c r="C500" s="31"/>
      <c r="D500" s="31"/>
      <c r="E500" s="31"/>
      <c r="F500" s="31"/>
      <c r="G500" s="31"/>
      <c r="H500" s="31"/>
      <c r="I500" s="26"/>
    </row>
    <row r="501" spans="1:9" ht="20.25" x14ac:dyDescent="0.25">
      <c r="A501" s="30"/>
      <c r="B501" s="31"/>
      <c r="C501" s="31"/>
      <c r="D501" s="31"/>
      <c r="E501" s="31"/>
      <c r="F501" s="31"/>
      <c r="G501" s="31"/>
      <c r="H501" s="31"/>
      <c r="I501" s="26"/>
    </row>
    <row r="502" spans="1:9" ht="20.25" x14ac:dyDescent="0.25">
      <c r="A502" s="30"/>
      <c r="B502" s="31"/>
      <c r="C502" s="31"/>
      <c r="D502" s="31"/>
      <c r="E502" s="31"/>
      <c r="F502" s="31"/>
      <c r="G502" s="31"/>
      <c r="H502" s="31"/>
      <c r="I502" s="26"/>
    </row>
    <row r="503" spans="1:9" ht="20.25" x14ac:dyDescent="0.25">
      <c r="A503" s="30"/>
      <c r="B503" s="31"/>
      <c r="C503" s="31"/>
      <c r="D503" s="31"/>
      <c r="E503" s="31"/>
      <c r="F503" s="31"/>
      <c r="G503" s="31"/>
      <c r="H503" s="31"/>
      <c r="I503" s="26"/>
    </row>
    <row r="504" spans="1:9" ht="20.25" x14ac:dyDescent="0.25">
      <c r="A504" s="30"/>
      <c r="B504" s="31"/>
      <c r="C504" s="31"/>
      <c r="D504" s="31"/>
      <c r="E504" s="31"/>
      <c r="F504" s="31"/>
      <c r="G504" s="31"/>
      <c r="H504" s="31"/>
      <c r="I504" s="26"/>
    </row>
    <row r="505" spans="1:9" ht="20.25" x14ac:dyDescent="0.25">
      <c r="A505" s="30"/>
      <c r="B505" s="31"/>
      <c r="C505" s="31"/>
      <c r="D505" s="31"/>
      <c r="E505" s="31"/>
      <c r="F505" s="31"/>
      <c r="G505" s="31"/>
      <c r="H505" s="31"/>
      <c r="I505" s="26"/>
    </row>
    <row r="506" spans="1:9" ht="20.25" x14ac:dyDescent="0.25">
      <c r="A506" s="30"/>
      <c r="B506" s="31"/>
      <c r="C506" s="31"/>
      <c r="D506" s="31"/>
      <c r="E506" s="31"/>
      <c r="F506" s="31"/>
      <c r="G506" s="31"/>
      <c r="H506" s="31"/>
      <c r="I506" s="26"/>
    </row>
    <row r="507" spans="1:9" ht="20.25" x14ac:dyDescent="0.25">
      <c r="A507" s="30"/>
      <c r="B507" s="31"/>
      <c r="C507" s="31"/>
      <c r="D507" s="31"/>
      <c r="E507" s="31"/>
      <c r="F507" s="31"/>
      <c r="G507" s="31"/>
      <c r="H507" s="31"/>
      <c r="I507" s="26"/>
    </row>
    <row r="508" spans="1:9" ht="20.25" x14ac:dyDescent="0.25">
      <c r="A508" s="30"/>
      <c r="B508" s="31"/>
      <c r="C508" s="31"/>
      <c r="D508" s="31"/>
      <c r="E508" s="31"/>
      <c r="F508" s="31"/>
      <c r="G508" s="31"/>
      <c r="H508" s="31"/>
      <c r="I508" s="26"/>
    </row>
    <row r="509" spans="1:9" ht="20.25" x14ac:dyDescent="0.25">
      <c r="A509" s="30"/>
      <c r="B509" s="31"/>
      <c r="C509" s="31"/>
      <c r="D509" s="31"/>
      <c r="E509" s="31"/>
      <c r="F509" s="31"/>
      <c r="G509" s="31"/>
      <c r="H509" s="31"/>
      <c r="I509" s="26"/>
    </row>
    <row r="510" spans="1:9" ht="20.25" x14ac:dyDescent="0.25">
      <c r="A510" s="30"/>
      <c r="B510" s="31"/>
      <c r="C510" s="31"/>
      <c r="D510" s="31"/>
      <c r="E510" s="31"/>
      <c r="F510" s="31"/>
      <c r="G510" s="31"/>
      <c r="H510" s="31"/>
      <c r="I510" s="26"/>
    </row>
    <row r="511" spans="1:9" ht="20.25" x14ac:dyDescent="0.25">
      <c r="A511" s="30"/>
      <c r="B511" s="31"/>
      <c r="C511" s="31"/>
      <c r="D511" s="31"/>
      <c r="E511" s="31"/>
      <c r="F511" s="31"/>
      <c r="G511" s="31"/>
      <c r="H511" s="31"/>
      <c r="I511" s="26"/>
    </row>
    <row r="512" spans="1:9" ht="20.25" x14ac:dyDescent="0.25">
      <c r="A512" s="30"/>
      <c r="B512" s="31"/>
      <c r="C512" s="31"/>
      <c r="D512" s="31"/>
      <c r="E512" s="31"/>
      <c r="F512" s="31"/>
      <c r="G512" s="31"/>
      <c r="H512" s="31"/>
      <c r="I512" s="26"/>
    </row>
    <row r="513" spans="1:9" ht="20.25" x14ac:dyDescent="0.25">
      <c r="A513" s="30"/>
      <c r="B513" s="31"/>
      <c r="C513" s="31"/>
      <c r="D513" s="31"/>
      <c r="E513" s="31"/>
      <c r="F513" s="31"/>
      <c r="G513" s="31"/>
      <c r="H513" s="31"/>
      <c r="I513" s="26"/>
    </row>
    <row r="514" spans="1:9" ht="20.25" x14ac:dyDescent="0.25">
      <c r="A514" s="115" t="s">
        <v>79</v>
      </c>
      <c r="B514" s="116"/>
      <c r="C514" s="116"/>
      <c r="D514" s="116"/>
      <c r="E514" s="116"/>
      <c r="F514" s="116"/>
      <c r="G514" s="116"/>
      <c r="H514" s="116"/>
      <c r="I514" s="117"/>
    </row>
    <row r="515" spans="1:9" ht="20.25" x14ac:dyDescent="0.25">
      <c r="A515" s="28"/>
      <c r="B515" s="29"/>
      <c r="C515" s="29"/>
      <c r="D515" s="29"/>
      <c r="E515" s="29"/>
      <c r="F515" s="29"/>
      <c r="G515" s="29"/>
      <c r="H515" s="29"/>
      <c r="I515" s="25"/>
    </row>
    <row r="516" spans="1:9" ht="20.25" x14ac:dyDescent="0.25">
      <c r="A516" s="30"/>
      <c r="B516" s="31"/>
      <c r="C516" s="31"/>
      <c r="D516" s="31"/>
      <c r="E516" s="31"/>
      <c r="F516" s="31"/>
      <c r="G516" s="31"/>
      <c r="H516" s="31"/>
      <c r="I516" s="26"/>
    </row>
    <row r="517" spans="1:9" ht="20.25" x14ac:dyDescent="0.25">
      <c r="A517" s="30"/>
      <c r="B517" s="31"/>
      <c r="C517" s="31"/>
      <c r="D517" s="31"/>
      <c r="E517" s="31"/>
      <c r="F517" s="31"/>
      <c r="G517" s="31"/>
      <c r="H517" s="31"/>
      <c r="I517" s="26"/>
    </row>
    <row r="518" spans="1:9" ht="20.25" x14ac:dyDescent="0.25">
      <c r="A518" s="30"/>
      <c r="B518" s="31"/>
      <c r="C518" s="31"/>
      <c r="D518" s="31"/>
      <c r="E518" s="31"/>
      <c r="F518" s="31"/>
      <c r="G518" s="31"/>
      <c r="H518" s="31"/>
      <c r="I518" s="26"/>
    </row>
    <row r="519" spans="1:9" ht="20.25" x14ac:dyDescent="0.25">
      <c r="A519" s="30"/>
      <c r="B519" s="31"/>
      <c r="C519" s="31"/>
      <c r="D519" s="31"/>
      <c r="E519" s="31"/>
      <c r="F519" s="31"/>
      <c r="G519" s="31"/>
      <c r="H519" s="31"/>
      <c r="I519" s="26"/>
    </row>
    <row r="520" spans="1:9" ht="20.25" x14ac:dyDescent="0.25">
      <c r="A520" s="30"/>
      <c r="B520" s="31"/>
      <c r="C520" s="31"/>
      <c r="D520" s="31"/>
      <c r="E520" s="31"/>
      <c r="F520" s="31"/>
      <c r="G520" s="31"/>
      <c r="H520" s="31"/>
      <c r="I520" s="26"/>
    </row>
    <row r="521" spans="1:9" ht="20.25" x14ac:dyDescent="0.25">
      <c r="A521" s="30"/>
      <c r="B521" s="31"/>
      <c r="C521" s="31"/>
      <c r="D521" s="31"/>
      <c r="E521" s="31"/>
      <c r="F521" s="31"/>
      <c r="G521" s="31"/>
      <c r="H521" s="31"/>
      <c r="I521" s="26"/>
    </row>
    <row r="522" spans="1:9" ht="20.25" x14ac:dyDescent="0.25">
      <c r="A522" s="30"/>
      <c r="B522" s="31"/>
      <c r="C522" s="31"/>
      <c r="D522" s="31"/>
      <c r="E522" s="31"/>
      <c r="F522" s="31"/>
      <c r="G522" s="31"/>
      <c r="H522" s="31"/>
      <c r="I522" s="26"/>
    </row>
    <row r="523" spans="1:9" ht="20.25" x14ac:dyDescent="0.25">
      <c r="A523" s="30"/>
      <c r="B523" s="31"/>
      <c r="C523" s="31"/>
      <c r="D523" s="31"/>
      <c r="E523" s="31"/>
      <c r="F523" s="31"/>
      <c r="G523" s="31"/>
      <c r="H523" s="31"/>
      <c r="I523" s="26"/>
    </row>
    <row r="524" spans="1:9" ht="20.25" x14ac:dyDescent="0.25">
      <c r="A524" s="30"/>
      <c r="B524" s="31"/>
      <c r="C524" s="31"/>
      <c r="D524" s="31"/>
      <c r="E524" s="31"/>
      <c r="F524" s="31"/>
      <c r="G524" s="31"/>
      <c r="H524" s="31"/>
      <c r="I524" s="26"/>
    </row>
    <row r="525" spans="1:9" ht="20.25" x14ac:dyDescent="0.25">
      <c r="A525" s="30"/>
      <c r="B525" s="31"/>
      <c r="C525" s="31"/>
      <c r="D525" s="31"/>
      <c r="E525" s="31"/>
      <c r="F525" s="31"/>
      <c r="G525" s="31"/>
      <c r="H525" s="31"/>
      <c r="I525" s="26"/>
    </row>
    <row r="526" spans="1:9" ht="20.25" x14ac:dyDescent="0.25">
      <c r="A526" s="30"/>
      <c r="B526" s="31"/>
      <c r="C526" s="31"/>
      <c r="D526" s="31"/>
      <c r="E526" s="31"/>
      <c r="F526" s="31"/>
      <c r="G526" s="31"/>
      <c r="H526" s="31"/>
      <c r="I526" s="26"/>
    </row>
    <row r="527" spans="1:9" ht="20.25" x14ac:dyDescent="0.25">
      <c r="A527" s="30"/>
      <c r="B527" s="31"/>
      <c r="C527" s="31"/>
      <c r="D527" s="31"/>
      <c r="E527" s="31"/>
      <c r="F527" s="31"/>
      <c r="G527" s="31"/>
      <c r="H527" s="31"/>
      <c r="I527" s="26"/>
    </row>
    <row r="528" spans="1:9" ht="20.25" x14ac:dyDescent="0.25">
      <c r="A528" s="30"/>
      <c r="B528" s="31"/>
      <c r="C528" s="31"/>
      <c r="D528" s="31"/>
      <c r="E528" s="31"/>
      <c r="F528" s="31"/>
      <c r="G528" s="31"/>
      <c r="H528" s="31"/>
      <c r="I528" s="26"/>
    </row>
    <row r="529" spans="1:9" ht="20.25" x14ac:dyDescent="0.25">
      <c r="A529" s="30"/>
      <c r="B529" s="31"/>
      <c r="C529" s="31"/>
      <c r="D529" s="31"/>
      <c r="E529" s="31"/>
      <c r="F529" s="31"/>
      <c r="G529" s="31"/>
      <c r="H529" s="31"/>
      <c r="I529" s="26"/>
    </row>
    <row r="530" spans="1:9" ht="20.25" x14ac:dyDescent="0.25">
      <c r="A530" s="30"/>
      <c r="B530" s="31"/>
      <c r="C530" s="31"/>
      <c r="D530" s="31"/>
      <c r="E530" s="31"/>
      <c r="F530" s="31"/>
      <c r="G530" s="31"/>
      <c r="H530" s="31"/>
      <c r="I530" s="26"/>
    </row>
    <row r="531" spans="1:9" ht="20.25" x14ac:dyDescent="0.25">
      <c r="A531" s="30"/>
      <c r="B531" s="31"/>
      <c r="C531" s="31"/>
      <c r="D531" s="31"/>
      <c r="E531" s="31"/>
      <c r="F531" s="31"/>
      <c r="G531" s="31"/>
      <c r="H531" s="31"/>
      <c r="I531" s="26"/>
    </row>
    <row r="532" spans="1:9" ht="20.25" x14ac:dyDescent="0.25">
      <c r="A532" s="30"/>
      <c r="B532" s="31"/>
      <c r="C532" s="31"/>
      <c r="D532" s="31"/>
      <c r="E532" s="31"/>
      <c r="F532" s="31"/>
      <c r="G532" s="31"/>
      <c r="H532" s="31"/>
      <c r="I532" s="26"/>
    </row>
    <row r="533" spans="1:9" ht="20.25" x14ac:dyDescent="0.25">
      <c r="A533" s="30"/>
      <c r="B533" s="31"/>
      <c r="C533" s="31"/>
      <c r="D533" s="31"/>
      <c r="E533" s="31"/>
      <c r="F533" s="31"/>
      <c r="G533" s="31"/>
      <c r="H533" s="31"/>
      <c r="I533" s="26"/>
    </row>
    <row r="534" spans="1:9" ht="20.25" x14ac:dyDescent="0.25">
      <c r="A534" s="30"/>
      <c r="B534" s="31"/>
      <c r="C534" s="31"/>
      <c r="D534" s="31"/>
      <c r="E534" s="31"/>
      <c r="F534" s="31"/>
      <c r="G534" s="31"/>
      <c r="H534" s="31"/>
      <c r="I534" s="26"/>
    </row>
    <row r="535" spans="1:9" ht="20.25" x14ac:dyDescent="0.25">
      <c r="A535" s="30"/>
      <c r="B535" s="31"/>
      <c r="C535" s="31"/>
      <c r="D535" s="31"/>
      <c r="E535" s="31"/>
      <c r="F535" s="31"/>
      <c r="G535" s="31"/>
      <c r="H535" s="31"/>
      <c r="I535" s="26"/>
    </row>
    <row r="536" spans="1:9" ht="20.25" x14ac:dyDescent="0.25">
      <c r="A536" s="30"/>
      <c r="B536" s="31"/>
      <c r="C536" s="31"/>
      <c r="D536" s="31"/>
      <c r="E536" s="31"/>
      <c r="F536" s="31"/>
      <c r="G536" s="31"/>
      <c r="H536" s="31"/>
      <c r="I536" s="26"/>
    </row>
    <row r="537" spans="1:9" ht="20.25" x14ac:dyDescent="0.25">
      <c r="A537" s="30"/>
      <c r="B537" s="31"/>
      <c r="C537" s="31"/>
      <c r="D537" s="31"/>
      <c r="E537" s="31"/>
      <c r="F537" s="31"/>
      <c r="G537" s="31"/>
      <c r="H537" s="31"/>
      <c r="I537" s="26"/>
    </row>
    <row r="538" spans="1:9" ht="20.25" x14ac:dyDescent="0.25">
      <c r="A538" s="30"/>
      <c r="B538" s="31"/>
      <c r="C538" s="31"/>
      <c r="D538" s="31"/>
      <c r="E538" s="31"/>
      <c r="F538" s="31"/>
      <c r="G538" s="31"/>
      <c r="H538" s="31"/>
      <c r="I538" s="26"/>
    </row>
    <row r="539" spans="1:9" ht="20.25" x14ac:dyDescent="0.25">
      <c r="A539" s="30"/>
      <c r="B539" s="31"/>
      <c r="C539" s="31"/>
      <c r="D539" s="31"/>
      <c r="E539" s="31"/>
      <c r="F539" s="31"/>
      <c r="G539" s="31"/>
      <c r="H539" s="31"/>
      <c r="I539" s="26"/>
    </row>
    <row r="540" spans="1:9" ht="20.25" x14ac:dyDescent="0.25">
      <c r="A540" s="30"/>
      <c r="B540" s="31"/>
      <c r="C540" s="31"/>
      <c r="D540" s="31"/>
      <c r="E540" s="31"/>
      <c r="F540" s="31"/>
      <c r="G540" s="31"/>
      <c r="H540" s="31"/>
      <c r="I540" s="26"/>
    </row>
    <row r="541" spans="1:9" ht="20.25" x14ac:dyDescent="0.25">
      <c r="A541" s="30"/>
      <c r="B541" s="31"/>
      <c r="C541" s="31"/>
      <c r="D541" s="31"/>
      <c r="E541" s="31"/>
      <c r="F541" s="31"/>
      <c r="G541" s="31"/>
      <c r="H541" s="31"/>
      <c r="I541" s="26"/>
    </row>
    <row r="542" spans="1:9" ht="20.25" x14ac:dyDescent="0.25">
      <c r="A542" s="30"/>
      <c r="B542" s="31"/>
      <c r="C542" s="31"/>
      <c r="D542" s="31"/>
      <c r="E542" s="31"/>
      <c r="F542" s="31"/>
      <c r="G542" s="31"/>
      <c r="H542" s="31"/>
      <c r="I542" s="26"/>
    </row>
    <row r="543" spans="1:9" ht="20.25" x14ac:dyDescent="0.25">
      <c r="A543" s="30"/>
      <c r="B543" s="31"/>
      <c r="C543" s="31"/>
      <c r="D543" s="31"/>
      <c r="E543" s="31"/>
      <c r="F543" s="31"/>
      <c r="G543" s="31"/>
      <c r="H543" s="31"/>
      <c r="I543" s="26"/>
    </row>
    <row r="544" spans="1:9" ht="20.25" x14ac:dyDescent="0.25">
      <c r="A544" s="30"/>
      <c r="B544" s="31"/>
      <c r="C544" s="31"/>
      <c r="D544" s="31"/>
      <c r="E544" s="31"/>
      <c r="F544" s="31"/>
      <c r="G544" s="31"/>
      <c r="H544" s="31"/>
      <c r="I544" s="26"/>
    </row>
    <row r="545" spans="1:9" ht="20.25" x14ac:dyDescent="0.25">
      <c r="A545" s="30"/>
      <c r="B545" s="31"/>
      <c r="C545" s="31"/>
      <c r="D545" s="31"/>
      <c r="E545" s="31"/>
      <c r="F545" s="31"/>
      <c r="G545" s="31"/>
      <c r="H545" s="31"/>
      <c r="I545" s="26"/>
    </row>
    <row r="546" spans="1:9" ht="20.25" x14ac:dyDescent="0.25">
      <c r="A546" s="30"/>
      <c r="B546" s="31"/>
      <c r="C546" s="31"/>
      <c r="D546" s="31"/>
      <c r="E546" s="31"/>
      <c r="F546" s="31"/>
      <c r="G546" s="31"/>
      <c r="H546" s="31"/>
      <c r="I546" s="26"/>
    </row>
    <row r="547" spans="1:9" ht="20.25" x14ac:dyDescent="0.25">
      <c r="A547" s="30"/>
      <c r="B547" s="31"/>
      <c r="C547" s="31"/>
      <c r="D547" s="31"/>
      <c r="E547" s="31"/>
      <c r="F547" s="31"/>
      <c r="G547" s="31"/>
      <c r="H547" s="31"/>
      <c r="I547" s="26"/>
    </row>
    <row r="548" spans="1:9" ht="20.25" x14ac:dyDescent="0.25">
      <c r="A548" s="30"/>
      <c r="B548" s="31"/>
      <c r="C548" s="31"/>
      <c r="D548" s="31"/>
      <c r="E548" s="31"/>
      <c r="F548" s="31"/>
      <c r="G548" s="31"/>
      <c r="H548" s="31"/>
      <c r="I548" s="26"/>
    </row>
    <row r="549" spans="1:9" ht="20.25" x14ac:dyDescent="0.25">
      <c r="A549" s="30"/>
      <c r="B549" s="31"/>
      <c r="C549" s="31"/>
      <c r="D549" s="31"/>
      <c r="E549" s="31"/>
      <c r="F549" s="31"/>
      <c r="G549" s="31"/>
      <c r="H549" s="31"/>
      <c r="I549" s="26"/>
    </row>
    <row r="550" spans="1:9" ht="20.25" x14ac:dyDescent="0.25">
      <c r="A550" s="30"/>
      <c r="B550" s="31"/>
      <c r="C550" s="31"/>
      <c r="D550" s="31"/>
      <c r="E550" s="31"/>
      <c r="F550" s="31"/>
      <c r="G550" s="31"/>
      <c r="H550" s="31"/>
      <c r="I550" s="26"/>
    </row>
    <row r="551" spans="1:9" ht="20.25" x14ac:dyDescent="0.25">
      <c r="A551" s="139" t="s">
        <v>27</v>
      </c>
      <c r="B551" s="139"/>
      <c r="C551" s="139"/>
      <c r="D551" s="139"/>
      <c r="E551" s="139"/>
      <c r="F551" s="139"/>
      <c r="G551" s="139"/>
      <c r="H551" s="139"/>
      <c r="I551" s="139"/>
    </row>
    <row r="552" spans="1:9" ht="20.25" x14ac:dyDescent="0.25">
      <c r="A552" s="155" t="s">
        <v>81</v>
      </c>
      <c r="B552" s="156"/>
      <c r="C552" s="156"/>
      <c r="D552" s="156"/>
      <c r="E552" s="156"/>
      <c r="F552" s="156"/>
      <c r="G552" s="156"/>
      <c r="H552" s="156"/>
      <c r="I552" s="157"/>
    </row>
    <row r="553" spans="1:9" ht="20.25" x14ac:dyDescent="0.25">
      <c r="A553" s="158" t="s">
        <v>82</v>
      </c>
      <c r="B553" s="159"/>
      <c r="C553" s="159"/>
      <c r="D553" s="159"/>
      <c r="E553" s="159"/>
      <c r="F553" s="159"/>
      <c r="G553" s="159"/>
      <c r="H553" s="159"/>
      <c r="I553" s="160"/>
    </row>
    <row r="554" spans="1:9" ht="45" customHeight="1" x14ac:dyDescent="0.25">
      <c r="A554" s="158" t="s">
        <v>83</v>
      </c>
      <c r="B554" s="159"/>
      <c r="C554" s="159"/>
      <c r="D554" s="159"/>
      <c r="E554" s="159"/>
      <c r="F554" s="159"/>
      <c r="G554" s="159"/>
      <c r="H554" s="159"/>
      <c r="I554" s="160"/>
    </row>
    <row r="555" spans="1:9" ht="42.75" customHeight="1" x14ac:dyDescent="0.25">
      <c r="A555" s="158" t="s">
        <v>84</v>
      </c>
      <c r="B555" s="159"/>
      <c r="C555" s="159"/>
      <c r="D555" s="159"/>
      <c r="E555" s="159"/>
      <c r="F555" s="159"/>
      <c r="G555" s="159"/>
      <c r="H555" s="159"/>
      <c r="I555" s="160"/>
    </row>
    <row r="556" spans="1:9" ht="20.25" x14ac:dyDescent="0.25">
      <c r="A556" s="158" t="s">
        <v>85</v>
      </c>
      <c r="B556" s="159"/>
      <c r="C556" s="159"/>
      <c r="D556" s="159"/>
      <c r="E556" s="159"/>
      <c r="F556" s="159"/>
      <c r="G556" s="159"/>
      <c r="H556" s="159"/>
      <c r="I556" s="160"/>
    </row>
    <row r="557" spans="1:9" ht="20.25" x14ac:dyDescent="0.25">
      <c r="A557" s="158" t="s">
        <v>86</v>
      </c>
      <c r="B557" s="159"/>
      <c r="C557" s="159"/>
      <c r="D557" s="159"/>
      <c r="E557" s="159"/>
      <c r="F557" s="159"/>
      <c r="G557" s="159"/>
      <c r="H557" s="159"/>
      <c r="I557" s="160"/>
    </row>
    <row r="558" spans="1:9" ht="45" customHeight="1" x14ac:dyDescent="0.25">
      <c r="A558" s="158" t="s">
        <v>87</v>
      </c>
      <c r="B558" s="159"/>
      <c r="C558" s="159"/>
      <c r="D558" s="159"/>
      <c r="E558" s="159"/>
      <c r="F558" s="159"/>
      <c r="G558" s="159"/>
      <c r="H558" s="159"/>
      <c r="I558" s="160"/>
    </row>
    <row r="559" spans="1:9" ht="24" hidden="1" customHeight="1" x14ac:dyDescent="0.25">
      <c r="A559" s="158" t="s">
        <v>88</v>
      </c>
      <c r="B559" s="159"/>
      <c r="C559" s="159"/>
      <c r="D559" s="159"/>
      <c r="E559" s="159"/>
      <c r="F559" s="159"/>
      <c r="G559" s="159"/>
      <c r="H559" s="159"/>
      <c r="I559" s="160"/>
    </row>
    <row r="560" spans="1:9" ht="20.25" hidden="1" x14ac:dyDescent="0.25">
      <c r="A560" s="161" t="s">
        <v>89</v>
      </c>
      <c r="B560" s="162"/>
      <c r="C560" s="162"/>
      <c r="D560" s="162"/>
      <c r="E560" s="162"/>
      <c r="F560" s="162"/>
      <c r="G560" s="162"/>
      <c r="H560" s="162"/>
      <c r="I560" s="163"/>
    </row>
    <row r="561" spans="1:9" ht="70.5" customHeight="1" x14ac:dyDescent="0.25">
      <c r="A561" s="152" t="s">
        <v>33</v>
      </c>
      <c r="B561" s="152"/>
      <c r="C561" s="152"/>
      <c r="D561" s="2" t="s">
        <v>4</v>
      </c>
      <c r="E561" s="80" t="s">
        <v>284</v>
      </c>
      <c r="F561" s="79" t="s">
        <v>10</v>
      </c>
      <c r="G561" s="2" t="s">
        <v>4</v>
      </c>
      <c r="H561" s="122"/>
      <c r="I561" s="122"/>
    </row>
  </sheetData>
  <mergeCells count="861">
    <mergeCell ref="K2:M2"/>
    <mergeCell ref="A137:C137"/>
    <mergeCell ref="H137:I137"/>
    <mergeCell ref="A116:B116"/>
    <mergeCell ref="C116:D116"/>
    <mergeCell ref="F104:G104"/>
    <mergeCell ref="A105:B105"/>
    <mergeCell ref="C105:D105"/>
    <mergeCell ref="F105:G116"/>
    <mergeCell ref="H105:I116"/>
    <mergeCell ref="A106:B106"/>
    <mergeCell ref="C106:D106"/>
    <mergeCell ref="A107:B107"/>
    <mergeCell ref="C107:D107"/>
    <mergeCell ref="A108:B108"/>
    <mergeCell ref="C108:D108"/>
    <mergeCell ref="A109:B109"/>
    <mergeCell ref="C109:D109"/>
    <mergeCell ref="A110:B110"/>
    <mergeCell ref="C110:D110"/>
    <mergeCell ref="A111:B111"/>
    <mergeCell ref="C111:D111"/>
    <mergeCell ref="A112:B112"/>
    <mergeCell ref="C112:D112"/>
    <mergeCell ref="A113:B113"/>
    <mergeCell ref="C113:D113"/>
    <mergeCell ref="A115:B115"/>
    <mergeCell ref="A65:B65"/>
    <mergeCell ref="C65:D65"/>
    <mergeCell ref="A66:B66"/>
    <mergeCell ref="C66:D66"/>
    <mergeCell ref="A67:B67"/>
    <mergeCell ref="C67:D67"/>
    <mergeCell ref="A68:B68"/>
    <mergeCell ref="C68:D68"/>
    <mergeCell ref="A101:I101"/>
    <mergeCell ref="A80:B80"/>
    <mergeCell ref="A70:C71"/>
    <mergeCell ref="D70:D71"/>
    <mergeCell ref="A69:I69"/>
    <mergeCell ref="F71:G71"/>
    <mergeCell ref="C115:D115"/>
    <mergeCell ref="C75:D75"/>
    <mergeCell ref="H89:I100"/>
    <mergeCell ref="A90:B90"/>
    <mergeCell ref="C90:D90"/>
    <mergeCell ref="A91:B91"/>
    <mergeCell ref="C91:D91"/>
    <mergeCell ref="A92:B92"/>
    <mergeCell ref="C156:D156"/>
    <mergeCell ref="A82:B82"/>
    <mergeCell ref="C82:D82"/>
    <mergeCell ref="A144:C144"/>
    <mergeCell ref="A95:B95"/>
    <mergeCell ref="C95:D95"/>
    <mergeCell ref="A96:B96"/>
    <mergeCell ref="C96:D96"/>
    <mergeCell ref="A97:B97"/>
    <mergeCell ref="C97:D97"/>
    <mergeCell ref="A98:B98"/>
    <mergeCell ref="C98:D98"/>
    <mergeCell ref="A99:B99"/>
    <mergeCell ref="C99:D99"/>
    <mergeCell ref="A100:B100"/>
    <mergeCell ref="C100:D100"/>
    <mergeCell ref="A117:I117"/>
    <mergeCell ref="A102:C103"/>
    <mergeCell ref="D102:D103"/>
    <mergeCell ref="F102:G102"/>
    <mergeCell ref="F103:G103"/>
    <mergeCell ref="A104:B104"/>
    <mergeCell ref="C104:D104"/>
    <mergeCell ref="A114:B114"/>
    <mergeCell ref="C27:E27"/>
    <mergeCell ref="C23:I23"/>
    <mergeCell ref="C22:I22"/>
    <mergeCell ref="A151:B151"/>
    <mergeCell ref="C151:D151"/>
    <mergeCell ref="A152:B152"/>
    <mergeCell ref="C152:D152"/>
    <mergeCell ref="A153:B153"/>
    <mergeCell ref="C153:D153"/>
    <mergeCell ref="A53:I53"/>
    <mergeCell ref="A54:C55"/>
    <mergeCell ref="D54:D55"/>
    <mergeCell ref="F54:G54"/>
    <mergeCell ref="F55:G55"/>
    <mergeCell ref="A56:B56"/>
    <mergeCell ref="C56:D56"/>
    <mergeCell ref="F56:G56"/>
    <mergeCell ref="A57:B57"/>
    <mergeCell ref="C57:D57"/>
    <mergeCell ref="F57:G68"/>
    <mergeCell ref="H57:I68"/>
    <mergeCell ref="A58:B58"/>
    <mergeCell ref="C58:D58"/>
    <mergeCell ref="A59:B59"/>
    <mergeCell ref="C14:E14"/>
    <mergeCell ref="C15:E15"/>
    <mergeCell ref="C16:E16"/>
    <mergeCell ref="C17:E17"/>
    <mergeCell ref="C18:E18"/>
    <mergeCell ref="C19:E19"/>
    <mergeCell ref="C20:E20"/>
    <mergeCell ref="C21:E21"/>
    <mergeCell ref="C24:I24"/>
    <mergeCell ref="A44:B44"/>
    <mergeCell ref="A45:B45"/>
    <mergeCell ref="E44:G44"/>
    <mergeCell ref="E43:G43"/>
    <mergeCell ref="E45:G45"/>
    <mergeCell ref="C43:D43"/>
    <mergeCell ref="C44:D44"/>
    <mergeCell ref="C45:D45"/>
    <mergeCell ref="C28:E28"/>
    <mergeCell ref="C29:E29"/>
    <mergeCell ref="C30:E30"/>
    <mergeCell ref="C31:E31"/>
    <mergeCell ref="C32:I32"/>
    <mergeCell ref="H36:I36"/>
    <mergeCell ref="A36:C36"/>
    <mergeCell ref="H35:I35"/>
    <mergeCell ref="A34:C34"/>
    <mergeCell ref="H34:I34"/>
    <mergeCell ref="F152:G152"/>
    <mergeCell ref="F153:G153"/>
    <mergeCell ref="F156:G156"/>
    <mergeCell ref="C49:E49"/>
    <mergeCell ref="C50:E50"/>
    <mergeCell ref="C51:E51"/>
    <mergeCell ref="C52:E52"/>
    <mergeCell ref="A73:B73"/>
    <mergeCell ref="A74:B74"/>
    <mergeCell ref="F73:G84"/>
    <mergeCell ref="A79:B79"/>
    <mergeCell ref="C59:D59"/>
    <mergeCell ref="A60:B60"/>
    <mergeCell ref="C60:D60"/>
    <mergeCell ref="A61:B61"/>
    <mergeCell ref="C61:D61"/>
    <mergeCell ref="A62:B62"/>
    <mergeCell ref="C62:D62"/>
    <mergeCell ref="A63:B63"/>
    <mergeCell ref="C63:D63"/>
    <mergeCell ref="A64:B64"/>
    <mergeCell ref="C64:D64"/>
    <mergeCell ref="F72:G72"/>
    <mergeCell ref="A156:B156"/>
    <mergeCell ref="G2:H2"/>
    <mergeCell ref="G3:H3"/>
    <mergeCell ref="G4:H4"/>
    <mergeCell ref="H45:I45"/>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A13:I13"/>
    <mergeCell ref="C26:E26"/>
    <mergeCell ref="A43:B43"/>
    <mergeCell ref="A1:I1"/>
    <mergeCell ref="A4:C4"/>
    <mergeCell ref="A415:C415"/>
    <mergeCell ref="H27:I27"/>
    <mergeCell ref="H28:I28"/>
    <mergeCell ref="A37:I37"/>
    <mergeCell ref="H49:I49"/>
    <mergeCell ref="H51:I51"/>
    <mergeCell ref="A42:I42"/>
    <mergeCell ref="A48:I48"/>
    <mergeCell ref="A150:I150"/>
    <mergeCell ref="H147:I147"/>
    <mergeCell ref="A2:C2"/>
    <mergeCell ref="E2:F2"/>
    <mergeCell ref="A41:C41"/>
    <mergeCell ref="H41:I41"/>
    <mergeCell ref="E4:F4"/>
    <mergeCell ref="E12:I12"/>
    <mergeCell ref="A6:C6"/>
    <mergeCell ref="A7:C7"/>
    <mergeCell ref="A8:C8"/>
    <mergeCell ref="E8:I8"/>
    <mergeCell ref="H7:I7"/>
    <mergeCell ref="E9:I9"/>
    <mergeCell ref="A561:C561"/>
    <mergeCell ref="H561:I561"/>
    <mergeCell ref="A414:I414"/>
    <mergeCell ref="E416:I416"/>
    <mergeCell ref="A552:I552"/>
    <mergeCell ref="A558:I558"/>
    <mergeCell ref="A559:I559"/>
    <mergeCell ref="A560:I560"/>
    <mergeCell ref="A553:I553"/>
    <mergeCell ref="A554:I554"/>
    <mergeCell ref="A555:I555"/>
    <mergeCell ref="A556:I556"/>
    <mergeCell ref="A416:C416"/>
    <mergeCell ref="A551:I551"/>
    <mergeCell ref="A557:I557"/>
    <mergeCell ref="A514:I514"/>
    <mergeCell ref="E415:I415"/>
    <mergeCell ref="A417:C417"/>
    <mergeCell ref="E417:I417"/>
    <mergeCell ref="A472:I472"/>
    <mergeCell ref="C413:I413"/>
    <mergeCell ref="A412:I412"/>
    <mergeCell ref="A208:I208"/>
    <mergeCell ref="A149:F149"/>
    <mergeCell ref="H149:I149"/>
    <mergeCell ref="F176:G176"/>
    <mergeCell ref="F171:G171"/>
    <mergeCell ref="C169:D169"/>
    <mergeCell ref="F169:G169"/>
    <mergeCell ref="C170:D170"/>
    <mergeCell ref="F170:G170"/>
    <mergeCell ref="C171:D171"/>
    <mergeCell ref="C174:D174"/>
    <mergeCell ref="F174:G174"/>
    <mergeCell ref="C175:D175"/>
    <mergeCell ref="C212:D212"/>
    <mergeCell ref="C198:D198"/>
    <mergeCell ref="A196:I196"/>
    <mergeCell ref="C197:D197"/>
    <mergeCell ref="C172:D172"/>
    <mergeCell ref="F172:G172"/>
    <mergeCell ref="C173:D173"/>
    <mergeCell ref="F173:G173"/>
    <mergeCell ref="F175:G175"/>
    <mergeCell ref="H146:I146"/>
    <mergeCell ref="H14:I14"/>
    <mergeCell ref="G38:H38"/>
    <mergeCell ref="A39:C39"/>
    <mergeCell ref="A35:C35"/>
    <mergeCell ref="A40:C40"/>
    <mergeCell ref="A38:C38"/>
    <mergeCell ref="H16:I16"/>
    <mergeCell ref="H17:I17"/>
    <mergeCell ref="H15:I15"/>
    <mergeCell ref="H18:I18"/>
    <mergeCell ref="H19:I19"/>
    <mergeCell ref="H44:I44"/>
    <mergeCell ref="H31:I31"/>
    <mergeCell ref="G39:H39"/>
    <mergeCell ref="A77:B77"/>
    <mergeCell ref="A78:B78"/>
    <mergeCell ref="A72:B72"/>
    <mergeCell ref="C73:D73"/>
    <mergeCell ref="H73:I84"/>
    <mergeCell ref="A83:B83"/>
    <mergeCell ref="C76:D76"/>
    <mergeCell ref="C72:D72"/>
    <mergeCell ref="C74:D74"/>
    <mergeCell ref="C92:D92"/>
    <mergeCell ref="A93:B93"/>
    <mergeCell ref="C93:D93"/>
    <mergeCell ref="A94:B94"/>
    <mergeCell ref="C94:D94"/>
    <mergeCell ref="C77:D77"/>
    <mergeCell ref="C78:D78"/>
    <mergeCell ref="C79:D79"/>
    <mergeCell ref="C80:D80"/>
    <mergeCell ref="A75:B75"/>
    <mergeCell ref="A76:B76"/>
    <mergeCell ref="C81:D81"/>
    <mergeCell ref="C83:D83"/>
    <mergeCell ref="A84:B84"/>
    <mergeCell ref="C84:D84"/>
    <mergeCell ref="A81:B81"/>
    <mergeCell ref="A138:C138"/>
    <mergeCell ref="H138:I138"/>
    <mergeCell ref="A134:I134"/>
    <mergeCell ref="A135:C135"/>
    <mergeCell ref="H135:I135"/>
    <mergeCell ref="A85:I85"/>
    <mergeCell ref="A86:C87"/>
    <mergeCell ref="D86:D87"/>
    <mergeCell ref="F86:G86"/>
    <mergeCell ref="F87:G87"/>
    <mergeCell ref="A88:B88"/>
    <mergeCell ref="C88:D88"/>
    <mergeCell ref="F88:G88"/>
    <mergeCell ref="A89:B89"/>
    <mergeCell ref="C89:D89"/>
    <mergeCell ref="F89:G100"/>
    <mergeCell ref="A118:C119"/>
    <mergeCell ref="D118:D119"/>
    <mergeCell ref="F118:G118"/>
    <mergeCell ref="F119:G119"/>
    <mergeCell ref="A133:G133"/>
    <mergeCell ref="H133:I133"/>
    <mergeCell ref="C114:D114"/>
    <mergeCell ref="F199:G199"/>
    <mergeCell ref="A197:B207"/>
    <mergeCell ref="H144:I144"/>
    <mergeCell ref="A136:C136"/>
    <mergeCell ref="H136:I136"/>
    <mergeCell ref="A139:C139"/>
    <mergeCell ref="H139:I139"/>
    <mergeCell ref="A140:C140"/>
    <mergeCell ref="H140:I140"/>
    <mergeCell ref="A141:C141"/>
    <mergeCell ref="H141:I141"/>
    <mergeCell ref="A142:C142"/>
    <mergeCell ref="H142:I142"/>
    <mergeCell ref="A143:C143"/>
    <mergeCell ref="H143:I143"/>
    <mergeCell ref="F165:G166"/>
    <mergeCell ref="E165:E166"/>
    <mergeCell ref="C165:D166"/>
    <mergeCell ref="A165:B166"/>
    <mergeCell ref="A168:I168"/>
    <mergeCell ref="C176:D176"/>
    <mergeCell ref="A147:F147"/>
    <mergeCell ref="A164:I164"/>
    <mergeCell ref="F151:G151"/>
    <mergeCell ref="A167:I167"/>
    <mergeCell ref="A46:B46"/>
    <mergeCell ref="C46:D46"/>
    <mergeCell ref="E46:G46"/>
    <mergeCell ref="H46:I46"/>
    <mergeCell ref="A47:B47"/>
    <mergeCell ref="C47:D47"/>
    <mergeCell ref="E47:G47"/>
    <mergeCell ref="H47:I47"/>
    <mergeCell ref="A154:B154"/>
    <mergeCell ref="C154:D154"/>
    <mergeCell ref="F154:G154"/>
    <mergeCell ref="A155:B155"/>
    <mergeCell ref="C155:D155"/>
    <mergeCell ref="F155:G155"/>
    <mergeCell ref="F161:G161"/>
    <mergeCell ref="A148:F148"/>
    <mergeCell ref="H148:I148"/>
    <mergeCell ref="H165:H166"/>
    <mergeCell ref="A146:F146"/>
    <mergeCell ref="H52:I52"/>
    <mergeCell ref="H50:I50"/>
    <mergeCell ref="A145:I145"/>
    <mergeCell ref="F70:G70"/>
    <mergeCell ref="F181:G181"/>
    <mergeCell ref="C182:D182"/>
    <mergeCell ref="F182:G182"/>
    <mergeCell ref="A157:B157"/>
    <mergeCell ref="C157:D157"/>
    <mergeCell ref="F157:G157"/>
    <mergeCell ref="A158:B158"/>
    <mergeCell ref="C158:D158"/>
    <mergeCell ref="F158:G158"/>
    <mergeCell ref="A159:B159"/>
    <mergeCell ref="C159:D159"/>
    <mergeCell ref="F159:G159"/>
    <mergeCell ref="A160:B160"/>
    <mergeCell ref="C160:D160"/>
    <mergeCell ref="F160:G160"/>
    <mergeCell ref="A161:B161"/>
    <mergeCell ref="C161:D161"/>
    <mergeCell ref="A163:B163"/>
    <mergeCell ref="C183:D183"/>
    <mergeCell ref="F183:G183"/>
    <mergeCell ref="A169:B183"/>
    <mergeCell ref="C177:D177"/>
    <mergeCell ref="F177:G177"/>
    <mergeCell ref="C178:D178"/>
    <mergeCell ref="F178:G178"/>
    <mergeCell ref="C179:D179"/>
    <mergeCell ref="F179:G179"/>
    <mergeCell ref="C180:D180"/>
    <mergeCell ref="F180:G180"/>
    <mergeCell ref="C181:D181"/>
    <mergeCell ref="C209:D209"/>
    <mergeCell ref="C210:D210"/>
    <mergeCell ref="F210:G210"/>
    <mergeCell ref="C211:D211"/>
    <mergeCell ref="F211:G211"/>
    <mergeCell ref="C205:D205"/>
    <mergeCell ref="F205:G205"/>
    <mergeCell ref="A184:I184"/>
    <mergeCell ref="C185:D185"/>
    <mergeCell ref="F185:G185"/>
    <mergeCell ref="C186:D186"/>
    <mergeCell ref="F186:G186"/>
    <mergeCell ref="A185:B195"/>
    <mergeCell ref="C187:D187"/>
    <mergeCell ref="F187:G187"/>
    <mergeCell ref="C188:D188"/>
    <mergeCell ref="F188:G188"/>
    <mergeCell ref="C189:D189"/>
    <mergeCell ref="F189:G189"/>
    <mergeCell ref="C190:D190"/>
    <mergeCell ref="F190:G190"/>
    <mergeCell ref="C191:D191"/>
    <mergeCell ref="F191:G191"/>
    <mergeCell ref="C192:D192"/>
    <mergeCell ref="F192:G192"/>
    <mergeCell ref="F197:G197"/>
    <mergeCell ref="C207:D207"/>
    <mergeCell ref="F207:G207"/>
    <mergeCell ref="C194:D194"/>
    <mergeCell ref="F194:G194"/>
    <mergeCell ref="C195:D195"/>
    <mergeCell ref="F195:G195"/>
    <mergeCell ref="C202:D202"/>
    <mergeCell ref="F202:G202"/>
    <mergeCell ref="C200:D200"/>
    <mergeCell ref="F200:G200"/>
    <mergeCell ref="C199:D199"/>
    <mergeCell ref="C204:D204"/>
    <mergeCell ref="F204:G204"/>
    <mergeCell ref="C193:D193"/>
    <mergeCell ref="F193:G193"/>
    <mergeCell ref="A209:B219"/>
    <mergeCell ref="F198:G198"/>
    <mergeCell ref="C219:D219"/>
    <mergeCell ref="F219:G219"/>
    <mergeCell ref="E209:I209"/>
    <mergeCell ref="A220:I220"/>
    <mergeCell ref="A221:I221"/>
    <mergeCell ref="C216:D216"/>
    <mergeCell ref="F216:G216"/>
    <mergeCell ref="C217:D217"/>
    <mergeCell ref="F217:G217"/>
    <mergeCell ref="C218:D218"/>
    <mergeCell ref="F218:G218"/>
    <mergeCell ref="F212:G212"/>
    <mergeCell ref="C213:D213"/>
    <mergeCell ref="F213:G213"/>
    <mergeCell ref="C214:D214"/>
    <mergeCell ref="F214:G214"/>
    <mergeCell ref="C206:D206"/>
    <mergeCell ref="F206:G206"/>
    <mergeCell ref="C201:D201"/>
    <mergeCell ref="F201:G201"/>
    <mergeCell ref="C203:D203"/>
    <mergeCell ref="F203:G203"/>
    <mergeCell ref="C234:D234"/>
    <mergeCell ref="F234:G234"/>
    <mergeCell ref="C235:D235"/>
    <mergeCell ref="F235:G235"/>
    <mergeCell ref="C215:D215"/>
    <mergeCell ref="C222:D222"/>
    <mergeCell ref="F222:G222"/>
    <mergeCell ref="C223:D223"/>
    <mergeCell ref="F223:G223"/>
    <mergeCell ref="C224:D224"/>
    <mergeCell ref="F224:G224"/>
    <mergeCell ref="F228:G228"/>
    <mergeCell ref="C229:D229"/>
    <mergeCell ref="F229:G229"/>
    <mergeCell ref="C230:D230"/>
    <mergeCell ref="F230:G230"/>
    <mergeCell ref="C225:D225"/>
    <mergeCell ref="F225:G225"/>
    <mergeCell ref="C226:D226"/>
    <mergeCell ref="F226:G226"/>
    <mergeCell ref="C227:D227"/>
    <mergeCell ref="F227:G227"/>
    <mergeCell ref="F215:G215"/>
    <mergeCell ref="A308:I308"/>
    <mergeCell ref="C309:D309"/>
    <mergeCell ref="F309:G309"/>
    <mergeCell ref="A259:I259"/>
    <mergeCell ref="C260:D260"/>
    <mergeCell ref="F260:G260"/>
    <mergeCell ref="C261:D261"/>
    <mergeCell ref="F261:G261"/>
    <mergeCell ref="C262:D262"/>
    <mergeCell ref="F262:G262"/>
    <mergeCell ref="C263:D263"/>
    <mergeCell ref="F263:G263"/>
    <mergeCell ref="C268:D268"/>
    <mergeCell ref="F268:G268"/>
    <mergeCell ref="C269:D269"/>
    <mergeCell ref="F269:G269"/>
    <mergeCell ref="C270:D270"/>
    <mergeCell ref="F270:G270"/>
    <mergeCell ref="A260:B270"/>
    <mergeCell ref="C264:D264"/>
    <mergeCell ref="F264:G264"/>
    <mergeCell ref="C265:D265"/>
    <mergeCell ref="F265:G265"/>
    <mergeCell ref="C266:D266"/>
    <mergeCell ref="C315:D315"/>
    <mergeCell ref="F315:G315"/>
    <mergeCell ref="C310:D310"/>
    <mergeCell ref="F310:G310"/>
    <mergeCell ref="C311:D311"/>
    <mergeCell ref="F311:G311"/>
    <mergeCell ref="C312:D312"/>
    <mergeCell ref="F312:G312"/>
    <mergeCell ref="C313:D313"/>
    <mergeCell ref="F313:G313"/>
    <mergeCell ref="C314:D314"/>
    <mergeCell ref="F314:G314"/>
    <mergeCell ref="C324:D324"/>
    <mergeCell ref="F324:G324"/>
    <mergeCell ref="C325:D325"/>
    <mergeCell ref="F325:G325"/>
    <mergeCell ref="C316:D316"/>
    <mergeCell ref="F316:G316"/>
    <mergeCell ref="C317:D317"/>
    <mergeCell ref="F317:G317"/>
    <mergeCell ref="C319:D319"/>
    <mergeCell ref="F319:G319"/>
    <mergeCell ref="F322:G322"/>
    <mergeCell ref="F323:G323"/>
    <mergeCell ref="C320:D320"/>
    <mergeCell ref="F320:G320"/>
    <mergeCell ref="C321:D321"/>
    <mergeCell ref="F321:G321"/>
    <mergeCell ref="C322:D322"/>
    <mergeCell ref="C323:D323"/>
    <mergeCell ref="F266:G266"/>
    <mergeCell ref="C267:D267"/>
    <mergeCell ref="F267:G267"/>
    <mergeCell ref="C286:D286"/>
    <mergeCell ref="F286:G286"/>
    <mergeCell ref="C287:D287"/>
    <mergeCell ref="F287:G287"/>
    <mergeCell ref="A283:I283"/>
    <mergeCell ref="C284:D284"/>
    <mergeCell ref="F284:G284"/>
    <mergeCell ref="A271:I271"/>
    <mergeCell ref="C272:D272"/>
    <mergeCell ref="F272:G272"/>
    <mergeCell ref="C273:D273"/>
    <mergeCell ref="F273:G273"/>
    <mergeCell ref="C274:D274"/>
    <mergeCell ref="F274:G274"/>
    <mergeCell ref="C275:D275"/>
    <mergeCell ref="F275:G275"/>
    <mergeCell ref="C281:D281"/>
    <mergeCell ref="F281:G281"/>
    <mergeCell ref="A272:B282"/>
    <mergeCell ref="A284:B294"/>
    <mergeCell ref="C276:D276"/>
    <mergeCell ref="A296:I296"/>
    <mergeCell ref="C279:D279"/>
    <mergeCell ref="F279:G279"/>
    <mergeCell ref="C280:D280"/>
    <mergeCell ref="F280:G280"/>
    <mergeCell ref="C288:D288"/>
    <mergeCell ref="F288:G288"/>
    <mergeCell ref="C289:D289"/>
    <mergeCell ref="F289:G289"/>
    <mergeCell ref="C290:D290"/>
    <mergeCell ref="F290:G290"/>
    <mergeCell ref="C285:D285"/>
    <mergeCell ref="F285:G285"/>
    <mergeCell ref="C293:D293"/>
    <mergeCell ref="F293:G293"/>
    <mergeCell ref="E292:I292"/>
    <mergeCell ref="F276:G276"/>
    <mergeCell ref="C277:D277"/>
    <mergeCell ref="F277:G277"/>
    <mergeCell ref="C278:D278"/>
    <mergeCell ref="F278:G278"/>
    <mergeCell ref="A295:I295"/>
    <mergeCell ref="A238:B258"/>
    <mergeCell ref="C252:D252"/>
    <mergeCell ref="F252:G252"/>
    <mergeCell ref="C253:D253"/>
    <mergeCell ref="F253:G253"/>
    <mergeCell ref="C254:D254"/>
    <mergeCell ref="F254:G254"/>
    <mergeCell ref="C239:D239"/>
    <mergeCell ref="C240:D240"/>
    <mergeCell ref="F240:G240"/>
    <mergeCell ref="C241:D241"/>
    <mergeCell ref="F241:G241"/>
    <mergeCell ref="F239:G239"/>
    <mergeCell ref="C242:D242"/>
    <mergeCell ref="F242:G242"/>
    <mergeCell ref="C243:D243"/>
    <mergeCell ref="F243:G243"/>
    <mergeCell ref="C244:D244"/>
    <mergeCell ref="C306:D306"/>
    <mergeCell ref="F306:G306"/>
    <mergeCell ref="C303:D303"/>
    <mergeCell ref="F303:G303"/>
    <mergeCell ref="C304:D304"/>
    <mergeCell ref="F304:G304"/>
    <mergeCell ref="C305:D305"/>
    <mergeCell ref="F305:G305"/>
    <mergeCell ref="C255:D255"/>
    <mergeCell ref="F255:G255"/>
    <mergeCell ref="C256:D256"/>
    <mergeCell ref="F256:G256"/>
    <mergeCell ref="C257:D257"/>
    <mergeCell ref="F257:G257"/>
    <mergeCell ref="C300:D300"/>
    <mergeCell ref="F300:G300"/>
    <mergeCell ref="C301:D301"/>
    <mergeCell ref="F301:G301"/>
    <mergeCell ref="C302:D302"/>
    <mergeCell ref="C294:D294"/>
    <mergeCell ref="F294:G294"/>
    <mergeCell ref="C291:D291"/>
    <mergeCell ref="F291:G291"/>
    <mergeCell ref="C292:D292"/>
    <mergeCell ref="C334:D334"/>
    <mergeCell ref="F334:G334"/>
    <mergeCell ref="C329:D329"/>
    <mergeCell ref="F329:G329"/>
    <mergeCell ref="C330:D330"/>
    <mergeCell ref="F330:G330"/>
    <mergeCell ref="C331:D331"/>
    <mergeCell ref="F331:G331"/>
    <mergeCell ref="C258:D258"/>
    <mergeCell ref="F258:G258"/>
    <mergeCell ref="A326:I326"/>
    <mergeCell ref="C327:D327"/>
    <mergeCell ref="F327:G327"/>
    <mergeCell ref="C328:D328"/>
    <mergeCell ref="F328:G328"/>
    <mergeCell ref="F302:G302"/>
    <mergeCell ref="C297:D297"/>
    <mergeCell ref="F297:G297"/>
    <mergeCell ref="C298:D298"/>
    <mergeCell ref="F298:G298"/>
    <mergeCell ref="C299:D299"/>
    <mergeCell ref="F299:G299"/>
    <mergeCell ref="C282:D282"/>
    <mergeCell ref="F282:G282"/>
    <mergeCell ref="A350:I350"/>
    <mergeCell ref="C351:D351"/>
    <mergeCell ref="F351:G351"/>
    <mergeCell ref="C365:D365"/>
    <mergeCell ref="F365:G365"/>
    <mergeCell ref="C341:D341"/>
    <mergeCell ref="F341:G341"/>
    <mergeCell ref="C342:D342"/>
    <mergeCell ref="F342:G342"/>
    <mergeCell ref="C343:D343"/>
    <mergeCell ref="F343:G343"/>
    <mergeCell ref="F356:G356"/>
    <mergeCell ref="C357:D357"/>
    <mergeCell ref="F392:G392"/>
    <mergeCell ref="C381:D381"/>
    <mergeCell ref="F381:G381"/>
    <mergeCell ref="C367:D367"/>
    <mergeCell ref="F367:G367"/>
    <mergeCell ref="A362:I362"/>
    <mergeCell ref="C364:D364"/>
    <mergeCell ref="F364:G364"/>
    <mergeCell ref="C354:D354"/>
    <mergeCell ref="F354:G354"/>
    <mergeCell ref="F371:G371"/>
    <mergeCell ref="C372:D372"/>
    <mergeCell ref="F357:G357"/>
    <mergeCell ref="C358:D358"/>
    <mergeCell ref="A363:I363"/>
    <mergeCell ref="C359:D359"/>
    <mergeCell ref="C360:D360"/>
    <mergeCell ref="F360:G360"/>
    <mergeCell ref="C361:D361"/>
    <mergeCell ref="F361:G361"/>
    <mergeCell ref="E359:I359"/>
    <mergeCell ref="F366:G366"/>
    <mergeCell ref="C366:D366"/>
    <mergeCell ref="C371:D371"/>
    <mergeCell ref="C408:D408"/>
    <mergeCell ref="F408:G408"/>
    <mergeCell ref="C404:D404"/>
    <mergeCell ref="F404:G404"/>
    <mergeCell ref="C405:D405"/>
    <mergeCell ref="F405:G405"/>
    <mergeCell ref="C406:D406"/>
    <mergeCell ref="A400:I400"/>
    <mergeCell ref="C401:D401"/>
    <mergeCell ref="C402:D402"/>
    <mergeCell ref="F402:G402"/>
    <mergeCell ref="E401:I401"/>
    <mergeCell ref="A401:B411"/>
    <mergeCell ref="C409:D409"/>
    <mergeCell ref="F409:G409"/>
    <mergeCell ref="C410:D410"/>
    <mergeCell ref="F410:G410"/>
    <mergeCell ref="C411:D411"/>
    <mergeCell ref="F411:G411"/>
    <mergeCell ref="C403:D403"/>
    <mergeCell ref="F403:G403"/>
    <mergeCell ref="C384:D384"/>
    <mergeCell ref="F384:G384"/>
    <mergeCell ref="F358:G358"/>
    <mergeCell ref="F373:G373"/>
    <mergeCell ref="F378:G378"/>
    <mergeCell ref="C379:D379"/>
    <mergeCell ref="F379:G379"/>
    <mergeCell ref="F406:G406"/>
    <mergeCell ref="C407:D407"/>
    <mergeCell ref="F407:G407"/>
    <mergeCell ref="C385:D385"/>
    <mergeCell ref="F385:G385"/>
    <mergeCell ref="C386:D386"/>
    <mergeCell ref="F386:G386"/>
    <mergeCell ref="C398:D398"/>
    <mergeCell ref="F398:G398"/>
    <mergeCell ref="C377:D377"/>
    <mergeCell ref="F377:G377"/>
    <mergeCell ref="C373:D373"/>
    <mergeCell ref="C368:D368"/>
    <mergeCell ref="F368:G368"/>
    <mergeCell ref="C369:D369"/>
    <mergeCell ref="F369:G369"/>
    <mergeCell ref="C370:D370"/>
    <mergeCell ref="C393:D393"/>
    <mergeCell ref="F393:G393"/>
    <mergeCell ref="C387:D387"/>
    <mergeCell ref="F387:G387"/>
    <mergeCell ref="A388:I388"/>
    <mergeCell ref="C389:D389"/>
    <mergeCell ref="F389:G389"/>
    <mergeCell ref="C390:D390"/>
    <mergeCell ref="F390:G390"/>
    <mergeCell ref="A377:B387"/>
    <mergeCell ref="A389:B399"/>
    <mergeCell ref="C399:D399"/>
    <mergeCell ref="F399:G399"/>
    <mergeCell ref="C397:D397"/>
    <mergeCell ref="F397:G397"/>
    <mergeCell ref="C394:D394"/>
    <mergeCell ref="F394:G394"/>
    <mergeCell ref="C395:D395"/>
    <mergeCell ref="F395:G395"/>
    <mergeCell ref="C396:D396"/>
    <mergeCell ref="F396:G396"/>
    <mergeCell ref="C391:D391"/>
    <mergeCell ref="F391:G391"/>
    <mergeCell ref="C392:D392"/>
    <mergeCell ref="C382:D382"/>
    <mergeCell ref="F382:G382"/>
    <mergeCell ref="C383:D383"/>
    <mergeCell ref="F383:G383"/>
    <mergeCell ref="C378:D378"/>
    <mergeCell ref="A162:B162"/>
    <mergeCell ref="C162:D162"/>
    <mergeCell ref="F162:G162"/>
    <mergeCell ref="F370:G370"/>
    <mergeCell ref="F372:G372"/>
    <mergeCell ref="C352:D352"/>
    <mergeCell ref="F352:G352"/>
    <mergeCell ref="C353:D353"/>
    <mergeCell ref="F353:G353"/>
    <mergeCell ref="C355:D355"/>
    <mergeCell ref="A351:B361"/>
    <mergeCell ref="A364:B375"/>
    <mergeCell ref="C344:D344"/>
    <mergeCell ref="F344:G344"/>
    <mergeCell ref="C345:D345"/>
    <mergeCell ref="F345:G345"/>
    <mergeCell ref="C346:D346"/>
    <mergeCell ref="A222:B236"/>
    <mergeCell ref="C228:D228"/>
    <mergeCell ref="C380:D380"/>
    <mergeCell ref="F380:G380"/>
    <mergeCell ref="A376:I376"/>
    <mergeCell ref="F249:G249"/>
    <mergeCell ref="C250:D250"/>
    <mergeCell ref="F250:G250"/>
    <mergeCell ref="C245:D245"/>
    <mergeCell ref="F245:G245"/>
    <mergeCell ref="C247:D247"/>
    <mergeCell ref="F247:G247"/>
    <mergeCell ref="C246:D246"/>
    <mergeCell ref="F246:G246"/>
    <mergeCell ref="C375:D375"/>
    <mergeCell ref="F375:G375"/>
    <mergeCell ref="C307:D307"/>
    <mergeCell ref="F307:G307"/>
    <mergeCell ref="C318:D318"/>
    <mergeCell ref="F318:G318"/>
    <mergeCell ref="C374:D374"/>
    <mergeCell ref="F374:G374"/>
    <mergeCell ref="F355:G355"/>
    <mergeCell ref="C356:D356"/>
    <mergeCell ref="A297:B307"/>
    <mergeCell ref="A309:B325"/>
    <mergeCell ref="A327:B337"/>
    <mergeCell ref="A339:B349"/>
    <mergeCell ref="A338:I338"/>
    <mergeCell ref="C339:D339"/>
    <mergeCell ref="F339:G339"/>
    <mergeCell ref="C340:D340"/>
    <mergeCell ref="F340:G340"/>
    <mergeCell ref="C335:D335"/>
    <mergeCell ref="F335:G335"/>
    <mergeCell ref="C336:D336"/>
    <mergeCell ref="F336:G336"/>
    <mergeCell ref="C337:D337"/>
    <mergeCell ref="F337:G337"/>
    <mergeCell ref="C332:D332"/>
    <mergeCell ref="F332:G332"/>
    <mergeCell ref="C333:D333"/>
    <mergeCell ref="F333:G333"/>
    <mergeCell ref="F346:G346"/>
    <mergeCell ref="C347:D347"/>
    <mergeCell ref="F347:G347"/>
    <mergeCell ref="C348:D348"/>
    <mergeCell ref="F348:G348"/>
    <mergeCell ref="C349:D349"/>
    <mergeCell ref="F349:G349"/>
    <mergeCell ref="C130:D130"/>
    <mergeCell ref="A131:B131"/>
    <mergeCell ref="C131:D131"/>
    <mergeCell ref="A132:B132"/>
    <mergeCell ref="C132:D132"/>
    <mergeCell ref="C251:D251"/>
    <mergeCell ref="F251:G251"/>
    <mergeCell ref="C248:D248"/>
    <mergeCell ref="F248:G248"/>
    <mergeCell ref="C249:D249"/>
    <mergeCell ref="C163:D163"/>
    <mergeCell ref="F163:G163"/>
    <mergeCell ref="C236:D236"/>
    <mergeCell ref="F236:G236"/>
    <mergeCell ref="F244:G244"/>
    <mergeCell ref="A237:I237"/>
    <mergeCell ref="C238:D238"/>
    <mergeCell ref="F238:G238"/>
    <mergeCell ref="C231:D231"/>
    <mergeCell ref="F231:G231"/>
    <mergeCell ref="C232:D232"/>
    <mergeCell ref="F232:G232"/>
    <mergeCell ref="C233:D233"/>
    <mergeCell ref="F233:G233"/>
    <mergeCell ref="A120:B120"/>
    <mergeCell ref="C120:D120"/>
    <mergeCell ref="F120:G120"/>
    <mergeCell ref="A121:B121"/>
    <mergeCell ref="C121:D121"/>
    <mergeCell ref="F121:G132"/>
    <mergeCell ref="H121:I132"/>
    <mergeCell ref="A122:B122"/>
    <mergeCell ref="C122:D122"/>
    <mergeCell ref="A123:B123"/>
    <mergeCell ref="C123:D123"/>
    <mergeCell ref="A124:B124"/>
    <mergeCell ref="C124:D124"/>
    <mergeCell ref="A125:B125"/>
    <mergeCell ref="C125:D125"/>
    <mergeCell ref="A126:B126"/>
    <mergeCell ref="C126:D126"/>
    <mergeCell ref="A127:B127"/>
    <mergeCell ref="C127:D127"/>
    <mergeCell ref="A128:B128"/>
    <mergeCell ref="C128:D128"/>
    <mergeCell ref="A129:B129"/>
    <mergeCell ref="C129:D129"/>
    <mergeCell ref="A130:B130"/>
  </mergeCells>
  <hyperlinks>
    <hyperlink ref="C23" r:id="rId1" xr:uid="{00000000-0004-0000-0000-000001000000}"/>
  </hyperlinks>
  <printOptions horizontalCentered="1"/>
  <pageMargins left="0.27559055118110198" right="0.27559055118110198" top="0.70866141732283505" bottom="0.47244094488188998" header="0.15748031496063" footer="0.15748031496063"/>
  <pageSetup paperSize="9" scale="63" fitToHeight="0" orientation="portrait" r:id="rId2"/>
  <headerFooter>
    <oddHeader>&amp;C&amp;25&amp;G</oddHeader>
    <oddFooter>&amp;L&amp;"Times New Roman,Bold"&amp;16Ref No: &amp;F&amp;R&amp;"Times New Roman,Bold"&amp;16&amp;P</oddFooter>
  </headerFooter>
  <rowBreaks count="6" manualBreakCount="6">
    <brk id="84" max="16383" man="1"/>
    <brk id="116" max="16383" man="1"/>
    <brk id="163" max="16383" man="1"/>
    <brk id="413" max="8" man="1"/>
    <brk id="471" max="16383" man="1"/>
    <brk id="513" max="16383"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2025-08-08T10:42:22Z</cp:lastPrinted>
  <dcterms:created xsi:type="dcterms:W3CDTF">2010-11-23T11:42:48Z</dcterms:created>
  <dcterms:modified xsi:type="dcterms:W3CDTF">2025-08-08T10:43:19Z</dcterms:modified>
</cp:coreProperties>
</file>