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defaultThemeVersion="124226"/>
  <mc:AlternateContent xmlns:mc="http://schemas.openxmlformats.org/markup-compatibility/2006">
    <mc:Choice Requires="x15">
      <x15ac:absPath xmlns:x15ac="http://schemas.microsoft.com/office/spreadsheetml/2010/11/ac" url="D:\Gaurav\Aug 25\GHFL\OLD\"/>
    </mc:Choice>
  </mc:AlternateContent>
  <xr:revisionPtr revIDLastSave="0" documentId="13_ncr:1_{FF1C9906-8C5F-406B-9183-24C7CA8D05E0}" xr6:coauthVersionLast="36" xr6:coauthVersionMax="36" xr10:uidLastSave="{00000000-0000-0000-0000-000000000000}"/>
  <bookViews>
    <workbookView xWindow="0" yWindow="0" windowWidth="20490" windowHeight="6825" xr2:uid="{00000000-000D-0000-FFFF-FFFF00000000}"/>
  </bookViews>
  <sheets>
    <sheet name="Report" sheetId="3" r:id="rId1"/>
    <sheet name="Construction table" sheetId="4" r:id="rId2"/>
    <sheet name="Remarks" sheetId="5" r:id="rId3"/>
    <sheet name="Area Calculation" sheetId="6" r:id="rId4"/>
  </sheets>
  <definedNames>
    <definedName name="_xlnm.Print_Area" localSheetId="0">Report!$A$1:$H$388</definedName>
  </definedNames>
  <calcPr calcId="191029"/>
</workbook>
</file>

<file path=xl/calcChain.xml><?xml version="1.0" encoding="utf-8"?>
<calcChain xmlns="http://schemas.openxmlformats.org/spreadsheetml/2006/main">
  <c r="C68" i="3" l="1"/>
  <c r="C69" i="3" s="1"/>
  <c r="C70" i="3" s="1"/>
  <c r="J2" i="3"/>
  <c r="D267" i="3" l="1"/>
  <c r="G116" i="3"/>
  <c r="G115" i="3"/>
  <c r="E208" i="3"/>
  <c r="I144" i="3"/>
  <c r="D265" i="3"/>
  <c r="E218" i="3"/>
  <c r="H218" i="3" s="1"/>
  <c r="E217" i="3"/>
  <c r="H217" i="3" s="1"/>
  <c r="E215" i="3"/>
  <c r="H215" i="3" s="1"/>
  <c r="E212" i="3"/>
  <c r="H212" i="3" s="1"/>
  <c r="E213" i="3"/>
  <c r="H213" i="3" s="1"/>
  <c r="E210" i="3"/>
  <c r="H210" i="3" s="1"/>
  <c r="E206" i="3"/>
  <c r="H206" i="3" s="1"/>
  <c r="E205" i="3"/>
  <c r="H205" i="3" s="1"/>
  <c r="E204" i="3"/>
  <c r="H204" i="3" s="1"/>
  <c r="H208" i="3"/>
  <c r="A211" i="3"/>
  <c r="A212" i="3" s="1"/>
  <c r="A213" i="3" s="1"/>
  <c r="E201" i="3"/>
  <c r="E200" i="3"/>
  <c r="H200" i="3" s="1"/>
  <c r="E199" i="3"/>
  <c r="H199" i="3" s="1"/>
  <c r="E196" i="3"/>
  <c r="H196" i="3" s="1"/>
  <c r="E195" i="3"/>
  <c r="H195" i="3" s="1"/>
  <c r="A205" i="3"/>
  <c r="A206" i="3" s="1"/>
  <c r="A208" i="3" s="1"/>
  <c r="H201" i="3"/>
  <c r="A200" i="3"/>
  <c r="A201" i="3" s="1"/>
  <c r="A202" i="3" s="1"/>
  <c r="A216" i="3"/>
  <c r="A217" i="3" s="1"/>
  <c r="A218" i="3" s="1"/>
  <c r="A195" i="3"/>
  <c r="A196" i="3" s="1"/>
  <c r="A197" i="3" s="1"/>
  <c r="E192" i="3"/>
  <c r="H192" i="3" s="1"/>
  <c r="E191" i="3"/>
  <c r="H191" i="3" s="1"/>
  <c r="E190" i="3"/>
  <c r="H190" i="3" s="1"/>
  <c r="E189" i="3"/>
  <c r="H189" i="3" s="1"/>
  <c r="E184" i="3"/>
  <c r="H184" i="3" s="1"/>
  <c r="A190" i="3"/>
  <c r="A191" i="3" s="1"/>
  <c r="A192" i="3" s="1"/>
  <c r="E186" i="3"/>
  <c r="H186" i="3" s="1"/>
  <c r="E185" i="3"/>
  <c r="H185" i="3" s="1"/>
  <c r="A185" i="3"/>
  <c r="A186" i="3" s="1"/>
  <c r="A187" i="3" s="1"/>
  <c r="E173" i="3"/>
  <c r="H173" i="3" s="1"/>
  <c r="E172" i="3"/>
  <c r="H172" i="3" s="1"/>
  <c r="E171" i="3"/>
  <c r="H171" i="3" s="1"/>
  <c r="E168" i="3"/>
  <c r="H168" i="3" s="1"/>
  <c r="E167" i="3"/>
  <c r="H167" i="3" s="1"/>
  <c r="E166" i="3"/>
  <c r="H166" i="3" s="1"/>
  <c r="A167" i="3"/>
  <c r="A168" i="3" s="1"/>
  <c r="A169" i="3" s="1"/>
  <c r="E164" i="3"/>
  <c r="H164" i="3" s="1"/>
  <c r="E163" i="3"/>
  <c r="H163" i="3" s="1"/>
  <c r="E162" i="3"/>
  <c r="H162" i="3" s="1"/>
  <c r="E160" i="3"/>
  <c r="H160" i="3" s="1"/>
  <c r="A162" i="3"/>
  <c r="A163" i="3" s="1"/>
  <c r="A164" i="3" s="1"/>
  <c r="E158" i="3"/>
  <c r="H158" i="3" s="1"/>
  <c r="E157" i="3"/>
  <c r="H157" i="3" s="1"/>
  <c r="E155" i="3"/>
  <c r="H155" i="3" s="1"/>
  <c r="A156" i="3"/>
  <c r="A157" i="3" s="1"/>
  <c r="A158" i="3" s="1"/>
  <c r="E153" i="3"/>
  <c r="H153" i="3" s="1"/>
  <c r="E152" i="3"/>
  <c r="H152" i="3" s="1"/>
  <c r="A151" i="3"/>
  <c r="A152" i="3" s="1"/>
  <c r="A153" i="3" s="1"/>
  <c r="A172" i="3"/>
  <c r="A173" i="3" s="1"/>
  <c r="A174" i="3" s="1"/>
  <c r="E146" i="3"/>
  <c r="H146" i="3" s="1"/>
  <c r="E148" i="3"/>
  <c r="H148" i="3" s="1"/>
  <c r="E147" i="3"/>
  <c r="H147" i="3" s="1"/>
  <c r="E145" i="3"/>
  <c r="H145" i="3" s="1"/>
  <c r="A146" i="3"/>
  <c r="A147" i="3" s="1"/>
  <c r="A148" i="3" s="1"/>
  <c r="E143" i="3"/>
  <c r="H143" i="3" s="1"/>
  <c r="E142" i="3"/>
  <c r="H142" i="3" s="1"/>
  <c r="E140" i="3"/>
  <c r="H140" i="3" s="1"/>
  <c r="J140" i="3"/>
  <c r="I140" i="3"/>
  <c r="A221" i="3"/>
  <c r="A222" i="3" s="1"/>
  <c r="A223" i="3" s="1"/>
  <c r="A141" i="3"/>
  <c r="A142" i="3" s="1"/>
  <c r="A143" i="3" s="1"/>
  <c r="H53" i="3"/>
  <c r="C53" i="3"/>
  <c r="K22" i="3"/>
  <c r="J22" i="3"/>
  <c r="C17" i="3"/>
  <c r="G125" i="3" l="1"/>
  <c r="G126" i="3"/>
  <c r="E125" i="3"/>
  <c r="E127" i="3" s="1"/>
  <c r="E128" i="3" s="1"/>
  <c r="E126" i="3"/>
  <c r="H220" i="3"/>
  <c r="G127" i="3" l="1"/>
  <c r="L41" i="6"/>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L42" i="6" s="1"/>
  <c r="K42" i="6" s="1"/>
  <c r="I6" i="6"/>
  <c r="E6" i="6"/>
  <c r="E42" i="6" l="1"/>
  <c r="I42" i="6"/>
  <c r="H42" i="6" s="1"/>
  <c r="D42" i="6"/>
  <c r="D44" i="6" s="1"/>
  <c r="E44" i="6" l="1"/>
  <c r="C26" i="3"/>
  <c r="C18" i="3"/>
  <c r="H254" i="3"/>
  <c r="H253" i="3"/>
  <c r="H252" i="3"/>
  <c r="H251" i="3"/>
  <c r="H250" i="3"/>
  <c r="H249" i="3"/>
  <c r="H248" i="3"/>
  <c r="H247" i="3"/>
  <c r="H245" i="3"/>
  <c r="H244" i="3"/>
  <c r="H243" i="3"/>
  <c r="H242" i="3"/>
  <c r="H241" i="3"/>
  <c r="H240" i="3"/>
  <c r="H239" i="3"/>
  <c r="H238" i="3"/>
  <c r="H236" i="3"/>
  <c r="H235" i="3"/>
  <c r="H234" i="3"/>
  <c r="H233" i="3"/>
  <c r="H232" i="3"/>
  <c r="H231" i="3"/>
  <c r="H230" i="3"/>
  <c r="H229" i="3"/>
  <c r="H221" i="3"/>
  <c r="H222" i="3"/>
  <c r="H223" i="3"/>
  <c r="H224" i="3"/>
  <c r="H225" i="3"/>
  <c r="H226" i="3"/>
  <c r="H227" i="3"/>
  <c r="G122" i="3" l="1"/>
  <c r="E122" i="3"/>
  <c r="A94" i="3"/>
  <c r="D95" i="3" s="1"/>
  <c r="J104" i="3" s="1"/>
  <c r="A78" i="3"/>
  <c r="A62" i="3"/>
  <c r="J103" i="3" l="1"/>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H79" i="3"/>
  <c r="I5" i="4"/>
  <c r="F38" i="4" l="1"/>
  <c r="G38" i="4"/>
  <c r="E18" i="4"/>
  <c r="E15" i="4"/>
  <c r="E17" i="4"/>
  <c r="E11" i="4"/>
  <c r="K6" i="4"/>
  <c r="E9" i="4"/>
  <c r="K8" i="4"/>
  <c r="C7" i="4" s="1"/>
  <c r="E14" i="4"/>
  <c r="E12" i="4"/>
  <c r="E16" i="4"/>
  <c r="E10" i="4"/>
  <c r="K9" i="4"/>
  <c r="K10" i="4" s="1"/>
  <c r="K11" i="4" s="1"/>
  <c r="E13" i="4"/>
  <c r="K7" i="4"/>
  <c r="J88" i="3"/>
  <c r="J87" i="3"/>
  <c r="K12" i="4" l="1"/>
  <c r="K16" i="4" s="1"/>
  <c r="C8" i="4" s="1"/>
  <c r="E8" i="4" s="1"/>
  <c r="E7" i="4"/>
  <c r="A224" i="3"/>
  <c r="A225" i="3" s="1"/>
  <c r="A226" i="3" s="1"/>
  <c r="A227" i="3" s="1"/>
  <c r="F7" i="4" l="1"/>
  <c r="J4" i="4" s="1"/>
  <c r="H7" i="4" s="1"/>
  <c r="G4" i="3" l="1"/>
  <c r="H122" i="3" l="1"/>
  <c r="G128" i="3" s="1"/>
  <c r="D266" i="3" l="1"/>
  <c r="G117" i="3"/>
  <c r="J72" i="3"/>
  <c r="J71" i="3"/>
  <c r="H63" i="3"/>
  <c r="J67" i="3" l="1"/>
  <c r="D72" i="3"/>
  <c r="D69" i="3"/>
  <c r="D67" i="3"/>
  <c r="J65" i="3"/>
  <c r="D76" i="3"/>
  <c r="D74" i="3"/>
  <c r="D71" i="3"/>
  <c r="D68" i="3"/>
  <c r="J66" i="3"/>
  <c r="J64" i="3"/>
  <c r="D75" i="3"/>
  <c r="D73" i="3"/>
  <c r="D70" i="3"/>
  <c r="D92" i="3" l="1"/>
  <c r="D84" i="3"/>
  <c r="D87" i="3"/>
  <c r="J81" i="3"/>
  <c r="D91" i="3"/>
  <c r="D85" i="3"/>
  <c r="J80" i="3"/>
  <c r="D90" i="3"/>
  <c r="J83" i="3"/>
  <c r="J84" i="3" s="1"/>
  <c r="D89" i="3"/>
  <c r="D83" i="3"/>
  <c r="J82" i="3"/>
  <c r="C81" i="3" s="1"/>
  <c r="D88" i="3"/>
  <c r="D86" i="3"/>
  <c r="J68" i="3"/>
  <c r="J73" i="3" s="1"/>
  <c r="C65" i="3"/>
  <c r="D81" i="3" l="1"/>
  <c r="J85" i="3"/>
  <c r="J89" i="3"/>
  <c r="J86" i="3"/>
  <c r="D65" i="3"/>
  <c r="J69" i="3"/>
  <c r="H95" i="3"/>
  <c r="J90" i="3" l="1"/>
  <c r="C82" i="3" s="1"/>
  <c r="D108" i="3"/>
  <c r="D107" i="3"/>
  <c r="D101" i="3"/>
  <c r="J98" i="3"/>
  <c r="C97" i="3" s="1"/>
  <c r="D103" i="3"/>
  <c r="D102" i="3"/>
  <c r="J96" i="3"/>
  <c r="D106" i="3"/>
  <c r="D100" i="3"/>
  <c r="J99" i="3"/>
  <c r="J100" i="3" s="1"/>
  <c r="J101" i="3" s="1"/>
  <c r="J102" i="3" s="1"/>
  <c r="D105" i="3"/>
  <c r="D99" i="3"/>
  <c r="J97" i="3"/>
  <c r="D104" i="3"/>
  <c r="J70" i="3"/>
  <c r="D82" i="3" l="1"/>
  <c r="E81" i="3"/>
  <c r="I78" i="3" s="1"/>
  <c r="G81" i="3" s="1"/>
  <c r="J105" i="3"/>
  <c r="J106" i="3" s="1"/>
  <c r="C98" i="3" s="1"/>
  <c r="D98" i="3" s="1"/>
  <c r="D97" i="3"/>
  <c r="J74" i="3"/>
  <c r="C66" i="3" s="1"/>
  <c r="U229" i="3"/>
  <c r="U247" i="3"/>
  <c r="U238" i="3"/>
  <c r="V229" i="3"/>
  <c r="V247" i="3"/>
  <c r="V238" i="3"/>
  <c r="E97" i="3" l="1"/>
  <c r="I94" i="3" s="1"/>
  <c r="G97" i="3" s="1"/>
  <c r="E65" i="3"/>
  <c r="G109" i="3" s="1"/>
  <c r="T247" i="3"/>
  <c r="U248" i="3"/>
  <c r="V248" i="3"/>
  <c r="V249" i="3" s="1"/>
  <c r="V250" i="3" s="1"/>
  <c r="V251" i="3" s="1"/>
  <c r="V252" i="3" s="1"/>
  <c r="V253" i="3" s="1"/>
  <c r="V254" i="3" s="1"/>
  <c r="T238" i="3"/>
  <c r="U239" i="3"/>
  <c r="V239" i="3"/>
  <c r="V240" i="3" s="1"/>
  <c r="V241" i="3" s="1"/>
  <c r="V242" i="3" s="1"/>
  <c r="V243" i="3" s="1"/>
  <c r="V244" i="3" s="1"/>
  <c r="V245" i="3" s="1"/>
  <c r="V230" i="3"/>
  <c r="V231" i="3" s="1"/>
  <c r="V232" i="3" s="1"/>
  <c r="V233" i="3" s="1"/>
  <c r="V234" i="3" s="1"/>
  <c r="V235" i="3" s="1"/>
  <c r="V236" i="3" s="1"/>
  <c r="U230" i="3"/>
  <c r="T229" i="3"/>
  <c r="D66" i="3" l="1"/>
  <c r="I62" i="3"/>
  <c r="G65" i="3" s="1"/>
  <c r="A247" i="3"/>
  <c r="A238" i="3"/>
  <c r="A229" i="3"/>
  <c r="T248" i="3"/>
  <c r="A248" i="3" s="1"/>
  <c r="U249" i="3"/>
  <c r="T249" i="3" s="1"/>
  <c r="T239" i="3"/>
  <c r="A239" i="3" s="1"/>
  <c r="U240" i="3"/>
  <c r="T240" i="3" s="1"/>
  <c r="U231" i="3"/>
  <c r="T230" i="3"/>
  <c r="A230" i="3" s="1"/>
  <c r="A249" i="3" l="1"/>
  <c r="A240" i="3"/>
  <c r="U250" i="3"/>
  <c r="T250" i="3" s="1"/>
  <c r="U241" i="3"/>
  <c r="T241" i="3" s="1"/>
  <c r="U232" i="3"/>
  <c r="T231" i="3"/>
  <c r="A231" i="3" s="1"/>
  <c r="A250" i="3" l="1"/>
  <c r="A241" i="3"/>
  <c r="U251" i="3"/>
  <c r="T251" i="3" s="1"/>
  <c r="U242" i="3"/>
  <c r="T242" i="3" s="1"/>
  <c r="U233" i="3"/>
  <c r="T232" i="3"/>
  <c r="A232" i="3" s="1"/>
  <c r="A251" i="3" l="1"/>
  <c r="A242" i="3"/>
  <c r="U252" i="3"/>
  <c r="T252" i="3" s="1"/>
  <c r="U243" i="3"/>
  <c r="T243" i="3" s="1"/>
  <c r="U234" i="3"/>
  <c r="T233" i="3"/>
  <c r="A233" i="3" s="1"/>
  <c r="A252" i="3" l="1"/>
  <c r="A243" i="3"/>
  <c r="U253" i="3"/>
  <c r="T253" i="3" s="1"/>
  <c r="U244" i="3"/>
  <c r="T244" i="3" s="1"/>
  <c r="U235" i="3"/>
  <c r="T234" i="3"/>
  <c r="A234" i="3" s="1"/>
  <c r="A253" i="3" l="1"/>
  <c r="A244" i="3"/>
  <c r="U254" i="3"/>
  <c r="T254" i="3" s="1"/>
  <c r="U245" i="3"/>
  <c r="T245" i="3" s="1"/>
  <c r="U236" i="3"/>
  <c r="T235" i="3"/>
  <c r="A235" i="3" s="1"/>
  <c r="A254" i="3" l="1"/>
  <c r="A245" i="3"/>
  <c r="T236" i="3"/>
  <c r="A236"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000-000001000000}">
      <text>
        <r>
          <rPr>
            <b/>
            <sz val="18"/>
            <color indexed="81"/>
            <rFont val="Tahoma"/>
            <family val="2"/>
          </rPr>
          <t>SACHIN:</t>
        </r>
        <r>
          <rPr>
            <sz val="18"/>
            <color indexed="81"/>
            <rFont val="Tahoma"/>
            <family val="2"/>
          </rPr>
          <t xml:space="preserve">
As per initiation Mail</t>
        </r>
      </text>
    </comment>
    <comment ref="C10" authorId="0" shapeId="0" xr:uid="{00000000-0006-0000-0000-000002000000}">
      <text>
        <r>
          <rPr>
            <b/>
            <sz val="9"/>
            <color indexed="81"/>
            <rFont val="Tahoma"/>
            <family val="2"/>
          </rPr>
          <t>SACHIN:</t>
        </r>
        <r>
          <rPr>
            <sz val="9"/>
            <color indexed="81"/>
            <rFont val="Tahoma"/>
            <family val="2"/>
          </rPr>
          <t xml:space="preserve">
As per plans</t>
        </r>
      </text>
    </comment>
    <comment ref="C11" authorId="0" shapeId="0" xr:uid="{00000000-0006-0000-0000-000003000000}">
      <text>
        <r>
          <rPr>
            <b/>
            <sz val="9"/>
            <color indexed="81"/>
            <rFont val="Tahoma"/>
            <family val="2"/>
          </rPr>
          <t>SACHIN:</t>
        </r>
        <r>
          <rPr>
            <sz val="9"/>
            <color indexed="81"/>
            <rFont val="Tahoma"/>
            <family val="2"/>
          </rPr>
          <t xml:space="preserve">
As per maps</t>
        </r>
      </text>
    </comment>
    <comment ref="C17" authorId="0" shapeId="0" xr:uid="{00000000-0006-0000-0000-000004000000}">
      <text>
        <r>
          <rPr>
            <b/>
            <sz val="12"/>
            <color indexed="81"/>
            <rFont val="Tahoma"/>
            <family val="2"/>
          </rPr>
          <t>Maybe same as RERA Registration Validity or different</t>
        </r>
      </text>
    </comment>
    <comment ref="G17" authorId="0" shapeId="0" xr:uid="{00000000-0006-0000-0000-000005000000}">
      <text>
        <r>
          <rPr>
            <b/>
            <sz val="18"/>
            <color indexed="81"/>
            <rFont val="Tahoma"/>
            <family val="2"/>
          </rPr>
          <t>From Rera</t>
        </r>
      </text>
    </comment>
    <comment ref="G20" authorId="0" shapeId="0" xr:uid="{00000000-0006-0000-0000-000006000000}">
      <text>
        <r>
          <rPr>
            <b/>
            <sz val="16"/>
            <color indexed="81"/>
            <rFont val="Tahoma"/>
            <family val="2"/>
          </rPr>
          <t>From RERA</t>
        </r>
      </text>
    </comment>
    <comment ref="G21" authorId="0" shapeId="0" xr:uid="{00000000-0006-0000-0000-000007000000}">
      <text>
        <r>
          <rPr>
            <b/>
            <sz val="16"/>
            <color indexed="81"/>
            <rFont val="Tahoma"/>
            <family val="2"/>
          </rPr>
          <t>From RERA</t>
        </r>
      </text>
    </comment>
    <comment ref="G27" authorId="0" shapeId="0" xr:uid="{00000000-0006-0000-0000-000008000000}">
      <text>
        <r>
          <rPr>
            <b/>
            <sz val="12"/>
            <color indexed="81"/>
            <rFont val="Tahoma"/>
            <family val="2"/>
          </rPr>
          <t>SACHIN:</t>
        </r>
        <r>
          <rPr>
            <sz val="12"/>
            <color indexed="81"/>
            <rFont val="Tahoma"/>
            <family val="2"/>
          </rPr>
          <t xml:space="preserve">
Road size should be in metre</t>
        </r>
      </text>
    </comment>
    <comment ref="G115" authorId="0" shapeId="0" xr:uid="{00000000-0006-0000-0000-000009000000}">
      <text>
        <r>
          <rPr>
            <b/>
            <sz val="16"/>
            <color indexed="81"/>
            <rFont val="Tahoma"/>
            <family val="2"/>
          </rPr>
          <t>Ready Recknor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200-000001000000}">
      <text>
        <r>
          <rPr>
            <b/>
            <sz val="9"/>
            <color indexed="81"/>
            <rFont val="Tahoma"/>
            <family val="2"/>
          </rPr>
          <t>SACHIN:</t>
        </r>
        <r>
          <rPr>
            <sz val="9"/>
            <color indexed="81"/>
            <rFont val="Tahoma"/>
            <family val="2"/>
          </rPr>
          <t xml:space="preserve">
If banker changes the rate</t>
        </r>
      </text>
    </comment>
    <comment ref="C10" authorId="0" shapeId="0" xr:uid="{00000000-0006-0000-02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<sst xmlns="http://schemas.openxmlformats.org/spreadsheetml/2006/main" count="717" uniqueCount="389">
  <si>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</si>
  <si>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</si>
  <si>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</si>
  <si>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</si>
  <si>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</si>
  <si>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</si>
  <si>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</si>
  <si>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</si>
  <si>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</si>
  <si>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</si>
  <si>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</si>
  <si>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</si>
  <si>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</si>
  <si>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</si>
  <si>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</si>
  <si>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</si>
  <si>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</si>
  <si>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</si>
  <si>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</si>
  <si>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</si>
  <si>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</si>
  <si>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</si>
  <si>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</si>
  <si>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</si>
  <si>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</si>
  <si>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</si>
  <si>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</si>
  <si>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</si>
  <si>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</si>
  <si>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</si>
  <si>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</si>
  <si>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</si>
  <si>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</si>
  <si>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</si>
  <si>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</si>
  <si>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</si>
  <si>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</si>
  <si>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</si>
  <si>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</si>
  <si>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</si>
  <si>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</si>
  <si>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</si>
  <si>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</si>
  <si>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</si>
  <si>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</si>
  <si>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</si>
  <si>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</si>
  <si>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</si>
  <si>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</si>
  <si>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</si>
  <si>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</si>
  <si>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</si>
  <si>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</si>
  <si>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</si>
  <si>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</si>
  <si>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</si>
  <si>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</si>
  <si>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</si>
  <si>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</si>
  <si>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</si>
  <si>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</si>
  <si>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</si>
  <si>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</si>
  <si>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</si>
  <si>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</si>
  <si>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</si>
  <si>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</si>
  <si>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</si>
  <si>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</si>
  <si>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</si>
  <si>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</si>
  <si>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</si>
  <si>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</si>
  <si>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</si>
  <si>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</si>
  <si>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</si>
  <si>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</si>
  <si>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</si>
  <si>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</si>
  <si>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</si>
  <si>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</si>
  <si>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</si>
  <si>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</si>
  <si>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</si>
  <si>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</si>
  <si>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</si>
  <si>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</si>
  <si>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</si>
  <si>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</si>
  <si>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</si>
  <si>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</si>
  <si>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</si>
  <si>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</si>
  <si>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</si>
  <si>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</si>
  <si>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</si>
  <si>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</si>
  <si>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</si>
  <si>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</si>
  <si>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</si>
  <si>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</si>
  <si>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</si>
  <si>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</si>
  <si>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</si>
  <si>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</si>
  <si>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</si>
  <si>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</si>
  <si>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</si>
  <si>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</si>
  <si>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</si>
  <si>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</si>
  <si>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</si>
  <si>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</si>
  <si>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</si>
  <si>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</si>
  <si>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</si>
  <si>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</si>
  <si>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</si>
  <si>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</si>
  <si>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</si>
  <si>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</si>
  <si>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</si>
  <si>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</si>
  <si>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</si>
  <si>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</si>
  <si>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</si>
  <si>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</si>
  <si>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</si>
  <si>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</si>
  <si>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1st Floor</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</si>
  <si>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</si>
  <si>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</si>
  <si>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</si>
  <si>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</si>
  <si>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</si>
  <si>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</si>
  <si>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</si>
  <si>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</si>
  <si>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</si>
  <si>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</si>
  <si>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</si>
  <si>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</si>
  <si>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</si>
  <si>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</si>
  <si>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</si>
  <si>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</si>
  <si>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</si>
  <si>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</si>
  <si>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</si>
  <si>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</si>
  <si>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</si>
  <si>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</si>
  <si>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</si>
  <si>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</si>
  <si>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</si>
  <si>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</si>
  <si>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</si>
  <si>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</si>
  <si>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</si>
  <si>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</si>
  <si>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</si>
  <si>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</si>
  <si>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</si>
  <si>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</si>
  <si>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</si>
  <si>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</si>
  <si>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</si>
  <si>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</si>
  <si>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</si>
  <si>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</si>
  <si>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</si>
  <si>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</si>
  <si>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</si>
  <si>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</si>
  <si>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</si>
  <si>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</si>
  <si>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</si>
  <si>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</si>
  <si>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</si>
  <si>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</si>
  <si>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</si>
  <si>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</si>
  <si>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</si>
  <si>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</si>
  <si>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</si>
  <si>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</si>
  <si>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</si>
  <si>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</si>
  <si>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</si>
  <si>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</si>
  <si>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</si>
  <si>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</si>
  <si>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</si>
  <si>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</si>
  <si>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</si>
  <si>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</si>
  <si>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</si>
  <si>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</si>
  <si>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</si>
  <si>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</si>
  <si>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</si>
  <si>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</si>
  <si>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</si>
  <si>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</si>
  <si>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</si>
  <si>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</si>
  <si>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</si>
  <si>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</si>
  <si>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</si>
  <si>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</si>
  <si>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</si>
  <si>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</si>
  <si>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</si>
  <si>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</si>
  <si>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</si>
  <si>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</si>
  <si>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</si>
  <si>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</si>
  <si>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</si>
  <si>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</si>
  <si>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</si>
  <si>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</si>
  <si>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</si>
  <si>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</si>
  <si>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</si>
  <si>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</si>
  <si>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</si>
  <si>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</si>
  <si>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</si>
  <si>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</si>
  <si>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</si>
  <si>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</si>
  <si>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</si>
  <si>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</si>
  <si>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</si>
  <si>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</si>
  <si>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</si>
  <si>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Balcony Area</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</si>
  <si>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</si>
  <si>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</si>
  <si>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</si>
  <si>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</si>
  <si>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</si>
  <si>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</si>
  <si>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 xml:space="preserve">CC Details
Valid Up to: </t>
  </si>
  <si>
    <t>Valid Upto 
Date</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</si>
  <si>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</si>
  <si>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</si>
  <si>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</si>
  <si>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</si>
  <si>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</si>
  <si>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</si>
  <si>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</si>
  <si>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</si>
  <si>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</si>
  <si>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</si>
  <si>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</si>
  <si>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</si>
  <si>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</si>
  <si>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</si>
  <si>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</si>
  <si>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</si>
  <si>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</si>
  <si>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</si>
  <si>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</si>
  <si>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</si>
  <si>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</si>
  <si>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</si>
  <si>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</si>
  <si>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</si>
  <si>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</si>
  <si>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</si>
  <si>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</si>
  <si>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</si>
  <si>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</si>
  <si>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</si>
  <si>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</si>
  <si>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</si>
  <si>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</si>
  <si>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</si>
  <si>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</si>
  <si>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</si>
  <si>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</si>
  <si>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</si>
  <si>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</si>
  <si>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</si>
  <si>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</si>
  <si>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</si>
  <si>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</si>
  <si>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</si>
  <si>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</si>
  <si>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</si>
  <si>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</si>
  <si>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</si>
  <si>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</si>
  <si>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</si>
  <si>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</si>
  <si>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</si>
  <si>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</si>
  <si>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</si>
  <si>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</si>
  <si>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</si>
  <si>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</si>
  <si>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</si>
  <si>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</si>
  <si>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 xml:space="preserve">Tower 3 </t>
  </si>
  <si>
    <t xml:space="preserve">Tower 4 </t>
  </si>
  <si>
    <t>The Gateway</t>
  </si>
  <si>
    <t>Mumbai - RO Thane</t>
  </si>
  <si>
    <t>Larsen &amp; Toubro Ltd</t>
  </si>
  <si>
    <t>L &amp; T House, N. M. Marg Ballard Estate, Mumbai- 400001</t>
  </si>
  <si>
    <t>Municpal Corporation of Greater Mumbai (MCGM)</t>
  </si>
  <si>
    <t>P51900054969</t>
  </si>
  <si>
    <t>ICICI Bank Ltd.
IFSC Code - ICIC0000544</t>
  </si>
  <si>
    <t>Approved Layout &amp; Floor Plans, CC, RERA Certificate, Fire Noc, Railway Noc, Airport Noc.</t>
  </si>
  <si>
    <t>B</t>
  </si>
  <si>
    <t>As per RERA Site Flats = 314</t>
  </si>
  <si>
    <t>19.000666,72.854158</t>
  </si>
  <si>
    <t>https://maps.app.goo.gl/z4GQjc9YC44UHXCH8</t>
  </si>
  <si>
    <t>Usha Bahar CHS</t>
  </si>
  <si>
    <t>Gym, Kids Play Area, Indoor Games, Multipurpose Hall, Senior Citizen Zone, Club House, Yoga Zone, Garden, Swimming Pool etc.</t>
  </si>
  <si>
    <t>https://www.sewriresidences.com/lnt-the-gateway-sewri/#amenities</t>
  </si>
  <si>
    <t>Upper</t>
  </si>
  <si>
    <t>46m</t>
  </si>
  <si>
    <t>Concrete</t>
  </si>
  <si>
    <t>0.25 KM from Sewree Railway Station Bus Stop</t>
  </si>
  <si>
    <t>About 1.6K form KEM Hospital</t>
  </si>
  <si>
    <t>About 1.3KM from JBCN International School</t>
  </si>
  <si>
    <t>1. Approx. 0.95KM from Freshville.
2. 3.5KM from Dadar Main Market.</t>
  </si>
  <si>
    <t>Other Plot</t>
  </si>
  <si>
    <t>Sewree Cross Road</t>
  </si>
  <si>
    <t>18.30Mtr Wide Sewri Cross Road</t>
  </si>
  <si>
    <t>46.00MT Rafi Ahemad Kidwai Road</t>
  </si>
  <si>
    <t>Rafi Ahmed Kidwai Road</t>
  </si>
  <si>
    <t>Sewri Cross Road</t>
  </si>
  <si>
    <t>Residential Building</t>
  </si>
  <si>
    <t>Tower A</t>
  </si>
  <si>
    <t>Tower B</t>
  </si>
  <si>
    <t>CHE/CTY/4764/F/S/337(NEW)/337/3/Amend</t>
  </si>
  <si>
    <t xml:space="preserve">SIA/MH/INFRA2/437693/2023
Plot Area - 17635.76 Sq.mt
Net Plot Area - 12044.89Sq.mt
Propose BUA = 190317.58 Sq.mt
Rehab Building = 3B + LG + UG + 1st to 4th (Commercial) + 5th Service + 6th to 34th Floor
Sale Building (Tower A &amp; B) = Service Basement + LG + UG/ Duplex Floor + 1st to 7th Podium + 1st to 52nd + Service Floor + 53rd &amp; 54th Amenity Floor
</t>
  </si>
  <si>
    <t xml:space="preserve">Date: 
Valid Upto Date: 
</t>
  </si>
  <si>
    <t>23/04/2021
22/04/2029</t>
  </si>
  <si>
    <t xml:space="preserve">SNCR/WEST/B/030921/533162
Site Elevation in mtrs AMSL = 8.4M
Top Elevation in mtrs AMSL = 182.78M </t>
  </si>
  <si>
    <t>Fire NOC Details</t>
  </si>
  <si>
    <t>Railway NOC Details</t>
  </si>
  <si>
    <t>CHE/CTY/4764/F/S/337(NEW)-COF
Tower A &amp; B = B + LG + UG (Duplex for LG Shops) + 1st to 7th Podium + 1st to 52nd + Service Floor + 53rd &amp; 54th Amenity Floor (Height = 224.10M)</t>
  </si>
  <si>
    <t>BB/W/6561/NOC/07/Sewree/DВ</t>
  </si>
  <si>
    <t>Basement Floor For Services</t>
  </si>
  <si>
    <t>Lower Ground Floor For Entrance Lobby, Commercial (Rehab) &amp; Parking</t>
  </si>
  <si>
    <t>Upper Ground Floor For Commercial (Rehab), Meter Room, Garden &amp; Parking</t>
  </si>
  <si>
    <t>7th Podium Floor For Swimming Pool, Creche</t>
  </si>
  <si>
    <t>1st Floor For Part Refuge Area</t>
  </si>
  <si>
    <t>3BHK</t>
  </si>
  <si>
    <t>Refuge Area</t>
  </si>
  <si>
    <t>4.5BHK</t>
  </si>
  <si>
    <t>2nd to 7th, 9th to 14th, 16th to 21st, 23rd to 28th, 30th to 35th, 37th and 38th Floor For Residential</t>
  </si>
  <si>
    <t>4BHK</t>
  </si>
  <si>
    <t>8th &amp; 29th Floor For Part Refuge Area</t>
  </si>
  <si>
    <t>Pump Room</t>
  </si>
  <si>
    <t>15th &amp; 22nd Floor For Part Refuge Area</t>
  </si>
  <si>
    <t>36th Floor For Part Refuge Area</t>
  </si>
  <si>
    <t>Studio Apt</t>
  </si>
  <si>
    <t>Terrace Area</t>
  </si>
  <si>
    <t>39th Floor For Part Terrace Area</t>
  </si>
  <si>
    <t>40th to 42nd Floor For Part Terrace Area</t>
  </si>
  <si>
    <t>Basement Floor For Pump Room &amp; Services</t>
  </si>
  <si>
    <t>5th to 6th Podium Floor For Parking</t>
  </si>
  <si>
    <t>1st to 3th Podium Floor For Parking</t>
  </si>
  <si>
    <t>4th Podium Floor For Badminton Court &amp; Parking</t>
  </si>
  <si>
    <t xml:space="preserve">Flats = 314    </t>
  </si>
  <si>
    <t>B + LG + UG + 1st to 7th Podium + 1st to 42th Floor</t>
  </si>
  <si>
    <t>0.80KM from Sewri Railway Station
2.5KM from Prabhadevi Railway Station</t>
  </si>
  <si>
    <t>The Gateway, CTS No. 231(pt), 232, 446, 448, 450, 451(pt), 453(pt), 454(pt), 455(pt), 456(pt), 457 to 472, 1/472, 473 to 476 &amp; 699 of Parel Sewree Cross Road &amp; Rafi Ahmed Kidwai Marg in F/ South ward, Mumbai - 400015.</t>
  </si>
  <si>
    <t>The Gateway, CTS No. 231(pt), 232, 446, 448, 450, 451(pt), 453(pt), 454(pt), 455(pt), 456(pt), 457 to 472, 1/472, 473 to 476 &amp; 699, Near Usha Bahar CHS, Parel Sewree Cross Road &amp; Rafi Ahmed Kidwai Marg, Gandhi Nagar, Parel, Mumbai - 400015.</t>
  </si>
  <si>
    <t>L&amp;T The Gateway, 231(pt), 232, 446(pt), 448(pt), 450(pt), 451(pt),453(pt), 454, 455(pt), 456(pt), 457 to 471, 472, 1/472, 473, 474(pt), 475, 476(pt) and 699(pt) at Mumbai City, Mumbai City, Mumbai City, 400015</t>
  </si>
  <si>
    <t>B + LG + UG + 1st to 7th Podium + 1st to 52nd Floor</t>
  </si>
  <si>
    <t xml:space="preserve">Tower A </t>
  </si>
  <si>
    <t xml:space="preserve">Tower B </t>
  </si>
  <si>
    <t xml:space="preserve">We considered Gross carpet area = Net carpet + Balcony.
</t>
  </si>
  <si>
    <t>47000 to 48000</t>
  </si>
  <si>
    <t>Mr. Karan Misal</t>
  </si>
  <si>
    <t>Ankita from 43000 - 44500
to 47000-48000</t>
  </si>
  <si>
    <t>Construction work is in process at the time of Visit. Internal visit not allowed.</t>
  </si>
  <si>
    <t>LH Residential Housing Private Limited</t>
  </si>
  <si>
    <t>04/08/2025 at 02:12PM</t>
  </si>
  <si>
    <t>Mr. Suraj Khare</t>
  </si>
  <si>
    <t>CHE/CTY/4764/F/S/337(NEW)/FCC/1/New</t>
  </si>
  <si>
    <t>This C.C. is Further extended for Sale building Tower 'A' up to 9th floor top &amp; Tower 'B' up to 8th floor top as per attached plan in note sheet for portion A - L and as per approved plans dated 11.01.2024.</t>
  </si>
  <si>
    <t xml:space="preserve">We have updated CC for Tower A &amp; B from MCGM site. (On 08/08/2025)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</si>
</sst>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6"/>
      <color theme="10"/>
      <name val="Calibri"/>
      <family val="2"/>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210">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1" fontId="5" fillId="0" borderId="1" xfId="1" applyNumberFormat="1" applyFont="1" applyBorder="1" applyAlignment="1">
      <alignment horizontal="center" vertical="top" wrapText="1"/>
    </xf>
    <xf numFmtId="0" fontId="4" fillId="2" borderId="1" xfId="0" applyFont="1" applyFill="1" applyBorder="1" applyAlignment="1">
      <alignment horizontal="center" vertical="top"/>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0" fontId="9"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center" wrapText="1"/>
    </xf>
    <xf numFmtId="0" fontId="6" fillId="4" borderId="1" xfId="1" applyNumberFormat="1" applyFont="1" applyFill="1" applyBorder="1" applyAlignment="1">
      <alignment horizontal="center" vertical="center" wrapText="1"/>
    </xf>
    <xf numFmtId="0" fontId="4" fillId="4" borderId="0" xfId="0" applyFont="1" applyFill="1" applyBorder="1" applyAlignment="1">
      <alignment vertical="top"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 xfId="0" applyBorder="1" applyAlignment="1"/>
    <xf numFmtId="0" fontId="0" fillId="0" borderId="10" xfId="0" applyFill="1"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Fill="1" applyBorder="1"/>
    <xf numFmtId="0" fontId="0" fillId="0" borderId="1" xfId="0" applyFill="1" applyBorder="1"/>
    <xf numFmtId="0" fontId="0" fillId="0" borderId="1" xfId="0" applyFill="1"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Fill="1" applyBorder="1"/>
    <xf numFmtId="0" fontId="0" fillId="0" borderId="2" xfId="0" applyBorder="1" applyAlignment="1">
      <alignment vertical="top"/>
    </xf>
    <xf numFmtId="0" fontId="0" fillId="0" borderId="2" xfId="0" applyFill="1" applyBorder="1" applyAlignment="1">
      <alignment horizontal="lef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2" fillId="0" borderId="1" xfId="0" applyFont="1" applyBorder="1" applyAlignment="1">
      <alignment horizontal="center" vertical="top" wrapText="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0" fontId="25" fillId="0" borderId="0" xfId="2" applyAlignment="1">
      <alignment vertical="top"/>
    </xf>
    <xf numFmtId="14" fontId="4" fillId="4" borderId="1" xfId="0" applyNumberFormat="1" applyFont="1" applyFill="1" applyBorder="1" applyAlignment="1">
      <alignment horizontal="center" vertical="top" wrapText="1"/>
    </xf>
    <xf numFmtId="0" fontId="3" fillId="4" borderId="1" xfId="1" applyFont="1" applyFill="1" applyBorder="1" applyAlignment="1" applyProtection="1">
      <alignment horizontal="center" vertical="center" wrapText="1"/>
      <protection hidden="1"/>
    </xf>
    <xf numFmtId="1" fontId="3" fillId="0" borderId="0" xfId="0" applyNumberFormat="1" applyFont="1" applyAlignment="1">
      <alignment vertical="top"/>
    </xf>
    <xf numFmtId="1" fontId="8" fillId="0" borderId="1" xfId="1" applyNumberFormat="1" applyFont="1" applyBorder="1" applyAlignment="1">
      <alignment horizontal="center" vertical="top" wrapText="1"/>
    </xf>
    <xf numFmtId="0" fontId="3" fillId="0" borderId="0" xfId="0" applyFont="1" applyAlignment="1">
      <alignment vertical="top" wrapText="1"/>
    </xf>
    <xf numFmtId="1" fontId="4" fillId="4" borderId="1" xfId="1" applyNumberFormat="1" applyFont="1" applyFill="1" applyBorder="1" applyAlignment="1" applyProtection="1">
      <alignment horizontal="center" vertical="center" wrapText="1"/>
      <protection hidden="1"/>
    </xf>
    <xf numFmtId="0" fontId="3" fillId="4" borderId="2" xfId="0" applyFont="1" applyFill="1" applyBorder="1" applyAlignment="1">
      <alignment horizontal="left" vertical="top" wrapText="1"/>
    </xf>
    <xf numFmtId="0" fontId="3" fillId="4" borderId="3" xfId="0" applyFont="1" applyFill="1" applyBorder="1" applyAlignment="1">
      <alignment horizontal="left" vertical="top" wrapText="1"/>
    </xf>
    <xf numFmtId="0" fontId="3" fillId="4" borderId="5" xfId="0" applyFont="1" applyFill="1" applyBorder="1" applyAlignment="1">
      <alignment horizontal="left"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0" fontId="2" fillId="2" borderId="1" xfId="0" applyFont="1" applyFill="1" applyBorder="1" applyAlignment="1">
      <alignment horizontal="center" vertical="top"/>
    </xf>
    <xf numFmtId="0" fontId="6" fillId="4" borderId="2" xfId="1" applyNumberFormat="1" applyFont="1" applyFill="1" applyBorder="1" applyAlignment="1">
      <alignment horizontal="center" vertical="center" wrapText="1"/>
    </xf>
    <xf numFmtId="0" fontId="6" fillId="4" borderId="3" xfId="1" applyNumberFormat="1" applyFont="1" applyFill="1" applyBorder="1" applyAlignment="1">
      <alignment horizontal="center" vertical="center" wrapText="1"/>
    </xf>
    <xf numFmtId="0" fontId="6" fillId="4" borderId="5" xfId="1" applyNumberFormat="1" applyFont="1" applyFill="1" applyBorder="1" applyAlignment="1">
      <alignment horizontal="center" vertical="center" wrapText="1"/>
    </xf>
    <xf numFmtId="1" fontId="5" fillId="7" borderId="12" xfId="1" applyNumberFormat="1" applyFont="1" applyFill="1" applyBorder="1" applyAlignment="1">
      <alignment horizontal="center" vertical="center" wrapText="1"/>
    </xf>
    <xf numFmtId="1" fontId="5" fillId="7" borderId="8" xfId="1" applyNumberFormat="1" applyFont="1" applyFill="1" applyBorder="1" applyAlignment="1">
      <alignment horizontal="center" vertical="center" wrapText="1"/>
    </xf>
    <xf numFmtId="1" fontId="5" fillId="7" borderId="13" xfId="1" applyNumberFormat="1" applyFont="1" applyFill="1" applyBorder="1" applyAlignment="1">
      <alignment horizontal="center" vertical="center"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3" xfId="0" applyFont="1" applyBorder="1" applyAlignment="1">
      <alignment horizontal="left"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0" borderId="1" xfId="0" applyFont="1" applyBorder="1" applyAlignment="1">
      <alignment horizontal="center" vertical="top" wrapText="1"/>
    </xf>
    <xf numFmtId="0" fontId="3" fillId="4" borderId="1" xfId="0"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4" fillId="0" borderId="1" xfId="0" applyFont="1" applyBorder="1" applyAlignment="1">
      <alignment horizontal="center" vertical="center" wrapText="1"/>
    </xf>
    <xf numFmtId="0" fontId="4" fillId="4" borderId="1" xfId="0" applyFont="1" applyFill="1" applyBorder="1" applyAlignment="1">
      <alignment horizontal="center" vertical="top" wrapText="1"/>
    </xf>
    <xf numFmtId="0" fontId="2" fillId="0" borderId="1" xfId="0" applyFont="1" applyBorder="1" applyAlignment="1">
      <alignment horizontal="center" vertical="top" wrapText="1"/>
    </xf>
    <xf numFmtId="14" fontId="4" fillId="4" borderId="1" xfId="0" applyNumberFormat="1" applyFont="1" applyFill="1" applyBorder="1" applyAlignment="1">
      <alignment horizontal="left" vertical="top" wrapText="1"/>
    </xf>
    <xf numFmtId="0" fontId="26" fillId="4" borderId="1" xfId="2"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4" borderId="1" xfId="0"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1" xfId="0" applyFont="1" applyFill="1" applyBorder="1" applyAlignment="1">
      <alignment horizontal="left" vertical="top"/>
    </xf>
    <xf numFmtId="0" fontId="9"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4" borderId="5" xfId="0" applyFont="1" applyFill="1" applyBorder="1" applyAlignment="1">
      <alignment horizontal="center" vertical="center" wrapText="1"/>
    </xf>
    <xf numFmtId="17" fontId="4" fillId="4" borderId="1" xfId="0" applyNumberFormat="1" applyFont="1" applyFill="1" applyBorder="1" applyAlignment="1">
      <alignment horizontal="left"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2" fillId="2" borderId="1" xfId="0" applyFont="1" applyFill="1" applyBorder="1" applyAlignment="1">
      <alignment horizontal="center"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1" fontId="4" fillId="4" borderId="1" xfId="0" applyNumberFormat="1"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1" fontId="4" fillId="4" borderId="2" xfId="0" applyNumberFormat="1" applyFont="1" applyFill="1" applyBorder="1" applyAlignment="1">
      <alignment horizontal="left" vertical="top" wrapText="1"/>
    </xf>
    <xf numFmtId="1" fontId="4" fillId="4" borderId="5" xfId="0" applyNumberFormat="1" applyFont="1" applyFill="1" applyBorder="1" applyAlignment="1">
      <alignment horizontal="left" vertical="top"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9" fontId="2" fillId="4" borderId="1" xfId="1" applyNumberFormat="1" applyFont="1" applyFill="1" applyBorder="1" applyAlignment="1" applyProtection="1">
      <alignment horizontal="left" vertical="top" wrapText="1"/>
      <protection hidden="1"/>
    </xf>
    <xf numFmtId="0" fontId="4" fillId="4" borderId="1" xfId="1" applyFont="1" applyFill="1" applyBorder="1" applyAlignment="1" applyProtection="1">
      <alignment horizontal="center" vertical="center" wrapText="1"/>
      <protection hidden="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5"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xf numFmtId="14" fontId="3" fillId="0" borderId="0" xfId="0" applyNumberFormat="1" applyFont="1" applyAlignment="1">
      <alignment vertical="top"/>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jpeg"/><Relationship Id="rId21" Type="http://schemas.openxmlformats.org/officeDocument/2006/relationships/image" Target="../media/image21.png"/><Relationship Id="rId34" Type="http://schemas.openxmlformats.org/officeDocument/2006/relationships/image" Target="../media/image34.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pn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pn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png"/><Relationship Id="rId31" Type="http://schemas.openxmlformats.org/officeDocument/2006/relationships/image" Target="../media/image31.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8" Type="http://schemas.openxmlformats.org/officeDocument/2006/relationships/image" Target="../media/image8.jpeg"/><Relationship Id="rId3"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8.png"/></Relationships>
</file>

<file path=xl/drawings/drawing1.xml><?xml version="1.0" encoding="utf-8"?>
<xdr:wsDr xmlns:xdr="http://schemas.openxmlformats.org/drawingml/2006/spreadsheetDrawing" xmlns:a="http://schemas.openxmlformats.org/drawingml/2006/main">
  <xdr:twoCellAnchor editAs="oneCell">
    <xdr:from>
      <xdr:col>8</xdr:col>
      <xdr:colOff>280148</xdr:colOff>
      <xdr:row>33</xdr:row>
      <xdr:rowOff>11205</xdr:rowOff>
    </xdr:from>
    <xdr:to>
      <xdr:col>10</xdr:col>
      <xdr:colOff>213100</xdr:colOff>
      <xdr:row>45</xdr:row>
      <xdr:rowOff>351312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693089" y="16707970"/>
          <a:ext cx="2980952" cy="4419048"/>
        </a:xfrm>
        <a:prstGeom prst="rect">
          <a:avLst/>
        </a:prstGeom>
        <a:ln>
          <a:solidFill>
            <a:schemeClr val="tx1"/>
          </a:solidFill>
        </a:ln>
      </xdr:spPr>
    </xdr:pic>
    <xdr:clientData/>
  </xdr:twoCellAnchor>
  <xdr:twoCellAnchor editAs="oneCell">
    <xdr:from>
      <xdr:col>8</xdr:col>
      <xdr:colOff>78441</xdr:colOff>
      <xdr:row>55</xdr:row>
      <xdr:rowOff>246529</xdr:rowOff>
    </xdr:from>
    <xdr:to>
      <xdr:col>11</xdr:col>
      <xdr:colOff>225323</xdr:colOff>
      <xdr:row>55</xdr:row>
      <xdr:rowOff>522719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9491382" y="24428823"/>
          <a:ext cx="3800000" cy="276190"/>
        </a:xfrm>
        <a:prstGeom prst="rect">
          <a:avLst/>
        </a:prstGeom>
        <a:ln>
          <a:solidFill>
            <a:schemeClr val="tx1"/>
          </a:solidFill>
        </a:ln>
      </xdr:spPr>
    </xdr:pic>
    <xdr:clientData/>
  </xdr:twoCellAnchor>
  <xdr:twoCellAnchor editAs="oneCell">
    <xdr:from>
      <xdr:col>8</xdr:col>
      <xdr:colOff>89648</xdr:colOff>
      <xdr:row>55</xdr:row>
      <xdr:rowOff>593912</xdr:rowOff>
    </xdr:from>
    <xdr:to>
      <xdr:col>9</xdr:col>
      <xdr:colOff>580122</xdr:colOff>
      <xdr:row>58</xdr:row>
      <xdr:rowOff>8029</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9502589" y="24776206"/>
          <a:ext cx="2742857" cy="3000000"/>
        </a:xfrm>
        <a:prstGeom prst="rect">
          <a:avLst/>
        </a:prstGeom>
        <a:ln>
          <a:solidFill>
            <a:schemeClr val="tx1"/>
          </a:solidFill>
        </a:ln>
      </xdr:spPr>
    </xdr:pic>
    <xdr:clientData/>
  </xdr:twoCellAnchor>
  <xdr:twoCellAnchor editAs="oneCell">
    <xdr:from>
      <xdr:col>9</xdr:col>
      <xdr:colOff>37621</xdr:colOff>
      <xdr:row>58</xdr:row>
      <xdr:rowOff>224119</xdr:rowOff>
    </xdr:from>
    <xdr:to>
      <xdr:col>16</xdr:col>
      <xdr:colOff>466778</xdr:colOff>
      <xdr:row>66</xdr:row>
      <xdr:rowOff>78531</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11658121" y="28118762"/>
          <a:ext cx="4905907" cy="2875197"/>
        </a:xfrm>
        <a:prstGeom prst="rect">
          <a:avLst/>
        </a:prstGeom>
        <a:ln>
          <a:solidFill>
            <a:schemeClr val="tx1"/>
          </a:solidFill>
        </a:ln>
      </xdr:spPr>
    </xdr:pic>
    <xdr:clientData/>
  </xdr:twoCellAnchor>
  <xdr:twoCellAnchor editAs="oneCell">
    <xdr:from>
      <xdr:col>13</xdr:col>
      <xdr:colOff>179294</xdr:colOff>
      <xdr:row>58</xdr:row>
      <xdr:rowOff>246529</xdr:rowOff>
    </xdr:from>
    <xdr:to>
      <xdr:col>22</xdr:col>
      <xdr:colOff>15255</xdr:colOff>
      <xdr:row>61</xdr:row>
      <xdr:rowOff>204856</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stretch>
          <a:fillRect/>
        </a:stretch>
      </xdr:blipFill>
      <xdr:spPr>
        <a:xfrm>
          <a:off x="14455588" y="28014705"/>
          <a:ext cx="3466667" cy="1695238"/>
        </a:xfrm>
        <a:prstGeom prst="rect">
          <a:avLst/>
        </a:prstGeom>
        <a:ln>
          <a:solidFill>
            <a:schemeClr val="tx1"/>
          </a:solidFill>
        </a:ln>
      </xdr:spPr>
    </xdr:pic>
    <xdr:clientData/>
  </xdr:twoCellAnchor>
  <xdr:twoCellAnchor editAs="oneCell">
    <xdr:from>
      <xdr:col>8</xdr:col>
      <xdr:colOff>2014660</xdr:colOff>
      <xdr:row>66</xdr:row>
      <xdr:rowOff>37622</xdr:rowOff>
    </xdr:from>
    <xdr:to>
      <xdr:col>17</xdr:col>
      <xdr:colOff>109225</xdr:colOff>
      <xdr:row>76</xdr:row>
      <xdr:rowOff>48365</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a:stretch>
          <a:fillRect/>
        </a:stretch>
      </xdr:blipFill>
      <xdr:spPr>
        <a:xfrm>
          <a:off x="11376374" y="30953051"/>
          <a:ext cx="5442422" cy="2704957"/>
        </a:xfrm>
        <a:prstGeom prst="rect">
          <a:avLst/>
        </a:prstGeom>
        <a:ln>
          <a:solidFill>
            <a:schemeClr val="tx1"/>
          </a:solidFill>
        </a:ln>
      </xdr:spPr>
    </xdr:pic>
    <xdr:clientData/>
  </xdr:twoCellAnchor>
  <xdr:twoCellAnchor editAs="oneCell">
    <xdr:from>
      <xdr:col>8</xdr:col>
      <xdr:colOff>1438836</xdr:colOff>
      <xdr:row>123</xdr:row>
      <xdr:rowOff>40342</xdr:rowOff>
    </xdr:from>
    <xdr:to>
      <xdr:col>16</xdr:col>
      <xdr:colOff>115306</xdr:colOff>
      <xdr:row>129</xdr:row>
      <xdr:rowOff>824690</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0851777" y="41479695"/>
          <a:ext cx="5355176" cy="2330760"/>
        </a:xfrm>
        <a:prstGeom prst="rect">
          <a:avLst/>
        </a:prstGeom>
      </xdr:spPr>
    </xdr:pic>
    <xdr:clientData/>
  </xdr:twoCellAnchor>
  <xdr:twoCellAnchor>
    <xdr:from>
      <xdr:col>8</xdr:col>
      <xdr:colOff>918883</xdr:colOff>
      <xdr:row>268</xdr:row>
      <xdr:rowOff>56029</xdr:rowOff>
    </xdr:from>
    <xdr:to>
      <xdr:col>22</xdr:col>
      <xdr:colOff>478375</xdr:colOff>
      <xdr:row>298</xdr:row>
      <xdr:rowOff>231796</xdr:rowOff>
    </xdr:to>
    <xdr:grpSp>
      <xdr:nvGrpSpPr>
        <xdr:cNvPr id="10" name="Group 9">
          <a:extLst>
            <a:ext uri="{FF2B5EF4-FFF2-40B4-BE49-F238E27FC236}">
              <a16:creationId xmlns:a16="http://schemas.microsoft.com/office/drawing/2014/main" id="{00000000-0008-0000-0000-00000A000000}"/>
            </a:ext>
          </a:extLst>
        </xdr:cNvPr>
        <xdr:cNvGrpSpPr/>
      </xdr:nvGrpSpPr>
      <xdr:grpSpPr>
        <a:xfrm>
          <a:off x="10331824" y="70798764"/>
          <a:ext cx="8053551" cy="7907826"/>
          <a:chOff x="-162489" y="0"/>
          <a:chExt cx="8053551" cy="7907826"/>
        </a:xfrm>
      </xdr:grpSpPr>
      <xdr:grpSp>
        <xdr:nvGrpSpPr>
          <xdr:cNvPr id="11" name="Group 10">
            <a:extLst>
              <a:ext uri="{FF2B5EF4-FFF2-40B4-BE49-F238E27FC236}">
                <a16:creationId xmlns:a16="http://schemas.microsoft.com/office/drawing/2014/main" id="{00000000-0008-0000-0000-00000B000000}"/>
              </a:ext>
            </a:extLst>
          </xdr:cNvPr>
          <xdr:cNvGrpSpPr/>
        </xdr:nvGrpSpPr>
        <xdr:grpSpPr>
          <a:xfrm>
            <a:off x="-162489" y="0"/>
            <a:ext cx="8053551" cy="7907826"/>
            <a:chOff x="-162489" y="0"/>
            <a:chExt cx="8053551" cy="7907826"/>
          </a:xfrm>
        </xdr:grpSpPr>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3573" y="0"/>
              <a:ext cx="2697187" cy="3600000"/>
            </a:xfrm>
            <a:prstGeom prst="rect">
              <a:avLst/>
            </a:prstGeom>
            <a:ln>
              <a:solidFill>
                <a:schemeClr val="tx1"/>
              </a:solidFill>
            </a:ln>
          </xdr:spPr>
        </xdr:pic>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2919046" y="23954"/>
              <a:ext cx="4795555" cy="3600000"/>
            </a:xfrm>
            <a:prstGeom prst="rect">
              <a:avLst/>
            </a:prstGeom>
            <a:ln>
              <a:solidFill>
                <a:schemeClr val="tx1"/>
              </a:solidFill>
            </a:ln>
          </xdr:spPr>
        </xdr:pic>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288323" y="3773913"/>
              <a:ext cx="2877333" cy="2160000"/>
            </a:xfrm>
            <a:prstGeom prst="rect">
              <a:avLst/>
            </a:prstGeom>
            <a:ln>
              <a:solidFill>
                <a:schemeClr val="tx1"/>
              </a:solidFill>
            </a:ln>
          </xdr:spPr>
        </xdr:pic>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62489" y="3773913"/>
              <a:ext cx="1618312" cy="2160000"/>
            </a:xfrm>
            <a:prstGeom prst="rect">
              <a:avLst/>
            </a:prstGeom>
            <a:ln>
              <a:solidFill>
                <a:schemeClr val="tx1"/>
              </a:solidFill>
            </a:ln>
          </xdr:spPr>
        </xdr:pic>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6272750" y="3773913"/>
              <a:ext cx="1618312" cy="2160000"/>
            </a:xfrm>
            <a:prstGeom prst="rect">
              <a:avLst/>
            </a:prstGeom>
            <a:ln>
              <a:solidFill>
                <a:schemeClr val="tx1"/>
              </a:solidFill>
            </a:ln>
          </xdr:spPr>
        </xdr:pic>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562917" y="3773913"/>
              <a:ext cx="1618312" cy="2160000"/>
            </a:xfrm>
            <a:prstGeom prst="rect">
              <a:avLst/>
            </a:prstGeom>
            <a:ln>
              <a:solidFill>
                <a:schemeClr val="tx1"/>
              </a:solidFill>
            </a:ln>
          </xdr:spPr>
        </xdr:pic>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3065899" y="6107826"/>
              <a:ext cx="1348594" cy="1800000"/>
            </a:xfrm>
            <a:prstGeom prst="rect">
              <a:avLst/>
            </a:prstGeom>
            <a:ln>
              <a:solidFill>
                <a:schemeClr val="tx1"/>
              </a:solidFill>
            </a:ln>
          </xdr:spPr>
        </xdr:pic>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4552581" y="6107826"/>
              <a:ext cx="1348594" cy="1800000"/>
            </a:xfrm>
            <a:prstGeom prst="rect">
              <a:avLst/>
            </a:prstGeom>
            <a:ln>
              <a:solidFill>
                <a:schemeClr val="tx1"/>
              </a:solidFill>
            </a:ln>
          </xdr:spPr>
        </xdr:pic>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621884" y="6083872"/>
              <a:ext cx="1348594" cy="1800000"/>
            </a:xfrm>
            <a:prstGeom prst="rect">
              <a:avLst/>
            </a:prstGeom>
            <a:ln>
              <a:solidFill>
                <a:schemeClr val="tx1"/>
              </a:solidFill>
            </a:ln>
          </xdr:spPr>
        </xdr:pic>
      </xdr:grpSp>
      <xdr:sp macro="" textlink="">
        <xdr:nvSpPr>
          <xdr:cNvPr id="12" name="TextBox 53">
            <a:extLst>
              <a:ext uri="{FF2B5EF4-FFF2-40B4-BE49-F238E27FC236}">
                <a16:creationId xmlns:a16="http://schemas.microsoft.com/office/drawing/2014/main" id="{00000000-0008-0000-0000-00000C000000}"/>
              </a:ext>
            </a:extLst>
          </xdr:cNvPr>
          <xdr:cNvSpPr txBox="1"/>
        </xdr:nvSpPr>
        <xdr:spPr>
          <a:xfrm>
            <a:off x="4726989" y="296945"/>
            <a:ext cx="960776" cy="369332"/>
          </a:xfrm>
          <a:prstGeom prst="rect">
            <a:avLst/>
          </a:prstGeom>
          <a:solidFill>
            <a:schemeClr val="bg1">
              <a:lumMod val="9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Tower B</a:t>
            </a:r>
            <a:endParaRPr lang="en-IN" b="1"/>
          </a:p>
        </xdr:txBody>
      </xdr:sp>
      <xdr:sp macro="" textlink="">
        <xdr:nvSpPr>
          <xdr:cNvPr id="13" name="TextBox 54">
            <a:extLst>
              <a:ext uri="{FF2B5EF4-FFF2-40B4-BE49-F238E27FC236}">
                <a16:creationId xmlns:a16="http://schemas.microsoft.com/office/drawing/2014/main" id="{00000000-0008-0000-0000-00000D000000}"/>
              </a:ext>
            </a:extLst>
          </xdr:cNvPr>
          <xdr:cNvSpPr txBox="1"/>
        </xdr:nvSpPr>
        <xdr:spPr>
          <a:xfrm>
            <a:off x="1376299" y="101521"/>
            <a:ext cx="960776" cy="369332"/>
          </a:xfrm>
          <a:prstGeom prst="rect">
            <a:avLst/>
          </a:prstGeom>
          <a:solidFill>
            <a:schemeClr val="bg1">
              <a:lumMod val="9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Tower A</a:t>
            </a:r>
            <a:endParaRPr lang="en-IN" b="1"/>
          </a:p>
        </xdr:txBody>
      </xdr:sp>
    </xdr:grpSp>
    <xdr:clientData/>
  </xdr:twoCellAnchor>
  <xdr:twoCellAnchor editAs="oneCell">
    <xdr:from>
      <xdr:col>4</xdr:col>
      <xdr:colOff>250303</xdr:colOff>
      <xdr:row>308</xdr:row>
      <xdr:rowOff>0</xdr:rowOff>
    </xdr:from>
    <xdr:to>
      <xdr:col>6</xdr:col>
      <xdr:colOff>1085507</xdr:colOff>
      <xdr:row>328</xdr:row>
      <xdr:rowOff>246529</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7"/>
        <a:stretch>
          <a:fillRect/>
        </a:stretch>
      </xdr:blipFill>
      <xdr:spPr>
        <a:xfrm>
          <a:off x="4956774" y="80682353"/>
          <a:ext cx="3188439" cy="5401235"/>
        </a:xfrm>
        <a:prstGeom prst="rect">
          <a:avLst/>
        </a:prstGeom>
        <a:ln>
          <a:solidFill>
            <a:schemeClr val="tx1"/>
          </a:solidFill>
        </a:ln>
      </xdr:spPr>
    </xdr:pic>
    <xdr:clientData/>
  </xdr:twoCellAnchor>
  <xdr:twoCellAnchor>
    <xdr:from>
      <xdr:col>0</xdr:col>
      <xdr:colOff>885268</xdr:colOff>
      <xdr:row>308</xdr:row>
      <xdr:rowOff>0</xdr:rowOff>
    </xdr:from>
    <xdr:to>
      <xdr:col>4</xdr:col>
      <xdr:colOff>104060</xdr:colOff>
      <xdr:row>328</xdr:row>
      <xdr:rowOff>215641</xdr:rowOff>
    </xdr:to>
    <xdr:grpSp>
      <xdr:nvGrpSpPr>
        <xdr:cNvPr id="24" name="Group 23">
          <a:extLst>
            <a:ext uri="{FF2B5EF4-FFF2-40B4-BE49-F238E27FC236}">
              <a16:creationId xmlns:a16="http://schemas.microsoft.com/office/drawing/2014/main" id="{00000000-0008-0000-0000-000018000000}"/>
            </a:ext>
          </a:extLst>
        </xdr:cNvPr>
        <xdr:cNvGrpSpPr/>
      </xdr:nvGrpSpPr>
      <xdr:grpSpPr>
        <a:xfrm>
          <a:off x="885268" y="81052147"/>
          <a:ext cx="3925263" cy="5370347"/>
          <a:chOff x="823547" y="1363907"/>
          <a:chExt cx="3095625" cy="5106865"/>
        </a:xfrm>
      </xdr:grpSpPr>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rotWithShape="1">
          <a:blip xmlns:r="http://schemas.openxmlformats.org/officeDocument/2006/relationships" r:embed="rId18" cstate="screen">
            <a:extLst>
              <a:ext uri="{28A0092B-C50C-407E-A947-70E740481C1C}">
                <a14:useLocalDpi xmlns:a14="http://schemas.microsoft.com/office/drawing/2010/main"/>
              </a:ext>
            </a:extLst>
          </a:blip>
          <a:srcRect t="2162"/>
          <a:stretch/>
        </xdr:blipFill>
        <xdr:spPr>
          <a:xfrm>
            <a:off x="823547" y="1363907"/>
            <a:ext cx="3095625" cy="5106865"/>
          </a:xfrm>
          <a:prstGeom prst="rect">
            <a:avLst/>
          </a:prstGeom>
          <a:ln>
            <a:solidFill>
              <a:schemeClr val="tx1"/>
            </a:solidFill>
          </a:ln>
        </xdr:spPr>
      </xdr:pic>
      <xdr:sp macro="" textlink="">
        <xdr:nvSpPr>
          <xdr:cNvPr id="26" name="Rectangle 25">
            <a:extLst>
              <a:ext uri="{FF2B5EF4-FFF2-40B4-BE49-F238E27FC236}">
                <a16:creationId xmlns:a16="http://schemas.microsoft.com/office/drawing/2014/main" id="{00000000-0008-0000-0000-00001A000000}"/>
              </a:ext>
            </a:extLst>
          </xdr:cNvPr>
          <xdr:cNvSpPr/>
        </xdr:nvSpPr>
        <xdr:spPr>
          <a:xfrm>
            <a:off x="2062163" y="3562350"/>
            <a:ext cx="814387" cy="957263"/>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7" name="Rectangle 26">
            <a:extLst>
              <a:ext uri="{FF2B5EF4-FFF2-40B4-BE49-F238E27FC236}">
                <a16:creationId xmlns:a16="http://schemas.microsoft.com/office/drawing/2014/main" id="{00000000-0008-0000-0000-00001B000000}"/>
              </a:ext>
            </a:extLst>
          </xdr:cNvPr>
          <xdr:cNvSpPr/>
        </xdr:nvSpPr>
        <xdr:spPr>
          <a:xfrm>
            <a:off x="2062163" y="2605087"/>
            <a:ext cx="814387" cy="957263"/>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8" name="TextBox 56">
            <a:extLst>
              <a:ext uri="{FF2B5EF4-FFF2-40B4-BE49-F238E27FC236}">
                <a16:creationId xmlns:a16="http://schemas.microsoft.com/office/drawing/2014/main" id="{00000000-0008-0000-0000-00001C000000}"/>
              </a:ext>
            </a:extLst>
          </xdr:cNvPr>
          <xdr:cNvSpPr txBox="1"/>
        </xdr:nvSpPr>
        <xdr:spPr>
          <a:xfrm>
            <a:off x="2855667" y="2633983"/>
            <a:ext cx="779765"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Tower B</a:t>
            </a:r>
            <a:endParaRPr lang="en-IN" sz="1400" b="1"/>
          </a:p>
        </xdr:txBody>
      </xdr:sp>
      <xdr:sp macro="" textlink="">
        <xdr:nvSpPr>
          <xdr:cNvPr id="29" name="TextBox 61">
            <a:extLst>
              <a:ext uri="{FF2B5EF4-FFF2-40B4-BE49-F238E27FC236}">
                <a16:creationId xmlns:a16="http://schemas.microsoft.com/office/drawing/2014/main" id="{00000000-0008-0000-0000-00001D000000}"/>
              </a:ext>
            </a:extLst>
          </xdr:cNvPr>
          <xdr:cNvSpPr txBox="1"/>
        </xdr:nvSpPr>
        <xdr:spPr>
          <a:xfrm>
            <a:off x="2700064" y="4470499"/>
            <a:ext cx="787780"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Tower A</a:t>
            </a:r>
            <a:endParaRPr lang="en-IN" sz="1400" b="1"/>
          </a:p>
        </xdr:txBody>
      </xdr:sp>
    </xdr:grpSp>
    <xdr:clientData/>
  </xdr:twoCellAnchor>
  <xdr:twoCellAnchor editAs="oneCell">
    <xdr:from>
      <xdr:col>8</xdr:col>
      <xdr:colOff>414619</xdr:colOff>
      <xdr:row>8</xdr:row>
      <xdr:rowOff>257735</xdr:rowOff>
    </xdr:from>
    <xdr:to>
      <xdr:col>16</xdr:col>
      <xdr:colOff>593056</xdr:colOff>
      <xdr:row>9</xdr:row>
      <xdr:rowOff>675550</xdr:rowOff>
    </xdr:to>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9"/>
        <a:stretch>
          <a:fillRect/>
        </a:stretch>
      </xdr:blipFill>
      <xdr:spPr>
        <a:xfrm>
          <a:off x="9827560" y="3742764"/>
          <a:ext cx="6857143" cy="1314286"/>
        </a:xfrm>
        <a:prstGeom prst="rect">
          <a:avLst/>
        </a:prstGeom>
      </xdr:spPr>
    </xdr:pic>
    <xdr:clientData/>
  </xdr:twoCellAnchor>
  <xdr:twoCellAnchor>
    <xdr:from>
      <xdr:col>1</xdr:col>
      <xdr:colOff>1106580</xdr:colOff>
      <xdr:row>351</xdr:row>
      <xdr:rowOff>161274</xdr:rowOff>
    </xdr:from>
    <xdr:to>
      <xdr:col>6</xdr:col>
      <xdr:colOff>179294</xdr:colOff>
      <xdr:row>375</xdr:row>
      <xdr:rowOff>17930</xdr:rowOff>
    </xdr:to>
    <xdr:grpSp>
      <xdr:nvGrpSpPr>
        <xdr:cNvPr id="35" name="Group 34">
          <a:extLst>
            <a:ext uri="{FF2B5EF4-FFF2-40B4-BE49-F238E27FC236}">
              <a16:creationId xmlns:a16="http://schemas.microsoft.com/office/drawing/2014/main" id="{00000000-0008-0000-0000-000023000000}"/>
            </a:ext>
          </a:extLst>
        </xdr:cNvPr>
        <xdr:cNvGrpSpPr/>
      </xdr:nvGrpSpPr>
      <xdr:grpSpPr>
        <a:xfrm>
          <a:off x="2283198" y="92296039"/>
          <a:ext cx="4955802" cy="6042303"/>
          <a:chOff x="2353235" y="94465588"/>
          <a:chExt cx="4122058" cy="5598481"/>
        </a:xfrm>
      </xdr:grpSpPr>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rotWithShape="1">
          <a:blip xmlns:r="http://schemas.openxmlformats.org/officeDocument/2006/relationships" r:embed="rId20" cstate="screen">
            <a:extLst>
              <a:ext uri="{28A0092B-C50C-407E-A947-70E740481C1C}">
                <a14:useLocalDpi xmlns:a14="http://schemas.microsoft.com/office/drawing/2010/main"/>
              </a:ext>
            </a:extLst>
          </a:blip>
          <a:srcRect/>
          <a:stretch/>
        </xdr:blipFill>
        <xdr:spPr>
          <a:xfrm>
            <a:off x="2353235" y="94465588"/>
            <a:ext cx="4122058" cy="2946401"/>
          </a:xfrm>
          <a:prstGeom prst="rect">
            <a:avLst/>
          </a:prstGeom>
          <a:ln>
            <a:solidFill>
              <a:schemeClr val="tx1"/>
            </a:solidFill>
          </a:ln>
        </xdr:spPr>
      </xdr:pic>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rotWithShape="1">
          <a:blip xmlns:r="http://schemas.openxmlformats.org/officeDocument/2006/relationships" r:embed="rId21" cstate="screen">
            <a:extLst>
              <a:ext uri="{28A0092B-C50C-407E-A947-70E740481C1C}">
                <a14:useLocalDpi xmlns:a14="http://schemas.microsoft.com/office/drawing/2010/main"/>
              </a:ext>
            </a:extLst>
          </a:blip>
          <a:srcRect/>
          <a:stretch/>
        </xdr:blipFill>
        <xdr:spPr>
          <a:xfrm>
            <a:off x="3158778" y="97495039"/>
            <a:ext cx="2510971" cy="2569030"/>
          </a:xfrm>
          <a:prstGeom prst="rect">
            <a:avLst/>
          </a:prstGeom>
          <a:ln>
            <a:solidFill>
              <a:schemeClr val="tx1"/>
            </a:solidFill>
          </a:ln>
        </xdr:spPr>
      </xdr:pic>
      <xdr:sp macro="" textlink="">
        <xdr:nvSpPr>
          <xdr:cNvPr id="33" name="Rectangle 32">
            <a:extLst>
              <a:ext uri="{FF2B5EF4-FFF2-40B4-BE49-F238E27FC236}">
                <a16:creationId xmlns:a16="http://schemas.microsoft.com/office/drawing/2014/main" id="{00000000-0008-0000-0000-000021000000}"/>
              </a:ext>
            </a:extLst>
          </xdr:cNvPr>
          <xdr:cNvSpPr/>
        </xdr:nvSpPr>
        <xdr:spPr>
          <a:xfrm>
            <a:off x="3913489" y="95133474"/>
            <a:ext cx="1016000" cy="1683429"/>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4" name="TextBox 129">
            <a:extLst>
              <a:ext uri="{FF2B5EF4-FFF2-40B4-BE49-F238E27FC236}">
                <a16:creationId xmlns:a16="http://schemas.microsoft.com/office/drawing/2014/main" id="{00000000-0008-0000-0000-000022000000}"/>
              </a:ext>
            </a:extLst>
          </xdr:cNvPr>
          <xdr:cNvSpPr txBox="1"/>
        </xdr:nvSpPr>
        <xdr:spPr>
          <a:xfrm>
            <a:off x="3158778" y="94764142"/>
            <a:ext cx="14286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The Gateway</a:t>
            </a:r>
            <a:endParaRPr lang="en-IN" b="1">
              <a:solidFill>
                <a:srgbClr val="FFFF00"/>
              </a:solidFill>
            </a:endParaRPr>
          </a:p>
        </xdr:txBody>
      </xdr:sp>
    </xdr:grpSp>
    <xdr:clientData/>
  </xdr:twoCellAnchor>
  <xdr:twoCellAnchor>
    <xdr:from>
      <xdr:col>8</xdr:col>
      <xdr:colOff>818029</xdr:colOff>
      <xdr:row>268</xdr:row>
      <xdr:rowOff>246529</xdr:rowOff>
    </xdr:from>
    <xdr:to>
      <xdr:col>18</xdr:col>
      <xdr:colOff>257735</xdr:colOff>
      <xdr:row>305</xdr:row>
      <xdr:rowOff>25614</xdr:rowOff>
    </xdr:to>
    <xdr:grpSp>
      <xdr:nvGrpSpPr>
        <xdr:cNvPr id="51" name="Group 50">
          <a:extLst>
            <a:ext uri="{FF2B5EF4-FFF2-40B4-BE49-F238E27FC236}">
              <a16:creationId xmlns:a16="http://schemas.microsoft.com/office/drawing/2014/main" id="{00000000-0008-0000-0000-000033000000}"/>
            </a:ext>
          </a:extLst>
        </xdr:cNvPr>
        <xdr:cNvGrpSpPr/>
      </xdr:nvGrpSpPr>
      <xdr:grpSpPr>
        <a:xfrm>
          <a:off x="10230970" y="70989264"/>
          <a:ext cx="7328647" cy="9315291"/>
          <a:chOff x="1042146" y="70463388"/>
          <a:chExt cx="7283823" cy="9344106"/>
        </a:xfrm>
      </xdr:grpSpPr>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042146" y="70463388"/>
            <a:ext cx="7283823" cy="4368005"/>
          </a:xfrm>
          <a:prstGeom prst="rect">
            <a:avLst/>
          </a:prstGeom>
          <a:ln>
            <a:solidFill>
              <a:schemeClr val="tx1"/>
            </a:solidFill>
          </a:ln>
        </xdr:spPr>
      </xdr:pic>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5951429" y="74959451"/>
            <a:ext cx="2264981" cy="2873405"/>
          </a:xfrm>
          <a:prstGeom prst="rect">
            <a:avLst/>
          </a:prstGeom>
          <a:ln>
            <a:solidFill>
              <a:schemeClr val="tx1"/>
            </a:solidFill>
          </a:ln>
        </xdr:spPr>
      </xdr:pic>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3249579" y="77952919"/>
            <a:ext cx="1427827" cy="1854575"/>
          </a:xfrm>
          <a:prstGeom prst="rect">
            <a:avLst/>
          </a:prstGeom>
          <a:ln>
            <a:solidFill>
              <a:schemeClr val="tx1"/>
            </a:solidFill>
          </a:ln>
        </xdr:spPr>
      </xdr:pic>
      <xdr:pic>
        <xdr:nvPicPr>
          <xdr:cNvPr id="41" name="Pictur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4759735" y="77950518"/>
            <a:ext cx="1427828" cy="1854575"/>
          </a:xfrm>
          <a:prstGeom prst="rect">
            <a:avLst/>
          </a:prstGeom>
          <a:ln>
            <a:solidFill>
              <a:schemeClr val="tx1"/>
            </a:solidFill>
          </a:ln>
        </xdr:spPr>
      </xdr:pic>
      <xdr:sp macro="" textlink="">
        <xdr:nvSpPr>
          <xdr:cNvPr id="42" name="TextBox 17">
            <a:extLst>
              <a:ext uri="{FF2B5EF4-FFF2-40B4-BE49-F238E27FC236}">
                <a16:creationId xmlns:a16="http://schemas.microsoft.com/office/drawing/2014/main" id="{00000000-0008-0000-0000-00002A000000}"/>
              </a:ext>
            </a:extLst>
          </xdr:cNvPr>
          <xdr:cNvSpPr txBox="1"/>
        </xdr:nvSpPr>
        <xdr:spPr>
          <a:xfrm>
            <a:off x="1139476" y="71923613"/>
            <a:ext cx="1861715" cy="56362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t>Tower B</a:t>
            </a:r>
            <a:endParaRPr lang="en-IN" sz="2800" b="1"/>
          </a:p>
        </xdr:txBody>
      </xdr:sp>
      <xdr:sp macro="" textlink="">
        <xdr:nvSpPr>
          <xdr:cNvPr id="43" name="TextBox 19">
            <a:extLst>
              <a:ext uri="{FF2B5EF4-FFF2-40B4-BE49-F238E27FC236}">
                <a16:creationId xmlns:a16="http://schemas.microsoft.com/office/drawing/2014/main" id="{00000000-0008-0000-0000-00002B000000}"/>
              </a:ext>
            </a:extLst>
          </xdr:cNvPr>
          <xdr:cNvSpPr txBox="1"/>
        </xdr:nvSpPr>
        <xdr:spPr>
          <a:xfrm>
            <a:off x="4088810" y="71359188"/>
            <a:ext cx="1883470" cy="56442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t>Tower A</a:t>
            </a:r>
            <a:endParaRPr lang="en-IN" sz="2800" b="1"/>
          </a:p>
        </xdr:txBody>
      </xdr:sp>
      <xdr:grpSp>
        <xdr:nvGrpSpPr>
          <xdr:cNvPr id="50" name="Group 49">
            <a:extLst>
              <a:ext uri="{FF2B5EF4-FFF2-40B4-BE49-F238E27FC236}">
                <a16:creationId xmlns:a16="http://schemas.microsoft.com/office/drawing/2014/main" id="{00000000-0008-0000-0000-000032000000}"/>
              </a:ext>
            </a:extLst>
          </xdr:cNvPr>
          <xdr:cNvGrpSpPr/>
        </xdr:nvGrpSpPr>
        <xdr:grpSpPr>
          <a:xfrm>
            <a:off x="3564263" y="74959451"/>
            <a:ext cx="2275665" cy="2873405"/>
            <a:chOff x="3564263" y="74959451"/>
            <a:chExt cx="2275665" cy="2873405"/>
          </a:xfrm>
        </xdr:grpSpPr>
        <xdr:pic>
          <xdr:nvPicPr>
            <xdr:cNvPr id="38" name="Pictur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3564263" y="74959451"/>
              <a:ext cx="2264980" cy="2873405"/>
            </a:xfrm>
            <a:prstGeom prst="rect">
              <a:avLst/>
            </a:prstGeom>
            <a:ln>
              <a:solidFill>
                <a:schemeClr val="tx1"/>
              </a:solidFill>
            </a:ln>
          </xdr:spPr>
        </xdr:pic>
        <xdr:sp macro="" textlink="">
          <xdr:nvSpPr>
            <xdr:cNvPr id="44" name="TextBox 20">
              <a:extLst>
                <a:ext uri="{FF2B5EF4-FFF2-40B4-BE49-F238E27FC236}">
                  <a16:creationId xmlns:a16="http://schemas.microsoft.com/office/drawing/2014/main" id="{00000000-0008-0000-0000-00002C000000}"/>
                </a:ext>
              </a:extLst>
            </xdr:cNvPr>
            <xdr:cNvSpPr txBox="1"/>
          </xdr:nvSpPr>
          <xdr:spPr>
            <a:xfrm>
              <a:off x="3971811" y="75235647"/>
              <a:ext cx="1868117" cy="56442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t>Tower B</a:t>
              </a:r>
              <a:endParaRPr lang="en-IN" sz="2000" b="1"/>
            </a:p>
          </xdr:txBody>
        </xdr:sp>
      </xdr:grpSp>
      <xdr:grpSp>
        <xdr:nvGrpSpPr>
          <xdr:cNvPr id="48" name="Group 47">
            <a:extLst>
              <a:ext uri="{FF2B5EF4-FFF2-40B4-BE49-F238E27FC236}">
                <a16:creationId xmlns:a16="http://schemas.microsoft.com/office/drawing/2014/main" id="{00000000-0008-0000-0000-000030000000}"/>
              </a:ext>
            </a:extLst>
          </xdr:cNvPr>
          <xdr:cNvGrpSpPr/>
        </xdr:nvGrpSpPr>
        <xdr:grpSpPr>
          <a:xfrm>
            <a:off x="1192625" y="74959450"/>
            <a:ext cx="2356246" cy="2873405"/>
            <a:chOff x="1192625" y="74959450"/>
            <a:chExt cx="2356246" cy="2873405"/>
          </a:xfrm>
        </xdr:grpSpPr>
        <xdr:pic>
          <xdr:nvPicPr>
            <xdr:cNvPr id="45" name="Picture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193127" y="74959450"/>
              <a:ext cx="2264982" cy="2873405"/>
            </a:xfrm>
            <a:prstGeom prst="rect">
              <a:avLst/>
            </a:prstGeom>
            <a:ln>
              <a:solidFill>
                <a:schemeClr val="tx1"/>
              </a:solidFill>
            </a:ln>
          </xdr:spPr>
        </xdr:pic>
        <xdr:sp macro="" textlink="">
          <xdr:nvSpPr>
            <xdr:cNvPr id="46" name="TextBox 25">
              <a:extLst>
                <a:ext uri="{FF2B5EF4-FFF2-40B4-BE49-F238E27FC236}">
                  <a16:creationId xmlns:a16="http://schemas.microsoft.com/office/drawing/2014/main" id="{00000000-0008-0000-0000-00002E000000}"/>
                </a:ext>
              </a:extLst>
            </xdr:cNvPr>
            <xdr:cNvSpPr txBox="1"/>
          </xdr:nvSpPr>
          <xdr:spPr>
            <a:xfrm>
              <a:off x="2137143" y="75499686"/>
              <a:ext cx="1411728" cy="43058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t>Tower A</a:t>
              </a:r>
              <a:endParaRPr lang="en-IN" sz="2000" b="1"/>
            </a:p>
          </xdr:txBody>
        </xdr:sp>
        <xdr:sp macro="" textlink="">
          <xdr:nvSpPr>
            <xdr:cNvPr id="47" name="TextBox 25">
              <a:extLst>
                <a:ext uri="{FF2B5EF4-FFF2-40B4-BE49-F238E27FC236}">
                  <a16:creationId xmlns:a16="http://schemas.microsoft.com/office/drawing/2014/main" id="{00000000-0008-0000-0000-00002F000000}"/>
                </a:ext>
              </a:extLst>
            </xdr:cNvPr>
            <xdr:cNvSpPr txBox="1"/>
          </xdr:nvSpPr>
          <xdr:spPr>
            <a:xfrm>
              <a:off x="1192625" y="76308056"/>
              <a:ext cx="1418132" cy="43138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t>Tower B</a:t>
              </a:r>
              <a:endParaRPr lang="en-IN" sz="2000" b="1"/>
            </a:p>
          </xdr:txBody>
        </xdr:sp>
      </xdr:grpSp>
    </xdr:grpSp>
    <xdr:clientData/>
  </xdr:twoCellAnchor>
  <xdr:twoCellAnchor editAs="oneCell">
    <xdr:from>
      <xdr:col>8</xdr:col>
      <xdr:colOff>268942</xdr:colOff>
      <xdr:row>60</xdr:row>
      <xdr:rowOff>100853</xdr:rowOff>
    </xdr:from>
    <xdr:to>
      <xdr:col>14</xdr:col>
      <xdr:colOff>249531</xdr:colOff>
      <xdr:row>71</xdr:row>
      <xdr:rowOff>75480</xdr:rowOff>
    </xdr:to>
    <xdr:pic>
      <xdr:nvPicPr>
        <xdr:cNvPr id="36" name="Picture 35">
          <a:extLst>
            <a:ext uri="{FF2B5EF4-FFF2-40B4-BE49-F238E27FC236}">
              <a16:creationId xmlns:a16="http://schemas.microsoft.com/office/drawing/2014/main" id="{36E97F0C-1305-48E8-A6BF-6BBA94C4391E}"/>
            </a:ext>
          </a:extLst>
        </xdr:cNvPr>
        <xdr:cNvPicPr>
          <a:picLocks noChangeAspect="1"/>
        </xdr:cNvPicPr>
      </xdr:nvPicPr>
      <xdr:blipFill>
        <a:blip xmlns:r="http://schemas.openxmlformats.org/officeDocument/2006/relationships" r:embed="rId28"/>
        <a:stretch>
          <a:fillRect/>
        </a:stretch>
      </xdr:blipFill>
      <xdr:spPr>
        <a:xfrm>
          <a:off x="9681883" y="29337000"/>
          <a:ext cx="5449060" cy="2876951"/>
        </a:xfrm>
        <a:prstGeom prst="rect">
          <a:avLst/>
        </a:prstGeom>
      </xdr:spPr>
    </xdr:pic>
    <xdr:clientData/>
  </xdr:twoCellAnchor>
  <xdr:twoCellAnchor editAs="oneCell">
    <xdr:from>
      <xdr:col>8</xdr:col>
      <xdr:colOff>112059</xdr:colOff>
      <xdr:row>77</xdr:row>
      <xdr:rowOff>100852</xdr:rowOff>
    </xdr:from>
    <xdr:to>
      <xdr:col>14</xdr:col>
      <xdr:colOff>206964</xdr:colOff>
      <xdr:row>86</xdr:row>
      <xdr:rowOff>232309</xdr:rowOff>
    </xdr:to>
    <xdr:pic>
      <xdr:nvPicPr>
        <xdr:cNvPr id="49" name="Picture 48">
          <a:extLst>
            <a:ext uri="{FF2B5EF4-FFF2-40B4-BE49-F238E27FC236}">
              <a16:creationId xmlns:a16="http://schemas.microsoft.com/office/drawing/2014/main" id="{C8CF153F-72D3-4BFB-B904-317763011F84}"/>
            </a:ext>
          </a:extLst>
        </xdr:cNvPr>
        <xdr:cNvPicPr>
          <a:picLocks noChangeAspect="1"/>
        </xdr:cNvPicPr>
      </xdr:nvPicPr>
      <xdr:blipFill>
        <a:blip xmlns:r="http://schemas.openxmlformats.org/officeDocument/2006/relationships" r:embed="rId29"/>
        <a:stretch>
          <a:fillRect/>
        </a:stretch>
      </xdr:blipFill>
      <xdr:spPr>
        <a:xfrm>
          <a:off x="9525000" y="33841764"/>
          <a:ext cx="5563376" cy="2495898"/>
        </a:xfrm>
        <a:prstGeom prst="rect">
          <a:avLst/>
        </a:prstGeom>
      </xdr:spPr>
    </xdr:pic>
    <xdr:clientData/>
  </xdr:twoCellAnchor>
  <xdr:twoCellAnchor>
    <xdr:from>
      <xdr:col>0</xdr:col>
      <xdr:colOff>1086972</xdr:colOff>
      <xdr:row>267</xdr:row>
      <xdr:rowOff>179293</xdr:rowOff>
    </xdr:from>
    <xdr:to>
      <xdr:col>6</xdr:col>
      <xdr:colOff>1143000</xdr:colOff>
      <xdr:row>303</xdr:row>
      <xdr:rowOff>100852</xdr:rowOff>
    </xdr:to>
    <xdr:grpSp>
      <xdr:nvGrpSpPr>
        <xdr:cNvPr id="52" name="Group 51">
          <a:extLst>
            <a:ext uri="{FF2B5EF4-FFF2-40B4-BE49-F238E27FC236}">
              <a16:creationId xmlns:a16="http://schemas.microsoft.com/office/drawing/2014/main" id="{25D0555A-07F4-47BE-BA74-89869CC2B28C}"/>
            </a:ext>
          </a:extLst>
        </xdr:cNvPr>
        <xdr:cNvGrpSpPr/>
      </xdr:nvGrpSpPr>
      <xdr:grpSpPr>
        <a:xfrm>
          <a:off x="1086972" y="70664293"/>
          <a:ext cx="7115734" cy="9200030"/>
          <a:chOff x="202558" y="-173498"/>
          <a:chExt cx="6345116" cy="8990984"/>
        </a:xfrm>
      </xdr:grpSpPr>
      <xdr:grpSp>
        <xdr:nvGrpSpPr>
          <xdr:cNvPr id="53" name="Group 52">
            <a:extLst>
              <a:ext uri="{FF2B5EF4-FFF2-40B4-BE49-F238E27FC236}">
                <a16:creationId xmlns:a16="http://schemas.microsoft.com/office/drawing/2014/main" id="{E0373D58-C099-49CD-85FA-964CE239D12E}"/>
              </a:ext>
            </a:extLst>
          </xdr:cNvPr>
          <xdr:cNvGrpSpPr/>
        </xdr:nvGrpSpPr>
        <xdr:grpSpPr>
          <a:xfrm>
            <a:off x="202558" y="-173498"/>
            <a:ext cx="6345116" cy="8990984"/>
            <a:chOff x="202558" y="-173498"/>
            <a:chExt cx="6345116" cy="8990984"/>
          </a:xfrm>
        </xdr:grpSpPr>
        <xdr:pic>
          <xdr:nvPicPr>
            <xdr:cNvPr id="58" name="Picture 57">
              <a:extLst>
                <a:ext uri="{FF2B5EF4-FFF2-40B4-BE49-F238E27FC236}">
                  <a16:creationId xmlns:a16="http://schemas.microsoft.com/office/drawing/2014/main" id="{41C2E2A5-5672-4FE2-903C-5C4DD0F3D297}"/>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202558" y="3841493"/>
              <a:ext cx="1980000" cy="2642753"/>
            </a:xfrm>
            <a:prstGeom prst="rect">
              <a:avLst/>
            </a:prstGeom>
            <a:ln>
              <a:solidFill>
                <a:schemeClr val="tx1"/>
              </a:solidFill>
            </a:ln>
          </xdr:spPr>
        </xdr:pic>
        <xdr:pic>
          <xdr:nvPicPr>
            <xdr:cNvPr id="59" name="Picture 58">
              <a:extLst>
                <a:ext uri="{FF2B5EF4-FFF2-40B4-BE49-F238E27FC236}">
                  <a16:creationId xmlns:a16="http://schemas.microsoft.com/office/drawing/2014/main" id="{21646E59-AB5C-4866-B98E-5511BE7A733C}"/>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3467100" y="-173498"/>
              <a:ext cx="3080574" cy="3844004"/>
            </a:xfrm>
            <a:prstGeom prst="rect">
              <a:avLst/>
            </a:prstGeom>
            <a:ln>
              <a:solidFill>
                <a:schemeClr val="tx1"/>
              </a:solidFill>
            </a:ln>
          </xdr:spPr>
        </xdr:pic>
        <xdr:pic>
          <xdr:nvPicPr>
            <xdr:cNvPr id="60" name="Picture 59">
              <a:extLst>
                <a:ext uri="{FF2B5EF4-FFF2-40B4-BE49-F238E27FC236}">
                  <a16:creationId xmlns:a16="http://schemas.microsoft.com/office/drawing/2014/main" id="{C69E9967-90D4-4DEA-902E-5CF25212A884}"/>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202558" y="-173498"/>
              <a:ext cx="3118674" cy="3844004"/>
            </a:xfrm>
            <a:prstGeom prst="rect">
              <a:avLst/>
            </a:prstGeom>
            <a:ln>
              <a:solidFill>
                <a:schemeClr val="tx1"/>
              </a:solidFill>
            </a:ln>
          </xdr:spPr>
        </xdr:pic>
        <xdr:pic>
          <xdr:nvPicPr>
            <xdr:cNvPr id="61" name="Picture 60">
              <a:extLst>
                <a:ext uri="{FF2B5EF4-FFF2-40B4-BE49-F238E27FC236}">
                  <a16:creationId xmlns:a16="http://schemas.microsoft.com/office/drawing/2014/main" id="{91684152-12A9-47A8-AB80-1ADB1C57D545}"/>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2385116" y="3841493"/>
              <a:ext cx="1980000" cy="2642754"/>
            </a:xfrm>
            <a:prstGeom prst="rect">
              <a:avLst/>
            </a:prstGeom>
            <a:ln>
              <a:solidFill>
                <a:schemeClr val="tx1"/>
              </a:solidFill>
            </a:ln>
          </xdr:spPr>
        </xdr:pic>
        <xdr:pic>
          <xdr:nvPicPr>
            <xdr:cNvPr id="62" name="Picture 61">
              <a:extLst>
                <a:ext uri="{FF2B5EF4-FFF2-40B4-BE49-F238E27FC236}">
                  <a16:creationId xmlns:a16="http://schemas.microsoft.com/office/drawing/2014/main" id="{36C0A1BA-B9A6-4035-BF74-8C9FE252A479}"/>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4567674" y="3841492"/>
              <a:ext cx="1980000" cy="2642753"/>
            </a:xfrm>
            <a:prstGeom prst="rect">
              <a:avLst/>
            </a:prstGeom>
            <a:ln>
              <a:solidFill>
                <a:schemeClr val="tx1"/>
              </a:solidFill>
            </a:ln>
          </xdr:spPr>
        </xdr:pic>
        <xdr:pic>
          <xdr:nvPicPr>
            <xdr:cNvPr id="63" name="Picture 62">
              <a:extLst>
                <a:ext uri="{FF2B5EF4-FFF2-40B4-BE49-F238E27FC236}">
                  <a16:creationId xmlns:a16="http://schemas.microsoft.com/office/drawing/2014/main" id="{94BC0DFD-71B2-440D-90FF-E50CAE2272C8}"/>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1645228" y="6655233"/>
              <a:ext cx="1620000" cy="2162253"/>
            </a:xfrm>
            <a:prstGeom prst="rect">
              <a:avLst/>
            </a:prstGeom>
            <a:ln>
              <a:solidFill>
                <a:schemeClr val="tx1"/>
              </a:solidFill>
            </a:ln>
          </xdr:spPr>
        </xdr:pic>
        <xdr:pic>
          <xdr:nvPicPr>
            <xdr:cNvPr id="64" name="Picture 63">
              <a:extLst>
                <a:ext uri="{FF2B5EF4-FFF2-40B4-BE49-F238E27FC236}">
                  <a16:creationId xmlns:a16="http://schemas.microsoft.com/office/drawing/2014/main" id="{55DB3D71-3684-4182-BE77-8898F78DB5FE}"/>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3429000" y="6655234"/>
              <a:ext cx="1620000" cy="2162252"/>
            </a:xfrm>
            <a:prstGeom prst="rect">
              <a:avLst/>
            </a:prstGeom>
            <a:ln>
              <a:solidFill>
                <a:schemeClr val="tx1"/>
              </a:solidFill>
            </a:ln>
          </xdr:spPr>
        </xdr:pic>
      </xdr:grpSp>
      <xdr:sp macro="" textlink="">
        <xdr:nvSpPr>
          <xdr:cNvPr id="54" name="TextBox 200">
            <a:extLst>
              <a:ext uri="{FF2B5EF4-FFF2-40B4-BE49-F238E27FC236}">
                <a16:creationId xmlns:a16="http://schemas.microsoft.com/office/drawing/2014/main" id="{CC2DD37D-F9A2-4389-B1D8-3C43B536C698}"/>
              </a:ext>
            </a:extLst>
          </xdr:cNvPr>
          <xdr:cNvSpPr txBox="1"/>
        </xdr:nvSpPr>
        <xdr:spPr>
          <a:xfrm>
            <a:off x="1466598" y="0"/>
            <a:ext cx="1049646" cy="400110"/>
          </a:xfrm>
          <a:prstGeom prst="rect">
            <a:avLst/>
          </a:prstGeom>
          <a:solidFill>
            <a:schemeClr val="bg1">
              <a:lumMod val="8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t>Tower A</a:t>
            </a:r>
            <a:endParaRPr lang="en-IN" sz="2000" b="1"/>
          </a:p>
        </xdr:txBody>
      </xdr:sp>
      <xdr:sp macro="" textlink="">
        <xdr:nvSpPr>
          <xdr:cNvPr id="55" name="TextBox 201">
            <a:extLst>
              <a:ext uri="{FF2B5EF4-FFF2-40B4-BE49-F238E27FC236}">
                <a16:creationId xmlns:a16="http://schemas.microsoft.com/office/drawing/2014/main" id="{6FEB96BD-FB99-4965-8E00-84DE731B1B34}"/>
              </a:ext>
            </a:extLst>
          </xdr:cNvPr>
          <xdr:cNvSpPr txBox="1"/>
        </xdr:nvSpPr>
        <xdr:spPr>
          <a:xfrm rot="20722458">
            <a:off x="5110016" y="0"/>
            <a:ext cx="1049646" cy="400110"/>
          </a:xfrm>
          <a:prstGeom prst="rect">
            <a:avLst/>
          </a:prstGeom>
          <a:solidFill>
            <a:schemeClr val="bg1">
              <a:lumMod val="8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t>Tower A</a:t>
            </a:r>
            <a:endParaRPr lang="en-IN" sz="2000" b="1"/>
          </a:p>
        </xdr:txBody>
      </xdr:sp>
      <xdr:sp macro="" textlink="">
        <xdr:nvSpPr>
          <xdr:cNvPr id="56" name="TextBox 202">
            <a:extLst>
              <a:ext uri="{FF2B5EF4-FFF2-40B4-BE49-F238E27FC236}">
                <a16:creationId xmlns:a16="http://schemas.microsoft.com/office/drawing/2014/main" id="{EDB7B936-FC2F-466D-8F55-1BFAF76038EF}"/>
              </a:ext>
            </a:extLst>
          </xdr:cNvPr>
          <xdr:cNvSpPr txBox="1"/>
        </xdr:nvSpPr>
        <xdr:spPr>
          <a:xfrm rot="20722458">
            <a:off x="3506219" y="800101"/>
            <a:ext cx="1038426" cy="400110"/>
          </a:xfrm>
          <a:prstGeom prst="rect">
            <a:avLst/>
          </a:prstGeom>
          <a:solidFill>
            <a:schemeClr val="bg1">
              <a:lumMod val="8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t>Tower B</a:t>
            </a:r>
            <a:endParaRPr lang="en-IN" sz="2000" b="1"/>
          </a:p>
        </xdr:txBody>
      </xdr:sp>
      <xdr:sp macro="" textlink="">
        <xdr:nvSpPr>
          <xdr:cNvPr id="57" name="TextBox 203">
            <a:extLst>
              <a:ext uri="{FF2B5EF4-FFF2-40B4-BE49-F238E27FC236}">
                <a16:creationId xmlns:a16="http://schemas.microsoft.com/office/drawing/2014/main" id="{F0959AE1-3BFA-4A8E-93D4-350647F8104E}"/>
              </a:ext>
            </a:extLst>
          </xdr:cNvPr>
          <xdr:cNvSpPr txBox="1"/>
        </xdr:nvSpPr>
        <xdr:spPr>
          <a:xfrm>
            <a:off x="1132912" y="3841492"/>
            <a:ext cx="1049646" cy="400110"/>
          </a:xfrm>
          <a:prstGeom prst="rect">
            <a:avLst/>
          </a:prstGeom>
          <a:solidFill>
            <a:schemeClr val="bg1">
              <a:lumMod val="8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t>Tower A</a:t>
            </a:r>
            <a:endParaRPr lang="en-IN" sz="2000" b="1"/>
          </a:p>
        </xdr:txBody>
      </xdr:sp>
    </xdr:grpSp>
    <xdr:clientData/>
  </xdr:twoCellAnchor>
  <xdr:twoCellAnchor editAs="oneCell">
    <xdr:from>
      <xdr:col>8</xdr:col>
      <xdr:colOff>212912</xdr:colOff>
      <xdr:row>51</xdr:row>
      <xdr:rowOff>134470</xdr:rowOff>
    </xdr:from>
    <xdr:to>
      <xdr:col>17</xdr:col>
      <xdr:colOff>340572</xdr:colOff>
      <xdr:row>54</xdr:row>
      <xdr:rowOff>1133162</xdr:rowOff>
    </xdr:to>
    <xdr:pic>
      <xdr:nvPicPr>
        <xdr:cNvPr id="65" name="Picture 64">
          <a:extLst>
            <a:ext uri="{FF2B5EF4-FFF2-40B4-BE49-F238E27FC236}">
              <a16:creationId xmlns:a16="http://schemas.microsoft.com/office/drawing/2014/main" id="{E7BA444E-00CC-465D-8B33-F669282BBA6A}"/>
            </a:ext>
          </a:extLst>
        </xdr:cNvPr>
        <xdr:cNvPicPr>
          <a:picLocks noChangeAspect="1"/>
        </xdr:cNvPicPr>
      </xdr:nvPicPr>
      <xdr:blipFill>
        <a:blip xmlns:r="http://schemas.openxmlformats.org/officeDocument/2006/relationships" r:embed="rId37"/>
        <a:stretch>
          <a:fillRect/>
        </a:stretch>
      </xdr:blipFill>
      <xdr:spPr>
        <a:xfrm>
          <a:off x="9625853" y="22747941"/>
          <a:ext cx="7411484" cy="177189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www.sewriresidences.com/lnt-the-gateway-sewri/" TargetMode="External"/><Relationship Id="rId1" Type="http://schemas.openxmlformats.org/officeDocument/2006/relationships/hyperlink" Target="https://maps.app.goo.gl/z4GQjc9YC44UHXCH8"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388"/>
  <sheetViews>
    <sheetView tabSelected="1" view="pageBreakPreview" topLeftCell="A44" zoomScale="85" zoomScaleNormal="85" zoomScaleSheetLayoutView="85" zoomScalePageLayoutView="70" workbookViewId="0">
      <selection activeCell="A50" sqref="A50:XFD50"/>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2" style="1" bestFit="1" customWidth="1"/>
    <col min="11" max="19" width="9.140625" style="1"/>
    <col min="20" max="22" width="0" style="1" hidden="1" customWidth="1"/>
    <col min="23" max="25" width="9.140625" style="1"/>
    <col min="26" max="26" width="7.85546875" style="1" customWidth="1"/>
    <col min="27" max="16384" width="9.140625" style="1"/>
  </cols>
  <sheetData>
    <row r="1" spans="1:11" ht="20.25" x14ac:dyDescent="0.25">
      <c r="A1" s="151" t="s">
        <v>38</v>
      </c>
      <c r="B1" s="152"/>
      <c r="C1" s="152"/>
      <c r="D1" s="152"/>
      <c r="E1" s="152"/>
      <c r="F1" s="152"/>
      <c r="G1" s="152"/>
      <c r="H1" s="153"/>
    </row>
    <row r="2" spans="1:11" ht="42" customHeight="1" x14ac:dyDescent="0.25">
      <c r="A2" s="118" t="s">
        <v>10</v>
      </c>
      <c r="B2" s="118"/>
      <c r="C2" s="119" t="s">
        <v>86</v>
      </c>
      <c r="D2" s="119"/>
      <c r="E2" s="118" t="s">
        <v>12</v>
      </c>
      <c r="F2" s="118"/>
      <c r="G2" s="146">
        <v>45874</v>
      </c>
      <c r="H2" s="119"/>
      <c r="I2" s="209">
        <v>45873</v>
      </c>
      <c r="J2" s="148">
        <f>I2-I3</f>
        <v>90</v>
      </c>
      <c r="K2" s="149"/>
    </row>
    <row r="3" spans="1:11" ht="42.75" customHeight="1" x14ac:dyDescent="0.25">
      <c r="A3" s="118" t="s">
        <v>39</v>
      </c>
      <c r="B3" s="118"/>
      <c r="C3" s="150" t="s">
        <v>307</v>
      </c>
      <c r="D3" s="150"/>
      <c r="E3" s="118" t="s">
        <v>159</v>
      </c>
      <c r="F3" s="118"/>
      <c r="G3" s="119" t="s">
        <v>384</v>
      </c>
      <c r="H3" s="119"/>
      <c r="I3" s="209">
        <v>45783</v>
      </c>
    </row>
    <row r="4" spans="1:11" ht="43.5" customHeight="1" x14ac:dyDescent="0.25">
      <c r="A4" s="118" t="s">
        <v>36</v>
      </c>
      <c r="B4" s="118"/>
      <c r="C4" s="119" t="s">
        <v>148</v>
      </c>
      <c r="D4" s="119"/>
      <c r="E4" s="118" t="s">
        <v>33</v>
      </c>
      <c r="F4" s="118"/>
      <c r="G4" s="119" t="str">
        <f ca="1">TEXT(TODAY(),"DD/MM/YYYY")</f>
        <v>08/08/2025</v>
      </c>
      <c r="H4" s="119"/>
    </row>
    <row r="5" spans="1:11" ht="20.25" x14ac:dyDescent="0.25">
      <c r="A5" s="111" t="s">
        <v>40</v>
      </c>
      <c r="B5" s="111"/>
      <c r="C5" s="111"/>
      <c r="D5" s="111"/>
      <c r="E5" s="111"/>
      <c r="F5" s="111"/>
      <c r="G5" s="111"/>
      <c r="H5" s="111"/>
    </row>
    <row r="6" spans="1:11" ht="43.5" customHeight="1" x14ac:dyDescent="0.25">
      <c r="A6" s="118" t="s">
        <v>29</v>
      </c>
      <c r="B6" s="118"/>
      <c r="C6" s="119" t="s">
        <v>308</v>
      </c>
      <c r="D6" s="119"/>
      <c r="E6" s="118" t="s">
        <v>35</v>
      </c>
      <c r="F6" s="118"/>
      <c r="G6" s="140" t="s">
        <v>385</v>
      </c>
      <c r="H6" s="140"/>
    </row>
    <row r="7" spans="1:11" ht="42.75" customHeight="1" x14ac:dyDescent="0.25">
      <c r="A7" s="118" t="s">
        <v>42</v>
      </c>
      <c r="B7" s="118"/>
      <c r="C7" s="119" t="s">
        <v>309</v>
      </c>
      <c r="D7" s="119"/>
      <c r="E7" s="118" t="s">
        <v>43</v>
      </c>
      <c r="F7" s="118"/>
      <c r="G7" s="119" t="s">
        <v>383</v>
      </c>
      <c r="H7" s="119"/>
    </row>
    <row r="8" spans="1:11" ht="20.25" x14ac:dyDescent="0.25">
      <c r="A8" s="118" t="s">
        <v>44</v>
      </c>
      <c r="B8" s="118"/>
      <c r="C8" s="119" t="s">
        <v>310</v>
      </c>
      <c r="D8" s="119"/>
      <c r="E8" s="119"/>
      <c r="F8" s="119"/>
      <c r="G8" s="119"/>
      <c r="H8" s="119"/>
    </row>
    <row r="9" spans="1:11" ht="70.5" customHeight="1" x14ac:dyDescent="0.25">
      <c r="A9" s="143" t="s">
        <v>150</v>
      </c>
      <c r="B9" s="47" t="s">
        <v>41</v>
      </c>
      <c r="C9" s="119" t="s">
        <v>374</v>
      </c>
      <c r="D9" s="119"/>
      <c r="E9" s="119"/>
      <c r="F9" s="119"/>
      <c r="G9" s="119"/>
      <c r="H9" s="119"/>
    </row>
    <row r="10" spans="1:11" ht="66" customHeight="1" x14ac:dyDescent="0.25">
      <c r="A10" s="143"/>
      <c r="B10" s="47" t="s">
        <v>11</v>
      </c>
      <c r="C10" s="119" t="s">
        <v>372</v>
      </c>
      <c r="D10" s="119"/>
      <c r="E10" s="119"/>
      <c r="F10" s="119"/>
      <c r="G10" s="119"/>
      <c r="H10" s="119"/>
    </row>
    <row r="11" spans="1:11" ht="84" customHeight="1" x14ac:dyDescent="0.25">
      <c r="A11" s="143"/>
      <c r="B11" s="47" t="s">
        <v>5</v>
      </c>
      <c r="C11" s="119" t="s">
        <v>373</v>
      </c>
      <c r="D11" s="119"/>
      <c r="E11" s="119"/>
      <c r="F11" s="119"/>
      <c r="G11" s="119"/>
      <c r="H11" s="119"/>
    </row>
    <row r="12" spans="1:11" ht="40.5" customHeight="1" x14ac:dyDescent="0.25">
      <c r="A12" s="118" t="s">
        <v>34</v>
      </c>
      <c r="B12" s="118"/>
      <c r="C12" s="140" t="s">
        <v>314</v>
      </c>
      <c r="D12" s="140"/>
      <c r="E12" s="140"/>
      <c r="F12" s="140"/>
      <c r="G12" s="140"/>
      <c r="H12" s="140"/>
    </row>
    <row r="13" spans="1:11" ht="20.100000000000001" customHeight="1" x14ac:dyDescent="0.25">
      <c r="A13" s="111" t="s">
        <v>45</v>
      </c>
      <c r="B13" s="111"/>
      <c r="C13" s="111"/>
      <c r="D13" s="111"/>
      <c r="E13" s="111"/>
      <c r="F13" s="111"/>
      <c r="G13" s="111"/>
      <c r="H13" s="111"/>
    </row>
    <row r="14" spans="1:11" ht="41.25" customHeight="1" x14ac:dyDescent="0.25">
      <c r="A14" s="118" t="s">
        <v>27</v>
      </c>
      <c r="B14" s="118" t="s">
        <v>4</v>
      </c>
      <c r="C14" s="119" t="s">
        <v>87</v>
      </c>
      <c r="D14" s="119"/>
      <c r="E14" s="118" t="s">
        <v>46</v>
      </c>
      <c r="F14" s="118" t="s">
        <v>4</v>
      </c>
      <c r="G14" s="119" t="s">
        <v>311</v>
      </c>
      <c r="H14" s="119"/>
    </row>
    <row r="15" spans="1:11" ht="41.25" customHeight="1" x14ac:dyDescent="0.25">
      <c r="A15" s="118" t="s">
        <v>47</v>
      </c>
      <c r="B15" s="118" t="s">
        <v>4</v>
      </c>
      <c r="C15" s="119" t="s">
        <v>312</v>
      </c>
      <c r="D15" s="119"/>
      <c r="E15" s="118" t="s">
        <v>48</v>
      </c>
      <c r="F15" s="118" t="s">
        <v>4</v>
      </c>
      <c r="G15" s="146">
        <v>47026</v>
      </c>
      <c r="H15" s="119"/>
    </row>
    <row r="16" spans="1:11" ht="41.25" customHeight="1" x14ac:dyDescent="0.25">
      <c r="A16" s="118" t="s">
        <v>49</v>
      </c>
      <c r="B16" s="118" t="s">
        <v>4</v>
      </c>
      <c r="C16" s="146">
        <v>45343</v>
      </c>
      <c r="D16" s="119"/>
      <c r="E16" s="118" t="s">
        <v>50</v>
      </c>
      <c r="F16" s="118" t="s">
        <v>4</v>
      </c>
      <c r="G16" s="164">
        <v>45343</v>
      </c>
      <c r="H16" s="119"/>
    </row>
    <row r="17" spans="1:11" ht="41.25" customHeight="1" x14ac:dyDescent="0.25">
      <c r="A17" s="118" t="s">
        <v>51</v>
      </c>
      <c r="B17" s="118" t="s">
        <v>4</v>
      </c>
      <c r="C17" s="146">
        <f>G15</f>
        <v>47026</v>
      </c>
      <c r="D17" s="119"/>
      <c r="E17" s="118" t="s">
        <v>52</v>
      </c>
      <c r="F17" s="118" t="s">
        <v>4</v>
      </c>
      <c r="G17" s="119" t="s">
        <v>313</v>
      </c>
      <c r="H17" s="119"/>
    </row>
    <row r="18" spans="1:11" ht="41.25" customHeight="1" x14ac:dyDescent="0.25">
      <c r="A18" s="118" t="s">
        <v>53</v>
      </c>
      <c r="B18" s="118" t="s">
        <v>4</v>
      </c>
      <c r="C18" s="119"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v>
      </c>
      <c r="D18" s="119"/>
      <c r="E18" s="118" t="s">
        <v>94</v>
      </c>
      <c r="F18" s="118" t="s">
        <v>4</v>
      </c>
      <c r="G18" s="119">
        <v>17635.759999999998</v>
      </c>
      <c r="H18" s="119"/>
    </row>
    <row r="19" spans="1:11" ht="41.25" customHeight="1" x14ac:dyDescent="0.25">
      <c r="A19" s="118" t="s">
        <v>54</v>
      </c>
      <c r="B19" s="118" t="s">
        <v>4</v>
      </c>
      <c r="C19" s="119">
        <v>3</v>
      </c>
      <c r="D19" s="119"/>
      <c r="E19" s="118" t="s">
        <v>243</v>
      </c>
      <c r="F19" s="118" t="s">
        <v>4</v>
      </c>
      <c r="G19" s="119">
        <v>17635.759999999998</v>
      </c>
      <c r="H19" s="119"/>
    </row>
    <row r="20" spans="1:11" ht="41.25" customHeight="1" x14ac:dyDescent="0.25">
      <c r="A20" s="118" t="s">
        <v>92</v>
      </c>
      <c r="B20" s="118" t="s">
        <v>4</v>
      </c>
      <c r="C20" s="119">
        <v>66278.509999999995</v>
      </c>
      <c r="D20" s="119"/>
      <c r="E20" s="118" t="s">
        <v>93</v>
      </c>
      <c r="F20" s="118" t="s">
        <v>4</v>
      </c>
      <c r="G20" s="119">
        <v>66278.509999999995</v>
      </c>
      <c r="H20" s="119"/>
    </row>
    <row r="21" spans="1:11" ht="41.25" customHeight="1" x14ac:dyDescent="0.25">
      <c r="A21" s="118" t="s">
        <v>56</v>
      </c>
      <c r="B21" s="118" t="s">
        <v>4</v>
      </c>
      <c r="C21" s="119" t="s">
        <v>369</v>
      </c>
      <c r="D21" s="119"/>
      <c r="E21" s="118" t="s">
        <v>55</v>
      </c>
      <c r="F21" s="118" t="s">
        <v>4</v>
      </c>
      <c r="G21" s="119" t="s">
        <v>316</v>
      </c>
      <c r="H21" s="119"/>
      <c r="J21" s="4" t="s">
        <v>282</v>
      </c>
      <c r="K21" s="1" t="s">
        <v>315</v>
      </c>
    </row>
    <row r="22" spans="1:11" ht="20.25" x14ac:dyDescent="0.25">
      <c r="A22" s="118" t="s">
        <v>163</v>
      </c>
      <c r="B22" s="118" t="s">
        <v>4</v>
      </c>
      <c r="C22" s="119" t="s">
        <v>317</v>
      </c>
      <c r="D22" s="119"/>
      <c r="E22" s="118" t="s">
        <v>164</v>
      </c>
      <c r="F22" s="118" t="s">
        <v>4</v>
      </c>
      <c r="G22" s="119" t="s">
        <v>319</v>
      </c>
      <c r="H22" s="119"/>
      <c r="J22" s="4">
        <f>38*2+36+40+5</f>
        <v>157</v>
      </c>
      <c r="K22" s="1">
        <f>5+36+38*2+40</f>
        <v>157</v>
      </c>
    </row>
    <row r="23" spans="1:11" ht="20.25" x14ac:dyDescent="0.25">
      <c r="A23" s="118" t="s">
        <v>161</v>
      </c>
      <c r="B23" s="118" t="s">
        <v>4</v>
      </c>
      <c r="C23" s="147" t="s">
        <v>318</v>
      </c>
      <c r="D23" s="119"/>
      <c r="E23" s="119"/>
      <c r="F23" s="119"/>
      <c r="G23" s="119"/>
      <c r="H23" s="119"/>
    </row>
    <row r="24" spans="1:11" ht="44.25" customHeight="1" x14ac:dyDescent="0.25">
      <c r="A24" s="118" t="s">
        <v>25</v>
      </c>
      <c r="B24" s="118" t="s">
        <v>4</v>
      </c>
      <c r="C24" s="140" t="s">
        <v>320</v>
      </c>
      <c r="D24" s="140"/>
      <c r="E24" s="140"/>
      <c r="F24" s="140"/>
      <c r="G24" s="140"/>
      <c r="H24" s="140"/>
      <c r="I24" s="94" t="s">
        <v>321</v>
      </c>
    </row>
    <row r="25" spans="1:11" ht="24" customHeight="1" x14ac:dyDescent="0.25">
      <c r="A25" s="111" t="s">
        <v>20</v>
      </c>
      <c r="B25" s="111"/>
      <c r="C25" s="111"/>
      <c r="D25" s="111"/>
      <c r="E25" s="111"/>
      <c r="F25" s="111"/>
      <c r="G25" s="111"/>
      <c r="H25" s="111"/>
    </row>
    <row r="26" spans="1:11" ht="43.5" customHeight="1" x14ac:dyDescent="0.25">
      <c r="A26" s="118" t="s">
        <v>26</v>
      </c>
      <c r="B26" s="118" t="s">
        <v>4</v>
      </c>
      <c r="C26" s="119" t="str">
        <f>IF(AND(G26="Upper"),"Developed","Developing")</f>
        <v>Developed</v>
      </c>
      <c r="D26" s="119"/>
      <c r="E26" s="118" t="s">
        <v>13</v>
      </c>
      <c r="F26" s="118" t="s">
        <v>4</v>
      </c>
      <c r="G26" s="140" t="s">
        <v>322</v>
      </c>
      <c r="H26" s="140"/>
    </row>
    <row r="27" spans="1:11" ht="43.5" customHeight="1" x14ac:dyDescent="0.25">
      <c r="A27" s="118" t="s">
        <v>14</v>
      </c>
      <c r="B27" s="118" t="s">
        <v>4</v>
      </c>
      <c r="C27" s="140" t="s">
        <v>324</v>
      </c>
      <c r="D27" s="140"/>
      <c r="E27" s="118" t="s">
        <v>151</v>
      </c>
      <c r="F27" s="118" t="s">
        <v>4</v>
      </c>
      <c r="G27" s="140" t="s">
        <v>323</v>
      </c>
      <c r="H27" s="140"/>
    </row>
    <row r="28" spans="1:11" ht="43.5" customHeight="1" x14ac:dyDescent="0.25">
      <c r="A28" s="118" t="s">
        <v>23</v>
      </c>
      <c r="B28" s="118" t="s">
        <v>4</v>
      </c>
      <c r="C28" s="119" t="s">
        <v>96</v>
      </c>
      <c r="D28" s="119"/>
      <c r="E28" s="118" t="s">
        <v>16</v>
      </c>
      <c r="F28" s="118" t="s">
        <v>4</v>
      </c>
      <c r="G28" s="140" t="s">
        <v>325</v>
      </c>
      <c r="H28" s="140"/>
    </row>
    <row r="29" spans="1:11" ht="43.5" customHeight="1" x14ac:dyDescent="0.25">
      <c r="A29" s="118" t="s">
        <v>105</v>
      </c>
      <c r="B29" s="118" t="s">
        <v>4</v>
      </c>
      <c r="C29" s="140" t="s">
        <v>327</v>
      </c>
      <c r="D29" s="140"/>
      <c r="E29" s="118" t="s">
        <v>106</v>
      </c>
      <c r="F29" s="118" t="s">
        <v>4</v>
      </c>
      <c r="G29" s="140" t="s">
        <v>326</v>
      </c>
      <c r="H29" s="140"/>
    </row>
    <row r="30" spans="1:11" ht="84" customHeight="1" x14ac:dyDescent="0.25">
      <c r="A30" s="118" t="s">
        <v>17</v>
      </c>
      <c r="B30" s="118" t="s">
        <v>4</v>
      </c>
      <c r="C30" s="140" t="s">
        <v>328</v>
      </c>
      <c r="D30" s="140"/>
      <c r="E30" s="118" t="s">
        <v>15</v>
      </c>
      <c r="F30" s="118" t="s">
        <v>4</v>
      </c>
      <c r="G30" s="140" t="s">
        <v>371</v>
      </c>
      <c r="H30" s="140"/>
    </row>
    <row r="31" spans="1:11" ht="20.25" x14ac:dyDescent="0.25">
      <c r="A31" s="118" t="s">
        <v>111</v>
      </c>
      <c r="B31" s="118" t="s">
        <v>4</v>
      </c>
      <c r="C31" s="119" t="s">
        <v>112</v>
      </c>
      <c r="D31" s="119"/>
      <c r="E31" s="118" t="s">
        <v>113</v>
      </c>
      <c r="F31" s="118" t="s">
        <v>4</v>
      </c>
      <c r="G31" s="119" t="s">
        <v>112</v>
      </c>
      <c r="H31" s="119"/>
    </row>
    <row r="32" spans="1:11" ht="21.75" customHeight="1" x14ac:dyDescent="0.25">
      <c r="A32" s="118" t="s">
        <v>114</v>
      </c>
      <c r="B32" s="118" t="s">
        <v>4</v>
      </c>
      <c r="C32" s="119" t="s">
        <v>112</v>
      </c>
      <c r="D32" s="119"/>
      <c r="E32" s="119"/>
      <c r="F32" s="119"/>
      <c r="G32" s="119"/>
      <c r="H32" s="119"/>
    </row>
    <row r="33" spans="1:15" ht="20.25" x14ac:dyDescent="0.25">
      <c r="A33" s="167" t="s">
        <v>37</v>
      </c>
      <c r="B33" s="167"/>
      <c r="C33" s="167"/>
      <c r="D33" s="167"/>
      <c r="E33" s="167"/>
      <c r="F33" s="167"/>
      <c r="G33" s="167"/>
      <c r="H33" s="167"/>
    </row>
    <row r="34" spans="1:15" ht="43.5" customHeight="1" x14ac:dyDescent="0.25">
      <c r="A34" s="118" t="s">
        <v>18</v>
      </c>
      <c r="B34" s="118"/>
      <c r="C34" s="119" t="s">
        <v>97</v>
      </c>
      <c r="D34" s="119"/>
      <c r="E34" s="118" t="s">
        <v>19</v>
      </c>
      <c r="F34" s="118" t="s">
        <v>4</v>
      </c>
      <c r="G34" s="119" t="s">
        <v>98</v>
      </c>
      <c r="H34" s="119"/>
    </row>
    <row r="35" spans="1:15" ht="43.5" customHeight="1" x14ac:dyDescent="0.25">
      <c r="A35" s="118" t="s">
        <v>22</v>
      </c>
      <c r="B35" s="118"/>
      <c r="C35" s="119" t="s">
        <v>98</v>
      </c>
      <c r="D35" s="119"/>
      <c r="E35" s="118" t="s">
        <v>32</v>
      </c>
      <c r="F35" s="118" t="s">
        <v>4</v>
      </c>
      <c r="G35" s="119" t="s">
        <v>98</v>
      </c>
      <c r="H35" s="119"/>
    </row>
    <row r="36" spans="1:15" ht="20.25" x14ac:dyDescent="0.25">
      <c r="A36" s="118" t="s">
        <v>31</v>
      </c>
      <c r="B36" s="118"/>
      <c r="C36" s="119" t="s">
        <v>99</v>
      </c>
      <c r="D36" s="119"/>
      <c r="E36" s="118" t="s">
        <v>21</v>
      </c>
      <c r="F36" s="118" t="s">
        <v>4</v>
      </c>
      <c r="G36" s="119" t="s">
        <v>100</v>
      </c>
      <c r="H36" s="119"/>
    </row>
    <row r="37" spans="1:15" ht="20.25" x14ac:dyDescent="0.25">
      <c r="A37" s="111" t="s">
        <v>0</v>
      </c>
      <c r="B37" s="111"/>
      <c r="C37" s="111"/>
      <c r="D37" s="111"/>
      <c r="E37" s="111"/>
      <c r="F37" s="111"/>
      <c r="G37" s="111"/>
      <c r="H37" s="111"/>
    </row>
    <row r="38" spans="1:15" ht="20.25" x14ac:dyDescent="0.25">
      <c r="A38" s="145" t="s">
        <v>0</v>
      </c>
      <c r="B38" s="145"/>
      <c r="C38" s="145" t="s">
        <v>229</v>
      </c>
      <c r="D38" s="145"/>
      <c r="E38" s="145"/>
      <c r="F38" s="145" t="s">
        <v>7</v>
      </c>
      <c r="G38" s="145"/>
      <c r="H38" s="145"/>
      <c r="J38" s="141" t="s">
        <v>1</v>
      </c>
      <c r="K38" s="142"/>
      <c r="L38" s="49" t="s">
        <v>6</v>
      </c>
      <c r="M38" s="141" t="s">
        <v>2</v>
      </c>
      <c r="N38" s="142"/>
      <c r="O38" s="49" t="s">
        <v>3</v>
      </c>
    </row>
    <row r="39" spans="1:15" ht="20.25" x14ac:dyDescent="0.25">
      <c r="A39" s="143" t="s">
        <v>2</v>
      </c>
      <c r="B39" s="143"/>
      <c r="C39" s="144" t="s">
        <v>331</v>
      </c>
      <c r="D39" s="144"/>
      <c r="E39" s="144"/>
      <c r="F39" s="144" t="s">
        <v>334</v>
      </c>
      <c r="G39" s="144"/>
      <c r="H39" s="144"/>
    </row>
    <row r="40" spans="1:15" ht="20.25" x14ac:dyDescent="0.25">
      <c r="A40" s="143" t="s">
        <v>3</v>
      </c>
      <c r="B40" s="143"/>
      <c r="C40" s="144" t="s">
        <v>332</v>
      </c>
      <c r="D40" s="144"/>
      <c r="E40" s="144"/>
      <c r="F40" s="144" t="s">
        <v>333</v>
      </c>
      <c r="G40" s="144"/>
      <c r="H40" s="144"/>
    </row>
    <row r="41" spans="1:15" ht="20.25" x14ac:dyDescent="0.25">
      <c r="A41" s="143" t="s">
        <v>1</v>
      </c>
      <c r="B41" s="143"/>
      <c r="C41" s="144" t="s">
        <v>329</v>
      </c>
      <c r="D41" s="144"/>
      <c r="E41" s="144"/>
      <c r="F41" s="144" t="s">
        <v>335</v>
      </c>
      <c r="G41" s="144"/>
      <c r="H41" s="144"/>
    </row>
    <row r="42" spans="1:15" ht="20.25" customHeight="1" x14ac:dyDescent="0.25">
      <c r="A42" s="143" t="s">
        <v>6</v>
      </c>
      <c r="B42" s="143"/>
      <c r="C42" s="144" t="s">
        <v>330</v>
      </c>
      <c r="D42" s="144"/>
      <c r="E42" s="144"/>
      <c r="F42" s="144" t="s">
        <v>330</v>
      </c>
      <c r="G42" s="144"/>
      <c r="H42" s="144"/>
    </row>
    <row r="43" spans="1:15" ht="51" customHeight="1" x14ac:dyDescent="0.25">
      <c r="A43" s="118" t="s">
        <v>230</v>
      </c>
      <c r="B43" s="118"/>
      <c r="C43" s="119" t="s">
        <v>96</v>
      </c>
      <c r="D43" s="119"/>
      <c r="E43" s="119"/>
      <c r="F43" s="119"/>
      <c r="G43" s="119"/>
      <c r="H43" s="119"/>
    </row>
    <row r="44" spans="1:15" ht="20.25" x14ac:dyDescent="0.25">
      <c r="A44" s="111" t="s">
        <v>57</v>
      </c>
      <c r="B44" s="111"/>
      <c r="C44" s="111"/>
      <c r="D44" s="111"/>
      <c r="E44" s="111"/>
      <c r="F44" s="111"/>
      <c r="G44" s="111"/>
      <c r="H44" s="111"/>
    </row>
    <row r="45" spans="1:15" ht="21" customHeight="1" x14ac:dyDescent="0.25">
      <c r="A45" s="145" t="s">
        <v>58</v>
      </c>
      <c r="B45" s="145"/>
      <c r="C45" s="49" t="s">
        <v>59</v>
      </c>
      <c r="D45" s="145" t="s">
        <v>149</v>
      </c>
      <c r="E45" s="145"/>
      <c r="F45" s="145"/>
      <c r="G45" s="145" t="s">
        <v>60</v>
      </c>
      <c r="H45" s="145"/>
    </row>
    <row r="46" spans="1:15" ht="41.25" customHeight="1" x14ac:dyDescent="0.25">
      <c r="A46" s="139" t="s">
        <v>376</v>
      </c>
      <c r="B46" s="139"/>
      <c r="C46" s="46" t="s">
        <v>88</v>
      </c>
      <c r="D46" s="140" t="s">
        <v>375</v>
      </c>
      <c r="E46" s="140"/>
      <c r="F46" s="140"/>
      <c r="G46" s="119" t="s">
        <v>370</v>
      </c>
      <c r="H46" s="119"/>
    </row>
    <row r="47" spans="1:15" ht="40.5" customHeight="1" x14ac:dyDescent="0.25">
      <c r="A47" s="139" t="s">
        <v>377</v>
      </c>
      <c r="B47" s="139"/>
      <c r="C47" s="46" t="s">
        <v>88</v>
      </c>
      <c r="D47" s="140" t="s">
        <v>375</v>
      </c>
      <c r="E47" s="140"/>
      <c r="F47" s="140"/>
      <c r="G47" s="119" t="s">
        <v>370</v>
      </c>
      <c r="H47" s="119"/>
    </row>
    <row r="48" spans="1:15" ht="20.25" hidden="1" x14ac:dyDescent="0.25">
      <c r="A48" s="139" t="s">
        <v>305</v>
      </c>
      <c r="B48" s="139"/>
      <c r="C48" s="46" t="s">
        <v>88</v>
      </c>
      <c r="D48" s="119"/>
      <c r="E48" s="119"/>
      <c r="F48" s="119"/>
      <c r="G48" s="119"/>
      <c r="H48" s="119"/>
    </row>
    <row r="49" spans="1:10" ht="20.25" hidden="1" x14ac:dyDescent="0.25">
      <c r="A49" s="139" t="s">
        <v>306</v>
      </c>
      <c r="B49" s="139"/>
      <c r="C49" s="46" t="s">
        <v>88</v>
      </c>
      <c r="D49" s="119"/>
      <c r="E49" s="119"/>
      <c r="F49" s="119"/>
      <c r="G49" s="119"/>
      <c r="H49" s="119"/>
    </row>
    <row r="50" spans="1:10" ht="20.25" x14ac:dyDescent="0.25">
      <c r="A50" s="111" t="s">
        <v>61</v>
      </c>
      <c r="B50" s="111"/>
      <c r="C50" s="111"/>
      <c r="D50" s="111"/>
      <c r="E50" s="111"/>
      <c r="F50" s="111"/>
      <c r="G50" s="111"/>
      <c r="H50" s="111"/>
    </row>
    <row r="51" spans="1:10" ht="42.75" customHeight="1" x14ac:dyDescent="0.25">
      <c r="A51" s="118" t="s">
        <v>62</v>
      </c>
      <c r="B51" s="118" t="s">
        <v>4</v>
      </c>
      <c r="C51" s="140" t="s">
        <v>96</v>
      </c>
      <c r="D51" s="140"/>
      <c r="E51" s="140"/>
      <c r="F51" s="140"/>
      <c r="G51" s="140"/>
      <c r="H51" s="140"/>
    </row>
    <row r="52" spans="1:10" ht="20.25" x14ac:dyDescent="0.25">
      <c r="A52" s="118" t="s">
        <v>63</v>
      </c>
      <c r="B52" s="118" t="s">
        <v>4</v>
      </c>
      <c r="C52" s="119" t="s">
        <v>338</v>
      </c>
      <c r="D52" s="119"/>
      <c r="E52" s="119"/>
      <c r="F52" s="119"/>
      <c r="G52" s="64" t="s">
        <v>231</v>
      </c>
      <c r="H52" s="95">
        <v>45302</v>
      </c>
    </row>
    <row r="53" spans="1:10" ht="20.25" x14ac:dyDescent="0.25">
      <c r="A53" s="118" t="s">
        <v>64</v>
      </c>
      <c r="B53" s="118" t="s">
        <v>4</v>
      </c>
      <c r="C53" s="119" t="str">
        <f>C52</f>
        <v>CHE/CTY/4764/F/S/337(NEW)/337/3/Amend</v>
      </c>
      <c r="D53" s="119"/>
      <c r="E53" s="119"/>
      <c r="F53" s="119"/>
      <c r="G53" s="64" t="s">
        <v>231</v>
      </c>
      <c r="H53" s="95">
        <f>H52</f>
        <v>45302</v>
      </c>
    </row>
    <row r="54" spans="1:10" ht="20.25" x14ac:dyDescent="0.25">
      <c r="A54" s="118" t="s">
        <v>244</v>
      </c>
      <c r="B54" s="118"/>
      <c r="C54" s="119" t="s">
        <v>386</v>
      </c>
      <c r="D54" s="119"/>
      <c r="E54" s="119"/>
      <c r="F54" s="119"/>
      <c r="G54" s="64" t="s">
        <v>231</v>
      </c>
      <c r="H54" s="95">
        <v>45867</v>
      </c>
    </row>
    <row r="55" spans="1:10" ht="91.5" customHeight="1" x14ac:dyDescent="0.25">
      <c r="A55" s="118"/>
      <c r="B55" s="118"/>
      <c r="C55" s="119" t="s">
        <v>387</v>
      </c>
      <c r="D55" s="119"/>
      <c r="E55" s="119"/>
      <c r="F55" s="119"/>
      <c r="G55" s="64" t="s">
        <v>245</v>
      </c>
      <c r="H55" s="95">
        <v>46066</v>
      </c>
    </row>
    <row r="56" spans="1:10" ht="192.75" customHeight="1" x14ac:dyDescent="0.25">
      <c r="A56" s="118" t="s">
        <v>65</v>
      </c>
      <c r="B56" s="118" t="s">
        <v>4</v>
      </c>
      <c r="C56" s="119" t="s">
        <v>339</v>
      </c>
      <c r="D56" s="119"/>
      <c r="E56" s="119"/>
      <c r="F56" s="119"/>
      <c r="G56" s="64" t="s">
        <v>232</v>
      </c>
      <c r="H56" s="95">
        <v>45275</v>
      </c>
    </row>
    <row r="57" spans="1:10" ht="45" hidden="1" customHeight="1" x14ac:dyDescent="0.25">
      <c r="A57" s="118" t="s">
        <v>67</v>
      </c>
      <c r="B57" s="118" t="s">
        <v>4</v>
      </c>
      <c r="C57" s="119"/>
      <c r="D57" s="119"/>
      <c r="E57" s="119"/>
      <c r="F57" s="119"/>
      <c r="G57" s="64" t="s">
        <v>232</v>
      </c>
      <c r="H57" s="48"/>
    </row>
    <row r="58" spans="1:10" ht="90" customHeight="1" x14ac:dyDescent="0.25">
      <c r="A58" s="118" t="s">
        <v>66</v>
      </c>
      <c r="B58" s="118" t="s">
        <v>4</v>
      </c>
      <c r="C58" s="119" t="s">
        <v>342</v>
      </c>
      <c r="D58" s="119"/>
      <c r="E58" s="119"/>
      <c r="F58" s="119"/>
      <c r="G58" s="64" t="s">
        <v>340</v>
      </c>
      <c r="H58" s="95" t="s">
        <v>341</v>
      </c>
    </row>
    <row r="59" spans="1:10" ht="91.5" customHeight="1" x14ac:dyDescent="0.25">
      <c r="A59" s="118" t="s">
        <v>343</v>
      </c>
      <c r="B59" s="118" t="s">
        <v>4</v>
      </c>
      <c r="C59" s="119" t="s">
        <v>345</v>
      </c>
      <c r="D59" s="119"/>
      <c r="E59" s="119"/>
      <c r="F59" s="119"/>
      <c r="G59" s="64" t="s">
        <v>232</v>
      </c>
      <c r="H59" s="95">
        <v>45008</v>
      </c>
    </row>
    <row r="60" spans="1:10" ht="24" customHeight="1" x14ac:dyDescent="0.25">
      <c r="A60" s="118" t="s">
        <v>344</v>
      </c>
      <c r="B60" s="118" t="s">
        <v>4</v>
      </c>
      <c r="C60" s="119" t="s">
        <v>346</v>
      </c>
      <c r="D60" s="119"/>
      <c r="E60" s="119"/>
      <c r="F60" s="119"/>
      <c r="G60" s="64" t="s">
        <v>232</v>
      </c>
      <c r="H60" s="95">
        <v>43894</v>
      </c>
    </row>
    <row r="61" spans="1:10" ht="21" thickBot="1" x14ac:dyDescent="0.3">
      <c r="A61" s="111" t="s">
        <v>68</v>
      </c>
      <c r="B61" s="111"/>
      <c r="C61" s="111"/>
      <c r="D61" s="111"/>
      <c r="E61" s="111"/>
      <c r="F61" s="111"/>
      <c r="G61" s="111"/>
      <c r="H61" s="111"/>
    </row>
    <row r="62" spans="1:10" ht="20.25" customHeight="1" x14ac:dyDescent="0.3">
      <c r="A62" s="190" t="str">
        <f>CONCATENATE((IF(OR(A46="",A46="NA"),"",A46)),"= ",(IF(OR(D46="",D46="NA"),"",D46)),".")</f>
        <v>Tower A = B + LG + UG + 1st to 7th Podium + 1st to 52nd Floor.</v>
      </c>
      <c r="B62" s="190"/>
      <c r="C62" s="190"/>
      <c r="D62" s="30" t="s">
        <v>115</v>
      </c>
      <c r="E62" s="191" t="s">
        <v>102</v>
      </c>
      <c r="F62" s="191"/>
      <c r="G62" s="30" t="s">
        <v>116</v>
      </c>
      <c r="H62" s="30" t="s">
        <v>117</v>
      </c>
      <c r="I62" s="16" t="str">
        <f ca="1">(IF(E65&gt;99%,"All work completed. Please provide OC.",IF(E65&gt;89.8%,"Plinth, RCC, Brick, Plaster, Flooring, Wooden, Plumbing, Electrification, etc., work Completed. Finishing work is in process.",IF(E65&lt;94%,(IF(C65=0,"Work not yet Started.",IF(D65=25%,"Piling work in process",IF(D65=50%,"Excavation work in process",IF(D65=100%,"Excavation work Completed. ","0")))&amp;(IF(C66=0%,"",IF(C66=J67,"Footing work is process",IF(C66=J68,"Footing work Completed",IF(C66=J69,"1st Basement Completed",IF(C66=J70,"1st &amp; 2nd Basement Completed",IF(C66=J71,"1st to 3rd Basement Completed",IF(C66=J72,"1st to 4th Basement Completed",IF(C66=J73,"Plinth work is process",IF(C66=J74,"Plinth work completed","0")))))))))))&amp;(IF(C67=(E63+G63+H63),", RCC Slab",IF(C67&gt;0,", RCC upto "&amp;C67&amp;" Slab",""))&amp;(IF(C68=H63,", Brickwork",IF(C68&gt;0,", Brickwork upto "&amp;C68&amp;" Floor",""))&amp;(IF(C69=H63,", Internal Plaster",IF(C69&gt;0,", Internal Plaster upto "&amp;C69&amp;" Floor",""))&amp;(IF(C70=H63,", External Plaster",IF(C70&gt;0,", External Plaster upto "&amp;C70&amp;" Floor",""))&amp;(IF(C71=H63,", External Plumbing, Elevation and Waterproofing",IF(C71&gt;0,", External Plumbing, Elevation and Waterproofing upto "&amp;C71&amp;" Floor",""))&amp;(IF(C72=H63,", Flooring &amp; Fitting",IF(C72&gt;0,", Flooring &amp; Fitting upto "&amp;C72&amp;" Floor",""))&amp;(IF(C73=H63,", Wooden Work",IF(C73&gt;0,", Wooden Work upto "&amp;C73&amp;" Floor",""))&amp;(IF(C74=H63,", Electrical &amp; Sanitary fittings",IF(C74&gt;0,", Electrical &amp; Sanitary fittings upto "&amp;C74&amp;" Floor",""))&amp;(IF(C75&gt;0,", Finishing upto "&amp;C75&amp;" Floor","")&amp;(IF(C67&gt;0.5," Completed",""))))))))))))))))</f>
        <v>Excavation work Completed. Plinth work completed, RCC upto 10 Slab, Brickwork upto 2 Floor, Internal Plaster upto 1.5 Floor, External Plaster upto 1.5 Floor Completed</v>
      </c>
      <c r="J62" s="18"/>
    </row>
    <row r="63" spans="1:10" ht="20.25" x14ac:dyDescent="0.3">
      <c r="A63" s="190"/>
      <c r="B63" s="190"/>
      <c r="C63" s="190"/>
      <c r="D63" s="96">
        <v>2</v>
      </c>
      <c r="E63" s="191">
        <v>1</v>
      </c>
      <c r="F63" s="191"/>
      <c r="G63" s="96">
        <v>7</v>
      </c>
      <c r="H63" s="30">
        <f ca="1">--TRIM(RIGHT(SUBSTITUTE(LEFT(A62,_xlfn.AGGREGATE(16,6,FIND({0,1,2,3,4,5,6,7,8,9},A62,ROW(INDIRECT("1:"&amp;LEN(A62)))),1))," ",REPT(" ",LEN(A62))),LEN(A62)))</f>
        <v>52</v>
      </c>
      <c r="I63" s="17" t="s">
        <v>121</v>
      </c>
      <c r="J63" s="18"/>
    </row>
    <row r="64" spans="1:10" ht="20.25" customHeight="1" x14ac:dyDescent="0.3">
      <c r="A64" s="129" t="s">
        <v>119</v>
      </c>
      <c r="B64" s="129"/>
      <c r="C64" s="45" t="s">
        <v>133</v>
      </c>
      <c r="D64" s="28" t="s">
        <v>134</v>
      </c>
      <c r="E64" s="129" t="s">
        <v>120</v>
      </c>
      <c r="F64" s="129"/>
      <c r="G64" s="29" t="s">
        <v>118</v>
      </c>
      <c r="H64" s="29"/>
      <c r="I64" s="20" t="s">
        <v>135</v>
      </c>
      <c r="J64" s="19">
        <f ca="1">H63*25%</f>
        <v>13</v>
      </c>
    </row>
    <row r="65" spans="1:10" ht="20.25" customHeight="1" x14ac:dyDescent="0.3">
      <c r="A65" s="130" t="s">
        <v>136</v>
      </c>
      <c r="B65" s="130"/>
      <c r="C65" s="38">
        <f ca="1">J66</f>
        <v>52</v>
      </c>
      <c r="D65" s="5">
        <f ca="1">((100/H63)*C65)/100</f>
        <v>1</v>
      </c>
      <c r="E65" s="131">
        <f ca="1">(((C65/H63*10)+(C66/H63*15)+(25/(E63+G63+H63)*C67)+(5/(H63)*C68)+(2.5/(H63)*C69)+(2.5/(H63)*C70)+(5/H63*C71)+(10/H63*C72)+(2.5/H63*C73)+(2.5/H63*C74)+(10/H63*C75)+(10/H63*C76))/100)</f>
        <v>0.29503205128205129</v>
      </c>
      <c r="F65" s="132"/>
      <c r="G65" s="130" t="str">
        <f ca="1">I62</f>
        <v>Excavation work Completed. Plinth work completed, RCC upto 10 Slab, Brickwork upto 2 Floor, Internal Plaster upto 1.5 Floor, External Plaster upto 1.5 Floor Completed</v>
      </c>
      <c r="H65" s="130"/>
      <c r="I65" s="20" t="s">
        <v>122</v>
      </c>
      <c r="J65" s="24">
        <f ca="1">H63*50%</f>
        <v>26</v>
      </c>
    </row>
    <row r="66" spans="1:10" ht="20.25" x14ac:dyDescent="0.3">
      <c r="A66" s="130" t="s">
        <v>103</v>
      </c>
      <c r="B66" s="130"/>
      <c r="C66" s="40">
        <f ca="1">J74</f>
        <v>52</v>
      </c>
      <c r="D66" s="5">
        <f ca="1">((100/H63)*C66)/100</f>
        <v>1</v>
      </c>
      <c r="E66" s="133"/>
      <c r="F66" s="134"/>
      <c r="G66" s="130"/>
      <c r="H66" s="130"/>
      <c r="I66" s="20" t="s">
        <v>123</v>
      </c>
      <c r="J66" s="24">
        <f ca="1">H63</f>
        <v>52</v>
      </c>
    </row>
    <row r="67" spans="1:10" ht="21" customHeight="1" x14ac:dyDescent="0.35">
      <c r="A67" s="130" t="s">
        <v>137</v>
      </c>
      <c r="B67" s="130"/>
      <c r="C67" s="38">
        <v>10</v>
      </c>
      <c r="D67" s="5">
        <f ca="1">((100/(E63+G63+H63))*C67)/100</f>
        <v>0.16666666666666669</v>
      </c>
      <c r="E67" s="133"/>
      <c r="F67" s="134"/>
      <c r="G67" s="130"/>
      <c r="H67" s="130"/>
      <c r="I67" s="20" t="s">
        <v>124</v>
      </c>
      <c r="J67" s="25">
        <f ca="1">(IF(D63&gt;1,(H63/(D63+2)),H63*0.2))</f>
        <v>13</v>
      </c>
    </row>
    <row r="68" spans="1:10" ht="21" customHeight="1" x14ac:dyDescent="0.35">
      <c r="A68" s="130" t="s">
        <v>138</v>
      </c>
      <c r="B68" s="130"/>
      <c r="C68" s="38">
        <f>C67-G63-E63</f>
        <v>2</v>
      </c>
      <c r="D68" s="5">
        <f ca="1">((100/H63)*C68)/100</f>
        <v>3.8461538461538464E-2</v>
      </c>
      <c r="E68" s="133"/>
      <c r="F68" s="134"/>
      <c r="G68" s="130"/>
      <c r="H68" s="130"/>
      <c r="I68" s="20" t="s">
        <v>125</v>
      </c>
      <c r="J68" s="25">
        <f ca="1">(IF(D63&gt;1,(H63/(D63+2)+J67),H63*0.2+J67))</f>
        <v>26</v>
      </c>
    </row>
    <row r="69" spans="1:10" ht="21" customHeight="1" x14ac:dyDescent="0.35">
      <c r="A69" s="137" t="s">
        <v>139</v>
      </c>
      <c r="B69" s="138"/>
      <c r="C69" s="100">
        <f>C68*0.75</f>
        <v>1.5</v>
      </c>
      <c r="D69" s="5">
        <f ca="1">((100/H63)*C69)/100</f>
        <v>2.8846153846153844E-2</v>
      </c>
      <c r="E69" s="133"/>
      <c r="F69" s="134"/>
      <c r="G69" s="130"/>
      <c r="H69" s="130"/>
      <c r="I69" s="20" t="s">
        <v>140</v>
      </c>
      <c r="J69" s="25">
        <f ca="1">(IF(D63&gt;1,(H63/(D63+2)+J68),0))</f>
        <v>39</v>
      </c>
    </row>
    <row r="70" spans="1:10" ht="21" customHeight="1" x14ac:dyDescent="0.35">
      <c r="A70" s="137" t="s">
        <v>170</v>
      </c>
      <c r="B70" s="138"/>
      <c r="C70" s="100">
        <f>C69</f>
        <v>1.5</v>
      </c>
      <c r="D70" s="5">
        <f ca="1">((100/H63)*C70)/100</f>
        <v>2.8846153846153844E-2</v>
      </c>
      <c r="E70" s="133"/>
      <c r="F70" s="134"/>
      <c r="G70" s="130"/>
      <c r="H70" s="130"/>
      <c r="I70" s="20" t="s">
        <v>141</v>
      </c>
      <c r="J70" s="25">
        <f>(IF(D63&gt;2,(H63/(D63+2)+J69),0))</f>
        <v>0</v>
      </c>
    </row>
    <row r="71" spans="1:10" ht="21" x14ac:dyDescent="0.35">
      <c r="A71" s="137" t="s">
        <v>167</v>
      </c>
      <c r="B71" s="138"/>
      <c r="C71" s="38">
        <v>0</v>
      </c>
      <c r="D71" s="5">
        <f ca="1">((100/(H63))*C71)/100</f>
        <v>0</v>
      </c>
      <c r="E71" s="133"/>
      <c r="F71" s="134"/>
      <c r="G71" s="130"/>
      <c r="H71" s="130"/>
      <c r="I71" s="20" t="s">
        <v>143</v>
      </c>
      <c r="J71" s="26">
        <f>(IF(D63&gt;3,(H63/(D63+2)+J70),0))</f>
        <v>0</v>
      </c>
    </row>
    <row r="72" spans="1:10" ht="21" x14ac:dyDescent="0.35">
      <c r="A72" s="130" t="s">
        <v>142</v>
      </c>
      <c r="B72" s="130"/>
      <c r="C72" s="38">
        <v>0</v>
      </c>
      <c r="D72" s="5">
        <f ca="1">((100/(H63))*C72)/100</f>
        <v>0</v>
      </c>
      <c r="E72" s="133"/>
      <c r="F72" s="134"/>
      <c r="G72" s="130"/>
      <c r="H72" s="130"/>
      <c r="I72" s="20" t="s">
        <v>144</v>
      </c>
      <c r="J72" s="25">
        <f>(IF(D63&gt;4,(H63/(D63+2)+J71),0))</f>
        <v>0</v>
      </c>
    </row>
    <row r="73" spans="1:10" ht="21" customHeight="1" x14ac:dyDescent="0.35">
      <c r="A73" s="130" t="s">
        <v>169</v>
      </c>
      <c r="B73" s="130"/>
      <c r="C73" s="38">
        <v>0</v>
      </c>
      <c r="D73" s="5">
        <f ca="1">((100/H63)*C73)/100</f>
        <v>0</v>
      </c>
      <c r="E73" s="133"/>
      <c r="F73" s="134"/>
      <c r="G73" s="130"/>
      <c r="H73" s="130"/>
      <c r="I73" s="20" t="s">
        <v>126</v>
      </c>
      <c r="J73" s="25">
        <f>(IF(D63=1,(H63/(D63+3)+J68),IF(D63=0,(H63*0.3+J68),IF(D63&gt;1,0))))</f>
        <v>0</v>
      </c>
    </row>
    <row r="74" spans="1:10" ht="21.75" thickBot="1" x14ac:dyDescent="0.4">
      <c r="A74" s="130" t="s">
        <v>168</v>
      </c>
      <c r="B74" s="130"/>
      <c r="C74" s="38">
        <v>0</v>
      </c>
      <c r="D74" s="5">
        <f ca="1">((100/H63)*C74)/100</f>
        <v>0</v>
      </c>
      <c r="E74" s="133"/>
      <c r="F74" s="134"/>
      <c r="G74" s="130"/>
      <c r="H74" s="130"/>
      <c r="I74" s="22" t="s">
        <v>127</v>
      </c>
      <c r="J74" s="27">
        <f ca="1">(IF(D63&gt;1.5,(H63/(D63+2)+J68+MAX(0,J69-J68)+MAX(0,J70-J69)+MAX(0,J71-J70)+MAX(0,J72-J71)+MAX(0,J73-J72)),IF(D63=1,(H63/(D63+3)+J73),IF(D63=0,H63*0.3+J73))))</f>
        <v>52</v>
      </c>
    </row>
    <row r="75" spans="1:10" ht="20.25" x14ac:dyDescent="0.25">
      <c r="A75" s="130" t="s">
        <v>145</v>
      </c>
      <c r="B75" s="130"/>
      <c r="C75" s="38">
        <v>0</v>
      </c>
      <c r="D75" s="5">
        <f ca="1">((100/(H63))*C75)/100</f>
        <v>0</v>
      </c>
      <c r="E75" s="133"/>
      <c r="F75" s="134"/>
      <c r="G75" s="130"/>
      <c r="H75" s="130"/>
    </row>
    <row r="76" spans="1:10" ht="20.25" x14ac:dyDescent="0.25">
      <c r="A76" s="130" t="s">
        <v>146</v>
      </c>
      <c r="B76" s="130"/>
      <c r="C76" s="38">
        <v>0</v>
      </c>
      <c r="D76" s="5">
        <f ca="1">((100/(H63))*C76)/100</f>
        <v>0</v>
      </c>
      <c r="E76" s="135"/>
      <c r="F76" s="136"/>
      <c r="G76" s="130"/>
      <c r="H76" s="130"/>
    </row>
    <row r="77" spans="1:10" ht="21" thickBot="1" x14ac:dyDescent="0.3">
      <c r="A77" s="111" t="s">
        <v>68</v>
      </c>
      <c r="B77" s="111"/>
      <c r="C77" s="111"/>
      <c r="D77" s="111"/>
      <c r="E77" s="111"/>
      <c r="F77" s="111"/>
      <c r="G77" s="111"/>
      <c r="H77" s="111"/>
    </row>
    <row r="78" spans="1:10" ht="20.25" customHeight="1" x14ac:dyDescent="0.3">
      <c r="A78" s="190" t="str">
        <f>CONCATENATE((IF(OR(A47="",A47="NA"),"",A47)),"= ",(IF(OR(D47="",D47="NA"),"",D47)),".")</f>
        <v>Tower B = B + LG + UG + 1st to 7th Podium + 1st to 52nd Floor.</v>
      </c>
      <c r="B78" s="190"/>
      <c r="C78" s="190"/>
      <c r="D78" s="32" t="s">
        <v>115</v>
      </c>
      <c r="E78" s="191" t="s">
        <v>102</v>
      </c>
      <c r="F78" s="191"/>
      <c r="G78" s="32" t="s">
        <v>116</v>
      </c>
      <c r="H78" s="32" t="s">
        <v>117</v>
      </c>
      <c r="I78" s="16" t="str">
        <f ca="1">(IF(E81&gt;99%,"All work completed. Please provide OC.",IF(E81&gt;89.8%,"Plinth, RCC, Brick, Plaster, Flooring, Wooden, Plumbing, Electrification, etc., work Completed. Finishing work is in process.",IF(E81&lt;94%,(IF(C81=0,"Work not yet Started.",IF(D81=25%,"Piling work in process",IF(D81=50%,"Excavation work in process",IF(D81=100%,"Excavation work Completed. ","0")))&amp;(IF(C82=0%,"",IF(C82=J83,"Footing work is process",IF(C82=J84,"Footing work Completed",IF(C82=J85,"1st Basement Completed",IF(C82=J86,"1st &amp; 2nd Basement Completed",IF(C82=J87,"1st to 3rd Basement Completed",IF(C82=J88,"1st to 4th Basement Completed",IF(C82=J89,"Plinth work is process",IF(C82=J90,"Plinth work completed","0")))))))))))&amp;(IF(C83=(E79+G79+H79),", RCC Slab",IF(C83&gt;0,", RCC upto "&amp;C83&amp;" Slab",""))&amp;(IF(C84=H79,", Brickwork",IF(C84&gt;0,", Brickwork upto "&amp;C84&amp;" Floor",""))&amp;(IF(C85=H79,", Internal Plaster",IF(C85&gt;0,", Internal Plaster upto "&amp;C85&amp;" Floor",""))&amp;(IF(C86=H79,", External Plaster",IF(C86&gt;0,", External Plaster upto "&amp;C86&amp;" Floor",""))&amp;(IF(C87=H79,", External Plumbing, Elevation and Waterproofing",IF(C87&gt;0,", External Plumbing, Elevation and Waterproofing upto "&amp;C87&amp;" Floor",""))&amp;(IF(C88=H79,", Flooring &amp; Fitting",IF(C88&gt;0,", Flooring &amp; Fitting upto "&amp;C88&amp;" Floor",""))&amp;(IF(C89=H79,", Wooden Work",IF(C89&gt;0,", Wooden Work upto "&amp;C89&amp;" Floor",""))&amp;(IF(C90=H79,", Electrical &amp; Sanitary fittings",IF(C90&gt;0,", Electrical &amp; Sanitary fittings upto "&amp;C90&amp;" Floor",""))&amp;(IF(C91&gt;0,", Finishing upto "&amp;C91&amp;" Floor","")&amp;(IF(C83&gt;0.5," Completed",""))))))))))))))))</f>
        <v>Excavation work Completed. Plinth work completed, RCC upto 8 Slab Completed</v>
      </c>
      <c r="J78" s="18"/>
    </row>
    <row r="79" spans="1:10" ht="20.25" x14ac:dyDescent="0.3">
      <c r="A79" s="190"/>
      <c r="B79" s="190"/>
      <c r="C79" s="190"/>
      <c r="D79" s="96">
        <v>2</v>
      </c>
      <c r="E79" s="191">
        <v>1</v>
      </c>
      <c r="F79" s="191"/>
      <c r="G79" s="96">
        <v>7</v>
      </c>
      <c r="H79" s="32">
        <f ca="1">--TRIM(RIGHT(SUBSTITUTE(LEFT(A78,_xlfn.AGGREGATE(16,6,FIND({0,1,2,3,4,5,6,7,8,9},A78,ROW(INDIRECT("1:"&amp;LEN(A78)))),1))," ",REPT(" ",LEN(A78))),LEN(A78)))</f>
        <v>52</v>
      </c>
      <c r="I79" s="17" t="s">
        <v>121</v>
      </c>
      <c r="J79" s="18"/>
    </row>
    <row r="80" spans="1:10" ht="20.25" customHeight="1" x14ac:dyDescent="0.3">
      <c r="A80" s="129" t="s">
        <v>119</v>
      </c>
      <c r="B80" s="129"/>
      <c r="C80" s="45" t="s">
        <v>133</v>
      </c>
      <c r="D80" s="33" t="s">
        <v>134</v>
      </c>
      <c r="E80" s="129" t="s">
        <v>120</v>
      </c>
      <c r="F80" s="129"/>
      <c r="G80" s="29" t="s">
        <v>118</v>
      </c>
      <c r="H80" s="29"/>
      <c r="I80" s="20" t="s">
        <v>135</v>
      </c>
      <c r="J80" s="19">
        <f ca="1">H79*25%</f>
        <v>13</v>
      </c>
    </row>
    <row r="81" spans="1:10" ht="20.25" customHeight="1" x14ac:dyDescent="0.3">
      <c r="A81" s="130" t="s">
        <v>136</v>
      </c>
      <c r="B81" s="130"/>
      <c r="C81" s="38">
        <f ca="1">J82</f>
        <v>52</v>
      </c>
      <c r="D81" s="34">
        <f ca="1">((100/H79)*C81)/100</f>
        <v>1</v>
      </c>
      <c r="E81" s="131">
        <f ca="1">(((C81/H79*10)+(C82/H79*15)+(25/(E79+G79+H79)*C83)+(5/(H79)*C84)+(2.5/(H79)*C85)+(2.5/(H79)*C86)+(5/H79*C87)+(10/H79*C88)+(2.5/H79*C89)+(2.5/H79*C90)+(10/H79*C91)+(10/H79*C92))/100)</f>
        <v>0.28333333333333333</v>
      </c>
      <c r="F81" s="132"/>
      <c r="G81" s="130" t="str">
        <f ca="1">I78</f>
        <v>Excavation work Completed. Plinth work completed, RCC upto 8 Slab Completed</v>
      </c>
      <c r="H81" s="130"/>
      <c r="I81" s="20" t="s">
        <v>122</v>
      </c>
      <c r="J81" s="24">
        <f ca="1">H79*50%</f>
        <v>26</v>
      </c>
    </row>
    <row r="82" spans="1:10" ht="20.25" x14ac:dyDescent="0.3">
      <c r="A82" s="130" t="s">
        <v>103</v>
      </c>
      <c r="B82" s="130"/>
      <c r="C82" s="40">
        <f ca="1">J90</f>
        <v>52</v>
      </c>
      <c r="D82" s="34">
        <f ca="1">((100/H79)*C82)/100</f>
        <v>1</v>
      </c>
      <c r="E82" s="133"/>
      <c r="F82" s="134"/>
      <c r="G82" s="130"/>
      <c r="H82" s="130"/>
      <c r="I82" s="20" t="s">
        <v>123</v>
      </c>
      <c r="J82" s="24">
        <f ca="1">H79</f>
        <v>52</v>
      </c>
    </row>
    <row r="83" spans="1:10" ht="21" customHeight="1" x14ac:dyDescent="0.35">
      <c r="A83" s="130" t="s">
        <v>137</v>
      </c>
      <c r="B83" s="130"/>
      <c r="C83" s="38">
        <v>8</v>
      </c>
      <c r="D83" s="34">
        <f ca="1">((100/(E79+G79+H79))*C83)/100</f>
        <v>0.13333333333333333</v>
      </c>
      <c r="E83" s="133"/>
      <c r="F83" s="134"/>
      <c r="G83" s="130"/>
      <c r="H83" s="130"/>
      <c r="I83" s="20" t="s">
        <v>124</v>
      </c>
      <c r="J83" s="25">
        <f ca="1">(IF(D79&gt;1,(H79/(D79+2)),H79*0.2))</f>
        <v>13</v>
      </c>
    </row>
    <row r="84" spans="1:10" ht="21" customHeight="1" x14ac:dyDescent="0.35">
      <c r="A84" s="130" t="s">
        <v>138</v>
      </c>
      <c r="B84" s="130"/>
      <c r="C84" s="38">
        <v>0</v>
      </c>
      <c r="D84" s="34">
        <f ca="1">((100/H79)*C84)/100</f>
        <v>0</v>
      </c>
      <c r="E84" s="133"/>
      <c r="F84" s="134"/>
      <c r="G84" s="130"/>
      <c r="H84" s="130"/>
      <c r="I84" s="20" t="s">
        <v>125</v>
      </c>
      <c r="J84" s="25">
        <f ca="1">(IF(D79&gt;1,(H79/(D79+2)+J83),H79*0.2+J83))</f>
        <v>26</v>
      </c>
    </row>
    <row r="85" spans="1:10" ht="21" customHeight="1" x14ac:dyDescent="0.35">
      <c r="A85" s="137" t="s">
        <v>139</v>
      </c>
      <c r="B85" s="138"/>
      <c r="C85" s="38">
        <v>0</v>
      </c>
      <c r="D85" s="34">
        <f ca="1">((100/H79)*C85)/100</f>
        <v>0</v>
      </c>
      <c r="E85" s="133"/>
      <c r="F85" s="134"/>
      <c r="G85" s="130"/>
      <c r="H85" s="130"/>
      <c r="I85" s="20" t="s">
        <v>140</v>
      </c>
      <c r="J85" s="25">
        <f ca="1">(IF(D79&gt;1,(H79/(D79+2)+J84),0))</f>
        <v>39</v>
      </c>
    </row>
    <row r="86" spans="1:10" ht="21" customHeight="1" x14ac:dyDescent="0.35">
      <c r="A86" s="137" t="s">
        <v>170</v>
      </c>
      <c r="B86" s="138"/>
      <c r="C86" s="38">
        <v>0</v>
      </c>
      <c r="D86" s="34">
        <f ca="1">((100/H79)*C86)/100</f>
        <v>0</v>
      </c>
      <c r="E86" s="133"/>
      <c r="F86" s="134"/>
      <c r="G86" s="130"/>
      <c r="H86" s="130"/>
      <c r="I86" s="20" t="s">
        <v>141</v>
      </c>
      <c r="J86" s="25">
        <f>(IF(D79&gt;2,(H79/(D79+2)+J85),0))</f>
        <v>0</v>
      </c>
    </row>
    <row r="87" spans="1:10" ht="57.75" customHeight="1" x14ac:dyDescent="0.35">
      <c r="A87" s="137" t="s">
        <v>167</v>
      </c>
      <c r="B87" s="138"/>
      <c r="C87" s="38">
        <v>0</v>
      </c>
      <c r="D87" s="34">
        <f ca="1">((100/(H79))*C87)/100</f>
        <v>0</v>
      </c>
      <c r="E87" s="133"/>
      <c r="F87" s="134"/>
      <c r="G87" s="130"/>
      <c r="H87" s="130"/>
      <c r="I87" s="20" t="s">
        <v>143</v>
      </c>
      <c r="J87" s="26">
        <f>(IF(D79&gt;3,(H79/(D79+2)+J86),0))</f>
        <v>0</v>
      </c>
    </row>
    <row r="88" spans="1:10" ht="21" x14ac:dyDescent="0.35">
      <c r="A88" s="130" t="s">
        <v>142</v>
      </c>
      <c r="B88" s="130"/>
      <c r="C88" s="38">
        <v>0</v>
      </c>
      <c r="D88" s="34">
        <f ca="1">((100/(H79))*C88)/100</f>
        <v>0</v>
      </c>
      <c r="E88" s="133"/>
      <c r="F88" s="134"/>
      <c r="G88" s="130"/>
      <c r="H88" s="130"/>
      <c r="I88" s="20" t="s">
        <v>144</v>
      </c>
      <c r="J88" s="25">
        <f>(IF(D79&gt;4,(H79/(D79+2)+J87),0))</f>
        <v>0</v>
      </c>
    </row>
    <row r="89" spans="1:10" ht="21" customHeight="1" x14ac:dyDescent="0.35">
      <c r="A89" s="130" t="s">
        <v>169</v>
      </c>
      <c r="B89" s="130"/>
      <c r="C89" s="38">
        <v>0</v>
      </c>
      <c r="D89" s="34">
        <f ca="1">((100/H79)*C89)/100</f>
        <v>0</v>
      </c>
      <c r="E89" s="133"/>
      <c r="F89" s="134"/>
      <c r="G89" s="130"/>
      <c r="H89" s="130"/>
      <c r="I89" s="20" t="s">
        <v>126</v>
      </c>
      <c r="J89" s="25">
        <f>(IF(D79=1,(H79/(D79+3)+J84),IF(D79=0,(H79*0.3+J84),IF(D79&gt;1,0))))</f>
        <v>0</v>
      </c>
    </row>
    <row r="90" spans="1:10" ht="21.75" thickBot="1" x14ac:dyDescent="0.4">
      <c r="A90" s="130" t="s">
        <v>168</v>
      </c>
      <c r="B90" s="130"/>
      <c r="C90" s="38">
        <v>0</v>
      </c>
      <c r="D90" s="34">
        <f ca="1">((100/H79)*C90)/100</f>
        <v>0</v>
      </c>
      <c r="E90" s="133"/>
      <c r="F90" s="134"/>
      <c r="G90" s="130"/>
      <c r="H90" s="130"/>
      <c r="I90" s="22" t="s">
        <v>127</v>
      </c>
      <c r="J90" s="27">
        <f ca="1">(IF(D79&gt;1.5,(H79/(D79+2)+J84+MAX(0,J85-J84)+MAX(0,J86-J85)+MAX(0,J87-J86)+MAX(0,J88-J87)+MAX(0,J89-J88)),IF(D79=1,(H79/(D79+3)+J89),IF(D79=0,H79*0.3+J89))))</f>
        <v>52</v>
      </c>
    </row>
    <row r="91" spans="1:10" ht="20.25" x14ac:dyDescent="0.25">
      <c r="A91" s="130" t="s">
        <v>145</v>
      </c>
      <c r="B91" s="130"/>
      <c r="C91" s="38">
        <v>0</v>
      </c>
      <c r="D91" s="34">
        <f ca="1">((100/(H79))*C91)/100</f>
        <v>0</v>
      </c>
      <c r="E91" s="133"/>
      <c r="F91" s="134"/>
      <c r="G91" s="130"/>
      <c r="H91" s="130"/>
    </row>
    <row r="92" spans="1:10" ht="20.25" x14ac:dyDescent="0.25">
      <c r="A92" s="130" t="s">
        <v>146</v>
      </c>
      <c r="B92" s="130"/>
      <c r="C92" s="38">
        <v>0</v>
      </c>
      <c r="D92" s="34">
        <f ca="1">((100/(H79))*C92)/100</f>
        <v>0</v>
      </c>
      <c r="E92" s="135"/>
      <c r="F92" s="136"/>
      <c r="G92" s="130"/>
      <c r="H92" s="130"/>
    </row>
    <row r="93" spans="1:10" ht="21" hidden="1" thickBot="1" x14ac:dyDescent="0.3">
      <c r="A93" s="111" t="s">
        <v>68</v>
      </c>
      <c r="B93" s="111"/>
      <c r="C93" s="111"/>
      <c r="D93" s="111"/>
      <c r="E93" s="111"/>
      <c r="F93" s="111"/>
      <c r="G93" s="111"/>
      <c r="H93" s="111"/>
    </row>
    <row r="94" spans="1:10" ht="20.25" hidden="1" customHeight="1" x14ac:dyDescent="0.3">
      <c r="A94" s="190" t="str">
        <f>CONCATENATE((IF(OR(A48="",A48="NA"),"",A48)),"= ",(IF(OR(D48="",D48="NA"),"",D48)),".")</f>
        <v>Tower 3 = .</v>
      </c>
      <c r="B94" s="190"/>
      <c r="C94" s="190"/>
      <c r="D94" s="38" t="s">
        <v>115</v>
      </c>
      <c r="E94" s="191" t="s">
        <v>102</v>
      </c>
      <c r="F94" s="191"/>
      <c r="G94" s="38" t="s">
        <v>116</v>
      </c>
      <c r="H94" s="38" t="s">
        <v>117</v>
      </c>
      <c r="I94" s="16" t="str">
        <f ca="1">(IF(E97&gt;99%,"All work completed. Please provide OC.",IF(E97&gt;89.8%,"Plinth, RCC, Brick, Plaster, Flooring, Wooden, Plumbing, Electrification, etc., work Completed. Finishing work is in process.",IF(E97&lt;94%,(IF(C97=0,"Work not yet Started.",IF(D97=25%,"Piling work in process",IF(D97=50%,"Excavation work in process",IF(D97=100%,"Excavation work Completed. ","0")))&amp;(IF(C98=0%,"",IF(C98=J99,"Footing work is process",IF(C98=J100,"Footing work Completed",IF(C98=J101,"1st Basement Completed",IF(C98=J102,"1st &amp; 2nd Basement Completed",IF(C98=J103,"1st to 3rd Basement Completed",IF(C98=J104,"1st to 4th Basement Completed",IF(C98=J105,"Plinth work is process",IF(C98=J106,"Plinth work completed","0")))))))))))&amp;(IF(C99=(E95+G95+H95),", RCC Slab",IF(C99&gt;0,", RCC upto "&amp;C99&amp;" Slab",""))&amp;(IF(C100=H95,", Brickwork",IF(C100&gt;0,", Brickwork upto "&amp;C100&amp;" Floor",""))&amp;(IF(C101=H95,", Internal Plaster",IF(C101&gt;0,", Internal Plaster upto "&amp;C101&amp;" Floor",""))&amp;(IF(C102=H95,", External Plaster",IF(C102&gt;0,", External Plaster upto "&amp;C102&amp;" Floor",""))&amp;(IF(C103=H95,", External Plumbing, Elevation and Waterproofing",IF(C103&gt;0,", External Plumbing, Elevation and Waterproofing upto "&amp;C103&amp;" Floor",""))&amp;(IF(C104=H95,", Flooring &amp; Fitting",IF(C104&gt;0,", Flooring &amp; Fitting upto "&amp;C104&amp;" Floor",""))&amp;(IF(C105=H95,", Wooden Work",IF(C105&gt;0,", Wooden Work upto "&amp;C105&amp;" Floor",""))&amp;(IF(C106=H95,", Electrical &amp; Sanitary fittings",IF(C106&gt;0,", Electrical &amp; Sanitary fittings upto "&amp;C106&amp;" Floor",""))&amp;(IF(C107&gt;0,", Finishing upto "&amp;C107&amp;" Floor","")&amp;(IF(C99&gt;0.5," Completed",""))))))))))))))))</f>
        <v>Excavation work Completed. Plinth work completed</v>
      </c>
      <c r="J94" s="18"/>
    </row>
    <row r="95" spans="1:10" ht="20.25" hidden="1" x14ac:dyDescent="0.3">
      <c r="A95" s="190"/>
      <c r="B95" s="190"/>
      <c r="C95" s="190"/>
      <c r="D95" s="65">
        <f>IF(AND(ISNUMBER(SEARCH("1B",A94))),1,IF(AND(ISNUMBER(SEARCH("2B",A94))),2,IF(AND(ISNUMBER(SEARCH("3B",A94))),3,IF(AND(ISNUMBER(SEARCH("4B",A94))),4,IF(ISNUMBER(SEARCH("5B",A94)),5,0)))))</f>
        <v>0</v>
      </c>
      <c r="E95" s="191">
        <v>1</v>
      </c>
      <c r="F95" s="191"/>
      <c r="G95" s="65">
        <v>0</v>
      </c>
      <c r="H95" s="38">
        <f ca="1">--TRIM(RIGHT(SUBSTITUTE(LEFT(A94,_xlfn.AGGREGATE(16,6,FIND({0,1,2,3,4,5,6,7,8,9},A94,ROW(INDIRECT("1:"&amp;LEN(A94)))),1))," ",REPT(" ",LEN(A94))),LEN(A94)))</f>
        <v>3</v>
      </c>
      <c r="I95" s="17" t="s">
        <v>121</v>
      </c>
      <c r="J95" s="18"/>
    </row>
    <row r="96" spans="1:10" ht="20.25" hidden="1" customHeight="1" x14ac:dyDescent="0.3">
      <c r="A96" s="129" t="s">
        <v>119</v>
      </c>
      <c r="B96" s="129"/>
      <c r="C96" s="45" t="s">
        <v>133</v>
      </c>
      <c r="D96" s="45" t="s">
        <v>134</v>
      </c>
      <c r="E96" s="129" t="s">
        <v>120</v>
      </c>
      <c r="F96" s="129"/>
      <c r="G96" s="29" t="s">
        <v>118</v>
      </c>
      <c r="H96" s="29"/>
      <c r="I96" s="20" t="s">
        <v>135</v>
      </c>
      <c r="J96" s="19">
        <f ca="1">H95*25%</f>
        <v>0.75</v>
      </c>
    </row>
    <row r="97" spans="1:11" ht="20.25" hidden="1" customHeight="1" x14ac:dyDescent="0.3">
      <c r="A97" s="130" t="s">
        <v>136</v>
      </c>
      <c r="B97" s="130"/>
      <c r="C97" s="38">
        <f ca="1">J98</f>
        <v>3</v>
      </c>
      <c r="D97" s="39">
        <f ca="1">((100/H95)*C97)/100</f>
        <v>1</v>
      </c>
      <c r="E97" s="131">
        <f ca="1">(((C97/H95*10)+(C98/H95*15)+(25/(E95+G95+H95)*C99)+(5/(H95)*C100)+(2.5/(H95)*C101)+(2.5/(H95)*C102)+(5/H95*C103)+(10/H95*C104)+(2.5/H95*C105)+(2.5/H95*C106)+(10/H95*C107)+(10/H95*C108))/100)</f>
        <v>0.25</v>
      </c>
      <c r="F97" s="132"/>
      <c r="G97" s="130" t="str">
        <f ca="1">I94</f>
        <v>Excavation work Completed. Plinth work completed</v>
      </c>
      <c r="H97" s="130"/>
      <c r="I97" s="20" t="s">
        <v>122</v>
      </c>
      <c r="J97" s="24">
        <f ca="1">H95*50%</f>
        <v>1.5</v>
      </c>
    </row>
    <row r="98" spans="1:11" ht="20.25" hidden="1" x14ac:dyDescent="0.3">
      <c r="A98" s="130" t="s">
        <v>103</v>
      </c>
      <c r="B98" s="130"/>
      <c r="C98" s="40">
        <f ca="1">J106</f>
        <v>3</v>
      </c>
      <c r="D98" s="39">
        <f ca="1">((100/H95)*C98)/100</f>
        <v>1</v>
      </c>
      <c r="E98" s="133"/>
      <c r="F98" s="134"/>
      <c r="G98" s="130"/>
      <c r="H98" s="130"/>
      <c r="I98" s="20" t="s">
        <v>123</v>
      </c>
      <c r="J98" s="24">
        <f ca="1">H95</f>
        <v>3</v>
      </c>
    </row>
    <row r="99" spans="1:11" ht="21" hidden="1" customHeight="1" x14ac:dyDescent="0.35">
      <c r="A99" s="130" t="s">
        <v>137</v>
      </c>
      <c r="B99" s="130"/>
      <c r="C99" s="38">
        <v>0</v>
      </c>
      <c r="D99" s="39">
        <f ca="1">((100/(E95+G95+H95))*C99)/100</f>
        <v>0</v>
      </c>
      <c r="E99" s="133"/>
      <c r="F99" s="134"/>
      <c r="G99" s="130"/>
      <c r="H99" s="130"/>
      <c r="I99" s="20" t="s">
        <v>124</v>
      </c>
      <c r="J99" s="25">
        <f ca="1">(IF(D95&gt;1,(H95/(D95+2)),H95*0.2))</f>
        <v>0.60000000000000009</v>
      </c>
    </row>
    <row r="100" spans="1:11" ht="21" hidden="1" customHeight="1" x14ac:dyDescent="0.35">
      <c r="A100" s="130" t="s">
        <v>138</v>
      </c>
      <c r="B100" s="130"/>
      <c r="C100" s="38">
        <v>0</v>
      </c>
      <c r="D100" s="39">
        <f ca="1">((100/H95)*C100)/100</f>
        <v>0</v>
      </c>
      <c r="E100" s="133"/>
      <c r="F100" s="134"/>
      <c r="G100" s="130"/>
      <c r="H100" s="130"/>
      <c r="I100" s="20" t="s">
        <v>125</v>
      </c>
      <c r="J100" s="25">
        <f ca="1">(IF(D95&gt;1,(H95/(D95+2)+J99),H95*0.2+J99))</f>
        <v>1.2000000000000002</v>
      </c>
    </row>
    <row r="101" spans="1:11" ht="21" hidden="1" customHeight="1" x14ac:dyDescent="0.35">
      <c r="A101" s="137" t="s">
        <v>139</v>
      </c>
      <c r="B101" s="138"/>
      <c r="C101" s="38">
        <v>0</v>
      </c>
      <c r="D101" s="39">
        <f ca="1">((100/H95)*C101)/100</f>
        <v>0</v>
      </c>
      <c r="E101" s="133"/>
      <c r="F101" s="134"/>
      <c r="G101" s="130"/>
      <c r="H101" s="130"/>
      <c r="I101" s="20" t="s">
        <v>140</v>
      </c>
      <c r="J101" s="25">
        <f>(IF(D95&gt;1,(H95/(D95+2)+J100),0))</f>
        <v>0</v>
      </c>
    </row>
    <row r="102" spans="1:11" ht="21" hidden="1" customHeight="1" x14ac:dyDescent="0.35">
      <c r="A102" s="137" t="s">
        <v>170</v>
      </c>
      <c r="B102" s="138"/>
      <c r="C102" s="38">
        <v>0</v>
      </c>
      <c r="D102" s="39">
        <f ca="1">((100/H95)*C102)/100</f>
        <v>0</v>
      </c>
      <c r="E102" s="133"/>
      <c r="F102" s="134"/>
      <c r="G102" s="130"/>
      <c r="H102" s="130"/>
      <c r="I102" s="20" t="s">
        <v>141</v>
      </c>
      <c r="J102" s="25">
        <f>(IF(D95&gt;2,(H95/(D95+2)+J101),0))</f>
        <v>0</v>
      </c>
    </row>
    <row r="103" spans="1:11" ht="57.75" hidden="1" customHeight="1" x14ac:dyDescent="0.35">
      <c r="A103" s="137" t="s">
        <v>167</v>
      </c>
      <c r="B103" s="138"/>
      <c r="C103" s="38">
        <v>0</v>
      </c>
      <c r="D103" s="39">
        <f ca="1">((100/(H95))*C103)/100</f>
        <v>0</v>
      </c>
      <c r="E103" s="133"/>
      <c r="F103" s="134"/>
      <c r="G103" s="130"/>
      <c r="H103" s="130"/>
      <c r="I103" s="20" t="s">
        <v>143</v>
      </c>
      <c r="J103" s="26">
        <f>(IF(D95&gt;3,(H95/(D95+2)+J102),0))</f>
        <v>0</v>
      </c>
    </row>
    <row r="104" spans="1:11" ht="21" hidden="1" x14ac:dyDescent="0.35">
      <c r="A104" s="130" t="s">
        <v>142</v>
      </c>
      <c r="B104" s="130"/>
      <c r="C104" s="38">
        <v>0</v>
      </c>
      <c r="D104" s="39">
        <f ca="1">((100/(H95))*C104)/100</f>
        <v>0</v>
      </c>
      <c r="E104" s="133"/>
      <c r="F104" s="134"/>
      <c r="G104" s="130"/>
      <c r="H104" s="130"/>
      <c r="I104" s="20" t="s">
        <v>144</v>
      </c>
      <c r="J104" s="25">
        <f>(IF(D95&gt;4,(H95/(D95+2)+J103),0))</f>
        <v>0</v>
      </c>
    </row>
    <row r="105" spans="1:11" ht="21" hidden="1" customHeight="1" x14ac:dyDescent="0.35">
      <c r="A105" s="130" t="s">
        <v>169</v>
      </c>
      <c r="B105" s="130"/>
      <c r="C105" s="38">
        <v>0</v>
      </c>
      <c r="D105" s="39">
        <f ca="1">((100/H95)*C105)/100</f>
        <v>0</v>
      </c>
      <c r="E105" s="133"/>
      <c r="F105" s="134"/>
      <c r="G105" s="130"/>
      <c r="H105" s="130"/>
      <c r="I105" s="20" t="s">
        <v>126</v>
      </c>
      <c r="J105" s="25">
        <f ca="1">(IF(D95=1,(H95/(D95+3)+J100),IF(D95=0,(H95*0.3+J100),IF(D95&gt;1,0))))</f>
        <v>2.1</v>
      </c>
    </row>
    <row r="106" spans="1:11" ht="21.75" hidden="1" thickBot="1" x14ac:dyDescent="0.4">
      <c r="A106" s="130" t="s">
        <v>168</v>
      </c>
      <c r="B106" s="130"/>
      <c r="C106" s="38">
        <v>0</v>
      </c>
      <c r="D106" s="39">
        <f ca="1">((100/H95)*C106)/100</f>
        <v>0</v>
      </c>
      <c r="E106" s="133"/>
      <c r="F106" s="134"/>
      <c r="G106" s="130"/>
      <c r="H106" s="130"/>
      <c r="I106" s="22" t="s">
        <v>127</v>
      </c>
      <c r="J106" s="27">
        <f ca="1">(IF(D95&gt;1.5,(H95/(D95+2)+J100+MAX(0,J101-J100)+MAX(0,J102-J101)+MAX(0,J103-J102)+MAX(0,J104-J103)+MAX(0,J105-J104)),IF(D95=1,(H95/(D95+3)+J105),IF(D95=0,H95*0.3+J105))))</f>
        <v>3</v>
      </c>
    </row>
    <row r="107" spans="1:11" ht="20.25" hidden="1" x14ac:dyDescent="0.25">
      <c r="A107" s="130" t="s">
        <v>145</v>
      </c>
      <c r="B107" s="130"/>
      <c r="C107" s="38">
        <v>0</v>
      </c>
      <c r="D107" s="39">
        <f ca="1">((100/(H95))*C107)/100</f>
        <v>0</v>
      </c>
      <c r="E107" s="133"/>
      <c r="F107" s="134"/>
      <c r="G107" s="130"/>
      <c r="H107" s="130"/>
    </row>
    <row r="108" spans="1:11" ht="20.25" hidden="1" x14ac:dyDescent="0.25">
      <c r="A108" s="130" t="s">
        <v>146</v>
      </c>
      <c r="B108" s="130"/>
      <c r="C108" s="38">
        <v>0</v>
      </c>
      <c r="D108" s="39">
        <f ca="1">((100/(H95))*C108)/100</f>
        <v>0</v>
      </c>
      <c r="E108" s="135"/>
      <c r="F108" s="136"/>
      <c r="G108" s="130"/>
      <c r="H108" s="130"/>
    </row>
    <row r="109" spans="1:11" ht="36.75" customHeight="1" x14ac:dyDescent="0.3">
      <c r="A109" s="186" t="s">
        <v>128</v>
      </c>
      <c r="B109" s="187"/>
      <c r="C109" s="187"/>
      <c r="D109" s="187"/>
      <c r="E109" s="187"/>
      <c r="F109" s="187"/>
      <c r="G109" s="192">
        <f ca="1">AVERAGE(E65,E81)</f>
        <v>0.28918269230769234</v>
      </c>
      <c r="H109" s="193"/>
      <c r="I109" s="20"/>
      <c r="J109" s="21"/>
      <c r="K109" s="21"/>
    </row>
    <row r="110" spans="1:11" ht="20.25" x14ac:dyDescent="0.25">
      <c r="A110" s="151" t="s">
        <v>72</v>
      </c>
      <c r="B110" s="152"/>
      <c r="C110" s="152"/>
      <c r="D110" s="152"/>
      <c r="E110" s="152"/>
      <c r="F110" s="152"/>
      <c r="G110" s="152"/>
      <c r="H110" s="153"/>
    </row>
    <row r="111" spans="1:11" ht="54.75" customHeight="1" x14ac:dyDescent="0.25">
      <c r="A111" s="120" t="s">
        <v>73</v>
      </c>
      <c r="B111" s="121"/>
      <c r="C111" s="122" t="s">
        <v>107</v>
      </c>
      <c r="D111" s="123"/>
      <c r="E111" s="120" t="s">
        <v>147</v>
      </c>
      <c r="F111" s="121" t="s">
        <v>4</v>
      </c>
      <c r="G111" s="154" t="s">
        <v>160</v>
      </c>
      <c r="H111" s="154"/>
    </row>
    <row r="112" spans="1:11" ht="44.25" customHeight="1" x14ac:dyDescent="0.25">
      <c r="A112" s="120" t="s">
        <v>157</v>
      </c>
      <c r="B112" s="121"/>
      <c r="C112" s="122" t="s">
        <v>379</v>
      </c>
      <c r="D112" s="123"/>
      <c r="E112" s="120" t="s">
        <v>158</v>
      </c>
      <c r="F112" s="121" t="s">
        <v>4</v>
      </c>
      <c r="G112" s="119" t="s">
        <v>148</v>
      </c>
      <c r="H112" s="119"/>
      <c r="I112" s="99" t="s">
        <v>381</v>
      </c>
    </row>
    <row r="113" spans="1:150 16226:16383" ht="20.25" x14ac:dyDescent="0.25">
      <c r="A113" s="120" t="s">
        <v>74</v>
      </c>
      <c r="B113" s="121"/>
      <c r="C113" s="124">
        <v>1000000</v>
      </c>
      <c r="D113" s="125"/>
      <c r="E113" s="120" t="s">
        <v>101</v>
      </c>
      <c r="F113" s="121" t="s">
        <v>4</v>
      </c>
      <c r="G113" s="122" t="s">
        <v>108</v>
      </c>
      <c r="H113" s="123"/>
    </row>
    <row r="114" spans="1:150 16226:16383" ht="20.25" x14ac:dyDescent="0.25">
      <c r="A114" s="151" t="s">
        <v>71</v>
      </c>
      <c r="B114" s="152"/>
      <c r="C114" s="152"/>
      <c r="D114" s="152"/>
      <c r="E114" s="152"/>
      <c r="F114" s="152"/>
      <c r="G114" s="152"/>
      <c r="H114" s="153"/>
    </row>
    <row r="115" spans="1:150 16226:16383" ht="20.25" customHeight="1" x14ac:dyDescent="0.25">
      <c r="A115" s="120" t="s">
        <v>8</v>
      </c>
      <c r="B115" s="126"/>
      <c r="C115" s="126"/>
      <c r="D115" s="126"/>
      <c r="E115" s="126"/>
      <c r="F115" s="121"/>
      <c r="G115" s="184">
        <f>84180/10.764</f>
        <v>7820.5128205128212</v>
      </c>
      <c r="H115" s="185"/>
    </row>
    <row r="116" spans="1:150 16226:16383" ht="20.25" customHeight="1" x14ac:dyDescent="0.25">
      <c r="A116" s="120" t="s">
        <v>28</v>
      </c>
      <c r="B116" s="126"/>
      <c r="C116" s="126"/>
      <c r="D116" s="126"/>
      <c r="E116" s="126"/>
      <c r="F116" s="121" t="s">
        <v>4</v>
      </c>
      <c r="G116" s="180">
        <f>190720/10.764</f>
        <v>17718.320327015979</v>
      </c>
      <c r="H116" s="180"/>
    </row>
    <row r="117" spans="1:150 16226:16383" ht="20.25" hidden="1" customHeight="1" x14ac:dyDescent="0.25">
      <c r="A117" s="120" t="s">
        <v>109</v>
      </c>
      <c r="B117" s="126"/>
      <c r="C117" s="126"/>
      <c r="D117" s="126"/>
      <c r="E117" s="126"/>
      <c r="F117" s="121" t="s">
        <v>4</v>
      </c>
      <c r="G117" s="180">
        <f>G115*0.8</f>
        <v>6256.4102564102577</v>
      </c>
      <c r="H117" s="180"/>
    </row>
    <row r="118" spans="1:150 16226:16383" ht="20.25" hidden="1" x14ac:dyDescent="0.25">
      <c r="A118" s="181" t="s">
        <v>246</v>
      </c>
      <c r="B118" s="182"/>
      <c r="C118" s="182"/>
      <c r="D118" s="182"/>
      <c r="E118" s="182"/>
      <c r="F118" s="182"/>
      <c r="G118" s="182"/>
      <c r="H118" s="183"/>
    </row>
    <row r="119" spans="1:150 16226:16383" s="3" customFormat="1" ht="20.25" hidden="1" x14ac:dyDescent="0.25">
      <c r="A119" s="165" t="s">
        <v>154</v>
      </c>
      <c r="B119" s="166"/>
      <c r="C119" s="165" t="s">
        <v>155</v>
      </c>
      <c r="D119" s="166"/>
      <c r="E119" s="165" t="s">
        <v>153</v>
      </c>
      <c r="F119" s="166"/>
      <c r="G119" s="165" t="s">
        <v>165</v>
      </c>
      <c r="H119" s="166"/>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0.25" hidden="1" x14ac:dyDescent="0.25">
      <c r="A120" s="127"/>
      <c r="B120" s="128"/>
      <c r="C120" s="127"/>
      <c r="D120" s="128"/>
      <c r="E120" s="127"/>
      <c r="F120" s="128"/>
      <c r="G120" s="127"/>
      <c r="H120" s="128"/>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0.25" hidden="1" x14ac:dyDescent="0.25">
      <c r="A121" s="127"/>
      <c r="B121" s="128"/>
      <c r="C121" s="127"/>
      <c r="D121" s="128"/>
      <c r="E121" s="127"/>
      <c r="F121" s="128"/>
      <c r="G121" s="127"/>
      <c r="H121" s="128"/>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s="3" customFormat="1" ht="20.25" hidden="1" x14ac:dyDescent="0.25">
      <c r="A122" s="165" t="s">
        <v>156</v>
      </c>
      <c r="B122" s="166"/>
      <c r="C122" s="165" t="s">
        <v>95</v>
      </c>
      <c r="D122" s="166"/>
      <c r="E122" s="165">
        <f>SUM(F120:F121)</f>
        <v>0</v>
      </c>
      <c r="F122" s="166"/>
      <c r="G122" s="165">
        <f>SUM(H120:H121)</f>
        <v>0</v>
      </c>
      <c r="H122" s="166">
        <f>SUM(H120:H121)</f>
        <v>0</v>
      </c>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ht="20.25" x14ac:dyDescent="0.25">
      <c r="A123" s="181" t="s">
        <v>233</v>
      </c>
      <c r="B123" s="182"/>
      <c r="C123" s="182"/>
      <c r="D123" s="182"/>
      <c r="E123" s="182"/>
      <c r="F123" s="182"/>
      <c r="G123" s="182"/>
      <c r="H123" s="183"/>
    </row>
    <row r="124" spans="1:150 16226:16383" s="3" customFormat="1" ht="20.25" x14ac:dyDescent="0.25">
      <c r="A124" s="165" t="s">
        <v>154</v>
      </c>
      <c r="B124" s="166"/>
      <c r="C124" s="165" t="s">
        <v>155</v>
      </c>
      <c r="D124" s="166"/>
      <c r="E124" s="165" t="s">
        <v>153</v>
      </c>
      <c r="F124" s="166"/>
      <c r="G124" s="165" t="s">
        <v>165</v>
      </c>
      <c r="H124" s="166"/>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0.25" x14ac:dyDescent="0.25">
      <c r="A125" s="127" t="s">
        <v>336</v>
      </c>
      <c r="B125" s="128"/>
      <c r="C125" s="127" t="s">
        <v>95</v>
      </c>
      <c r="D125" s="128"/>
      <c r="E125" s="127">
        <f>COUNT(E140,E142:E143)+COUNT(E145:E148)*32+COUNT(E152:E153)*2+COUNT(E155,E157:E158)*2+COUNT(E160,E162:E164)+COUNT(E166:E168)+COUNT(E171:E173)*3</f>
        <v>157</v>
      </c>
      <c r="F125" s="128"/>
      <c r="G125" s="127">
        <f>SUM(H140,H142:H143)+SUM(H145:H148)*32+SUM(H152:H153)*2+SUM(H155,H157:H158)*2+SUM(H160,H162:H164)+SUM(H166:H168)+SUM(H171:H173)*3</f>
        <v>266775.29891999997</v>
      </c>
      <c r="H125" s="128"/>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0.25" x14ac:dyDescent="0.25">
      <c r="A126" s="127" t="s">
        <v>337</v>
      </c>
      <c r="B126" s="128"/>
      <c r="C126" s="127" t="s">
        <v>95</v>
      </c>
      <c r="D126" s="128"/>
      <c r="E126" s="127">
        <f>COUNT(E184:E186)+COUNT(E189:E192)*32+COUNT(E195:E196)*2+COUNT(E199:E201)*2+COUNT(E204:E206,E208)+COUNT(E210,E212:E213)+COUNT(E215,E217:E218)*3</f>
        <v>157</v>
      </c>
      <c r="F126" s="128"/>
      <c r="G126" s="127">
        <f>SUM(H184:H186)+SUM(H189:H192)*32+SUM(H195:H196)*2+SUM(H199:H201)*2+SUM(H204:H206,H208)+SUM(H210,H212:H213)+SUM(H215,H217:H218)*3</f>
        <v>266930.30051999999</v>
      </c>
      <c r="H126" s="128"/>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0.25" x14ac:dyDescent="0.25">
      <c r="A127" s="165" t="s">
        <v>156</v>
      </c>
      <c r="B127" s="166"/>
      <c r="C127" s="165" t="s">
        <v>95</v>
      </c>
      <c r="D127" s="166"/>
      <c r="E127" s="165">
        <f>SUM(E125:F126)</f>
        <v>314</v>
      </c>
      <c r="F127" s="166"/>
      <c r="G127" s="165">
        <f>SUM(G125:H126)</f>
        <v>533705.59944000002</v>
      </c>
      <c r="H127" s="166"/>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20.25" x14ac:dyDescent="0.25">
      <c r="A128" s="165" t="s">
        <v>247</v>
      </c>
      <c r="B128" s="166"/>
      <c r="C128" s="165" t="s">
        <v>95</v>
      </c>
      <c r="D128" s="166"/>
      <c r="E128" s="165">
        <f>SUM(F122,E127)</f>
        <v>314</v>
      </c>
      <c r="F128" s="166"/>
      <c r="G128" s="165">
        <f>SUM(H122,G127)</f>
        <v>533705.59944000002</v>
      </c>
      <c r="H128" s="166"/>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ht="20.25" x14ac:dyDescent="0.25">
      <c r="A129" s="188" t="s">
        <v>152</v>
      </c>
      <c r="B129" s="189"/>
      <c r="C129" s="189"/>
      <c r="D129" s="189"/>
      <c r="E129" s="189"/>
      <c r="F129" s="189"/>
      <c r="G129" s="189"/>
      <c r="H129" s="183"/>
    </row>
    <row r="130" spans="1:150 16226:16383" ht="66" customHeight="1" x14ac:dyDescent="0.25">
      <c r="A130" s="66" t="s">
        <v>234</v>
      </c>
      <c r="B130" s="44" t="s">
        <v>235</v>
      </c>
      <c r="C130" s="98" t="s">
        <v>236</v>
      </c>
      <c r="D130" s="31" t="s">
        <v>89</v>
      </c>
      <c r="E130" s="44" t="s">
        <v>166</v>
      </c>
      <c r="F130" s="43" t="s">
        <v>237</v>
      </c>
      <c r="G130" s="31" t="s">
        <v>91</v>
      </c>
      <c r="H130" s="31" t="s">
        <v>90</v>
      </c>
    </row>
    <row r="131" spans="1:150 16226:16383" s="3" customFormat="1" ht="20.25" x14ac:dyDescent="0.25">
      <c r="A131" s="115" t="s">
        <v>336</v>
      </c>
      <c r="B131" s="116"/>
      <c r="C131" s="116"/>
      <c r="D131" s="116"/>
      <c r="E131" s="116"/>
      <c r="F131" s="116"/>
      <c r="G131" s="116"/>
      <c r="H131" s="117"/>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0.25" x14ac:dyDescent="0.25">
      <c r="A132" s="107" t="s">
        <v>347</v>
      </c>
      <c r="B132" s="108"/>
      <c r="C132" s="108"/>
      <c r="D132" s="108"/>
      <c r="E132" s="108"/>
      <c r="F132" s="108"/>
      <c r="G132" s="108"/>
      <c r="H132" s="109"/>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x14ac:dyDescent="0.25">
      <c r="A133" s="107" t="s">
        <v>348</v>
      </c>
      <c r="B133" s="108"/>
      <c r="C133" s="108"/>
      <c r="D133" s="108"/>
      <c r="E133" s="108"/>
      <c r="F133" s="108"/>
      <c r="G133" s="108"/>
      <c r="H133" s="109"/>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x14ac:dyDescent="0.25">
      <c r="A134" s="107" t="s">
        <v>349</v>
      </c>
      <c r="B134" s="108"/>
      <c r="C134" s="108"/>
      <c r="D134" s="108"/>
      <c r="E134" s="108"/>
      <c r="F134" s="108"/>
      <c r="G134" s="108"/>
      <c r="H134" s="109"/>
      <c r="I134" s="92">
        <v>10.763999999999999</v>
      </c>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x14ac:dyDescent="0.25">
      <c r="A135" s="107" t="s">
        <v>367</v>
      </c>
      <c r="B135" s="108"/>
      <c r="C135" s="108"/>
      <c r="D135" s="108"/>
      <c r="E135" s="108"/>
      <c r="F135" s="108"/>
      <c r="G135" s="108"/>
      <c r="H135" s="109"/>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x14ac:dyDescent="0.25">
      <c r="A136" s="107" t="s">
        <v>368</v>
      </c>
      <c r="B136" s="108"/>
      <c r="C136" s="108"/>
      <c r="D136" s="108"/>
      <c r="E136" s="108"/>
      <c r="F136" s="108"/>
      <c r="G136" s="108"/>
      <c r="H136" s="109"/>
      <c r="I136" s="3">
        <v>3</v>
      </c>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x14ac:dyDescent="0.25">
      <c r="A137" s="107" t="s">
        <v>366</v>
      </c>
      <c r="B137" s="108"/>
      <c r="C137" s="108"/>
      <c r="D137" s="108"/>
      <c r="E137" s="108"/>
      <c r="F137" s="108"/>
      <c r="G137" s="108"/>
      <c r="H137" s="109"/>
      <c r="I137" s="3">
        <v>1</v>
      </c>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x14ac:dyDescent="0.25">
      <c r="A138" s="107" t="s">
        <v>350</v>
      </c>
      <c r="B138" s="108"/>
      <c r="C138" s="108"/>
      <c r="D138" s="108"/>
      <c r="E138" s="108"/>
      <c r="F138" s="108"/>
      <c r="G138" s="108"/>
      <c r="H138" s="109"/>
      <c r="I138" s="1">
        <v>1</v>
      </c>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x14ac:dyDescent="0.25">
      <c r="A139" s="107" t="s">
        <v>351</v>
      </c>
      <c r="B139" s="108"/>
      <c r="C139" s="108"/>
      <c r="D139" s="108"/>
      <c r="E139" s="108"/>
      <c r="F139" s="108"/>
      <c r="G139" s="108"/>
      <c r="H139" s="109"/>
      <c r="I139" s="1">
        <v>1</v>
      </c>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x14ac:dyDescent="0.25">
      <c r="A140" s="110">
        <v>1</v>
      </c>
      <c r="B140" s="110"/>
      <c r="C140" s="67" t="s">
        <v>95</v>
      </c>
      <c r="D140" s="67" t="s">
        <v>352</v>
      </c>
      <c r="E140" s="93">
        <f>(116.9)*10.764</f>
        <v>1258.3116</v>
      </c>
      <c r="F140" s="92">
        <v>0</v>
      </c>
      <c r="G140" s="92">
        <v>0</v>
      </c>
      <c r="H140" s="92">
        <f>E140+F140+(IF(G140&lt;101,G140,IF(G140&lt;201,G140/2,IF(G140&lt;=301,G140/3,G140/4))))</f>
        <v>1258.3116</v>
      </c>
      <c r="I140" s="97">
        <f>6.98*3.65+2.6*3.2+4.15*3.05+4.58*3.36+4.28*3.35+1.53*(1.53+2.45+2.45+2.45)+2.3*1.75+1.05*1.86+1.1*1.68+1.7*3.05</f>
        <v>102.7787</v>
      </c>
      <c r="J140" s="97">
        <f>1.375*3.65+1.38*2.45</f>
        <v>8.3997499999999992</v>
      </c>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x14ac:dyDescent="0.25">
      <c r="A141" s="104">
        <f>A140+1</f>
        <v>2</v>
      </c>
      <c r="B141" s="105"/>
      <c r="C141" s="104" t="s">
        <v>353</v>
      </c>
      <c r="D141" s="106"/>
      <c r="E141" s="106"/>
      <c r="F141" s="106"/>
      <c r="G141" s="106"/>
      <c r="H141" s="105"/>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x14ac:dyDescent="0.25">
      <c r="A142" s="104">
        <f t="shared" ref="A142:A143" si="0">A141+1</f>
        <v>3</v>
      </c>
      <c r="B142" s="105"/>
      <c r="C142" s="67" t="s">
        <v>95</v>
      </c>
      <c r="D142" s="67" t="s">
        <v>352</v>
      </c>
      <c r="E142" s="93">
        <f>(134.23)*10.764</f>
        <v>1444.8517199999999</v>
      </c>
      <c r="F142" s="92">
        <v>0</v>
      </c>
      <c r="G142" s="92">
        <v>0</v>
      </c>
      <c r="H142" s="92">
        <f t="shared" ref="H142:H143" si="1">E142+F142+(IF(G142&lt;101,G142,IF(G142&lt;201,G142/2,IF(G142&lt;=301,G142/3,G142/4))))</f>
        <v>1444.8517199999999</v>
      </c>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customHeight="1" x14ac:dyDescent="0.25">
      <c r="A143" s="104">
        <f t="shared" si="0"/>
        <v>4</v>
      </c>
      <c r="B143" s="105"/>
      <c r="C143" s="67" t="s">
        <v>95</v>
      </c>
      <c r="D143" s="67" t="s">
        <v>354</v>
      </c>
      <c r="E143" s="93">
        <f>(209.17)*10.764</f>
        <v>2251.5058799999997</v>
      </c>
      <c r="F143" s="92">
        <v>0</v>
      </c>
      <c r="G143" s="92">
        <v>0</v>
      </c>
      <c r="H143" s="92">
        <f t="shared" si="1"/>
        <v>2251.5058799999997</v>
      </c>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x14ac:dyDescent="0.25">
      <c r="A144" s="107" t="s">
        <v>355</v>
      </c>
      <c r="B144" s="108"/>
      <c r="C144" s="108"/>
      <c r="D144" s="108"/>
      <c r="E144" s="108"/>
      <c r="F144" s="108"/>
      <c r="G144" s="108"/>
      <c r="H144" s="109"/>
      <c r="I144" s="1">
        <f>6+6+6+6+6+2</f>
        <v>32</v>
      </c>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x14ac:dyDescent="0.25">
      <c r="A145" s="110">
        <v>1</v>
      </c>
      <c r="B145" s="110"/>
      <c r="C145" s="67" t="s">
        <v>95</v>
      </c>
      <c r="D145" s="67" t="s">
        <v>352</v>
      </c>
      <c r="E145" s="93">
        <f>(116.9)*10.764</f>
        <v>1258.3116</v>
      </c>
      <c r="F145" s="92">
        <v>0</v>
      </c>
      <c r="G145" s="92">
        <v>0</v>
      </c>
      <c r="H145" s="92">
        <f>E145+F145+(IF(G145&lt;101,G145,IF(G145&lt;201,G145/2,IF(G145&lt;=301,G145/3,G145/4))))</f>
        <v>1258.3116</v>
      </c>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x14ac:dyDescent="0.25">
      <c r="A146" s="104">
        <f>A145+1</f>
        <v>2</v>
      </c>
      <c r="B146" s="105"/>
      <c r="C146" s="67" t="s">
        <v>95</v>
      </c>
      <c r="D146" s="67" t="s">
        <v>356</v>
      </c>
      <c r="E146" s="93">
        <f>(176.99)*10.764</f>
        <v>1905.1203599999999</v>
      </c>
      <c r="F146" s="92">
        <v>0</v>
      </c>
      <c r="G146" s="92">
        <v>0</v>
      </c>
      <c r="H146" s="92">
        <f t="shared" ref="H146:H148" si="2">E146+F146+(IF(G146&lt;101,G146,IF(G146&lt;201,G146/2,IF(G146&lt;=301,G146/3,G146/4))))</f>
        <v>1905.1203599999999</v>
      </c>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x14ac:dyDescent="0.25">
      <c r="A147" s="104">
        <f t="shared" ref="A147:A148" si="3">A146+1</f>
        <v>3</v>
      </c>
      <c r="B147" s="105"/>
      <c r="C147" s="67" t="s">
        <v>95</v>
      </c>
      <c r="D147" s="67" t="s">
        <v>352</v>
      </c>
      <c r="E147" s="93">
        <f>(134.23)*10.764</f>
        <v>1444.8517199999999</v>
      </c>
      <c r="F147" s="92">
        <v>0</v>
      </c>
      <c r="G147" s="92">
        <v>0</v>
      </c>
      <c r="H147" s="92">
        <f t="shared" si="2"/>
        <v>1444.8517199999999</v>
      </c>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customHeight="1" x14ac:dyDescent="0.25">
      <c r="A148" s="104">
        <f t="shared" si="3"/>
        <v>4</v>
      </c>
      <c r="B148" s="105"/>
      <c r="C148" s="67" t="s">
        <v>95</v>
      </c>
      <c r="D148" s="67" t="s">
        <v>354</v>
      </c>
      <c r="E148" s="93">
        <f>(209.17)*10.764</f>
        <v>2251.5058799999997</v>
      </c>
      <c r="F148" s="92">
        <v>0</v>
      </c>
      <c r="G148" s="92">
        <v>0</v>
      </c>
      <c r="H148" s="92">
        <f t="shared" si="2"/>
        <v>2251.5058799999997</v>
      </c>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x14ac:dyDescent="0.25">
      <c r="A149" s="107" t="s">
        <v>357</v>
      </c>
      <c r="B149" s="108"/>
      <c r="C149" s="108"/>
      <c r="D149" s="108"/>
      <c r="E149" s="108"/>
      <c r="F149" s="108"/>
      <c r="G149" s="108"/>
      <c r="H149" s="109"/>
      <c r="I149" s="1">
        <v>2</v>
      </c>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x14ac:dyDescent="0.25">
      <c r="A150" s="110">
        <v>1</v>
      </c>
      <c r="B150" s="110"/>
      <c r="C150" s="104" t="s">
        <v>358</v>
      </c>
      <c r="D150" s="106"/>
      <c r="E150" s="106"/>
      <c r="F150" s="106"/>
      <c r="G150" s="106"/>
      <c r="H150" s="105"/>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x14ac:dyDescent="0.25">
      <c r="A151" s="104">
        <f>A150+1</f>
        <v>2</v>
      </c>
      <c r="B151" s="105"/>
      <c r="C151" s="104" t="s">
        <v>353</v>
      </c>
      <c r="D151" s="106"/>
      <c r="E151" s="106"/>
      <c r="F151" s="106"/>
      <c r="G151" s="106"/>
      <c r="H151" s="105"/>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x14ac:dyDescent="0.25">
      <c r="A152" s="104">
        <f t="shared" ref="A152:A153" si="4">A151+1</f>
        <v>3</v>
      </c>
      <c r="B152" s="105"/>
      <c r="C152" s="67" t="s">
        <v>95</v>
      </c>
      <c r="D152" s="67" t="s">
        <v>352</v>
      </c>
      <c r="E152" s="93">
        <f>(134.23)*10.764</f>
        <v>1444.8517199999999</v>
      </c>
      <c r="F152" s="92">
        <v>0</v>
      </c>
      <c r="G152" s="92">
        <v>0</v>
      </c>
      <c r="H152" s="92">
        <f t="shared" ref="H152:H153" si="5">E152+F152+(IF(G152&lt;101,G152,IF(G152&lt;201,G152/2,IF(G152&lt;=301,G152/3,G152/4))))</f>
        <v>1444.8517199999999</v>
      </c>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customHeight="1" x14ac:dyDescent="0.25">
      <c r="A153" s="104">
        <f t="shared" si="4"/>
        <v>4</v>
      </c>
      <c r="B153" s="105"/>
      <c r="C153" s="67" t="s">
        <v>95</v>
      </c>
      <c r="D153" s="67" t="s">
        <v>354</v>
      </c>
      <c r="E153" s="93">
        <f>(209.17)*10.764</f>
        <v>2251.5058799999997</v>
      </c>
      <c r="F153" s="92">
        <v>0</v>
      </c>
      <c r="G153" s="92">
        <v>0</v>
      </c>
      <c r="H153" s="92">
        <f t="shared" si="5"/>
        <v>2251.5058799999997</v>
      </c>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x14ac:dyDescent="0.25">
      <c r="A154" s="107" t="s">
        <v>359</v>
      </c>
      <c r="B154" s="108"/>
      <c r="C154" s="108"/>
      <c r="D154" s="108"/>
      <c r="E154" s="108"/>
      <c r="F154" s="108"/>
      <c r="G154" s="108"/>
      <c r="H154" s="109"/>
      <c r="I154" s="1">
        <v>2</v>
      </c>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x14ac:dyDescent="0.25">
      <c r="A155" s="110">
        <v>1</v>
      </c>
      <c r="B155" s="110"/>
      <c r="C155" s="67" t="s">
        <v>95</v>
      </c>
      <c r="D155" s="67" t="s">
        <v>352</v>
      </c>
      <c r="E155" s="93">
        <f>(116.9)*10.764</f>
        <v>1258.3116</v>
      </c>
      <c r="F155" s="92">
        <v>0</v>
      </c>
      <c r="G155" s="92">
        <v>0</v>
      </c>
      <c r="H155" s="92">
        <f>E155+F155+(IF(G155&lt;101,G155,IF(G155&lt;201,G155/2,IF(G155&lt;=301,G155/3,G155/4))))</f>
        <v>1258.3116</v>
      </c>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x14ac:dyDescent="0.25">
      <c r="A156" s="104">
        <f>A155+1</f>
        <v>2</v>
      </c>
      <c r="B156" s="105"/>
      <c r="C156" s="104" t="s">
        <v>353</v>
      </c>
      <c r="D156" s="106"/>
      <c r="E156" s="106"/>
      <c r="F156" s="106"/>
      <c r="G156" s="106"/>
      <c r="H156" s="105"/>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x14ac:dyDescent="0.25">
      <c r="A157" s="104">
        <f t="shared" ref="A157:A158" si="6">A156+1</f>
        <v>3</v>
      </c>
      <c r="B157" s="105"/>
      <c r="C157" s="67" t="s">
        <v>95</v>
      </c>
      <c r="D157" s="67" t="s">
        <v>352</v>
      </c>
      <c r="E157" s="93">
        <f>(134.23)*10.764</f>
        <v>1444.8517199999999</v>
      </c>
      <c r="F157" s="92">
        <v>0</v>
      </c>
      <c r="G157" s="92">
        <v>0</v>
      </c>
      <c r="H157" s="92">
        <f t="shared" ref="H157:H158" si="7">E157+F157+(IF(G157&lt;101,G157,IF(G157&lt;201,G157/2,IF(G157&lt;=301,G157/3,G157/4))))</f>
        <v>1444.8517199999999</v>
      </c>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customHeight="1" x14ac:dyDescent="0.25">
      <c r="A158" s="104">
        <f t="shared" si="6"/>
        <v>4</v>
      </c>
      <c r="B158" s="105"/>
      <c r="C158" s="67" t="s">
        <v>95</v>
      </c>
      <c r="D158" s="67" t="s">
        <v>354</v>
      </c>
      <c r="E158" s="93">
        <f>(209.17)*10.764</f>
        <v>2251.5058799999997</v>
      </c>
      <c r="F158" s="92">
        <v>0</v>
      </c>
      <c r="G158" s="92">
        <v>0</v>
      </c>
      <c r="H158" s="92">
        <f t="shared" si="7"/>
        <v>2251.5058799999997</v>
      </c>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x14ac:dyDescent="0.25">
      <c r="A159" s="107" t="s">
        <v>360</v>
      </c>
      <c r="B159" s="108"/>
      <c r="C159" s="108"/>
      <c r="D159" s="108"/>
      <c r="E159" s="108"/>
      <c r="F159" s="108"/>
      <c r="G159" s="108"/>
      <c r="H159" s="109"/>
      <c r="I159" s="1">
        <v>1</v>
      </c>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x14ac:dyDescent="0.25">
      <c r="A160" s="110">
        <v>1</v>
      </c>
      <c r="B160" s="110"/>
      <c r="C160" s="67" t="s">
        <v>95</v>
      </c>
      <c r="D160" s="67" t="s">
        <v>352</v>
      </c>
      <c r="E160" s="93">
        <f>(116.9)*10.764</f>
        <v>1258.3116</v>
      </c>
      <c r="F160" s="92">
        <v>0</v>
      </c>
      <c r="G160" s="92">
        <v>0</v>
      </c>
      <c r="H160" s="92">
        <f>E160+F160+(IF(G160&lt;101,G160,IF(G160&lt;201,G160/2,IF(G160&lt;=301,G160/3,G160/4))))</f>
        <v>1258.3116</v>
      </c>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x14ac:dyDescent="0.25">
      <c r="A161" s="104" t="s">
        <v>95</v>
      </c>
      <c r="B161" s="105"/>
      <c r="C161" s="112" t="s">
        <v>353</v>
      </c>
      <c r="D161" s="113"/>
      <c r="E161" s="113"/>
      <c r="F161" s="113"/>
      <c r="G161" s="113"/>
      <c r="H161" s="114"/>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x14ac:dyDescent="0.25">
      <c r="A162" s="104">
        <f>A160+1</f>
        <v>2</v>
      </c>
      <c r="B162" s="105"/>
      <c r="C162" s="67" t="s">
        <v>95</v>
      </c>
      <c r="D162" s="67" t="s">
        <v>361</v>
      </c>
      <c r="E162" s="92">
        <f>(22.71)*10.764</f>
        <v>244.45043999999999</v>
      </c>
      <c r="F162" s="92">
        <v>0</v>
      </c>
      <c r="G162" s="92">
        <v>0</v>
      </c>
      <c r="H162" s="92">
        <f t="shared" ref="H162:H164" si="8">E162+F162+(IF(G162&lt;101,G162,IF(G162&lt;201,G162/2,IF(G162&lt;=301,G162/3,G162/4))))</f>
        <v>244.45043999999999</v>
      </c>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x14ac:dyDescent="0.25">
      <c r="A163" s="104">
        <f t="shared" ref="A163:A164" si="9">A162+1</f>
        <v>3</v>
      </c>
      <c r="B163" s="105"/>
      <c r="C163" s="67" t="s">
        <v>95</v>
      </c>
      <c r="D163" s="67" t="s">
        <v>352</v>
      </c>
      <c r="E163" s="93">
        <f>(134.23)*10.764</f>
        <v>1444.8517199999999</v>
      </c>
      <c r="F163" s="92">
        <v>0</v>
      </c>
      <c r="G163" s="92">
        <v>0</v>
      </c>
      <c r="H163" s="92">
        <f t="shared" si="8"/>
        <v>1444.8517199999999</v>
      </c>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customHeight="1" x14ac:dyDescent="0.25">
      <c r="A164" s="104">
        <f t="shared" si="9"/>
        <v>4</v>
      </c>
      <c r="B164" s="105"/>
      <c r="C164" s="67" t="s">
        <v>95</v>
      </c>
      <c r="D164" s="67" t="s">
        <v>354</v>
      </c>
      <c r="E164" s="93">
        <f>(209.17)*10.764</f>
        <v>2251.5058799999997</v>
      </c>
      <c r="F164" s="92">
        <v>0</v>
      </c>
      <c r="G164" s="92">
        <v>0</v>
      </c>
      <c r="H164" s="92">
        <f t="shared" si="8"/>
        <v>2251.5058799999997</v>
      </c>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x14ac:dyDescent="0.25">
      <c r="A165" s="107" t="s">
        <v>363</v>
      </c>
      <c r="B165" s="108"/>
      <c r="C165" s="108"/>
      <c r="D165" s="108"/>
      <c r="E165" s="108"/>
      <c r="F165" s="108"/>
      <c r="G165" s="108"/>
      <c r="H165" s="109"/>
      <c r="I165" s="1">
        <v>1</v>
      </c>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x14ac:dyDescent="0.25">
      <c r="A166" s="110">
        <v>1</v>
      </c>
      <c r="B166" s="110"/>
      <c r="C166" s="67" t="s">
        <v>95</v>
      </c>
      <c r="D166" s="67" t="s">
        <v>352</v>
      </c>
      <c r="E166" s="93">
        <f>(116.9)*10.764</f>
        <v>1258.3116</v>
      </c>
      <c r="F166" s="92">
        <v>0</v>
      </c>
      <c r="G166" s="92">
        <v>0</v>
      </c>
      <c r="H166" s="92">
        <f>E166+F166+(IF(G166&lt;101,G166,IF(G166&lt;201,G166/2,IF(G166&lt;=301,G166/3,G166/4))))</f>
        <v>1258.3116</v>
      </c>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x14ac:dyDescent="0.25">
      <c r="A167" s="104">
        <f>A166+1</f>
        <v>2</v>
      </c>
      <c r="B167" s="105"/>
      <c r="C167" s="67" t="s">
        <v>95</v>
      </c>
      <c r="D167" s="67" t="s">
        <v>356</v>
      </c>
      <c r="E167" s="93">
        <f>(176.99)*10.764</f>
        <v>1905.1203599999999</v>
      </c>
      <c r="F167" s="92">
        <v>0</v>
      </c>
      <c r="G167" s="92">
        <v>0</v>
      </c>
      <c r="H167" s="92">
        <f t="shared" ref="H167:H168" si="10">E167+F167+(IF(G167&lt;101,G167,IF(G167&lt;201,G167/2,IF(G167&lt;=301,G167/3,G167/4))))</f>
        <v>1905.1203599999999</v>
      </c>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x14ac:dyDescent="0.25">
      <c r="A168" s="104">
        <f t="shared" ref="A168:A169" si="11">A167+1</f>
        <v>3</v>
      </c>
      <c r="B168" s="105"/>
      <c r="C168" s="67" t="s">
        <v>95</v>
      </c>
      <c r="D168" s="67" t="s">
        <v>356</v>
      </c>
      <c r="E168" s="93">
        <f>(166.12)*10.764</f>
        <v>1788.1156799999999</v>
      </c>
      <c r="F168" s="92">
        <v>0</v>
      </c>
      <c r="G168" s="92">
        <v>0</v>
      </c>
      <c r="H168" s="92">
        <f t="shared" si="10"/>
        <v>1788.1156799999999</v>
      </c>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customHeight="1" x14ac:dyDescent="0.25">
      <c r="A169" s="104">
        <f t="shared" si="11"/>
        <v>4</v>
      </c>
      <c r="B169" s="105"/>
      <c r="C169" s="104" t="s">
        <v>362</v>
      </c>
      <c r="D169" s="106"/>
      <c r="E169" s="106"/>
      <c r="F169" s="106"/>
      <c r="G169" s="106"/>
      <c r="H169" s="105"/>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x14ac:dyDescent="0.25">
      <c r="A170" s="107" t="s">
        <v>364</v>
      </c>
      <c r="B170" s="108"/>
      <c r="C170" s="108"/>
      <c r="D170" s="108"/>
      <c r="E170" s="108"/>
      <c r="F170" s="108"/>
      <c r="G170" s="108"/>
      <c r="H170" s="109"/>
      <c r="I170" s="1">
        <v>3</v>
      </c>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x14ac:dyDescent="0.25">
      <c r="A171" s="110">
        <v>1</v>
      </c>
      <c r="B171" s="110"/>
      <c r="C171" s="67" t="s">
        <v>95</v>
      </c>
      <c r="D171" s="67" t="s">
        <v>352</v>
      </c>
      <c r="E171" s="93">
        <f>(116.9)*10.764</f>
        <v>1258.3116</v>
      </c>
      <c r="F171" s="92">
        <v>0</v>
      </c>
      <c r="G171" s="92">
        <v>0</v>
      </c>
      <c r="H171" s="92">
        <f>E171+F171+(IF(G171&lt;101,G171,IF(G171&lt;201,G171/2,IF(G171&lt;=301,G171/3,G171/4))))</f>
        <v>1258.3116</v>
      </c>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x14ac:dyDescent="0.25">
      <c r="A172" s="104">
        <f>A171+1</f>
        <v>2</v>
      </c>
      <c r="B172" s="105"/>
      <c r="C172" s="67" t="s">
        <v>95</v>
      </c>
      <c r="D172" s="67" t="s">
        <v>356</v>
      </c>
      <c r="E172" s="93">
        <f>(176.99)*10.764</f>
        <v>1905.1203599999999</v>
      </c>
      <c r="F172" s="92">
        <v>0</v>
      </c>
      <c r="G172" s="92">
        <v>0</v>
      </c>
      <c r="H172" s="92">
        <f t="shared" ref="H172:H173" si="12">E172+F172+(IF(G172&lt;101,G172,IF(G172&lt;201,G172/2,IF(G172&lt;=301,G172/3,G172/4))))</f>
        <v>1905.1203599999999</v>
      </c>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x14ac:dyDescent="0.25">
      <c r="A173" s="104">
        <f t="shared" ref="A173:A174" si="13">A172+1</f>
        <v>3</v>
      </c>
      <c r="B173" s="105"/>
      <c r="C173" s="67" t="s">
        <v>95</v>
      </c>
      <c r="D173" s="67" t="s">
        <v>356</v>
      </c>
      <c r="E173" s="93">
        <f>(166.12)*10.764</f>
        <v>1788.1156799999999</v>
      </c>
      <c r="F173" s="92">
        <v>0</v>
      </c>
      <c r="G173" s="92">
        <v>0</v>
      </c>
      <c r="H173" s="92">
        <f t="shared" si="12"/>
        <v>1788.1156799999999</v>
      </c>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customHeight="1" x14ac:dyDescent="0.25">
      <c r="A174" s="104">
        <f t="shared" si="13"/>
        <v>4</v>
      </c>
      <c r="B174" s="105"/>
      <c r="C174" s="104" t="s">
        <v>362</v>
      </c>
      <c r="D174" s="106"/>
      <c r="E174" s="106"/>
      <c r="F174" s="106"/>
      <c r="G174" s="106"/>
      <c r="H174" s="105"/>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x14ac:dyDescent="0.25">
      <c r="A175" s="115" t="s">
        <v>337</v>
      </c>
      <c r="B175" s="116"/>
      <c r="C175" s="116"/>
      <c r="D175" s="116"/>
      <c r="E175" s="116"/>
      <c r="F175" s="116"/>
      <c r="G175" s="116"/>
      <c r="H175" s="117"/>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x14ac:dyDescent="0.25">
      <c r="A176" s="107" t="s">
        <v>365</v>
      </c>
      <c r="B176" s="108"/>
      <c r="C176" s="108"/>
      <c r="D176" s="108"/>
      <c r="E176" s="108"/>
      <c r="F176" s="108"/>
      <c r="G176" s="108"/>
      <c r="H176" s="109"/>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x14ac:dyDescent="0.25">
      <c r="A177" s="107" t="s">
        <v>348</v>
      </c>
      <c r="B177" s="108"/>
      <c r="C177" s="108"/>
      <c r="D177" s="108"/>
      <c r="E177" s="108"/>
      <c r="F177" s="108"/>
      <c r="G177" s="108"/>
      <c r="H177" s="109"/>
      <c r="I177" s="92">
        <v>10.763999999999999</v>
      </c>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x14ac:dyDescent="0.25">
      <c r="A178" s="107" t="s">
        <v>349</v>
      </c>
      <c r="B178" s="108"/>
      <c r="C178" s="108"/>
      <c r="D178" s="108"/>
      <c r="E178" s="108"/>
      <c r="F178" s="108"/>
      <c r="G178" s="108"/>
      <c r="H178" s="109"/>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x14ac:dyDescent="0.25">
      <c r="A179" s="107" t="s">
        <v>367</v>
      </c>
      <c r="B179" s="108"/>
      <c r="C179" s="108"/>
      <c r="D179" s="108"/>
      <c r="E179" s="108"/>
      <c r="F179" s="108"/>
      <c r="G179" s="108"/>
      <c r="H179" s="109"/>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x14ac:dyDescent="0.25">
      <c r="A180" s="107" t="s">
        <v>368</v>
      </c>
      <c r="B180" s="108"/>
      <c r="C180" s="108"/>
      <c r="D180" s="108"/>
      <c r="E180" s="108"/>
      <c r="F180" s="108"/>
      <c r="G180" s="108"/>
      <c r="H180" s="109"/>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x14ac:dyDescent="0.25">
      <c r="A181" s="107" t="s">
        <v>366</v>
      </c>
      <c r="B181" s="108"/>
      <c r="C181" s="108"/>
      <c r="D181" s="108"/>
      <c r="E181" s="108"/>
      <c r="F181" s="108"/>
      <c r="G181" s="108"/>
      <c r="H181" s="109"/>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x14ac:dyDescent="0.25">
      <c r="A182" s="107" t="s">
        <v>350</v>
      </c>
      <c r="B182" s="108"/>
      <c r="C182" s="108"/>
      <c r="D182" s="108"/>
      <c r="E182" s="108"/>
      <c r="F182" s="108"/>
      <c r="G182" s="108"/>
      <c r="H182" s="109"/>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x14ac:dyDescent="0.25">
      <c r="A183" s="107" t="s">
        <v>351</v>
      </c>
      <c r="B183" s="108"/>
      <c r="C183" s="108"/>
      <c r="D183" s="108"/>
      <c r="E183" s="108"/>
      <c r="F183" s="108"/>
      <c r="G183" s="108"/>
      <c r="H183" s="109"/>
      <c r="I183" s="1">
        <v>1</v>
      </c>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customHeight="1" x14ac:dyDescent="0.25">
      <c r="A184" s="110">
        <v>1</v>
      </c>
      <c r="B184" s="110"/>
      <c r="C184" s="67" t="s">
        <v>95</v>
      </c>
      <c r="D184" s="67" t="s">
        <v>352</v>
      </c>
      <c r="E184" s="92">
        <f>(117.26)*10.764</f>
        <v>1262.1866399999999</v>
      </c>
      <c r="F184" s="92">
        <v>0</v>
      </c>
      <c r="G184" s="92">
        <v>0</v>
      </c>
      <c r="H184" s="92">
        <f>E184+F184+(IF(G184&lt;101,G184,IF(G184&lt;201,G184/2,IF(G184&lt;=301,G184/3,G184/4))))</f>
        <v>1262.1866399999999</v>
      </c>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x14ac:dyDescent="0.25">
      <c r="A185" s="104">
        <f>A184+1</f>
        <v>2</v>
      </c>
      <c r="B185" s="105"/>
      <c r="C185" s="67" t="s">
        <v>95</v>
      </c>
      <c r="D185" s="67" t="s">
        <v>354</v>
      </c>
      <c r="E185" s="92">
        <f>(209.17)*10.764</f>
        <v>2251.5058799999997</v>
      </c>
      <c r="F185" s="92">
        <v>0</v>
      </c>
      <c r="G185" s="92">
        <v>0</v>
      </c>
      <c r="H185" s="92">
        <f t="shared" ref="H185:H186" si="14">E185+F185+(IF(G185&lt;101,G185,IF(G185&lt;201,G185/2,IF(G185&lt;=301,G185/3,G185/4))))</f>
        <v>2251.5058799999997</v>
      </c>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x14ac:dyDescent="0.25">
      <c r="A186" s="104">
        <f t="shared" ref="A186:A187" si="15">A185+1</f>
        <v>3</v>
      </c>
      <c r="B186" s="105"/>
      <c r="C186" s="67" t="s">
        <v>95</v>
      </c>
      <c r="D186" s="67" t="s">
        <v>352</v>
      </c>
      <c r="E186" s="92">
        <f>(134.23)*10.764</f>
        <v>1444.8517199999999</v>
      </c>
      <c r="F186" s="92">
        <v>0</v>
      </c>
      <c r="G186" s="92">
        <v>0</v>
      </c>
      <c r="H186" s="92">
        <f t="shared" si="14"/>
        <v>1444.8517199999999</v>
      </c>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customHeight="1" x14ac:dyDescent="0.25">
      <c r="A187" s="104">
        <f t="shared" si="15"/>
        <v>4</v>
      </c>
      <c r="B187" s="105"/>
      <c r="C187" s="112" t="s">
        <v>353</v>
      </c>
      <c r="D187" s="113"/>
      <c r="E187" s="113"/>
      <c r="F187" s="113"/>
      <c r="G187" s="113"/>
      <c r="H187" s="114"/>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x14ac:dyDescent="0.25">
      <c r="A188" s="107" t="s">
        <v>355</v>
      </c>
      <c r="B188" s="108"/>
      <c r="C188" s="108"/>
      <c r="D188" s="108"/>
      <c r="E188" s="108"/>
      <c r="F188" s="108"/>
      <c r="G188" s="108"/>
      <c r="H188" s="109"/>
      <c r="I188" s="1">
        <v>32</v>
      </c>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x14ac:dyDescent="0.25">
      <c r="A189" s="110">
        <v>1</v>
      </c>
      <c r="B189" s="110"/>
      <c r="C189" s="67" t="s">
        <v>95</v>
      </c>
      <c r="D189" s="67" t="s">
        <v>352</v>
      </c>
      <c r="E189" s="92">
        <f>(117.26)*10.764</f>
        <v>1262.1866399999999</v>
      </c>
      <c r="F189" s="92">
        <v>0</v>
      </c>
      <c r="G189" s="92">
        <v>0</v>
      </c>
      <c r="H189" s="92">
        <f>E189+F189+(IF(G189&lt;101,G189,IF(G189&lt;201,G189/2,IF(G189&lt;=301,G189/3,G189/4))))</f>
        <v>1262.1866399999999</v>
      </c>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x14ac:dyDescent="0.25">
      <c r="A190" s="104">
        <f>A189+1</f>
        <v>2</v>
      </c>
      <c r="B190" s="105"/>
      <c r="C190" s="67" t="s">
        <v>95</v>
      </c>
      <c r="D190" s="67" t="s">
        <v>354</v>
      </c>
      <c r="E190" s="92">
        <f>(209.17)*10.764</f>
        <v>2251.5058799999997</v>
      </c>
      <c r="F190" s="92">
        <v>0</v>
      </c>
      <c r="G190" s="92">
        <v>0</v>
      </c>
      <c r="H190" s="92">
        <f t="shared" ref="H190:H192" si="16">E190+F190+(IF(G190&lt;101,G190,IF(G190&lt;201,G190/2,IF(G190&lt;=301,G190/3,G190/4))))</f>
        <v>2251.5058799999997</v>
      </c>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x14ac:dyDescent="0.25">
      <c r="A191" s="104">
        <f t="shared" ref="A191:A192" si="17">A190+1</f>
        <v>3</v>
      </c>
      <c r="B191" s="105"/>
      <c r="C191" s="67" t="s">
        <v>95</v>
      </c>
      <c r="D191" s="67" t="s">
        <v>352</v>
      </c>
      <c r="E191" s="92">
        <f>(134.23)*10.764</f>
        <v>1444.8517199999999</v>
      </c>
      <c r="F191" s="92">
        <v>0</v>
      </c>
      <c r="G191" s="92">
        <v>0</v>
      </c>
      <c r="H191" s="92">
        <f t="shared" si="16"/>
        <v>1444.8517199999999</v>
      </c>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customHeight="1" x14ac:dyDescent="0.25">
      <c r="A192" s="104">
        <f t="shared" si="17"/>
        <v>4</v>
      </c>
      <c r="B192" s="105"/>
      <c r="C192" s="67" t="s">
        <v>95</v>
      </c>
      <c r="D192" s="67" t="s">
        <v>356</v>
      </c>
      <c r="E192" s="92">
        <f>(176.99)*10.764</f>
        <v>1905.1203599999999</v>
      </c>
      <c r="F192" s="92">
        <v>0</v>
      </c>
      <c r="G192" s="92">
        <v>0</v>
      </c>
      <c r="H192" s="92">
        <f t="shared" si="16"/>
        <v>1905.1203599999999</v>
      </c>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x14ac:dyDescent="0.25">
      <c r="A193" s="107" t="s">
        <v>357</v>
      </c>
      <c r="B193" s="108"/>
      <c r="C193" s="108"/>
      <c r="D193" s="108"/>
      <c r="E193" s="108"/>
      <c r="F193" s="108"/>
      <c r="G193" s="108"/>
      <c r="H193" s="109"/>
      <c r="I193" s="1">
        <v>2</v>
      </c>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x14ac:dyDescent="0.25">
      <c r="A194" s="110">
        <v>1</v>
      </c>
      <c r="B194" s="110"/>
      <c r="C194" s="104" t="s">
        <v>358</v>
      </c>
      <c r="D194" s="106"/>
      <c r="E194" s="106"/>
      <c r="F194" s="106"/>
      <c r="G194" s="106"/>
      <c r="H194" s="105"/>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x14ac:dyDescent="0.25">
      <c r="A195" s="104">
        <f>A194+1</f>
        <v>2</v>
      </c>
      <c r="B195" s="105"/>
      <c r="C195" s="67" t="s">
        <v>95</v>
      </c>
      <c r="D195" s="67" t="s">
        <v>354</v>
      </c>
      <c r="E195" s="92">
        <f>(209.17)*10.764</f>
        <v>2251.5058799999997</v>
      </c>
      <c r="F195" s="92">
        <v>0</v>
      </c>
      <c r="G195" s="92">
        <v>0</v>
      </c>
      <c r="H195" s="92">
        <f t="shared" ref="H195:H196" si="18">E195+F195+(IF(G195&lt;101,G195,IF(G195&lt;201,G195/2,IF(G195&lt;=301,G195/3,G195/4))))</f>
        <v>2251.5058799999997</v>
      </c>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x14ac:dyDescent="0.25">
      <c r="A196" s="104">
        <f t="shared" ref="A196:A197" si="19">A195+1</f>
        <v>3</v>
      </c>
      <c r="B196" s="105"/>
      <c r="C196" s="67" t="s">
        <v>95</v>
      </c>
      <c r="D196" s="67" t="s">
        <v>352</v>
      </c>
      <c r="E196" s="92">
        <f>(134.23)*10.764</f>
        <v>1444.8517199999999</v>
      </c>
      <c r="F196" s="92">
        <v>0</v>
      </c>
      <c r="G196" s="92">
        <v>0</v>
      </c>
      <c r="H196" s="92">
        <f t="shared" si="18"/>
        <v>1444.8517199999999</v>
      </c>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customHeight="1" x14ac:dyDescent="0.25">
      <c r="A197" s="104">
        <f t="shared" si="19"/>
        <v>4</v>
      </c>
      <c r="B197" s="105"/>
      <c r="C197" s="104" t="s">
        <v>353</v>
      </c>
      <c r="D197" s="106"/>
      <c r="E197" s="106"/>
      <c r="F197" s="106"/>
      <c r="G197" s="106"/>
      <c r="H197" s="10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25" x14ac:dyDescent="0.25">
      <c r="A198" s="107" t="s">
        <v>359</v>
      </c>
      <c r="B198" s="108"/>
      <c r="C198" s="108"/>
      <c r="D198" s="108"/>
      <c r="E198" s="108"/>
      <c r="F198" s="108"/>
      <c r="G198" s="108"/>
      <c r="H198" s="109"/>
      <c r="I198" s="1">
        <v>2</v>
      </c>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x14ac:dyDescent="0.25">
      <c r="A199" s="110">
        <v>1</v>
      </c>
      <c r="B199" s="110"/>
      <c r="C199" s="67" t="s">
        <v>95</v>
      </c>
      <c r="D199" s="67" t="s">
        <v>352</v>
      </c>
      <c r="E199" s="92">
        <f>(117.26)*10.764</f>
        <v>1262.1866399999999</v>
      </c>
      <c r="F199" s="92">
        <v>0</v>
      </c>
      <c r="G199" s="92">
        <v>0</v>
      </c>
      <c r="H199" s="92">
        <f>E199+F199+(IF(G199&lt;101,G199,IF(G199&lt;201,G199/2,IF(G199&lt;=301,G199/3,G199/4))))</f>
        <v>1262.1866399999999</v>
      </c>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x14ac:dyDescent="0.25">
      <c r="A200" s="104">
        <f>A199+1</f>
        <v>2</v>
      </c>
      <c r="B200" s="105"/>
      <c r="C200" s="67" t="s">
        <v>95</v>
      </c>
      <c r="D200" s="67" t="s">
        <v>354</v>
      </c>
      <c r="E200" s="92">
        <f>(209.17)*10.764</f>
        <v>2251.5058799999997</v>
      </c>
      <c r="F200" s="92">
        <v>0</v>
      </c>
      <c r="G200" s="92">
        <v>0</v>
      </c>
      <c r="H200" s="92">
        <f t="shared" ref="H200:H201" si="20">E200+F200+(IF(G200&lt;101,G200,IF(G200&lt;201,G200/2,IF(G200&lt;=301,G200/3,G200/4))))</f>
        <v>2251.5058799999997</v>
      </c>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x14ac:dyDescent="0.25">
      <c r="A201" s="104">
        <f t="shared" ref="A201:A202" si="21">A200+1</f>
        <v>3</v>
      </c>
      <c r="B201" s="105"/>
      <c r="C201" s="67" t="s">
        <v>95</v>
      </c>
      <c r="D201" s="67" t="s">
        <v>352</v>
      </c>
      <c r="E201" s="92">
        <f>(134.23)*10.764</f>
        <v>1444.8517199999999</v>
      </c>
      <c r="F201" s="92">
        <v>0</v>
      </c>
      <c r="G201" s="92">
        <v>0</v>
      </c>
      <c r="H201" s="92">
        <f t="shared" si="20"/>
        <v>1444.8517199999999</v>
      </c>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25" customHeight="1" x14ac:dyDescent="0.25">
      <c r="A202" s="104">
        <f t="shared" si="21"/>
        <v>4</v>
      </c>
      <c r="B202" s="105"/>
      <c r="C202" s="104" t="s">
        <v>353</v>
      </c>
      <c r="D202" s="106"/>
      <c r="E202" s="106"/>
      <c r="F202" s="106"/>
      <c r="G202" s="106"/>
      <c r="H202" s="105"/>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0.25" x14ac:dyDescent="0.25">
      <c r="A203" s="107" t="s">
        <v>360</v>
      </c>
      <c r="B203" s="108"/>
      <c r="C203" s="108"/>
      <c r="D203" s="108"/>
      <c r="E203" s="108"/>
      <c r="F203" s="108"/>
      <c r="G203" s="108"/>
      <c r="H203" s="109"/>
      <c r="I203" s="1">
        <v>1</v>
      </c>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3" customFormat="1" ht="20.25" x14ac:dyDescent="0.25">
      <c r="A204" s="110">
        <v>1</v>
      </c>
      <c r="B204" s="110"/>
      <c r="C204" s="67" t="s">
        <v>95</v>
      </c>
      <c r="D204" s="67" t="s">
        <v>352</v>
      </c>
      <c r="E204" s="92">
        <f>(117.26)*10.764</f>
        <v>1262.1866399999999</v>
      </c>
      <c r="F204" s="92">
        <v>0</v>
      </c>
      <c r="G204" s="92">
        <v>0</v>
      </c>
      <c r="H204" s="92">
        <f>E204+F204+(IF(G204&lt;101,G204,IF(G204&lt;201,G204/2,IF(G204&lt;=301,G204/3,G204/4))))</f>
        <v>1262.1866399999999</v>
      </c>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3" customFormat="1" ht="20.25" x14ac:dyDescent="0.25">
      <c r="A205" s="104">
        <f>A204+1</f>
        <v>2</v>
      </c>
      <c r="B205" s="105"/>
      <c r="C205" s="67" t="s">
        <v>95</v>
      </c>
      <c r="D205" s="67" t="s">
        <v>354</v>
      </c>
      <c r="E205" s="92">
        <f>(209.17)*10.764</f>
        <v>2251.5058799999997</v>
      </c>
      <c r="F205" s="92">
        <v>0</v>
      </c>
      <c r="G205" s="92">
        <v>0</v>
      </c>
      <c r="H205" s="92">
        <f t="shared" ref="H205:H208" si="22">E205+F205+(IF(G205&lt;101,G205,IF(G205&lt;201,G205/2,IF(G205&lt;=301,G205/3,G205/4))))</f>
        <v>2251.5058799999997</v>
      </c>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3" customFormat="1" ht="20.25" x14ac:dyDescent="0.25">
      <c r="A206" s="104">
        <f t="shared" ref="A206" si="23">A205+1</f>
        <v>3</v>
      </c>
      <c r="B206" s="105"/>
      <c r="C206" s="67" t="s">
        <v>95</v>
      </c>
      <c r="D206" s="67" t="s">
        <v>352</v>
      </c>
      <c r="E206" s="92">
        <f>(134.23)*10.764</f>
        <v>1444.8517199999999</v>
      </c>
      <c r="F206" s="92">
        <v>0</v>
      </c>
      <c r="G206" s="92">
        <v>0</v>
      </c>
      <c r="H206" s="92">
        <f t="shared" si="22"/>
        <v>1444.8517199999999</v>
      </c>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3" customFormat="1" ht="20.25" x14ac:dyDescent="0.25">
      <c r="A207" s="104" t="s">
        <v>95</v>
      </c>
      <c r="B207" s="105"/>
      <c r="C207" s="104" t="s">
        <v>353</v>
      </c>
      <c r="D207" s="106"/>
      <c r="E207" s="106"/>
      <c r="F207" s="106"/>
      <c r="G207" s="106"/>
      <c r="H207" s="105"/>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3" customFormat="1" ht="20.25" customHeight="1" x14ac:dyDescent="0.25">
      <c r="A208" s="104">
        <f>A206+1</f>
        <v>4</v>
      </c>
      <c r="B208" s="105"/>
      <c r="C208" s="67" t="s">
        <v>95</v>
      </c>
      <c r="D208" s="67" t="s">
        <v>361</v>
      </c>
      <c r="E208" s="92">
        <f>(22.71)*10.764</f>
        <v>244.45043999999999</v>
      </c>
      <c r="F208" s="92">
        <v>0</v>
      </c>
      <c r="G208" s="92">
        <v>0</v>
      </c>
      <c r="H208" s="92">
        <f t="shared" si="22"/>
        <v>244.45043999999999</v>
      </c>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3" customFormat="1" ht="20.25" x14ac:dyDescent="0.25">
      <c r="A209" s="107" t="s">
        <v>363</v>
      </c>
      <c r="B209" s="108"/>
      <c r="C209" s="108"/>
      <c r="D209" s="108"/>
      <c r="E209" s="108"/>
      <c r="F209" s="108"/>
      <c r="G209" s="108"/>
      <c r="H209" s="109"/>
      <c r="I209" s="1">
        <v>1</v>
      </c>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3" customFormat="1" ht="20.25" x14ac:dyDescent="0.25">
      <c r="A210" s="110">
        <v>1</v>
      </c>
      <c r="B210" s="110"/>
      <c r="C210" s="67" t="s">
        <v>95</v>
      </c>
      <c r="D210" s="67" t="s">
        <v>352</v>
      </c>
      <c r="E210" s="92">
        <f>(117.26)*10.764</f>
        <v>1262.1866399999999</v>
      </c>
      <c r="F210" s="92">
        <v>0</v>
      </c>
      <c r="G210" s="92">
        <v>0</v>
      </c>
      <c r="H210" s="92">
        <f>E210+F210+(IF(G210&lt;101,G210,IF(G210&lt;201,G210/2,IF(G210&lt;=301,G210/3,G210/4))))</f>
        <v>1262.1866399999999</v>
      </c>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3" customFormat="1" ht="20.25" x14ac:dyDescent="0.25">
      <c r="A211" s="104">
        <f>A210+1</f>
        <v>2</v>
      </c>
      <c r="B211" s="105"/>
      <c r="C211" s="104" t="s">
        <v>362</v>
      </c>
      <c r="D211" s="106"/>
      <c r="E211" s="106"/>
      <c r="F211" s="106"/>
      <c r="G211" s="106"/>
      <c r="H211" s="105"/>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3" customFormat="1" ht="20.25" x14ac:dyDescent="0.25">
      <c r="A212" s="104">
        <f t="shared" ref="A212:A213" si="24">A211+1</f>
        <v>3</v>
      </c>
      <c r="B212" s="105"/>
      <c r="C212" s="67" t="s">
        <v>95</v>
      </c>
      <c r="D212" s="67" t="s">
        <v>356</v>
      </c>
      <c r="E212" s="92">
        <f>(166.12)*10.764</f>
        <v>1788.1156799999999</v>
      </c>
      <c r="F212" s="92">
        <v>0</v>
      </c>
      <c r="G212" s="92">
        <v>0</v>
      </c>
      <c r="H212" s="92">
        <f t="shared" ref="H212:H213" si="25">E212+F212+(IF(G212&lt;101,G212,IF(G212&lt;201,G212/2,IF(G212&lt;=301,G212/3,G212/4))))</f>
        <v>1788.1156799999999</v>
      </c>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3" customFormat="1" ht="20.25" customHeight="1" x14ac:dyDescent="0.25">
      <c r="A213" s="104">
        <f t="shared" si="24"/>
        <v>4</v>
      </c>
      <c r="B213" s="105"/>
      <c r="C213" s="67" t="s">
        <v>95</v>
      </c>
      <c r="D213" s="67" t="s">
        <v>356</v>
      </c>
      <c r="E213" s="92">
        <f>(176.99)*10.764</f>
        <v>1905.1203599999999</v>
      </c>
      <c r="F213" s="92">
        <v>0</v>
      </c>
      <c r="G213" s="92">
        <v>0</v>
      </c>
      <c r="H213" s="92">
        <f t="shared" si="25"/>
        <v>1905.1203599999999</v>
      </c>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3" customFormat="1" ht="20.25" x14ac:dyDescent="0.25">
      <c r="A214" s="107" t="s">
        <v>364</v>
      </c>
      <c r="B214" s="108"/>
      <c r="C214" s="108"/>
      <c r="D214" s="108"/>
      <c r="E214" s="108"/>
      <c r="F214" s="108"/>
      <c r="G214" s="108"/>
      <c r="H214" s="109"/>
      <c r="I214" s="1">
        <v>3</v>
      </c>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3" customFormat="1" ht="20.25" x14ac:dyDescent="0.25">
      <c r="A215" s="110">
        <v>1</v>
      </c>
      <c r="B215" s="110"/>
      <c r="C215" s="67" t="s">
        <v>95</v>
      </c>
      <c r="D215" s="67" t="s">
        <v>352</v>
      </c>
      <c r="E215" s="92">
        <f>(117.26)*10.764</f>
        <v>1262.1866399999999</v>
      </c>
      <c r="F215" s="92">
        <v>0</v>
      </c>
      <c r="G215" s="92">
        <v>0</v>
      </c>
      <c r="H215" s="92">
        <f>E215+F215+(IF(G215&lt;101,G215,IF(G215&lt;201,G215/2,IF(G215&lt;=301,G215/3,G215/4))))</f>
        <v>1262.1866399999999</v>
      </c>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3" customFormat="1" ht="20.25" x14ac:dyDescent="0.25">
      <c r="A216" s="104">
        <f>A215+1</f>
        <v>2</v>
      </c>
      <c r="B216" s="105"/>
      <c r="C216" s="104" t="s">
        <v>362</v>
      </c>
      <c r="D216" s="106"/>
      <c r="E216" s="106"/>
      <c r="F216" s="106"/>
      <c r="G216" s="106"/>
      <c r="H216" s="105"/>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3" customFormat="1" ht="20.25" x14ac:dyDescent="0.25">
      <c r="A217" s="104">
        <f t="shared" ref="A217:A218" si="26">A216+1</f>
        <v>3</v>
      </c>
      <c r="B217" s="105"/>
      <c r="C217" s="67" t="s">
        <v>95</v>
      </c>
      <c r="D217" s="67" t="s">
        <v>356</v>
      </c>
      <c r="E217" s="92">
        <f>(166.12)*10.764</f>
        <v>1788.1156799999999</v>
      </c>
      <c r="F217" s="92">
        <v>0</v>
      </c>
      <c r="G217" s="92">
        <v>0</v>
      </c>
      <c r="H217" s="92">
        <f t="shared" ref="H217:H218" si="27">E217+F217+(IF(G217&lt;101,G217,IF(G217&lt;201,G217/2,IF(G217&lt;=301,G217/3,G217/4))))</f>
        <v>1788.1156799999999</v>
      </c>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s="3" customFormat="1" ht="20.25" customHeight="1" x14ac:dyDescent="0.25">
      <c r="A218" s="104">
        <f t="shared" si="26"/>
        <v>4</v>
      </c>
      <c r="B218" s="105"/>
      <c r="C218" s="67" t="s">
        <v>95</v>
      </c>
      <c r="D218" s="67" t="s">
        <v>356</v>
      </c>
      <c r="E218" s="92">
        <f>(176.99)*10.764</f>
        <v>1905.1203599999999</v>
      </c>
      <c r="F218" s="92">
        <v>0</v>
      </c>
      <c r="G218" s="92">
        <v>0</v>
      </c>
      <c r="H218" s="92">
        <f t="shared" si="27"/>
        <v>1905.1203599999999</v>
      </c>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row>
    <row r="219" spans="1:150 16226:16383" s="3" customFormat="1" ht="20.25" hidden="1" x14ac:dyDescent="0.25">
      <c r="A219" s="107" t="s">
        <v>129</v>
      </c>
      <c r="B219" s="108"/>
      <c r="C219" s="108"/>
      <c r="D219" s="108"/>
      <c r="E219" s="108"/>
      <c r="F219" s="108"/>
      <c r="G219" s="108"/>
      <c r="H219" s="109"/>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row>
    <row r="220" spans="1:150 16226:16383" s="3" customFormat="1" ht="20.25" hidden="1" x14ac:dyDescent="0.25">
      <c r="A220" s="110">
        <v>1</v>
      </c>
      <c r="B220" s="110"/>
      <c r="C220" s="67"/>
      <c r="D220" s="67"/>
      <c r="E220" s="42">
        <v>0</v>
      </c>
      <c r="F220" s="41">
        <v>0</v>
      </c>
      <c r="G220" s="41">
        <v>0</v>
      </c>
      <c r="H220" s="6">
        <f>E220+F220+(IF(G220&lt;101,G220,IF(G220&lt;201,G220/2,IF(G220&lt;=301,G220/3,G220/4))))</f>
        <v>0</v>
      </c>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3" customFormat="1" ht="20.25" hidden="1" x14ac:dyDescent="0.25">
      <c r="A221" s="104">
        <f>A220+1</f>
        <v>2</v>
      </c>
      <c r="B221" s="105"/>
      <c r="C221" s="67"/>
      <c r="D221" s="67"/>
      <c r="E221" s="42"/>
      <c r="F221" s="41"/>
      <c r="G221" s="41"/>
      <c r="H221" s="41">
        <f t="shared" ref="H221:H227" si="28">E221+F221+(IF(G221&lt;101,G221,IF(G221&lt;201,G221/2,IF(G221&lt;=301,G221/3,G221/4))))</f>
        <v>0</v>
      </c>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s="3" customFormat="1" ht="20.25" hidden="1" x14ac:dyDescent="0.25">
      <c r="A222" s="104">
        <f t="shared" ref="A222:A223" si="29">A221+1</f>
        <v>3</v>
      </c>
      <c r="B222" s="105"/>
      <c r="C222" s="67"/>
      <c r="D222" s="67"/>
      <c r="E222" s="42"/>
      <c r="F222" s="41"/>
      <c r="G222" s="41"/>
      <c r="H222" s="41">
        <f t="shared" si="28"/>
        <v>0</v>
      </c>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row>
    <row r="223" spans="1:150 16226:16383" s="3" customFormat="1" ht="20.25" hidden="1" customHeight="1" x14ac:dyDescent="0.25">
      <c r="A223" s="104">
        <f t="shared" si="29"/>
        <v>4</v>
      </c>
      <c r="B223" s="105"/>
      <c r="C223" s="67"/>
      <c r="D223" s="67"/>
      <c r="E223" s="42"/>
      <c r="F223" s="41"/>
      <c r="G223" s="41"/>
      <c r="H223" s="41">
        <f t="shared" si="28"/>
        <v>0</v>
      </c>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row>
    <row r="224" spans="1:150 16226:16383" s="3" customFormat="1" ht="20.25" hidden="1" customHeight="1" x14ac:dyDescent="0.25">
      <c r="A224" s="104">
        <f t="shared" ref="A224:A227" si="30">A223+1</f>
        <v>5</v>
      </c>
      <c r="B224" s="105"/>
      <c r="C224" s="67"/>
      <c r="D224" s="67"/>
      <c r="E224" s="42"/>
      <c r="F224" s="41"/>
      <c r="G224" s="41"/>
      <c r="H224" s="41">
        <f t="shared" si="28"/>
        <v>0</v>
      </c>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row>
    <row r="225" spans="1:150 16226:16383" s="3" customFormat="1" ht="20.25" hidden="1" customHeight="1" x14ac:dyDescent="0.25">
      <c r="A225" s="104">
        <f t="shared" si="30"/>
        <v>6</v>
      </c>
      <c r="B225" s="105"/>
      <c r="C225" s="67"/>
      <c r="D225" s="67"/>
      <c r="E225" s="42"/>
      <c r="F225" s="41"/>
      <c r="G225" s="41"/>
      <c r="H225" s="41">
        <f t="shared" si="28"/>
        <v>0</v>
      </c>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row>
    <row r="226" spans="1:150 16226:16383" s="3" customFormat="1" ht="20.25" hidden="1" customHeight="1" x14ac:dyDescent="0.25">
      <c r="A226" s="104">
        <f t="shared" si="30"/>
        <v>7</v>
      </c>
      <c r="B226" s="105"/>
      <c r="C226" s="67"/>
      <c r="D226" s="67"/>
      <c r="E226" s="42"/>
      <c r="F226" s="41"/>
      <c r="G226" s="41"/>
      <c r="H226" s="41">
        <f t="shared" si="28"/>
        <v>0</v>
      </c>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row>
    <row r="227" spans="1:150 16226:16383" s="3" customFormat="1" ht="20.25" hidden="1" customHeight="1" x14ac:dyDescent="0.25">
      <c r="A227" s="104">
        <f t="shared" si="30"/>
        <v>8</v>
      </c>
      <c r="B227" s="105"/>
      <c r="C227" s="67"/>
      <c r="D227" s="67"/>
      <c r="E227" s="42"/>
      <c r="F227" s="41"/>
      <c r="G227" s="41"/>
      <c r="H227" s="41">
        <f t="shared" si="28"/>
        <v>0</v>
      </c>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row>
    <row r="228" spans="1:150 16226:16383" s="3" customFormat="1" ht="20.25" hidden="1" x14ac:dyDescent="0.25">
      <c r="A228" s="157" t="s">
        <v>130</v>
      </c>
      <c r="B228" s="158"/>
      <c r="C228" s="158"/>
      <c r="D228" s="158"/>
      <c r="E228" s="158"/>
      <c r="F228" s="158"/>
      <c r="G228" s="158"/>
      <c r="H228" s="159"/>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row>
    <row r="229" spans="1:150 16226:16383" s="3" customFormat="1" ht="20.25" hidden="1" customHeight="1" x14ac:dyDescent="0.25">
      <c r="A229" s="110" t="str">
        <f ca="1">T229</f>
        <v>201,..,901</v>
      </c>
      <c r="B229" s="110"/>
      <c r="C229" s="67"/>
      <c r="D229" s="67"/>
      <c r="E229" s="42">
        <v>0</v>
      </c>
      <c r="F229" s="41">
        <v>0</v>
      </c>
      <c r="G229" s="41">
        <v>0</v>
      </c>
      <c r="H229" s="41">
        <f>E229+F229+(IF(G229&lt;101,G229,IF(G229&lt;201,G229/2,IF(G229&lt;=301,G229/3,G229/4))))</f>
        <v>0</v>
      </c>
      <c r="I229" s="1"/>
      <c r="J229" s="1"/>
      <c r="K229" s="1"/>
      <c r="L229" s="1"/>
      <c r="M229" s="1"/>
      <c r="N229" s="1"/>
      <c r="O229" s="1"/>
      <c r="P229" s="1"/>
      <c r="Q229" s="1"/>
      <c r="R229" s="1"/>
      <c r="S229" s="1"/>
      <c r="T229" s="23" t="str">
        <f t="shared" ref="T229:T236" ca="1" si="31">U229&amp;""&amp;",..,"&amp;""&amp;V229</f>
        <v>201,..,901</v>
      </c>
      <c r="U229" s="23">
        <f ca="1">(SUMPRODUCT(MID(0&amp;(LEFT(A228,SUM(LEN(A228)-LEN(SUBSTITUTE(A228,{"0","1","2","3"},""))))), LARGE(INDEX(ISNUMBER(--MID((LEFT(A228,SUM(LEN(A228)-LEN(SUBSTITUTE(A228,{"0","1","2","3"},""))))), ROW(INDIRECT("1:"&amp;LEN((LEFT(A228,SUM(LEN(A228)-LEN(SUBSTITUTE(A228,{"0","1","2","3"},"")))))))), 1)) * ROW(INDIRECT("1:"&amp;LEN((LEFT(A228,SUM(LEN(A228)-LEN(SUBSTITUTE(A228,{"0","1","2","3"},"")))))))), 0), ROW(INDIRECT("1:"&amp;LEN((LEFT(A228,SUM(LEN(A228)-LEN(SUBSTITUTE(A228,{"0","1","2","3"},"")))))))))+1, 1) * 10^ROW(INDIRECT("1:"&amp;LEN((LEFT(A228,SUM(LEN(A228)-LEN(SUBSTITUTE(A228,{"0","1","2","3"},""))))))))/10))*100+1</f>
        <v>201</v>
      </c>
      <c r="V229" s="23">
        <f ca="1">(SUMPRODUCT(MID(0&amp;(--TRIM(RIGHT(SUBSTITUTE(LEFT(A228,_xlfn.AGGREGATE(16,6,FIND({0,1,2,3,4,5,6,7,8,9},A228,ROW(INDIRECT("1:"&amp;LEN(A228)))),1))," ",REPT(" ",LEN(A228))),LEN(A228)))), LARGE(INDEX(ISNUMBER(--MID((--TRIM(RIGHT(SUBSTITUTE(LEFT(A228,_xlfn.AGGREGATE(16,6,FIND({0,1,2,3,4,5,6,7,8,9},A228,ROW(INDIRECT("1:"&amp;LEN(A228)))),1))," ",REPT(" ",LEN(A228))),LEN(A228)))), ROW(INDIRECT("1:"&amp;LEN((--TRIM(RIGHT(SUBSTITUTE(LEFT(A228,_xlfn.AGGREGATE(16,6,FIND({0,1,2,3,4,5,6,7,8,9},A228,ROW(INDIRECT("1:"&amp;LEN(A228)))),1))," ",REPT(" ",LEN(A228))),LEN(A228))))))), 1)) * ROW(INDIRECT("1:"&amp;LEN((--TRIM(RIGHT(SUBSTITUTE(LEFT(A228,_xlfn.AGGREGATE(16,6,FIND({0,1,2,3,4,5,6,7,8,9},A228,ROW(INDIRECT("1:"&amp;LEN(A228)))),1))," ",REPT(" ",LEN(A228))),LEN(A228))))))), 0), ROW(INDIRECT("1:"&amp;LEN((--TRIM(RIGHT(SUBSTITUTE(LEFT(A228,_xlfn.AGGREGATE(16,6,FIND({0,1,2,3,4,5,6,7,8,9},A228,ROW(INDIRECT("1:"&amp;LEN(A228)))),1))," ",REPT(" ",LEN(A228))),LEN(A228))))))))+1, 1) * 10^ROW(INDIRECT("1:"&amp;LEN((--TRIM(RIGHT(SUBSTITUTE(LEFT(A228,_xlfn.AGGREGATE(16,6,FIND({0,1,2,3,4,5,6,7,8,9},A228,ROW(INDIRECT("1:"&amp;LEN(A228)))),1))," ",REPT(" ",LEN(A228))),LEN(A228)))))))/10))*100+1</f>
        <v>901</v>
      </c>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row>
    <row r="230" spans="1:150 16226:16383" s="3" customFormat="1" ht="20.25" hidden="1" customHeight="1" x14ac:dyDescent="0.25">
      <c r="A230" s="110" t="str">
        <f t="shared" ref="A230:A236" ca="1" si="32">T230</f>
        <v>202,..,902</v>
      </c>
      <c r="B230" s="110"/>
      <c r="C230" s="67"/>
      <c r="D230" s="67"/>
      <c r="E230" s="42"/>
      <c r="F230" s="41"/>
      <c r="G230" s="41"/>
      <c r="H230" s="41">
        <f t="shared" ref="H230:H236" si="33">E230+F230+(IF(G230&lt;101,G230,IF(G230&lt;201,G230/2,IF(G230&lt;=301,G230/3,G230/4))))</f>
        <v>0</v>
      </c>
      <c r="I230" s="1"/>
      <c r="J230" s="1"/>
      <c r="K230" s="1"/>
      <c r="L230" s="1"/>
      <c r="M230" s="1"/>
      <c r="N230" s="1"/>
      <c r="O230" s="1"/>
      <c r="P230" s="1"/>
      <c r="Q230" s="1"/>
      <c r="R230" s="1"/>
      <c r="S230" s="1"/>
      <c r="T230" s="23" t="str">
        <f t="shared" ca="1" si="31"/>
        <v>202,..,902</v>
      </c>
      <c r="U230" s="23">
        <f ca="1">U229+1</f>
        <v>202</v>
      </c>
      <c r="V230" s="23">
        <f ca="1">V229+1</f>
        <v>902</v>
      </c>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row>
    <row r="231" spans="1:150 16226:16383" s="3" customFormat="1" ht="20.25" hidden="1" customHeight="1" x14ac:dyDescent="0.25">
      <c r="A231" s="110" t="str">
        <f t="shared" ca="1" si="32"/>
        <v>203,..,903</v>
      </c>
      <c r="B231" s="110"/>
      <c r="C231" s="67"/>
      <c r="D231" s="67"/>
      <c r="E231" s="42"/>
      <c r="F231" s="41"/>
      <c r="G231" s="41"/>
      <c r="H231" s="41">
        <f t="shared" si="33"/>
        <v>0</v>
      </c>
      <c r="I231" s="1"/>
      <c r="J231" s="1"/>
      <c r="K231" s="1"/>
      <c r="L231" s="1"/>
      <c r="M231" s="1"/>
      <c r="N231" s="1"/>
      <c r="O231" s="1"/>
      <c r="P231" s="1"/>
      <c r="Q231" s="1"/>
      <c r="R231" s="1"/>
      <c r="S231" s="1"/>
      <c r="T231" s="23" t="str">
        <f t="shared" ca="1" si="31"/>
        <v>203,..,903</v>
      </c>
      <c r="U231" s="23">
        <f t="shared" ref="U231:U236" ca="1" si="34">U230+1</f>
        <v>203</v>
      </c>
      <c r="V231" s="23">
        <f t="shared" ref="V231:V236" ca="1" si="35">V230+1</f>
        <v>903</v>
      </c>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row>
    <row r="232" spans="1:150 16226:16383" s="3" customFormat="1" ht="20.25" hidden="1" customHeight="1" x14ac:dyDescent="0.25">
      <c r="A232" s="110" t="str">
        <f t="shared" ca="1" si="32"/>
        <v>204,..,904</v>
      </c>
      <c r="B232" s="110"/>
      <c r="C232" s="67"/>
      <c r="D232" s="67"/>
      <c r="E232" s="42"/>
      <c r="F232" s="41"/>
      <c r="G232" s="41"/>
      <c r="H232" s="41">
        <f t="shared" si="33"/>
        <v>0</v>
      </c>
      <c r="I232" s="1"/>
      <c r="J232" s="1"/>
      <c r="K232" s="1"/>
      <c r="L232" s="1"/>
      <c r="M232" s="1"/>
      <c r="N232" s="1"/>
      <c r="O232" s="1"/>
      <c r="P232" s="1"/>
      <c r="Q232" s="1"/>
      <c r="R232" s="1"/>
      <c r="S232" s="1"/>
      <c r="T232" s="23" t="str">
        <f t="shared" ca="1" si="31"/>
        <v>204,..,904</v>
      </c>
      <c r="U232" s="23">
        <f t="shared" ca="1" si="34"/>
        <v>204</v>
      </c>
      <c r="V232" s="23">
        <f t="shared" ca="1" si="35"/>
        <v>904</v>
      </c>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row>
    <row r="233" spans="1:150 16226:16383" s="3" customFormat="1" ht="20.25" hidden="1" customHeight="1" x14ac:dyDescent="0.25">
      <c r="A233" s="110" t="str">
        <f t="shared" ca="1" si="32"/>
        <v>205,..,905</v>
      </c>
      <c r="B233" s="110"/>
      <c r="C233" s="67"/>
      <c r="D233" s="67"/>
      <c r="E233" s="42"/>
      <c r="F233" s="41"/>
      <c r="G233" s="41"/>
      <c r="H233" s="41">
        <f t="shared" si="33"/>
        <v>0</v>
      </c>
      <c r="I233" s="1"/>
      <c r="J233" s="1"/>
      <c r="K233" s="1"/>
      <c r="L233" s="1"/>
      <c r="M233" s="1"/>
      <c r="N233" s="1"/>
      <c r="O233" s="1"/>
      <c r="P233" s="1"/>
      <c r="Q233" s="1"/>
      <c r="R233" s="1"/>
      <c r="S233" s="1"/>
      <c r="T233" s="23" t="str">
        <f t="shared" ca="1" si="31"/>
        <v>205,..,905</v>
      </c>
      <c r="U233" s="23">
        <f t="shared" ca="1" si="34"/>
        <v>205</v>
      </c>
      <c r="V233" s="23">
        <f t="shared" ca="1" si="35"/>
        <v>905</v>
      </c>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row>
    <row r="234" spans="1:150 16226:16383" s="3" customFormat="1" ht="20.25" hidden="1" customHeight="1" x14ac:dyDescent="0.25">
      <c r="A234" s="110" t="str">
        <f t="shared" ca="1" si="32"/>
        <v>206,..,906</v>
      </c>
      <c r="B234" s="110"/>
      <c r="C234" s="67"/>
      <c r="D234" s="67"/>
      <c r="E234" s="42"/>
      <c r="F234" s="41"/>
      <c r="G234" s="41"/>
      <c r="H234" s="41">
        <f t="shared" si="33"/>
        <v>0</v>
      </c>
      <c r="I234" s="1"/>
      <c r="J234" s="1"/>
      <c r="K234" s="1"/>
      <c r="L234" s="1"/>
      <c r="M234" s="1"/>
      <c r="N234" s="1"/>
      <c r="O234" s="1"/>
      <c r="P234" s="1"/>
      <c r="Q234" s="1"/>
      <c r="R234" s="1"/>
      <c r="S234" s="1"/>
      <c r="T234" s="23" t="str">
        <f t="shared" ca="1" si="31"/>
        <v>206,..,906</v>
      </c>
      <c r="U234" s="23">
        <f t="shared" ca="1" si="34"/>
        <v>206</v>
      </c>
      <c r="V234" s="23">
        <f t="shared" ca="1" si="35"/>
        <v>906</v>
      </c>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WZB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row>
    <row r="235" spans="1:150 16226:16383" s="3" customFormat="1" ht="20.25" hidden="1" customHeight="1" x14ac:dyDescent="0.25">
      <c r="A235" s="110" t="str">
        <f t="shared" ca="1" si="32"/>
        <v>207,..,907</v>
      </c>
      <c r="B235" s="110"/>
      <c r="C235" s="67"/>
      <c r="D235" s="67"/>
      <c r="E235" s="42"/>
      <c r="F235" s="41"/>
      <c r="G235" s="41"/>
      <c r="H235" s="41">
        <f t="shared" si="33"/>
        <v>0</v>
      </c>
      <c r="I235" s="1"/>
      <c r="J235" s="1"/>
      <c r="K235" s="1"/>
      <c r="L235" s="1"/>
      <c r="M235" s="1"/>
      <c r="N235" s="1"/>
      <c r="O235" s="1"/>
      <c r="P235" s="1"/>
      <c r="Q235" s="1"/>
      <c r="R235" s="1"/>
      <c r="S235" s="1"/>
      <c r="T235" s="23" t="str">
        <f t="shared" ca="1" si="31"/>
        <v>207,..,907</v>
      </c>
      <c r="U235" s="23">
        <f t="shared" ca="1" si="34"/>
        <v>207</v>
      </c>
      <c r="V235" s="23">
        <f t="shared" ca="1" si="35"/>
        <v>907</v>
      </c>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WZB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row>
    <row r="236" spans="1:150 16226:16383" s="3" customFormat="1" ht="20.25" hidden="1" customHeight="1" x14ac:dyDescent="0.25">
      <c r="A236" s="110" t="str">
        <f t="shared" ca="1" si="32"/>
        <v>208,..,908</v>
      </c>
      <c r="B236" s="110"/>
      <c r="C236" s="67"/>
      <c r="D236" s="67"/>
      <c r="E236" s="42"/>
      <c r="F236" s="41"/>
      <c r="G236" s="41"/>
      <c r="H236" s="41">
        <f t="shared" si="33"/>
        <v>0</v>
      </c>
      <c r="I236" s="1"/>
      <c r="J236" s="1"/>
      <c r="K236" s="1"/>
      <c r="L236" s="1"/>
      <c r="M236" s="1"/>
      <c r="N236" s="1"/>
      <c r="O236" s="1"/>
      <c r="P236" s="1"/>
      <c r="Q236" s="1"/>
      <c r="R236" s="1"/>
      <c r="S236" s="1"/>
      <c r="T236" s="23" t="str">
        <f t="shared" ca="1" si="31"/>
        <v>208,..,908</v>
      </c>
      <c r="U236" s="23">
        <f t="shared" ca="1" si="34"/>
        <v>208</v>
      </c>
      <c r="V236" s="23">
        <f t="shared" ca="1" si="35"/>
        <v>908</v>
      </c>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WZB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row>
    <row r="237" spans="1:150 16226:16383" s="3" customFormat="1" ht="20.25" hidden="1" x14ac:dyDescent="0.25">
      <c r="A237" s="157" t="s">
        <v>131</v>
      </c>
      <c r="B237" s="158"/>
      <c r="C237" s="158"/>
      <c r="D237" s="158"/>
      <c r="E237" s="158"/>
      <c r="F237" s="158"/>
      <c r="G237" s="158"/>
      <c r="H237" s="159"/>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WZB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row>
    <row r="238" spans="1:150 16226:16383" s="3" customFormat="1" ht="20.25" hidden="1" customHeight="1" x14ac:dyDescent="0.25">
      <c r="A238" s="110" t="str">
        <f ca="1">T238</f>
        <v>201 to 501</v>
      </c>
      <c r="B238" s="110"/>
      <c r="C238" s="67"/>
      <c r="D238" s="67"/>
      <c r="E238" s="42">
        <v>0</v>
      </c>
      <c r="F238" s="41">
        <v>0</v>
      </c>
      <c r="G238" s="41">
        <v>0</v>
      </c>
      <c r="H238" s="41">
        <f>E238+F238+(IF(G238&lt;101,G238,IF(G238&lt;201,G238/2,IF(G238&lt;=301,G238/3,G238/4))))</f>
        <v>0</v>
      </c>
      <c r="I238" s="1"/>
      <c r="J238" s="1"/>
      <c r="K238" s="1"/>
      <c r="L238" s="1"/>
      <c r="M238" s="1"/>
      <c r="N238" s="1"/>
      <c r="O238" s="1"/>
      <c r="P238" s="1"/>
      <c r="Q238" s="1"/>
      <c r="R238" s="1"/>
      <c r="S238" s="1"/>
      <c r="T238" s="23" t="str">
        <f ca="1">U238&amp;""&amp;" to "&amp;""&amp;V238</f>
        <v>201 to 501</v>
      </c>
      <c r="U238" s="23">
        <f ca="1">(SUMPRODUCT(MID(0&amp;(LEFT(A237,SUM(LEN(A237)-LEN(SUBSTITUTE(A237,{"0","1","2","3"},""))))), LARGE(INDEX(ISNUMBER(--MID((LEFT(A237,SUM(LEN(A237)-LEN(SUBSTITUTE(A237,{"0","1","2","3"},""))))), ROW(INDIRECT("1:"&amp;LEN((LEFT(A237,SUM(LEN(A237)-LEN(SUBSTITUTE(A237,{"0","1","2","3"},"")))))))), 1)) * ROW(INDIRECT("1:"&amp;LEN((LEFT(A237,SUM(LEN(A237)-LEN(SUBSTITUTE(A237,{"0","1","2","3"},"")))))))), 0), ROW(INDIRECT("1:"&amp;LEN((LEFT(A237,SUM(LEN(A237)-LEN(SUBSTITUTE(A237,{"0","1","2","3"},"")))))))))+1, 1) * 10^ROW(INDIRECT("1:"&amp;LEN((LEFT(A237,SUM(LEN(A237)-LEN(SUBSTITUTE(A237,{"0","1","2","3"},""))))))))/10))*100+1</f>
        <v>201</v>
      </c>
      <c r="V238" s="23">
        <f ca="1">(SUMPRODUCT(MID(0&amp;(--TRIM(RIGHT(SUBSTITUTE(LEFT(A237,_xlfn.AGGREGATE(16,6,FIND({0,1,2,3,4,5,6,7,8,9},A237,ROW(INDIRECT("1:"&amp;LEN(A237)))),1))," ",REPT(" ",LEN(A237))),LEN(A237)))), LARGE(INDEX(ISNUMBER(--MID((--TRIM(RIGHT(SUBSTITUTE(LEFT(A237,_xlfn.AGGREGATE(16,6,FIND({0,1,2,3,4,5,6,7,8,9},A237,ROW(INDIRECT("1:"&amp;LEN(A237)))),1))," ",REPT(" ",LEN(A237))),LEN(A237)))), ROW(INDIRECT("1:"&amp;LEN((--TRIM(RIGHT(SUBSTITUTE(LEFT(A237,_xlfn.AGGREGATE(16,6,FIND({0,1,2,3,4,5,6,7,8,9},A237,ROW(INDIRECT("1:"&amp;LEN(A237)))),1))," ",REPT(" ",LEN(A237))),LEN(A237))))))), 1)) * ROW(INDIRECT("1:"&amp;LEN((--TRIM(RIGHT(SUBSTITUTE(LEFT(A237,_xlfn.AGGREGATE(16,6,FIND({0,1,2,3,4,5,6,7,8,9},A237,ROW(INDIRECT("1:"&amp;LEN(A237)))),1))," ",REPT(" ",LEN(A237))),LEN(A237))))))), 0), ROW(INDIRECT("1:"&amp;LEN((--TRIM(RIGHT(SUBSTITUTE(LEFT(A237,_xlfn.AGGREGATE(16,6,FIND({0,1,2,3,4,5,6,7,8,9},A237,ROW(INDIRECT("1:"&amp;LEN(A237)))),1))," ",REPT(" ",LEN(A237))),LEN(A237))))))))+1, 1) * 10^ROW(INDIRECT("1:"&amp;LEN((--TRIM(RIGHT(SUBSTITUTE(LEFT(A237,_xlfn.AGGREGATE(16,6,FIND({0,1,2,3,4,5,6,7,8,9},A237,ROW(INDIRECT("1:"&amp;LEN(A237)))),1))," ",REPT(" ",LEN(A237))),LEN(A237)))))))/10))*100+1</f>
        <v>501</v>
      </c>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WZB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row>
    <row r="239" spans="1:150 16226:16383" s="3" customFormat="1" ht="20.25" hidden="1" customHeight="1" x14ac:dyDescent="0.25">
      <c r="A239" s="110" t="str">
        <f t="shared" ref="A239:A245" ca="1" si="36">T239</f>
        <v>202 to 502</v>
      </c>
      <c r="B239" s="110"/>
      <c r="C239" s="67"/>
      <c r="D239" s="67"/>
      <c r="E239" s="42"/>
      <c r="F239" s="41"/>
      <c r="G239" s="41"/>
      <c r="H239" s="41">
        <f t="shared" ref="H239:H245" si="37">E239+F239+(IF(G239&lt;101,G239,IF(G239&lt;201,G239/2,IF(G239&lt;=301,G239/3,G239/4))))</f>
        <v>0</v>
      </c>
      <c r="I239" s="1"/>
      <c r="J239" s="1"/>
      <c r="K239" s="1"/>
      <c r="L239" s="1"/>
      <c r="M239" s="1"/>
      <c r="N239" s="1"/>
      <c r="O239" s="1"/>
      <c r="P239" s="1"/>
      <c r="Q239" s="1"/>
      <c r="R239" s="1"/>
      <c r="S239" s="1"/>
      <c r="T239" s="23" t="str">
        <f t="shared" ref="T239:T245" ca="1" si="38">U239&amp;""&amp;" to "&amp;""&amp;V239</f>
        <v>202 to 502</v>
      </c>
      <c r="U239" s="23">
        <f ca="1">U238+1</f>
        <v>202</v>
      </c>
      <c r="V239" s="23">
        <f ca="1">V238+1</f>
        <v>502</v>
      </c>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WZB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row>
    <row r="240" spans="1:150 16226:16383" s="3" customFormat="1" ht="20.25" hidden="1" customHeight="1" x14ac:dyDescent="0.25">
      <c r="A240" s="110" t="str">
        <f t="shared" ca="1" si="36"/>
        <v>203 to 503</v>
      </c>
      <c r="B240" s="110"/>
      <c r="C240" s="67"/>
      <c r="D240" s="67"/>
      <c r="E240" s="42"/>
      <c r="F240" s="41"/>
      <c r="G240" s="41"/>
      <c r="H240" s="41">
        <f t="shared" si="37"/>
        <v>0</v>
      </c>
      <c r="I240" s="1"/>
      <c r="J240" s="1"/>
      <c r="K240" s="1"/>
      <c r="L240" s="1"/>
      <c r="M240" s="1"/>
      <c r="N240" s="1"/>
      <c r="O240" s="1"/>
      <c r="P240" s="1"/>
      <c r="Q240" s="1"/>
      <c r="R240" s="1"/>
      <c r="S240" s="1"/>
      <c r="T240" s="23" t="str">
        <f t="shared" ca="1" si="38"/>
        <v>203 to 503</v>
      </c>
      <c r="U240" s="23">
        <f t="shared" ref="U240:U245" ca="1" si="39">U239+1</f>
        <v>203</v>
      </c>
      <c r="V240" s="23">
        <f t="shared" ref="V240:V245" ca="1" si="40">V239+1</f>
        <v>503</v>
      </c>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row>
    <row r="241" spans="1:150 16226:16383" s="3" customFormat="1" ht="20.25" hidden="1" customHeight="1" x14ac:dyDescent="0.25">
      <c r="A241" s="110" t="str">
        <f t="shared" ca="1" si="36"/>
        <v>204 to 504</v>
      </c>
      <c r="B241" s="110"/>
      <c r="C241" s="67"/>
      <c r="D241" s="67"/>
      <c r="E241" s="42"/>
      <c r="F241" s="41"/>
      <c r="G241" s="41"/>
      <c r="H241" s="41">
        <f t="shared" si="37"/>
        <v>0</v>
      </c>
      <c r="I241" s="1"/>
      <c r="J241" s="1"/>
      <c r="K241" s="1"/>
      <c r="L241" s="1"/>
      <c r="M241" s="1"/>
      <c r="N241" s="1"/>
      <c r="O241" s="1"/>
      <c r="P241" s="1"/>
      <c r="Q241" s="1"/>
      <c r="R241" s="1"/>
      <c r="S241" s="1"/>
      <c r="T241" s="23" t="str">
        <f t="shared" ca="1" si="38"/>
        <v>204 to 504</v>
      </c>
      <c r="U241" s="23">
        <f t="shared" ca="1" si="39"/>
        <v>204</v>
      </c>
      <c r="V241" s="23">
        <f t="shared" ca="1" si="40"/>
        <v>504</v>
      </c>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row>
    <row r="242" spans="1:150 16226:16383" s="3" customFormat="1" ht="20.25" hidden="1" customHeight="1" x14ac:dyDescent="0.25">
      <c r="A242" s="110" t="str">
        <f t="shared" ca="1" si="36"/>
        <v>205 to 505</v>
      </c>
      <c r="B242" s="110"/>
      <c r="C242" s="67"/>
      <c r="D242" s="67"/>
      <c r="E242" s="42"/>
      <c r="F242" s="41"/>
      <c r="G242" s="41"/>
      <c r="H242" s="41">
        <f t="shared" si="37"/>
        <v>0</v>
      </c>
      <c r="I242" s="1"/>
      <c r="J242" s="1"/>
      <c r="K242" s="1"/>
      <c r="L242" s="1"/>
      <c r="M242" s="1"/>
      <c r="N242" s="1"/>
      <c r="O242" s="1"/>
      <c r="P242" s="1"/>
      <c r="Q242" s="1"/>
      <c r="R242" s="1"/>
      <c r="S242" s="1"/>
      <c r="T242" s="23" t="str">
        <f t="shared" ca="1" si="38"/>
        <v>205 to 505</v>
      </c>
      <c r="U242" s="23">
        <f t="shared" ca="1" si="39"/>
        <v>205</v>
      </c>
      <c r="V242" s="23">
        <f t="shared" ca="1" si="40"/>
        <v>505</v>
      </c>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WZB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row>
    <row r="243" spans="1:150 16226:16383" s="3" customFormat="1" ht="20.25" hidden="1" customHeight="1" x14ac:dyDescent="0.25">
      <c r="A243" s="110" t="str">
        <f t="shared" ca="1" si="36"/>
        <v>206 to 506</v>
      </c>
      <c r="B243" s="110"/>
      <c r="C243" s="67"/>
      <c r="D243" s="67"/>
      <c r="E243" s="42"/>
      <c r="F243" s="41"/>
      <c r="G243" s="41"/>
      <c r="H243" s="41">
        <f t="shared" si="37"/>
        <v>0</v>
      </c>
      <c r="I243" s="1"/>
      <c r="J243" s="1"/>
      <c r="K243" s="1"/>
      <c r="L243" s="1"/>
      <c r="M243" s="1"/>
      <c r="N243" s="1"/>
      <c r="O243" s="1"/>
      <c r="P243" s="1"/>
      <c r="Q243" s="1"/>
      <c r="R243" s="1"/>
      <c r="S243" s="1"/>
      <c r="T243" s="23" t="str">
        <f t="shared" ca="1" si="38"/>
        <v>206 to 506</v>
      </c>
      <c r="U243" s="23">
        <f t="shared" ca="1" si="39"/>
        <v>206</v>
      </c>
      <c r="V243" s="23">
        <f t="shared" ca="1" si="40"/>
        <v>506</v>
      </c>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WZB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row>
    <row r="244" spans="1:150 16226:16383" s="3" customFormat="1" ht="20.25" hidden="1" customHeight="1" x14ac:dyDescent="0.25">
      <c r="A244" s="110" t="str">
        <f t="shared" ca="1" si="36"/>
        <v>207 to 507</v>
      </c>
      <c r="B244" s="110"/>
      <c r="C244" s="67"/>
      <c r="D244" s="67"/>
      <c r="E244" s="42"/>
      <c r="F244" s="41"/>
      <c r="G244" s="41"/>
      <c r="H244" s="41">
        <f t="shared" si="37"/>
        <v>0</v>
      </c>
      <c r="I244" s="1"/>
      <c r="J244" s="1"/>
      <c r="K244" s="1"/>
      <c r="L244" s="1"/>
      <c r="M244" s="1"/>
      <c r="N244" s="1"/>
      <c r="O244" s="1"/>
      <c r="P244" s="1"/>
      <c r="Q244" s="1"/>
      <c r="R244" s="1"/>
      <c r="S244" s="1"/>
      <c r="T244" s="23" t="str">
        <f t="shared" ca="1" si="38"/>
        <v>207 to 507</v>
      </c>
      <c r="U244" s="23">
        <f t="shared" ca="1" si="39"/>
        <v>207</v>
      </c>
      <c r="V244" s="23">
        <f t="shared" ca="1" si="40"/>
        <v>507</v>
      </c>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row>
    <row r="245" spans="1:150 16226:16383" s="3" customFormat="1" ht="20.25" hidden="1" customHeight="1" x14ac:dyDescent="0.25">
      <c r="A245" s="110" t="str">
        <f t="shared" ca="1" si="36"/>
        <v>208 to 508</v>
      </c>
      <c r="B245" s="110"/>
      <c r="C245" s="67"/>
      <c r="D245" s="67"/>
      <c r="E245" s="42"/>
      <c r="F245" s="41"/>
      <c r="G245" s="41"/>
      <c r="H245" s="41">
        <f t="shared" si="37"/>
        <v>0</v>
      </c>
      <c r="I245" s="1"/>
      <c r="J245" s="1"/>
      <c r="K245" s="1"/>
      <c r="L245" s="1"/>
      <c r="M245" s="1"/>
      <c r="N245" s="1"/>
      <c r="O245" s="1"/>
      <c r="P245" s="1"/>
      <c r="Q245" s="1"/>
      <c r="R245" s="1"/>
      <c r="S245" s="1"/>
      <c r="T245" s="23" t="str">
        <f t="shared" ca="1" si="38"/>
        <v>208 to 508</v>
      </c>
      <c r="U245" s="23">
        <f t="shared" ca="1" si="39"/>
        <v>208</v>
      </c>
      <c r="V245" s="23">
        <f t="shared" ca="1" si="40"/>
        <v>508</v>
      </c>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WZB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row>
    <row r="246" spans="1:150 16226:16383" s="3" customFormat="1" ht="20.25" hidden="1" x14ac:dyDescent="0.25">
      <c r="A246" s="157" t="s">
        <v>132</v>
      </c>
      <c r="B246" s="158"/>
      <c r="C246" s="158"/>
      <c r="D246" s="158"/>
      <c r="E246" s="158"/>
      <c r="F246" s="158"/>
      <c r="G246" s="158"/>
      <c r="H246" s="159"/>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WZB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row>
    <row r="247" spans="1:150 16226:16383" s="3" customFormat="1" ht="20.25" hidden="1" customHeight="1" x14ac:dyDescent="0.25">
      <c r="A247" s="110" t="str">
        <f ca="1">T247</f>
        <v>201 &amp; 501</v>
      </c>
      <c r="B247" s="110"/>
      <c r="C247" s="67"/>
      <c r="D247" s="67"/>
      <c r="E247" s="42">
        <v>0</v>
      </c>
      <c r="F247" s="41">
        <v>0</v>
      </c>
      <c r="G247" s="41">
        <v>0</v>
      </c>
      <c r="H247" s="41">
        <f>E247+F247+(IF(G247&lt;101,G247,IF(G247&lt;201,G247/2,IF(G247&lt;=301,G247/3,G247/4))))</f>
        <v>0</v>
      </c>
      <c r="I247" s="1"/>
      <c r="J247" s="1"/>
      <c r="K247" s="1"/>
      <c r="L247" s="1"/>
      <c r="M247" s="1"/>
      <c r="N247" s="1"/>
      <c r="O247" s="1"/>
      <c r="P247" s="1"/>
      <c r="Q247" s="1"/>
      <c r="R247" s="1"/>
      <c r="S247" s="1"/>
      <c r="T247" s="23" t="str">
        <f ca="1">U247&amp;""&amp;" &amp; "&amp;""&amp;V247</f>
        <v>201 &amp; 501</v>
      </c>
      <c r="U247" s="23">
        <f ca="1">(SUMPRODUCT(MID(0&amp;(LEFT(A246,SUM(LEN(A246)-LEN(SUBSTITUTE(A246,{"0","1","2","3"},""))))), LARGE(INDEX(ISNUMBER(--MID((LEFT(A246,SUM(LEN(A246)-LEN(SUBSTITUTE(A246,{"0","1","2","3"},""))))), ROW(INDIRECT("1:"&amp;LEN((LEFT(A246,SUM(LEN(A246)-LEN(SUBSTITUTE(A246,{"0","1","2","3"},"")))))))), 1)) * ROW(INDIRECT("1:"&amp;LEN((LEFT(A246,SUM(LEN(A246)-LEN(SUBSTITUTE(A246,{"0","1","2","3"},"")))))))), 0), ROW(INDIRECT("1:"&amp;LEN((LEFT(A246,SUM(LEN(A246)-LEN(SUBSTITUTE(A246,{"0","1","2","3"},"")))))))))+1, 1) * 10^ROW(INDIRECT("1:"&amp;LEN((LEFT(A246,SUM(LEN(A246)-LEN(SUBSTITUTE(A246,{"0","1","2","3"},""))))))))/10))*100+1</f>
        <v>201</v>
      </c>
      <c r="V247" s="23">
        <f ca="1">(SUMPRODUCT(MID(0&amp;(--TRIM(RIGHT(SUBSTITUTE(LEFT(A246,_xlfn.AGGREGATE(16,6,FIND({0,1,2,3,4,5,6,7,8,9},A246,ROW(INDIRECT("1:"&amp;LEN(A246)))),1))," ",REPT(" ",LEN(A246))),LEN(A246)))), LARGE(INDEX(ISNUMBER(--MID((--TRIM(RIGHT(SUBSTITUTE(LEFT(A246,_xlfn.AGGREGATE(16,6,FIND({0,1,2,3,4,5,6,7,8,9},A246,ROW(INDIRECT("1:"&amp;LEN(A246)))),1))," ",REPT(" ",LEN(A246))),LEN(A246)))), ROW(INDIRECT("1:"&amp;LEN((--TRIM(RIGHT(SUBSTITUTE(LEFT(A246,_xlfn.AGGREGATE(16,6,FIND({0,1,2,3,4,5,6,7,8,9},A246,ROW(INDIRECT("1:"&amp;LEN(A246)))),1))," ",REPT(" ",LEN(A246))),LEN(A246))))))), 1)) * ROW(INDIRECT("1:"&amp;LEN((--TRIM(RIGHT(SUBSTITUTE(LEFT(A246,_xlfn.AGGREGATE(16,6,FIND({0,1,2,3,4,5,6,7,8,9},A246,ROW(INDIRECT("1:"&amp;LEN(A246)))),1))," ",REPT(" ",LEN(A246))),LEN(A246))))))), 0), ROW(INDIRECT("1:"&amp;LEN((--TRIM(RIGHT(SUBSTITUTE(LEFT(A246,_xlfn.AGGREGATE(16,6,FIND({0,1,2,3,4,5,6,7,8,9},A246,ROW(INDIRECT("1:"&amp;LEN(A246)))),1))," ",REPT(" ",LEN(A246))),LEN(A246))))))))+1, 1) * 10^ROW(INDIRECT("1:"&amp;LEN((--TRIM(RIGHT(SUBSTITUTE(LEFT(A246,_xlfn.AGGREGATE(16,6,FIND({0,1,2,3,4,5,6,7,8,9},A246,ROW(INDIRECT("1:"&amp;LEN(A246)))),1))," ",REPT(" ",LEN(A246))),LEN(A246)))))))/10))*100+1</f>
        <v>501</v>
      </c>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WZB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row>
    <row r="248" spans="1:150 16226:16383" s="3" customFormat="1" ht="20.25" hidden="1" customHeight="1" x14ac:dyDescent="0.25">
      <c r="A248" s="110" t="str">
        <f t="shared" ref="A248:A254" ca="1" si="41">T248</f>
        <v>202 &amp; 502</v>
      </c>
      <c r="B248" s="110"/>
      <c r="C248" s="67"/>
      <c r="D248" s="67"/>
      <c r="E248" s="42"/>
      <c r="F248" s="41"/>
      <c r="G248" s="41"/>
      <c r="H248" s="41">
        <f t="shared" ref="H248:H254" si="42">E248+F248+(IF(G248&lt;101,G248,IF(G248&lt;201,G248/2,IF(G248&lt;=301,G248/3,G248/4))))</f>
        <v>0</v>
      </c>
      <c r="I248" s="1"/>
      <c r="J248" s="1"/>
      <c r="K248" s="1"/>
      <c r="L248" s="1"/>
      <c r="M248" s="1"/>
      <c r="N248" s="1"/>
      <c r="O248" s="1"/>
      <c r="P248" s="1"/>
      <c r="Q248" s="1"/>
      <c r="R248" s="1"/>
      <c r="S248" s="1"/>
      <c r="T248" s="23" t="str">
        <f t="shared" ref="T248:T254" ca="1" si="43">U248&amp;""&amp;" &amp; "&amp;""&amp;V248</f>
        <v>202 &amp; 502</v>
      </c>
      <c r="U248" s="23">
        <f ca="1">U247+1</f>
        <v>202</v>
      </c>
      <c r="V248" s="23">
        <f ca="1">V247+1</f>
        <v>502</v>
      </c>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row>
    <row r="249" spans="1:150 16226:16383" s="3" customFormat="1" ht="20.25" hidden="1" customHeight="1" x14ac:dyDescent="0.25">
      <c r="A249" s="110" t="str">
        <f t="shared" ca="1" si="41"/>
        <v>203 &amp; 503</v>
      </c>
      <c r="B249" s="110"/>
      <c r="C249" s="67"/>
      <c r="D249" s="67"/>
      <c r="E249" s="42"/>
      <c r="F249" s="41"/>
      <c r="G249" s="41"/>
      <c r="H249" s="41">
        <f t="shared" si="42"/>
        <v>0</v>
      </c>
      <c r="I249" s="1"/>
      <c r="J249" s="1"/>
      <c r="K249" s="1"/>
      <c r="L249" s="1"/>
      <c r="M249" s="1"/>
      <c r="N249" s="1"/>
      <c r="O249" s="1"/>
      <c r="P249" s="1"/>
      <c r="Q249" s="1"/>
      <c r="R249" s="1"/>
      <c r="S249" s="1"/>
      <c r="T249" s="23" t="str">
        <f t="shared" ca="1" si="43"/>
        <v>203 &amp; 503</v>
      </c>
      <c r="U249" s="23">
        <f t="shared" ref="U249:U254" ca="1" si="44">U248+1</f>
        <v>203</v>
      </c>
      <c r="V249" s="23">
        <f t="shared" ref="V249:V254" ca="1" si="45">V248+1</f>
        <v>503</v>
      </c>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WZB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row>
    <row r="250" spans="1:150 16226:16383" s="3" customFormat="1" ht="20.25" hidden="1" customHeight="1" x14ac:dyDescent="0.25">
      <c r="A250" s="110" t="str">
        <f t="shared" ca="1" si="41"/>
        <v>204 &amp; 504</v>
      </c>
      <c r="B250" s="110"/>
      <c r="C250" s="67"/>
      <c r="D250" s="67"/>
      <c r="E250" s="42"/>
      <c r="F250" s="41"/>
      <c r="G250" s="41"/>
      <c r="H250" s="41">
        <f t="shared" si="42"/>
        <v>0</v>
      </c>
      <c r="I250" s="1"/>
      <c r="J250" s="1"/>
      <c r="K250" s="1"/>
      <c r="L250" s="1"/>
      <c r="M250" s="1"/>
      <c r="N250" s="1"/>
      <c r="O250" s="1"/>
      <c r="P250" s="1"/>
      <c r="Q250" s="1"/>
      <c r="R250" s="1"/>
      <c r="S250" s="1"/>
      <c r="T250" s="23" t="str">
        <f t="shared" ca="1" si="43"/>
        <v>204 &amp; 504</v>
      </c>
      <c r="U250" s="23">
        <f t="shared" ca="1" si="44"/>
        <v>204</v>
      </c>
      <c r="V250" s="23">
        <f t="shared" ca="1" si="45"/>
        <v>504</v>
      </c>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WZB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row>
    <row r="251" spans="1:150 16226:16383" s="3" customFormat="1" ht="20.25" hidden="1" customHeight="1" x14ac:dyDescent="0.25">
      <c r="A251" s="110" t="str">
        <f t="shared" ca="1" si="41"/>
        <v>205 &amp; 505</v>
      </c>
      <c r="B251" s="110"/>
      <c r="C251" s="67"/>
      <c r="D251" s="67"/>
      <c r="E251" s="42"/>
      <c r="F251" s="41"/>
      <c r="G251" s="41"/>
      <c r="H251" s="41">
        <f t="shared" si="42"/>
        <v>0</v>
      </c>
      <c r="I251" s="1"/>
      <c r="J251" s="1"/>
      <c r="K251" s="1"/>
      <c r="L251" s="1"/>
      <c r="M251" s="1"/>
      <c r="N251" s="1"/>
      <c r="O251" s="1"/>
      <c r="P251" s="1"/>
      <c r="Q251" s="1"/>
      <c r="R251" s="1"/>
      <c r="S251" s="1"/>
      <c r="T251" s="23" t="str">
        <f t="shared" ca="1" si="43"/>
        <v>205 &amp; 505</v>
      </c>
      <c r="U251" s="23">
        <f t="shared" ca="1" si="44"/>
        <v>205</v>
      </c>
      <c r="V251" s="23">
        <f t="shared" ca="1" si="45"/>
        <v>505</v>
      </c>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WZB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row>
    <row r="252" spans="1:150 16226:16383" s="3" customFormat="1" ht="20.25" hidden="1" customHeight="1" x14ac:dyDescent="0.25">
      <c r="A252" s="110" t="str">
        <f t="shared" ca="1" si="41"/>
        <v>206 &amp; 506</v>
      </c>
      <c r="B252" s="110"/>
      <c r="C252" s="67"/>
      <c r="D252" s="67"/>
      <c r="E252" s="42"/>
      <c r="F252" s="41"/>
      <c r="G252" s="41"/>
      <c r="H252" s="41">
        <f t="shared" si="42"/>
        <v>0</v>
      </c>
      <c r="I252" s="1"/>
      <c r="J252" s="1"/>
      <c r="K252" s="1"/>
      <c r="L252" s="1"/>
      <c r="M252" s="1"/>
      <c r="N252" s="1"/>
      <c r="O252" s="1"/>
      <c r="P252" s="1"/>
      <c r="Q252" s="1"/>
      <c r="R252" s="1"/>
      <c r="S252" s="1"/>
      <c r="T252" s="23" t="str">
        <f t="shared" ca="1" si="43"/>
        <v>206 &amp; 506</v>
      </c>
      <c r="U252" s="23">
        <f t="shared" ca="1" si="44"/>
        <v>206</v>
      </c>
      <c r="V252" s="23">
        <f t="shared" ca="1" si="45"/>
        <v>506</v>
      </c>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WZB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row>
    <row r="253" spans="1:150 16226:16383" s="3" customFormat="1" ht="20.25" hidden="1" customHeight="1" x14ac:dyDescent="0.25">
      <c r="A253" s="110" t="str">
        <f t="shared" ca="1" si="41"/>
        <v>207 &amp; 507</v>
      </c>
      <c r="B253" s="110"/>
      <c r="C253" s="67"/>
      <c r="D253" s="67"/>
      <c r="E253" s="42"/>
      <c r="F253" s="41"/>
      <c r="G253" s="41"/>
      <c r="H253" s="41">
        <f t="shared" si="42"/>
        <v>0</v>
      </c>
      <c r="I253" s="1"/>
      <c r="J253" s="1"/>
      <c r="K253" s="1"/>
      <c r="L253" s="1"/>
      <c r="M253" s="1"/>
      <c r="N253" s="1"/>
      <c r="O253" s="1"/>
      <c r="P253" s="1"/>
      <c r="Q253" s="1"/>
      <c r="R253" s="1"/>
      <c r="S253" s="1"/>
      <c r="T253" s="23" t="str">
        <f t="shared" ca="1" si="43"/>
        <v>207 &amp; 507</v>
      </c>
      <c r="U253" s="23">
        <f t="shared" ca="1" si="44"/>
        <v>207</v>
      </c>
      <c r="V253" s="23">
        <f t="shared" ca="1" si="45"/>
        <v>507</v>
      </c>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WZB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row>
    <row r="254" spans="1:150 16226:16383" s="3" customFormat="1" ht="20.25" hidden="1" customHeight="1" x14ac:dyDescent="0.25">
      <c r="A254" s="110" t="str">
        <f t="shared" ca="1" si="41"/>
        <v>208 &amp; 508</v>
      </c>
      <c r="B254" s="110"/>
      <c r="C254" s="67"/>
      <c r="D254" s="67"/>
      <c r="E254" s="42"/>
      <c r="F254" s="41"/>
      <c r="G254" s="41"/>
      <c r="H254" s="41">
        <f t="shared" si="42"/>
        <v>0</v>
      </c>
      <c r="I254" s="1"/>
      <c r="J254" s="1"/>
      <c r="K254" s="1"/>
      <c r="L254" s="1"/>
      <c r="M254" s="1"/>
      <c r="N254" s="1"/>
      <c r="O254" s="1"/>
      <c r="P254" s="1"/>
      <c r="Q254" s="1"/>
      <c r="R254" s="1"/>
      <c r="S254" s="1"/>
      <c r="T254" s="23" t="str">
        <f t="shared" ca="1" si="43"/>
        <v>208 &amp; 508</v>
      </c>
      <c r="U254" s="23">
        <f t="shared" ca="1" si="44"/>
        <v>208</v>
      </c>
      <c r="V254" s="23">
        <f t="shared" ca="1" si="45"/>
        <v>508</v>
      </c>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WZB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row>
    <row r="255" spans="1:150 16226:16383" ht="20.25" x14ac:dyDescent="0.25">
      <c r="A255" s="111" t="s">
        <v>69</v>
      </c>
      <c r="B255" s="111"/>
      <c r="C255" s="111"/>
      <c r="D255" s="111"/>
      <c r="E255" s="111"/>
      <c r="F255" s="111"/>
      <c r="G255" s="111"/>
      <c r="H255" s="111"/>
    </row>
    <row r="256" spans="1:150 16226:16383" ht="20.25" x14ac:dyDescent="0.25">
      <c r="A256" s="49" t="s">
        <v>238</v>
      </c>
      <c r="B256" s="101" t="s">
        <v>382</v>
      </c>
      <c r="C256" s="102"/>
      <c r="D256" s="102"/>
      <c r="E256" s="102"/>
      <c r="F256" s="102"/>
      <c r="G256" s="102"/>
      <c r="H256" s="103"/>
    </row>
    <row r="257" spans="1:8" ht="20.25" x14ac:dyDescent="0.25">
      <c r="A257" s="49" t="s">
        <v>238</v>
      </c>
      <c r="B257" s="124" t="s">
        <v>239</v>
      </c>
      <c r="C257" s="156"/>
      <c r="D257" s="156"/>
      <c r="E257" s="156"/>
      <c r="F257" s="156"/>
      <c r="G257" s="156"/>
      <c r="H257" s="125"/>
    </row>
    <row r="258" spans="1:8" ht="20.25" x14ac:dyDescent="0.25">
      <c r="A258" s="49" t="s">
        <v>238</v>
      </c>
      <c r="B258" s="124" t="s">
        <v>378</v>
      </c>
      <c r="C258" s="156"/>
      <c r="D258" s="156"/>
      <c r="E258" s="156"/>
      <c r="F258" s="156"/>
      <c r="G258" s="156"/>
      <c r="H258" s="125"/>
    </row>
    <row r="259" spans="1:8" ht="20.25" x14ac:dyDescent="0.25">
      <c r="A259" s="49" t="s">
        <v>238</v>
      </c>
      <c r="B259" s="124" t="s">
        <v>240</v>
      </c>
      <c r="C259" s="156"/>
      <c r="D259" s="156"/>
      <c r="E259" s="156"/>
      <c r="F259" s="156"/>
      <c r="G259" s="156"/>
      <c r="H259" s="125"/>
    </row>
    <row r="260" spans="1:8" ht="20.25" x14ac:dyDescent="0.25">
      <c r="A260" s="49" t="s">
        <v>238</v>
      </c>
      <c r="B260" s="124" t="s">
        <v>241</v>
      </c>
      <c r="C260" s="156"/>
      <c r="D260" s="156"/>
      <c r="E260" s="156"/>
      <c r="F260" s="156"/>
      <c r="G260" s="156"/>
      <c r="H260" s="125"/>
    </row>
    <row r="261" spans="1:8" ht="46.5" hidden="1" customHeight="1" x14ac:dyDescent="0.25">
      <c r="A261" s="49" t="s">
        <v>238</v>
      </c>
      <c r="B261" s="155" t="s">
        <v>242</v>
      </c>
      <c r="C261" s="156"/>
      <c r="D261" s="156"/>
      <c r="E261" s="156"/>
      <c r="F261" s="156"/>
      <c r="G261" s="156"/>
      <c r="H261" s="125"/>
    </row>
    <row r="262" spans="1:8" ht="20.25" x14ac:dyDescent="0.25">
      <c r="A262" s="91" t="s">
        <v>238</v>
      </c>
      <c r="B262" s="101" t="s">
        <v>388</v>
      </c>
      <c r="C262" s="102"/>
      <c r="D262" s="102"/>
      <c r="E262" s="102"/>
      <c r="F262" s="102"/>
      <c r="G262" s="102"/>
      <c r="H262" s="103"/>
    </row>
    <row r="263" spans="1:8" ht="46.5" hidden="1" customHeight="1" x14ac:dyDescent="0.25">
      <c r="A263" s="2" t="s">
        <v>238</v>
      </c>
      <c r="B263" s="155" t="s">
        <v>242</v>
      </c>
      <c r="C263" s="156"/>
      <c r="D263" s="156"/>
      <c r="E263" s="156"/>
      <c r="F263" s="156"/>
      <c r="G263" s="156"/>
      <c r="H263" s="125"/>
    </row>
    <row r="264" spans="1:8" ht="20.25" x14ac:dyDescent="0.25">
      <c r="A264" s="169" t="s">
        <v>75</v>
      </c>
      <c r="B264" s="169"/>
      <c r="C264" s="169"/>
      <c r="D264" s="169"/>
      <c r="E264" s="169"/>
      <c r="F264" s="169"/>
      <c r="G264" s="169"/>
      <c r="H264" s="169"/>
    </row>
    <row r="265" spans="1:8" ht="20.25" x14ac:dyDescent="0.25">
      <c r="A265" s="118" t="s">
        <v>70</v>
      </c>
      <c r="B265" s="118"/>
      <c r="C265" s="118"/>
      <c r="D265" s="124" t="str">
        <f>C3</f>
        <v>The Gateway</v>
      </c>
      <c r="E265" s="156"/>
      <c r="F265" s="156"/>
      <c r="G265" s="156"/>
      <c r="H265" s="125"/>
    </row>
    <row r="266" spans="1:8" ht="81" customHeight="1" x14ac:dyDescent="0.25">
      <c r="A266" s="118" t="s">
        <v>104</v>
      </c>
      <c r="B266" s="118"/>
      <c r="C266" s="118"/>
      <c r="D266" s="124" t="str">
        <f>C9</f>
        <v>L&amp;T The Gateway, 231(pt), 232, 446(pt), 448(pt), 450(pt), 451(pt),453(pt), 454, 455(pt), 456(pt), 457 to 471, 472, 1/472, 473, 474(pt), 475, 476(pt) and 699(pt) at Mumbai City, Mumbai City, Mumbai City, 400015</v>
      </c>
      <c r="E266" s="156"/>
      <c r="F266" s="156"/>
      <c r="G266" s="156"/>
      <c r="H266" s="125"/>
    </row>
    <row r="267" spans="1:8" ht="20.25" customHeight="1" x14ac:dyDescent="0.25">
      <c r="A267" s="179" t="s">
        <v>110</v>
      </c>
      <c r="B267" s="179"/>
      <c r="C267" s="179"/>
      <c r="D267" s="124" t="str">
        <f>G3</f>
        <v>04/08/2025 at 02:12PM</v>
      </c>
      <c r="E267" s="156"/>
      <c r="F267" s="156"/>
      <c r="G267" s="156"/>
      <c r="H267" s="125"/>
    </row>
    <row r="268" spans="1:8" ht="20.25" x14ac:dyDescent="0.25">
      <c r="A268" s="10"/>
      <c r="B268" s="11"/>
      <c r="C268" s="11"/>
      <c r="D268" s="11"/>
      <c r="E268" s="11"/>
      <c r="F268" s="11"/>
      <c r="G268" s="11"/>
      <c r="H268" s="7"/>
    </row>
    <row r="269" spans="1:8" ht="20.25" x14ac:dyDescent="0.25">
      <c r="A269" s="12"/>
      <c r="B269" s="13"/>
      <c r="C269" s="13"/>
      <c r="D269" s="13"/>
      <c r="E269" s="13"/>
      <c r="F269" s="13"/>
      <c r="G269" s="13"/>
      <c r="H269" s="8"/>
    </row>
    <row r="270" spans="1:8" ht="20.25" x14ac:dyDescent="0.25">
      <c r="A270" s="12"/>
      <c r="B270" s="13"/>
      <c r="C270" s="13"/>
      <c r="D270" s="13"/>
      <c r="E270" s="13"/>
      <c r="F270" s="13"/>
      <c r="G270" s="13"/>
      <c r="H270" s="8"/>
    </row>
    <row r="271" spans="1:8" ht="20.25" x14ac:dyDescent="0.25">
      <c r="A271" s="12"/>
      <c r="B271" s="13"/>
      <c r="C271" s="13"/>
      <c r="D271" s="13"/>
      <c r="E271" s="13"/>
      <c r="F271" s="13"/>
      <c r="G271" s="13"/>
      <c r="H271" s="8"/>
    </row>
    <row r="272" spans="1:8" ht="20.25" x14ac:dyDescent="0.25">
      <c r="A272" s="12"/>
      <c r="B272" s="13"/>
      <c r="C272" s="13"/>
      <c r="D272" s="13"/>
      <c r="E272" s="13"/>
      <c r="F272" s="13"/>
      <c r="G272" s="13"/>
      <c r="H272" s="8"/>
    </row>
    <row r="273" spans="1:8" ht="20.25" x14ac:dyDescent="0.25">
      <c r="A273" s="12"/>
      <c r="B273" s="13"/>
      <c r="C273" s="13"/>
      <c r="D273" s="13"/>
      <c r="E273" s="13"/>
      <c r="F273" s="13"/>
      <c r="G273" s="13"/>
      <c r="H273" s="8"/>
    </row>
    <row r="274" spans="1:8" ht="20.25" x14ac:dyDescent="0.25">
      <c r="A274" s="12"/>
      <c r="B274" s="13"/>
      <c r="C274" s="13"/>
      <c r="D274" s="13"/>
      <c r="E274" s="13"/>
      <c r="F274" s="13"/>
      <c r="G274" s="13"/>
      <c r="H274" s="8"/>
    </row>
    <row r="275" spans="1:8" ht="20.25" x14ac:dyDescent="0.25">
      <c r="A275" s="12"/>
      <c r="B275" s="13"/>
      <c r="C275" s="13"/>
      <c r="D275" s="13"/>
      <c r="E275" s="13"/>
      <c r="F275" s="13"/>
      <c r="G275" s="13"/>
      <c r="H275" s="8"/>
    </row>
    <row r="276" spans="1:8" ht="20.25" x14ac:dyDescent="0.25">
      <c r="A276" s="12"/>
      <c r="B276" s="13"/>
      <c r="C276" s="13"/>
      <c r="D276" s="13"/>
      <c r="E276" s="13"/>
      <c r="F276" s="13"/>
      <c r="G276" s="13"/>
      <c r="H276" s="8"/>
    </row>
    <row r="277" spans="1:8" ht="20.25" x14ac:dyDescent="0.25">
      <c r="A277" s="12"/>
      <c r="B277" s="13"/>
      <c r="C277" s="13"/>
      <c r="D277" s="13"/>
      <c r="E277" s="13"/>
      <c r="F277" s="13"/>
      <c r="G277" s="13"/>
      <c r="H277" s="8"/>
    </row>
    <row r="278" spans="1:8" ht="20.25" x14ac:dyDescent="0.25">
      <c r="A278" s="12"/>
      <c r="B278" s="13"/>
      <c r="C278" s="13"/>
      <c r="D278" s="13"/>
      <c r="E278" s="13"/>
      <c r="F278" s="13"/>
      <c r="G278" s="13"/>
      <c r="H278" s="8"/>
    </row>
    <row r="279" spans="1:8" ht="20.25" x14ac:dyDescent="0.25">
      <c r="A279" s="12"/>
      <c r="B279" s="13"/>
      <c r="C279" s="13"/>
      <c r="D279" s="13"/>
      <c r="E279" s="13"/>
      <c r="F279" s="13"/>
      <c r="G279" s="13"/>
      <c r="H279" s="8"/>
    </row>
    <row r="280" spans="1:8" ht="20.25" x14ac:dyDescent="0.25">
      <c r="A280" s="12"/>
      <c r="B280" s="13"/>
      <c r="C280" s="13"/>
      <c r="D280" s="13"/>
      <c r="E280" s="13"/>
      <c r="F280" s="13"/>
      <c r="G280" s="13"/>
      <c r="H280" s="8"/>
    </row>
    <row r="281" spans="1:8" ht="20.25" x14ac:dyDescent="0.25">
      <c r="A281" s="12"/>
      <c r="B281" s="13"/>
      <c r="C281" s="13"/>
      <c r="D281" s="13"/>
      <c r="E281" s="13"/>
      <c r="F281" s="13"/>
      <c r="G281" s="13"/>
      <c r="H281" s="8"/>
    </row>
    <row r="282" spans="1:8" ht="20.25" x14ac:dyDescent="0.25">
      <c r="A282" s="12"/>
      <c r="B282" s="13"/>
      <c r="C282" s="13"/>
      <c r="D282" s="13"/>
      <c r="E282" s="13"/>
      <c r="F282" s="13"/>
      <c r="G282" s="13"/>
      <c r="H282" s="8"/>
    </row>
    <row r="283" spans="1:8" ht="20.25" x14ac:dyDescent="0.25">
      <c r="A283" s="12"/>
      <c r="B283" s="13"/>
      <c r="C283" s="13"/>
      <c r="D283" s="13"/>
      <c r="E283" s="13"/>
      <c r="F283" s="13"/>
      <c r="G283" s="13"/>
      <c r="H283" s="8"/>
    </row>
    <row r="284" spans="1:8" ht="20.25" x14ac:dyDescent="0.25">
      <c r="A284" s="12"/>
      <c r="B284" s="13"/>
      <c r="C284" s="13"/>
      <c r="D284" s="13"/>
      <c r="E284" s="13"/>
      <c r="F284" s="13"/>
      <c r="G284" s="13"/>
      <c r="H284" s="8"/>
    </row>
    <row r="285" spans="1:8" ht="20.25" x14ac:dyDescent="0.25">
      <c r="A285" s="12"/>
      <c r="B285" s="13"/>
      <c r="C285" s="13"/>
      <c r="D285" s="13"/>
      <c r="E285" s="13"/>
      <c r="F285" s="13"/>
      <c r="G285" s="13"/>
      <c r="H285" s="8"/>
    </row>
    <row r="286" spans="1:8" ht="20.25" x14ac:dyDescent="0.25">
      <c r="A286" s="12"/>
      <c r="B286" s="13"/>
      <c r="C286" s="13"/>
      <c r="D286" s="13"/>
      <c r="E286" s="13"/>
      <c r="F286" s="13"/>
      <c r="G286" s="13"/>
      <c r="H286" s="8"/>
    </row>
    <row r="287" spans="1:8" ht="20.25" x14ac:dyDescent="0.25">
      <c r="A287" s="12"/>
      <c r="B287" s="13"/>
      <c r="C287" s="13"/>
      <c r="D287" s="13"/>
      <c r="E287" s="13"/>
      <c r="F287" s="13"/>
      <c r="G287" s="13"/>
      <c r="H287" s="8"/>
    </row>
    <row r="288" spans="1:8" ht="20.25" x14ac:dyDescent="0.25">
      <c r="A288" s="12"/>
      <c r="B288" s="13"/>
      <c r="C288" s="13"/>
      <c r="D288" s="13"/>
      <c r="E288" s="13"/>
      <c r="F288" s="13"/>
      <c r="G288" s="13"/>
      <c r="H288" s="8"/>
    </row>
    <row r="289" spans="1:8" ht="20.25" x14ac:dyDescent="0.25">
      <c r="A289" s="12"/>
      <c r="B289" s="13"/>
      <c r="C289" s="13"/>
      <c r="D289" s="13"/>
      <c r="E289" s="13"/>
      <c r="F289" s="13"/>
      <c r="G289" s="13"/>
      <c r="H289" s="8"/>
    </row>
    <row r="290" spans="1:8" ht="20.25" x14ac:dyDescent="0.25">
      <c r="A290" s="12"/>
      <c r="B290" s="13"/>
      <c r="C290" s="13"/>
      <c r="D290" s="13"/>
      <c r="E290" s="13"/>
      <c r="F290" s="13"/>
      <c r="G290" s="13"/>
      <c r="H290" s="8"/>
    </row>
    <row r="291" spans="1:8" ht="20.25" x14ac:dyDescent="0.25">
      <c r="A291" s="12"/>
      <c r="B291" s="13"/>
      <c r="C291" s="13"/>
      <c r="D291" s="13"/>
      <c r="E291" s="13"/>
      <c r="F291" s="13"/>
      <c r="G291" s="13"/>
      <c r="H291" s="8"/>
    </row>
    <row r="292" spans="1:8" ht="20.25" x14ac:dyDescent="0.25">
      <c r="A292" s="12"/>
      <c r="B292" s="13"/>
      <c r="C292" s="13"/>
      <c r="D292" s="13"/>
      <c r="E292" s="13"/>
      <c r="F292" s="13"/>
      <c r="G292" s="13"/>
      <c r="H292" s="8"/>
    </row>
    <row r="293" spans="1:8" ht="20.25" x14ac:dyDescent="0.25">
      <c r="A293" s="12"/>
      <c r="B293" s="13"/>
      <c r="C293" s="13"/>
      <c r="D293" s="13"/>
      <c r="E293" s="13"/>
      <c r="F293" s="13"/>
      <c r="G293" s="13"/>
      <c r="H293" s="8"/>
    </row>
    <row r="294" spans="1:8" ht="20.25" x14ac:dyDescent="0.25">
      <c r="A294" s="12"/>
      <c r="B294" s="13"/>
      <c r="C294" s="13"/>
      <c r="D294" s="13"/>
      <c r="E294" s="13"/>
      <c r="F294" s="13"/>
      <c r="G294" s="13"/>
      <c r="H294" s="8"/>
    </row>
    <row r="295" spans="1:8" ht="20.25" x14ac:dyDescent="0.25">
      <c r="A295" s="12"/>
      <c r="B295" s="13"/>
      <c r="C295" s="13"/>
      <c r="D295" s="13"/>
      <c r="E295" s="13"/>
      <c r="F295" s="13"/>
      <c r="G295" s="13"/>
      <c r="H295" s="8"/>
    </row>
    <row r="296" spans="1:8" ht="20.25" x14ac:dyDescent="0.25">
      <c r="A296" s="12"/>
      <c r="B296" s="13"/>
      <c r="C296" s="13"/>
      <c r="D296" s="13"/>
      <c r="E296" s="13"/>
      <c r="F296" s="13"/>
      <c r="G296" s="13"/>
      <c r="H296" s="8"/>
    </row>
    <row r="297" spans="1:8" ht="20.25" x14ac:dyDescent="0.25">
      <c r="A297" s="12"/>
      <c r="B297" s="13"/>
      <c r="C297" s="13"/>
      <c r="D297" s="13"/>
      <c r="E297" s="13"/>
      <c r="F297" s="13"/>
      <c r="G297" s="13"/>
      <c r="H297" s="8"/>
    </row>
    <row r="298" spans="1:8" ht="20.25" x14ac:dyDescent="0.25">
      <c r="A298" s="12"/>
      <c r="B298" s="13"/>
      <c r="C298" s="13"/>
      <c r="D298" s="13"/>
      <c r="E298" s="13"/>
      <c r="F298" s="13"/>
      <c r="G298" s="13"/>
      <c r="H298" s="8"/>
    </row>
    <row r="299" spans="1:8" ht="20.25" x14ac:dyDescent="0.25">
      <c r="A299" s="12"/>
      <c r="B299" s="13"/>
      <c r="C299" s="13"/>
      <c r="D299" s="13"/>
      <c r="E299" s="13"/>
      <c r="F299" s="13"/>
      <c r="G299" s="13"/>
      <c r="H299" s="8"/>
    </row>
    <row r="300" spans="1:8" ht="20.25" x14ac:dyDescent="0.25">
      <c r="A300" s="12"/>
      <c r="B300" s="13"/>
      <c r="C300" s="13"/>
      <c r="D300" s="13"/>
      <c r="E300" s="13"/>
      <c r="F300" s="13"/>
      <c r="G300" s="13"/>
      <c r="H300" s="8"/>
    </row>
    <row r="301" spans="1:8" ht="20.25" x14ac:dyDescent="0.25">
      <c r="A301" s="12"/>
      <c r="B301" s="13"/>
      <c r="C301" s="13"/>
      <c r="D301" s="13"/>
      <c r="E301" s="13"/>
      <c r="F301" s="13"/>
      <c r="G301" s="13"/>
      <c r="H301" s="8"/>
    </row>
    <row r="302" spans="1:8" ht="20.25" x14ac:dyDescent="0.25">
      <c r="A302" s="12"/>
      <c r="B302" s="13"/>
      <c r="C302" s="13"/>
      <c r="D302" s="13"/>
      <c r="E302" s="13"/>
      <c r="F302" s="13"/>
      <c r="G302" s="13"/>
      <c r="H302" s="8"/>
    </row>
    <row r="303" spans="1:8" ht="20.25" x14ac:dyDescent="0.25">
      <c r="A303" s="12"/>
      <c r="B303" s="13"/>
      <c r="C303" s="13"/>
      <c r="D303" s="13"/>
      <c r="E303" s="13"/>
      <c r="F303" s="13"/>
      <c r="G303" s="13"/>
      <c r="H303" s="8"/>
    </row>
    <row r="304" spans="1:8" ht="20.25" x14ac:dyDescent="0.25">
      <c r="A304" s="14"/>
      <c r="B304" s="15"/>
      <c r="C304" s="15"/>
      <c r="D304" s="15"/>
      <c r="E304" s="15"/>
      <c r="F304" s="15"/>
      <c r="G304" s="15"/>
      <c r="H304" s="9"/>
    </row>
    <row r="305" spans="1:8" ht="20.25" x14ac:dyDescent="0.25">
      <c r="A305" s="111" t="s">
        <v>162</v>
      </c>
      <c r="B305" s="111"/>
      <c r="C305" s="111"/>
      <c r="D305" s="111"/>
      <c r="E305" s="111"/>
      <c r="F305" s="111"/>
      <c r="G305" s="111"/>
      <c r="H305" s="111"/>
    </row>
    <row r="306" spans="1:8" ht="20.25" x14ac:dyDescent="0.25">
      <c r="A306" s="10"/>
      <c r="B306" s="11"/>
      <c r="C306" s="11"/>
      <c r="D306" s="11"/>
      <c r="E306" s="11"/>
      <c r="F306" s="11"/>
      <c r="G306" s="11"/>
      <c r="H306" s="7"/>
    </row>
    <row r="307" spans="1:8" ht="20.25" x14ac:dyDescent="0.25">
      <c r="A307" s="12"/>
      <c r="B307" s="68"/>
      <c r="C307" s="68"/>
      <c r="D307" s="68"/>
      <c r="E307" s="68"/>
      <c r="F307" s="68"/>
      <c r="G307" s="68"/>
      <c r="H307" s="8"/>
    </row>
    <row r="308" spans="1:8" ht="20.25" x14ac:dyDescent="0.25">
      <c r="A308" s="12"/>
      <c r="B308" s="68"/>
      <c r="C308" s="68"/>
      <c r="D308" s="68"/>
      <c r="E308" s="68"/>
      <c r="F308" s="68"/>
      <c r="G308" s="68"/>
      <c r="H308" s="8"/>
    </row>
    <row r="309" spans="1:8" ht="20.25" x14ac:dyDescent="0.25">
      <c r="A309" s="12"/>
      <c r="B309" s="68"/>
      <c r="C309" s="68"/>
      <c r="D309" s="68"/>
      <c r="E309" s="68"/>
      <c r="F309" s="68"/>
      <c r="G309" s="68"/>
      <c r="H309" s="8"/>
    </row>
    <row r="310" spans="1:8" ht="20.25" x14ac:dyDescent="0.25">
      <c r="A310" s="12"/>
      <c r="B310" s="68"/>
      <c r="C310" s="68"/>
      <c r="D310" s="68"/>
      <c r="E310" s="68"/>
      <c r="F310" s="68"/>
      <c r="G310" s="68"/>
      <c r="H310" s="8"/>
    </row>
    <row r="311" spans="1:8" ht="20.25" x14ac:dyDescent="0.25">
      <c r="A311" s="12"/>
      <c r="B311" s="68"/>
      <c r="C311" s="68"/>
      <c r="D311" s="68"/>
      <c r="E311" s="68"/>
      <c r="F311" s="68"/>
      <c r="G311" s="68"/>
      <c r="H311" s="8"/>
    </row>
    <row r="312" spans="1:8" ht="20.25" x14ac:dyDescent="0.25">
      <c r="A312" s="12"/>
      <c r="B312" s="68"/>
      <c r="C312" s="68"/>
      <c r="D312" s="68"/>
      <c r="E312" s="68"/>
      <c r="F312" s="68"/>
      <c r="G312" s="68"/>
      <c r="H312" s="8"/>
    </row>
    <row r="313" spans="1:8" ht="20.25" x14ac:dyDescent="0.25">
      <c r="A313" s="12"/>
      <c r="B313" s="68"/>
      <c r="C313" s="68"/>
      <c r="D313" s="68"/>
      <c r="E313" s="68"/>
      <c r="F313" s="68"/>
      <c r="G313" s="68"/>
      <c r="H313" s="8"/>
    </row>
    <row r="314" spans="1:8" ht="20.25" x14ac:dyDescent="0.25">
      <c r="A314" s="12"/>
      <c r="B314" s="68"/>
      <c r="C314" s="68"/>
      <c r="D314" s="68"/>
      <c r="E314" s="68"/>
      <c r="F314" s="68"/>
      <c r="G314" s="68"/>
      <c r="H314" s="8"/>
    </row>
    <row r="315" spans="1:8" ht="20.25" x14ac:dyDescent="0.25">
      <c r="A315" s="12"/>
      <c r="B315" s="68"/>
      <c r="C315" s="68"/>
      <c r="D315" s="68"/>
      <c r="E315" s="68"/>
      <c r="F315" s="68"/>
      <c r="G315" s="68"/>
      <c r="H315" s="8"/>
    </row>
    <row r="316" spans="1:8" ht="20.25" x14ac:dyDescent="0.25">
      <c r="A316" s="12"/>
      <c r="B316" s="68"/>
      <c r="C316" s="68"/>
      <c r="D316" s="68"/>
      <c r="E316" s="68"/>
      <c r="F316" s="68"/>
      <c r="G316" s="68"/>
      <c r="H316" s="8"/>
    </row>
    <row r="317" spans="1:8" ht="20.25" x14ac:dyDescent="0.25">
      <c r="A317" s="12"/>
      <c r="B317" s="68"/>
      <c r="C317" s="68"/>
      <c r="D317" s="68"/>
      <c r="E317" s="68"/>
      <c r="F317" s="68"/>
      <c r="G317" s="68"/>
      <c r="H317" s="8"/>
    </row>
    <row r="318" spans="1:8" ht="20.25" x14ac:dyDescent="0.25">
      <c r="A318" s="12"/>
      <c r="B318" s="68"/>
      <c r="C318" s="68"/>
      <c r="D318" s="68"/>
      <c r="E318" s="68"/>
      <c r="F318" s="68"/>
      <c r="G318" s="68"/>
      <c r="H318" s="8"/>
    </row>
    <row r="319" spans="1:8" ht="20.25" x14ac:dyDescent="0.25">
      <c r="A319" s="12"/>
      <c r="B319" s="68"/>
      <c r="C319" s="68"/>
      <c r="D319" s="68"/>
      <c r="E319" s="68"/>
      <c r="F319" s="68"/>
      <c r="G319" s="68"/>
      <c r="H319" s="8"/>
    </row>
    <row r="320" spans="1:8" ht="20.25" x14ac:dyDescent="0.25">
      <c r="A320" s="12"/>
      <c r="B320" s="68"/>
      <c r="C320" s="68"/>
      <c r="D320" s="68"/>
      <c r="E320" s="68"/>
      <c r="F320" s="68"/>
      <c r="G320" s="68"/>
      <c r="H320" s="8"/>
    </row>
    <row r="321" spans="1:8" ht="20.25" x14ac:dyDescent="0.25">
      <c r="A321" s="12"/>
      <c r="B321" s="68"/>
      <c r="C321" s="68"/>
      <c r="D321" s="68"/>
      <c r="E321" s="68"/>
      <c r="F321" s="68"/>
      <c r="G321" s="68"/>
      <c r="H321" s="8"/>
    </row>
    <row r="322" spans="1:8" ht="20.25" x14ac:dyDescent="0.25">
      <c r="A322" s="12"/>
      <c r="B322" s="68"/>
      <c r="C322" s="68"/>
      <c r="D322" s="68"/>
      <c r="E322" s="68"/>
      <c r="F322" s="68"/>
      <c r="G322" s="68"/>
      <c r="H322" s="8"/>
    </row>
    <row r="323" spans="1:8" ht="20.25" x14ac:dyDescent="0.25">
      <c r="A323" s="12"/>
      <c r="B323" s="68"/>
      <c r="C323" s="68"/>
      <c r="D323" s="68"/>
      <c r="E323" s="68"/>
      <c r="F323" s="68"/>
      <c r="G323" s="68"/>
      <c r="H323" s="8"/>
    </row>
    <row r="324" spans="1:8" ht="20.25" x14ac:dyDescent="0.25">
      <c r="A324" s="12"/>
      <c r="B324" s="68"/>
      <c r="C324" s="68"/>
      <c r="D324" s="68"/>
      <c r="E324" s="68"/>
      <c r="F324" s="68"/>
      <c r="G324" s="68"/>
      <c r="H324" s="8"/>
    </row>
    <row r="325" spans="1:8" ht="20.25" x14ac:dyDescent="0.25">
      <c r="A325" s="12"/>
      <c r="B325" s="68"/>
      <c r="C325" s="68"/>
      <c r="D325" s="68"/>
      <c r="E325" s="68"/>
      <c r="F325" s="68"/>
      <c r="G325" s="68"/>
      <c r="H325" s="8"/>
    </row>
    <row r="326" spans="1:8" ht="20.25" x14ac:dyDescent="0.25">
      <c r="A326" s="12"/>
      <c r="B326" s="68"/>
      <c r="C326" s="68"/>
      <c r="D326" s="68"/>
      <c r="E326" s="68"/>
      <c r="F326" s="68"/>
      <c r="G326" s="68"/>
      <c r="H326" s="8"/>
    </row>
    <row r="327" spans="1:8" ht="20.25" x14ac:dyDescent="0.25">
      <c r="A327" s="12"/>
      <c r="B327" s="68"/>
      <c r="C327" s="68"/>
      <c r="D327" s="68"/>
      <c r="E327" s="68"/>
      <c r="F327" s="68"/>
      <c r="G327" s="68"/>
      <c r="H327" s="8"/>
    </row>
    <row r="328" spans="1:8" ht="20.25" x14ac:dyDescent="0.25">
      <c r="A328" s="12"/>
      <c r="B328" s="68"/>
      <c r="C328" s="68"/>
      <c r="D328" s="68"/>
      <c r="E328" s="68"/>
      <c r="F328" s="68"/>
      <c r="G328" s="68"/>
      <c r="H328" s="8"/>
    </row>
    <row r="329" spans="1:8" ht="20.25" x14ac:dyDescent="0.25">
      <c r="A329" s="12"/>
      <c r="B329" s="68"/>
      <c r="C329" s="68"/>
      <c r="D329" s="68"/>
      <c r="E329" s="68"/>
      <c r="F329" s="68"/>
      <c r="G329" s="68"/>
      <c r="H329" s="8"/>
    </row>
    <row r="330" spans="1:8" ht="20.25" x14ac:dyDescent="0.25">
      <c r="A330" s="12"/>
      <c r="B330" s="68"/>
      <c r="C330" s="68"/>
      <c r="D330" s="68"/>
      <c r="E330" s="68"/>
      <c r="F330" s="68"/>
      <c r="G330" s="68"/>
      <c r="H330" s="8"/>
    </row>
    <row r="331" spans="1:8" ht="20.25" x14ac:dyDescent="0.25">
      <c r="A331" s="12"/>
      <c r="B331" s="68"/>
      <c r="C331" s="68"/>
      <c r="D331" s="68"/>
      <c r="E331" s="68"/>
      <c r="F331" s="68"/>
      <c r="G331" s="68"/>
      <c r="H331" s="8"/>
    </row>
    <row r="332" spans="1:8" ht="20.25" x14ac:dyDescent="0.25">
      <c r="A332" s="12"/>
      <c r="B332" s="68"/>
      <c r="C332" s="68"/>
      <c r="D332" s="68"/>
      <c r="E332" s="68"/>
      <c r="F332" s="68"/>
      <c r="G332" s="68"/>
      <c r="H332" s="8"/>
    </row>
    <row r="333" spans="1:8" ht="20.25" x14ac:dyDescent="0.25">
      <c r="A333" s="12"/>
      <c r="B333" s="68"/>
      <c r="C333" s="68"/>
      <c r="D333" s="68"/>
      <c r="E333" s="68"/>
      <c r="F333" s="68"/>
      <c r="G333" s="68"/>
      <c r="H333" s="8"/>
    </row>
    <row r="334" spans="1:8" ht="20.25" x14ac:dyDescent="0.25">
      <c r="A334" s="12"/>
      <c r="B334" s="68"/>
      <c r="C334" s="68"/>
      <c r="D334" s="68"/>
      <c r="E334" s="68"/>
      <c r="F334" s="68"/>
      <c r="G334" s="68"/>
      <c r="H334" s="8"/>
    </row>
    <row r="335" spans="1:8" ht="20.25" x14ac:dyDescent="0.25">
      <c r="A335" s="12"/>
      <c r="B335" s="68"/>
      <c r="C335" s="68"/>
      <c r="D335" s="68"/>
      <c r="E335" s="68"/>
      <c r="F335" s="68"/>
      <c r="G335" s="68"/>
      <c r="H335" s="8"/>
    </row>
    <row r="336" spans="1:8" ht="20.25" x14ac:dyDescent="0.25">
      <c r="A336" s="12"/>
      <c r="B336" s="68"/>
      <c r="C336" s="68"/>
      <c r="D336" s="68"/>
      <c r="E336" s="68"/>
      <c r="F336" s="68"/>
      <c r="G336" s="68"/>
      <c r="H336" s="8"/>
    </row>
    <row r="337" spans="1:8" ht="20.25" x14ac:dyDescent="0.25">
      <c r="A337" s="12"/>
      <c r="B337" s="68"/>
      <c r="C337" s="68"/>
      <c r="D337" s="68"/>
      <c r="E337" s="68"/>
      <c r="F337" s="68"/>
      <c r="G337" s="68"/>
      <c r="H337" s="8"/>
    </row>
    <row r="338" spans="1:8" ht="20.25" x14ac:dyDescent="0.25">
      <c r="A338" s="12"/>
      <c r="B338" s="68"/>
      <c r="C338" s="68"/>
      <c r="D338" s="68"/>
      <c r="E338" s="68"/>
      <c r="F338" s="68"/>
      <c r="G338" s="68"/>
      <c r="H338" s="8"/>
    </row>
    <row r="339" spans="1:8" ht="20.25" x14ac:dyDescent="0.25">
      <c r="A339" s="12"/>
      <c r="B339" s="68"/>
      <c r="C339" s="68"/>
      <c r="D339" s="68"/>
      <c r="E339" s="68"/>
      <c r="F339" s="68"/>
      <c r="G339" s="68"/>
      <c r="H339" s="8"/>
    </row>
    <row r="340" spans="1:8" ht="20.25" x14ac:dyDescent="0.25">
      <c r="A340" s="12"/>
      <c r="B340" s="68"/>
      <c r="C340" s="68"/>
      <c r="D340" s="68"/>
      <c r="E340" s="68"/>
      <c r="F340" s="68"/>
      <c r="G340" s="68"/>
      <c r="H340" s="8"/>
    </row>
    <row r="341" spans="1:8" ht="20.25" x14ac:dyDescent="0.25">
      <c r="A341" s="12"/>
      <c r="B341" s="68"/>
      <c r="C341" s="68"/>
      <c r="D341" s="68"/>
      <c r="E341" s="68"/>
      <c r="F341" s="68"/>
      <c r="G341" s="68"/>
      <c r="H341" s="8"/>
    </row>
    <row r="342" spans="1:8" ht="20.25" x14ac:dyDescent="0.25">
      <c r="A342" s="12"/>
      <c r="B342" s="68"/>
      <c r="C342" s="68"/>
      <c r="D342" s="68"/>
      <c r="E342" s="68"/>
      <c r="F342" s="68"/>
      <c r="G342" s="68"/>
      <c r="H342" s="8"/>
    </row>
    <row r="343" spans="1:8" ht="20.25" x14ac:dyDescent="0.25">
      <c r="A343" s="12"/>
      <c r="B343" s="68"/>
      <c r="C343" s="68"/>
      <c r="D343" s="68"/>
      <c r="E343" s="68"/>
      <c r="F343" s="68"/>
      <c r="G343" s="68"/>
      <c r="H343" s="8"/>
    </row>
    <row r="344" spans="1:8" ht="20.25" x14ac:dyDescent="0.25">
      <c r="A344" s="12"/>
      <c r="B344" s="68"/>
      <c r="C344" s="68"/>
      <c r="D344" s="68"/>
      <c r="E344" s="68"/>
      <c r="F344" s="68"/>
      <c r="G344" s="68"/>
      <c r="H344" s="8"/>
    </row>
    <row r="345" spans="1:8" ht="20.25" x14ac:dyDescent="0.25">
      <c r="A345" s="12"/>
      <c r="B345" s="68"/>
      <c r="C345" s="68"/>
      <c r="D345" s="68"/>
      <c r="E345" s="68"/>
      <c r="F345" s="68"/>
      <c r="G345" s="68"/>
      <c r="H345" s="8"/>
    </row>
    <row r="346" spans="1:8" ht="20.25" x14ac:dyDescent="0.25">
      <c r="A346" s="12"/>
      <c r="B346" s="68"/>
      <c r="C346" s="68"/>
      <c r="D346" s="68"/>
      <c r="E346" s="68"/>
      <c r="F346" s="68"/>
      <c r="G346" s="68"/>
      <c r="H346" s="8"/>
    </row>
    <row r="347" spans="1:8" ht="20.25" x14ac:dyDescent="0.25">
      <c r="A347" s="12"/>
      <c r="B347" s="68"/>
      <c r="C347" s="68"/>
      <c r="D347" s="68"/>
      <c r="E347" s="68"/>
      <c r="F347" s="68"/>
      <c r="G347" s="68"/>
      <c r="H347" s="8"/>
    </row>
    <row r="348" spans="1:8" ht="20.25" x14ac:dyDescent="0.25">
      <c r="A348" s="12"/>
      <c r="B348" s="68"/>
      <c r="C348" s="68"/>
      <c r="D348" s="68"/>
      <c r="E348" s="68"/>
      <c r="F348" s="68"/>
      <c r="G348" s="68"/>
      <c r="H348" s="8"/>
    </row>
    <row r="349" spans="1:8" ht="20.25" x14ac:dyDescent="0.25">
      <c r="A349" s="12"/>
      <c r="B349" s="68"/>
      <c r="C349" s="68"/>
      <c r="D349" s="68"/>
      <c r="E349" s="68"/>
      <c r="F349" s="68"/>
      <c r="G349" s="68"/>
      <c r="H349" s="8"/>
    </row>
    <row r="350" spans="1:8" ht="20.25" x14ac:dyDescent="0.25">
      <c r="A350" s="14"/>
      <c r="B350" s="15"/>
      <c r="C350" s="15"/>
      <c r="D350" s="15"/>
      <c r="E350" s="15"/>
      <c r="F350" s="15"/>
      <c r="G350" s="15"/>
      <c r="H350" s="9"/>
    </row>
    <row r="351" spans="1:8" ht="20.25" x14ac:dyDescent="0.25">
      <c r="A351" s="151" t="s">
        <v>76</v>
      </c>
      <c r="B351" s="152"/>
      <c r="C351" s="152"/>
      <c r="D351" s="152"/>
      <c r="E351" s="152"/>
      <c r="F351" s="152"/>
      <c r="G351" s="152"/>
      <c r="H351" s="153"/>
    </row>
    <row r="352" spans="1:8" ht="20.25" x14ac:dyDescent="0.25">
      <c r="A352" s="10"/>
      <c r="B352" s="11"/>
      <c r="C352" s="11"/>
      <c r="D352" s="11"/>
      <c r="E352" s="11"/>
      <c r="F352" s="11"/>
      <c r="G352" s="11"/>
      <c r="H352" s="7"/>
    </row>
    <row r="353" spans="1:8" ht="20.25" x14ac:dyDescent="0.25">
      <c r="A353" s="12"/>
      <c r="B353" s="13"/>
      <c r="C353" s="13"/>
      <c r="D353" s="13"/>
      <c r="E353" s="13"/>
      <c r="F353" s="13"/>
      <c r="G353" s="13"/>
      <c r="H353" s="8"/>
    </row>
    <row r="354" spans="1:8" ht="20.25" x14ac:dyDescent="0.25">
      <c r="A354" s="12"/>
      <c r="B354" s="13"/>
      <c r="C354" s="13"/>
      <c r="D354" s="13"/>
      <c r="E354" s="13"/>
      <c r="F354" s="13"/>
      <c r="G354" s="13"/>
      <c r="H354" s="8"/>
    </row>
    <row r="355" spans="1:8" ht="20.25" x14ac:dyDescent="0.25">
      <c r="A355" s="12"/>
      <c r="B355" s="13"/>
      <c r="C355" s="13"/>
      <c r="D355" s="13"/>
      <c r="E355" s="13"/>
      <c r="F355" s="13"/>
      <c r="G355" s="13"/>
      <c r="H355" s="8"/>
    </row>
    <row r="356" spans="1:8" ht="20.25" x14ac:dyDescent="0.25">
      <c r="A356" s="12"/>
      <c r="B356" s="13"/>
      <c r="C356" s="13"/>
      <c r="D356" s="13"/>
      <c r="E356" s="13"/>
      <c r="F356" s="13"/>
      <c r="G356" s="13"/>
      <c r="H356" s="8"/>
    </row>
    <row r="357" spans="1:8" ht="20.25" x14ac:dyDescent="0.25">
      <c r="A357" s="12"/>
      <c r="B357" s="13"/>
      <c r="C357" s="13"/>
      <c r="D357" s="13"/>
      <c r="E357" s="13"/>
      <c r="F357" s="13"/>
      <c r="G357" s="13"/>
      <c r="H357" s="8"/>
    </row>
    <row r="358" spans="1:8" ht="20.25" x14ac:dyDescent="0.25">
      <c r="A358" s="12"/>
      <c r="B358" s="13"/>
      <c r="C358" s="13"/>
      <c r="D358" s="13"/>
      <c r="E358" s="13"/>
      <c r="F358" s="13"/>
      <c r="G358" s="13"/>
      <c r="H358" s="8"/>
    </row>
    <row r="359" spans="1:8" ht="20.25" x14ac:dyDescent="0.25">
      <c r="A359" s="12"/>
      <c r="B359" s="13"/>
      <c r="C359" s="13"/>
      <c r="D359" s="13"/>
      <c r="E359" s="13"/>
      <c r="F359" s="13"/>
      <c r="G359" s="13"/>
      <c r="H359" s="8"/>
    </row>
    <row r="360" spans="1:8" ht="20.25" x14ac:dyDescent="0.25">
      <c r="A360" s="12"/>
      <c r="B360" s="13"/>
      <c r="C360" s="13"/>
      <c r="D360" s="13"/>
      <c r="E360" s="13"/>
      <c r="F360" s="13"/>
      <c r="G360" s="13"/>
      <c r="H360" s="8"/>
    </row>
    <row r="361" spans="1:8" ht="20.25" x14ac:dyDescent="0.25">
      <c r="A361" s="12"/>
      <c r="B361" s="13"/>
      <c r="C361" s="13"/>
      <c r="D361" s="13"/>
      <c r="E361" s="13"/>
      <c r="F361" s="13"/>
      <c r="G361" s="13"/>
      <c r="H361" s="8"/>
    </row>
    <row r="362" spans="1:8" ht="20.25" x14ac:dyDescent="0.25">
      <c r="A362" s="12"/>
      <c r="B362" s="13"/>
      <c r="C362" s="13"/>
      <c r="D362" s="13"/>
      <c r="E362" s="13"/>
      <c r="F362" s="13"/>
      <c r="G362" s="13"/>
      <c r="H362" s="8"/>
    </row>
    <row r="363" spans="1:8" ht="20.25" x14ac:dyDescent="0.25">
      <c r="A363" s="12"/>
      <c r="B363" s="13"/>
      <c r="C363" s="13"/>
      <c r="D363" s="13"/>
      <c r="E363" s="13"/>
      <c r="F363" s="13"/>
      <c r="G363" s="13"/>
      <c r="H363" s="8"/>
    </row>
    <row r="364" spans="1:8" ht="20.25" x14ac:dyDescent="0.25">
      <c r="A364" s="12"/>
      <c r="B364" s="13"/>
      <c r="C364" s="13"/>
      <c r="D364" s="13"/>
      <c r="E364" s="13"/>
      <c r="F364" s="13"/>
      <c r="G364" s="13"/>
      <c r="H364" s="8"/>
    </row>
    <row r="365" spans="1:8" ht="20.25" x14ac:dyDescent="0.25">
      <c r="A365" s="12"/>
      <c r="B365" s="13"/>
      <c r="C365" s="13"/>
      <c r="D365" s="13"/>
      <c r="E365" s="13"/>
      <c r="F365" s="13"/>
      <c r="G365" s="13"/>
      <c r="H365" s="8"/>
    </row>
    <row r="366" spans="1:8" ht="20.25" x14ac:dyDescent="0.25">
      <c r="A366" s="12"/>
      <c r="B366" s="13"/>
      <c r="C366" s="13"/>
      <c r="D366" s="13"/>
      <c r="E366" s="13"/>
      <c r="F366" s="13"/>
      <c r="G366" s="13"/>
      <c r="H366" s="8"/>
    </row>
    <row r="367" spans="1:8" ht="20.25" x14ac:dyDescent="0.25">
      <c r="A367" s="12"/>
      <c r="B367" s="13"/>
      <c r="C367" s="13"/>
      <c r="D367" s="13"/>
      <c r="E367" s="13"/>
      <c r="F367" s="13"/>
      <c r="G367" s="13"/>
      <c r="H367" s="8"/>
    </row>
    <row r="368" spans="1:8" ht="20.25" x14ac:dyDescent="0.25">
      <c r="A368" s="12"/>
      <c r="B368" s="13"/>
      <c r="C368" s="13"/>
      <c r="D368" s="13"/>
      <c r="E368" s="13"/>
      <c r="F368" s="13"/>
      <c r="G368" s="13"/>
      <c r="H368" s="8"/>
    </row>
    <row r="369" spans="1:8" ht="20.25" x14ac:dyDescent="0.25">
      <c r="A369" s="12"/>
      <c r="B369" s="13"/>
      <c r="C369" s="13"/>
      <c r="D369" s="13"/>
      <c r="E369" s="13"/>
      <c r="F369" s="13"/>
      <c r="G369" s="13"/>
      <c r="H369" s="8"/>
    </row>
    <row r="370" spans="1:8" ht="20.25" x14ac:dyDescent="0.25">
      <c r="A370" s="12"/>
      <c r="B370" s="13"/>
      <c r="C370" s="13"/>
      <c r="D370" s="13"/>
      <c r="E370" s="13"/>
      <c r="F370" s="13"/>
      <c r="G370" s="13"/>
      <c r="H370" s="8"/>
    </row>
    <row r="371" spans="1:8" ht="20.25" x14ac:dyDescent="0.25">
      <c r="A371" s="12"/>
      <c r="B371" s="13"/>
      <c r="C371" s="13"/>
      <c r="D371" s="13"/>
      <c r="E371" s="13"/>
      <c r="F371" s="13"/>
      <c r="G371" s="13"/>
      <c r="H371" s="8"/>
    </row>
    <row r="372" spans="1:8" ht="20.25" x14ac:dyDescent="0.25">
      <c r="A372" s="12"/>
      <c r="B372" s="13"/>
      <c r="C372" s="13"/>
      <c r="D372" s="13"/>
      <c r="E372" s="13"/>
      <c r="F372" s="13"/>
      <c r="G372" s="13"/>
      <c r="H372" s="8"/>
    </row>
    <row r="373" spans="1:8" ht="20.25" x14ac:dyDescent="0.25">
      <c r="A373" s="12"/>
      <c r="B373" s="13"/>
      <c r="C373" s="13"/>
      <c r="D373" s="13"/>
      <c r="E373" s="13"/>
      <c r="F373" s="13"/>
      <c r="G373" s="13"/>
      <c r="H373" s="8"/>
    </row>
    <row r="374" spans="1:8" ht="20.25" x14ac:dyDescent="0.25">
      <c r="A374" s="12"/>
      <c r="B374" s="13"/>
      <c r="C374" s="13"/>
      <c r="D374" s="13"/>
      <c r="E374" s="13"/>
      <c r="F374" s="13"/>
      <c r="G374" s="13"/>
      <c r="H374" s="8"/>
    </row>
    <row r="375" spans="1:8" ht="20.25" x14ac:dyDescent="0.25">
      <c r="A375" s="12"/>
      <c r="B375" s="13"/>
      <c r="C375" s="13"/>
      <c r="D375" s="13"/>
      <c r="E375" s="13"/>
      <c r="F375" s="13"/>
      <c r="G375" s="13"/>
      <c r="H375" s="8"/>
    </row>
    <row r="376" spans="1:8" ht="20.25" x14ac:dyDescent="0.25">
      <c r="A376" s="12"/>
      <c r="B376" s="13"/>
      <c r="C376" s="13"/>
      <c r="D376" s="13"/>
      <c r="E376" s="13"/>
      <c r="F376" s="13"/>
      <c r="G376" s="13"/>
      <c r="H376" s="8"/>
    </row>
    <row r="377" spans="1:8" ht="20.25" x14ac:dyDescent="0.25">
      <c r="A377" s="12"/>
      <c r="B377" s="13"/>
      <c r="C377" s="13"/>
      <c r="D377" s="13"/>
      <c r="E377" s="13"/>
      <c r="F377" s="13"/>
      <c r="G377" s="13"/>
      <c r="H377" s="8"/>
    </row>
    <row r="378" spans="1:8" ht="20.25" x14ac:dyDescent="0.25">
      <c r="A378" s="111" t="s">
        <v>24</v>
      </c>
      <c r="B378" s="111"/>
      <c r="C378" s="111"/>
      <c r="D378" s="111"/>
      <c r="E378" s="111"/>
      <c r="F378" s="111"/>
      <c r="G378" s="111"/>
      <c r="H378" s="111"/>
    </row>
    <row r="379" spans="1:8" ht="20.25" x14ac:dyDescent="0.25">
      <c r="A379" s="170" t="s">
        <v>77</v>
      </c>
      <c r="B379" s="171"/>
      <c r="C379" s="171"/>
      <c r="D379" s="171"/>
      <c r="E379" s="171"/>
      <c r="F379" s="171"/>
      <c r="G379" s="171"/>
      <c r="H379" s="172"/>
    </row>
    <row r="380" spans="1:8" ht="20.25" x14ac:dyDescent="0.25">
      <c r="A380" s="173" t="s">
        <v>78</v>
      </c>
      <c r="B380" s="174"/>
      <c r="C380" s="174"/>
      <c r="D380" s="174"/>
      <c r="E380" s="174"/>
      <c r="F380" s="174"/>
      <c r="G380" s="174"/>
      <c r="H380" s="175"/>
    </row>
    <row r="381" spans="1:8" ht="45" customHeight="1" x14ac:dyDescent="0.25">
      <c r="A381" s="173" t="s">
        <v>79</v>
      </c>
      <c r="B381" s="174"/>
      <c r="C381" s="174"/>
      <c r="D381" s="174"/>
      <c r="E381" s="174"/>
      <c r="F381" s="174"/>
      <c r="G381" s="174"/>
      <c r="H381" s="175"/>
    </row>
    <row r="382" spans="1:8" ht="42.75" customHeight="1" x14ac:dyDescent="0.25">
      <c r="A382" s="173" t="s">
        <v>80</v>
      </c>
      <c r="B382" s="174"/>
      <c r="C382" s="174"/>
      <c r="D382" s="174"/>
      <c r="E382" s="174"/>
      <c r="F382" s="174"/>
      <c r="G382" s="174"/>
      <c r="H382" s="175"/>
    </row>
    <row r="383" spans="1:8" ht="20.25" x14ac:dyDescent="0.25">
      <c r="A383" s="173" t="s">
        <v>81</v>
      </c>
      <c r="B383" s="174"/>
      <c r="C383" s="174"/>
      <c r="D383" s="174"/>
      <c r="E383" s="174"/>
      <c r="F383" s="174"/>
      <c r="G383" s="174"/>
      <c r="H383" s="175"/>
    </row>
    <row r="384" spans="1:8" ht="20.25" x14ac:dyDescent="0.25">
      <c r="A384" s="173" t="s">
        <v>82</v>
      </c>
      <c r="B384" s="174"/>
      <c r="C384" s="174"/>
      <c r="D384" s="174"/>
      <c r="E384" s="174"/>
      <c r="F384" s="174"/>
      <c r="G384" s="174"/>
      <c r="H384" s="175"/>
    </row>
    <row r="385" spans="1:8" ht="45" customHeight="1" x14ac:dyDescent="0.25">
      <c r="A385" s="173" t="s">
        <v>83</v>
      </c>
      <c r="B385" s="174"/>
      <c r="C385" s="174"/>
      <c r="D385" s="174"/>
      <c r="E385" s="174"/>
      <c r="F385" s="174"/>
      <c r="G385" s="174"/>
      <c r="H385" s="175"/>
    </row>
    <row r="386" spans="1:8" ht="45" customHeight="1" x14ac:dyDescent="0.25">
      <c r="A386" s="173" t="s">
        <v>84</v>
      </c>
      <c r="B386" s="174"/>
      <c r="C386" s="174"/>
      <c r="D386" s="174"/>
      <c r="E386" s="174"/>
      <c r="F386" s="174"/>
      <c r="G386" s="174"/>
      <c r="H386" s="175"/>
    </row>
    <row r="387" spans="1:8" ht="20.25" x14ac:dyDescent="0.25">
      <c r="A387" s="176" t="s">
        <v>85</v>
      </c>
      <c r="B387" s="177"/>
      <c r="C387" s="177"/>
      <c r="D387" s="177"/>
      <c r="E387" s="177"/>
      <c r="F387" s="177"/>
      <c r="G387" s="177"/>
      <c r="H387" s="178"/>
    </row>
    <row r="388" spans="1:8" ht="57" customHeight="1" x14ac:dyDescent="0.25">
      <c r="A388" s="160" t="s">
        <v>30</v>
      </c>
      <c r="B388" s="161"/>
      <c r="C388" s="162" t="s">
        <v>380</v>
      </c>
      <c r="D388" s="163"/>
      <c r="E388" s="160" t="s">
        <v>9</v>
      </c>
      <c r="F388" s="161"/>
      <c r="G388" s="168"/>
      <c r="H388" s="168"/>
    </row>
  </sheetData>
  <mergeCells count="459">
    <mergeCell ref="A127:B127"/>
    <mergeCell ref="G127:H127"/>
    <mergeCell ref="G120:H120"/>
    <mergeCell ref="G121:H121"/>
    <mergeCell ref="G122:H122"/>
    <mergeCell ref="C122:D122"/>
    <mergeCell ref="G124:H124"/>
    <mergeCell ref="A125:B125"/>
    <mergeCell ref="G125:H125"/>
    <mergeCell ref="A126:B126"/>
    <mergeCell ref="G126:H126"/>
    <mergeCell ref="C126:D126"/>
    <mergeCell ref="C124:D124"/>
    <mergeCell ref="E126:F126"/>
    <mergeCell ref="A45:B45"/>
    <mergeCell ref="A46:B46"/>
    <mergeCell ref="A47:B47"/>
    <mergeCell ref="D46:F46"/>
    <mergeCell ref="D45:F45"/>
    <mergeCell ref="D47:F47"/>
    <mergeCell ref="A48:B48"/>
    <mergeCell ref="D48:F48"/>
    <mergeCell ref="A58:B58"/>
    <mergeCell ref="A222:B222"/>
    <mergeCell ref="A223:B223"/>
    <mergeCell ref="A224:B224"/>
    <mergeCell ref="A77:H77"/>
    <mergeCell ref="A78:C79"/>
    <mergeCell ref="E78:F78"/>
    <mergeCell ref="G109:H109"/>
    <mergeCell ref="G65:H76"/>
    <mergeCell ref="A61:H61"/>
    <mergeCell ref="A64:B64"/>
    <mergeCell ref="A65:B65"/>
    <mergeCell ref="E64:F64"/>
    <mergeCell ref="E62:F62"/>
    <mergeCell ref="E63:F63"/>
    <mergeCell ref="A62:C63"/>
    <mergeCell ref="A71:B71"/>
    <mergeCell ref="E94:F94"/>
    <mergeCell ref="E95:F95"/>
    <mergeCell ref="A93:H93"/>
    <mergeCell ref="A94:C95"/>
    <mergeCell ref="A69:B69"/>
    <mergeCell ref="A72:B72"/>
    <mergeCell ref="E79:F79"/>
    <mergeCell ref="A80:B80"/>
    <mergeCell ref="E128:F128"/>
    <mergeCell ref="C127:D127"/>
    <mergeCell ref="A60:B60"/>
    <mergeCell ref="C56:F56"/>
    <mergeCell ref="C57:F57"/>
    <mergeCell ref="C58:F58"/>
    <mergeCell ref="C60:F60"/>
    <mergeCell ref="A221:B221"/>
    <mergeCell ref="E80:F80"/>
    <mergeCell ref="A81:B81"/>
    <mergeCell ref="A109:F109"/>
    <mergeCell ref="A129:H129"/>
    <mergeCell ref="E119:F119"/>
    <mergeCell ref="E120:F120"/>
    <mergeCell ref="E121:F121"/>
    <mergeCell ref="E122:F122"/>
    <mergeCell ref="A119:B119"/>
    <mergeCell ref="A120:B120"/>
    <mergeCell ref="A121:B121"/>
    <mergeCell ref="C119:D119"/>
    <mergeCell ref="A122:B122"/>
    <mergeCell ref="C120:D120"/>
    <mergeCell ref="G119:H119"/>
    <mergeCell ref="E125:F125"/>
    <mergeCell ref="A239:B239"/>
    <mergeCell ref="A240:B240"/>
    <mergeCell ref="G115:H115"/>
    <mergeCell ref="A219:H219"/>
    <mergeCell ref="A128:B128"/>
    <mergeCell ref="G128:H128"/>
    <mergeCell ref="A245:B245"/>
    <mergeCell ref="A123:H123"/>
    <mergeCell ref="A124:B124"/>
    <mergeCell ref="E124:F124"/>
    <mergeCell ref="A225:B225"/>
    <mergeCell ref="A226:B226"/>
    <mergeCell ref="A227:B227"/>
    <mergeCell ref="A220:B220"/>
    <mergeCell ref="C125:D125"/>
    <mergeCell ref="C128:D128"/>
    <mergeCell ref="A233:B233"/>
    <mergeCell ref="A235:B235"/>
    <mergeCell ref="A236:B236"/>
    <mergeCell ref="A231:B231"/>
    <mergeCell ref="A237:H237"/>
    <mergeCell ref="A238:B238"/>
    <mergeCell ref="A230:B230"/>
    <mergeCell ref="A228:H228"/>
    <mergeCell ref="A267:C267"/>
    <mergeCell ref="G113:H113"/>
    <mergeCell ref="G117:H117"/>
    <mergeCell ref="E111:F111"/>
    <mergeCell ref="A113:B113"/>
    <mergeCell ref="E112:F112"/>
    <mergeCell ref="G112:H112"/>
    <mergeCell ref="A1:H1"/>
    <mergeCell ref="A265:C265"/>
    <mergeCell ref="G27:H27"/>
    <mergeCell ref="G28:H28"/>
    <mergeCell ref="A37:H37"/>
    <mergeCell ref="A44:H44"/>
    <mergeCell ref="A50:H50"/>
    <mergeCell ref="A118:H118"/>
    <mergeCell ref="G116:H116"/>
    <mergeCell ref="G7:H7"/>
    <mergeCell ref="G47:H47"/>
    <mergeCell ref="G45:H45"/>
    <mergeCell ref="A25:H25"/>
    <mergeCell ref="G26:H26"/>
    <mergeCell ref="G20:H20"/>
    <mergeCell ref="G21:H21"/>
    <mergeCell ref="A9:A11"/>
    <mergeCell ref="A33:H33"/>
    <mergeCell ref="G30:H30"/>
    <mergeCell ref="G29:H29"/>
    <mergeCell ref="A13:H13"/>
    <mergeCell ref="C26:D26"/>
    <mergeCell ref="G388:H388"/>
    <mergeCell ref="A264:H264"/>
    <mergeCell ref="D266:H266"/>
    <mergeCell ref="A379:H379"/>
    <mergeCell ref="A385:H385"/>
    <mergeCell ref="A386:H386"/>
    <mergeCell ref="A387:H387"/>
    <mergeCell ref="A380:H380"/>
    <mergeCell ref="A381:H381"/>
    <mergeCell ref="A382:H382"/>
    <mergeCell ref="A383:H383"/>
    <mergeCell ref="A266:C266"/>
    <mergeCell ref="A378:H378"/>
    <mergeCell ref="A384:H384"/>
    <mergeCell ref="A351:H351"/>
    <mergeCell ref="D265:H265"/>
    <mergeCell ref="A140:B140"/>
    <mergeCell ref="A141:B141"/>
    <mergeCell ref="A142:B142"/>
    <mergeCell ref="D267:H267"/>
    <mergeCell ref="A305:H305"/>
    <mergeCell ref="E388:F388"/>
    <mergeCell ref="A388:B388"/>
    <mergeCell ref="C388:D388"/>
    <mergeCell ref="G14:H14"/>
    <mergeCell ref="G16:H16"/>
    <mergeCell ref="G17:H17"/>
    <mergeCell ref="G15:H15"/>
    <mergeCell ref="G18:H18"/>
    <mergeCell ref="G19:H19"/>
    <mergeCell ref="G46:H46"/>
    <mergeCell ref="G31:H31"/>
    <mergeCell ref="G22:H22"/>
    <mergeCell ref="G36:H36"/>
    <mergeCell ref="G35:H35"/>
    <mergeCell ref="E65:F76"/>
    <mergeCell ref="A241:B241"/>
    <mergeCell ref="A234:B234"/>
    <mergeCell ref="A232:B232"/>
    <mergeCell ref="E127:F127"/>
    <mergeCell ref="A74:B74"/>
    <mergeCell ref="A75:B75"/>
    <mergeCell ref="A76:B76"/>
    <mergeCell ref="A110:H110"/>
    <mergeCell ref="G111:H111"/>
    <mergeCell ref="B263:H263"/>
    <mergeCell ref="B257:H257"/>
    <mergeCell ref="B256:H256"/>
    <mergeCell ref="B260:H260"/>
    <mergeCell ref="B259:H259"/>
    <mergeCell ref="B258:H258"/>
    <mergeCell ref="B261:H261"/>
    <mergeCell ref="A242:B242"/>
    <mergeCell ref="A243:B243"/>
    <mergeCell ref="A244:B244"/>
    <mergeCell ref="A253:B253"/>
    <mergeCell ref="A254:B254"/>
    <mergeCell ref="A250:B250"/>
    <mergeCell ref="A251:B251"/>
    <mergeCell ref="A252:B252"/>
    <mergeCell ref="A246:H246"/>
    <mergeCell ref="A247:B247"/>
    <mergeCell ref="A248:B248"/>
    <mergeCell ref="A114:H114"/>
    <mergeCell ref="A171:B171"/>
    <mergeCell ref="A166:B166"/>
    <mergeCell ref="A167:B167"/>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E3:F3"/>
    <mergeCell ref="E4:F4"/>
    <mergeCell ref="G6:H6"/>
    <mergeCell ref="C3:D3"/>
    <mergeCell ref="C4:D4"/>
    <mergeCell ref="E2:F2"/>
    <mergeCell ref="E15:F15"/>
    <mergeCell ref="E16:F16"/>
    <mergeCell ref="E17:F17"/>
    <mergeCell ref="E18:F18"/>
    <mergeCell ref="E19:F19"/>
    <mergeCell ref="A5:H5"/>
    <mergeCell ref="G2:H2"/>
    <mergeCell ref="G3:H3"/>
    <mergeCell ref="G4:H4"/>
    <mergeCell ref="C18:D18"/>
    <mergeCell ref="C19:D19"/>
    <mergeCell ref="A23:B23"/>
    <mergeCell ref="A24:B24"/>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A22:B22"/>
    <mergeCell ref="C20:D20"/>
    <mergeCell ref="C21:D21"/>
    <mergeCell ref="C22:D22"/>
    <mergeCell ref="C24:H24"/>
    <mergeCell ref="C23:H23"/>
    <mergeCell ref="E14:F14"/>
    <mergeCell ref="A31:B31"/>
    <mergeCell ref="A32:B32"/>
    <mergeCell ref="E26:F26"/>
    <mergeCell ref="E27:F27"/>
    <mergeCell ref="E28:F28"/>
    <mergeCell ref="E29:F29"/>
    <mergeCell ref="E30:F30"/>
    <mergeCell ref="E31:F31"/>
    <mergeCell ref="C28:D28"/>
    <mergeCell ref="C29:D29"/>
    <mergeCell ref="C30:D30"/>
    <mergeCell ref="C31:D31"/>
    <mergeCell ref="C32:H32"/>
    <mergeCell ref="A28:B28"/>
    <mergeCell ref="A29:B29"/>
    <mergeCell ref="A30:B30"/>
    <mergeCell ref="A26:B26"/>
    <mergeCell ref="A27:B27"/>
    <mergeCell ref="C27:D27"/>
    <mergeCell ref="E35:F35"/>
    <mergeCell ref="E36:F36"/>
    <mergeCell ref="A34:B34"/>
    <mergeCell ref="A35:B35"/>
    <mergeCell ref="A36:B36"/>
    <mergeCell ref="C34:D34"/>
    <mergeCell ref="C35:D35"/>
    <mergeCell ref="C36:D36"/>
    <mergeCell ref="M38:N38"/>
    <mergeCell ref="C38:E38"/>
    <mergeCell ref="F38:H38"/>
    <mergeCell ref="A38:B38"/>
    <mergeCell ref="G34:H34"/>
    <mergeCell ref="E34:F34"/>
    <mergeCell ref="C39:E39"/>
    <mergeCell ref="F39:H39"/>
    <mergeCell ref="F40:H40"/>
    <mergeCell ref="C40:E40"/>
    <mergeCell ref="A41:B41"/>
    <mergeCell ref="C41:E41"/>
    <mergeCell ref="F41:H41"/>
    <mergeCell ref="A39:B39"/>
    <mergeCell ref="A40:B40"/>
    <mergeCell ref="A67:B67"/>
    <mergeCell ref="A68:B68"/>
    <mergeCell ref="A70:B70"/>
    <mergeCell ref="E81:F92"/>
    <mergeCell ref="G81:H92"/>
    <mergeCell ref="A82:B82"/>
    <mergeCell ref="A83:B83"/>
    <mergeCell ref="A84:B84"/>
    <mergeCell ref="J38:K38"/>
    <mergeCell ref="A43:B43"/>
    <mergeCell ref="A42:B42"/>
    <mergeCell ref="C42:E42"/>
    <mergeCell ref="F42:H42"/>
    <mergeCell ref="C43:H43"/>
    <mergeCell ref="A85:B85"/>
    <mergeCell ref="A86:B86"/>
    <mergeCell ref="A87:B87"/>
    <mergeCell ref="A88:B88"/>
    <mergeCell ref="A89:B89"/>
    <mergeCell ref="A90:B90"/>
    <mergeCell ref="A91:B91"/>
    <mergeCell ref="A92:B92"/>
    <mergeCell ref="A66:B66"/>
    <mergeCell ref="A73:B73"/>
    <mergeCell ref="G48:H48"/>
    <mergeCell ref="A49:B49"/>
    <mergeCell ref="D49:F49"/>
    <mergeCell ref="G49:H49"/>
    <mergeCell ref="A51:B51"/>
    <mergeCell ref="A53:B53"/>
    <mergeCell ref="A56:B56"/>
    <mergeCell ref="A57:B57"/>
    <mergeCell ref="A52:B52"/>
    <mergeCell ref="C51:H51"/>
    <mergeCell ref="C52:F52"/>
    <mergeCell ref="C53:F53"/>
    <mergeCell ref="C55:F55"/>
    <mergeCell ref="C54:F54"/>
    <mergeCell ref="A54:B55"/>
    <mergeCell ref="A96:B96"/>
    <mergeCell ref="E96:F96"/>
    <mergeCell ref="A97:B97"/>
    <mergeCell ref="E97:F108"/>
    <mergeCell ref="G97:H108"/>
    <mergeCell ref="A98:B98"/>
    <mergeCell ref="A99:B99"/>
    <mergeCell ref="A100:B100"/>
    <mergeCell ref="A101:B101"/>
    <mergeCell ref="A102:B102"/>
    <mergeCell ref="A103:B103"/>
    <mergeCell ref="A104:B104"/>
    <mergeCell ref="A105:B105"/>
    <mergeCell ref="A106:B106"/>
    <mergeCell ref="A107:B107"/>
    <mergeCell ref="A108:B108"/>
    <mergeCell ref="A168:B168"/>
    <mergeCell ref="A169:B169"/>
    <mergeCell ref="C169:H169"/>
    <mergeCell ref="A59:B59"/>
    <mergeCell ref="C59:F59"/>
    <mergeCell ref="A133:H133"/>
    <mergeCell ref="A131:H131"/>
    <mergeCell ref="A132:H132"/>
    <mergeCell ref="A134:H134"/>
    <mergeCell ref="A138:H138"/>
    <mergeCell ref="A139:H139"/>
    <mergeCell ref="A111:B111"/>
    <mergeCell ref="C111:D111"/>
    <mergeCell ref="C112:D112"/>
    <mergeCell ref="C113:D113"/>
    <mergeCell ref="E113:F113"/>
    <mergeCell ref="A115:F115"/>
    <mergeCell ref="A116:F116"/>
    <mergeCell ref="A117:F117"/>
    <mergeCell ref="C121:D121"/>
    <mergeCell ref="A112:B112"/>
    <mergeCell ref="A165:H165"/>
    <mergeCell ref="A143:B143"/>
    <mergeCell ref="C141:H141"/>
    <mergeCell ref="A144:H144"/>
    <mergeCell ref="A145:B145"/>
    <mergeCell ref="A146:B146"/>
    <mergeCell ref="A147:B147"/>
    <mergeCell ref="A148:B148"/>
    <mergeCell ref="A170:H170"/>
    <mergeCell ref="A158:B158"/>
    <mergeCell ref="C156:H156"/>
    <mergeCell ref="A159:H159"/>
    <mergeCell ref="A160:B160"/>
    <mergeCell ref="A162:B162"/>
    <mergeCell ref="A163:B163"/>
    <mergeCell ref="A164:B164"/>
    <mergeCell ref="A161:B161"/>
    <mergeCell ref="C161:H161"/>
    <mergeCell ref="A151:B151"/>
    <mergeCell ref="A152:B152"/>
    <mergeCell ref="A153:B153"/>
    <mergeCell ref="C150:H150"/>
    <mergeCell ref="C151:H151"/>
    <mergeCell ref="A154:H154"/>
    <mergeCell ref="A155:B155"/>
    <mergeCell ref="A156:B156"/>
    <mergeCell ref="A157:B157"/>
    <mergeCell ref="A187:B187"/>
    <mergeCell ref="C187:H187"/>
    <mergeCell ref="A135:H135"/>
    <mergeCell ref="A136:H136"/>
    <mergeCell ref="A137:H137"/>
    <mergeCell ref="A196:B196"/>
    <mergeCell ref="A197:B197"/>
    <mergeCell ref="A214:H214"/>
    <mergeCell ref="A215:B215"/>
    <mergeCell ref="C197:H197"/>
    <mergeCell ref="C174:H174"/>
    <mergeCell ref="A175:H175"/>
    <mergeCell ref="A176:H176"/>
    <mergeCell ref="A177:H177"/>
    <mergeCell ref="A178:H178"/>
    <mergeCell ref="A183:H183"/>
    <mergeCell ref="A184:B184"/>
    <mergeCell ref="A185:B185"/>
    <mergeCell ref="A186:B186"/>
    <mergeCell ref="A172:B172"/>
    <mergeCell ref="A173:B173"/>
    <mergeCell ref="A174:B174"/>
    <mergeCell ref="A149:H149"/>
    <mergeCell ref="A150:B150"/>
    <mergeCell ref="A216:B216"/>
    <mergeCell ref="A217:B217"/>
    <mergeCell ref="A198:H198"/>
    <mergeCell ref="A199:B199"/>
    <mergeCell ref="A200:B200"/>
    <mergeCell ref="A201:B201"/>
    <mergeCell ref="A202:B202"/>
    <mergeCell ref="A203:H203"/>
    <mergeCell ref="A204:B204"/>
    <mergeCell ref="A205:B205"/>
    <mergeCell ref="A206:B206"/>
    <mergeCell ref="A208:B208"/>
    <mergeCell ref="C202:H202"/>
    <mergeCell ref="A209:H209"/>
    <mergeCell ref="A210:B210"/>
    <mergeCell ref="A211:B211"/>
    <mergeCell ref="B262:H262"/>
    <mergeCell ref="A207:B207"/>
    <mergeCell ref="C207:H207"/>
    <mergeCell ref="C211:H211"/>
    <mergeCell ref="C216:H216"/>
    <mergeCell ref="A179:H179"/>
    <mergeCell ref="A182:H182"/>
    <mergeCell ref="A181:H181"/>
    <mergeCell ref="A180:H180"/>
    <mergeCell ref="A218:B218"/>
    <mergeCell ref="A212:B212"/>
    <mergeCell ref="A213:B213"/>
    <mergeCell ref="A188:H188"/>
    <mergeCell ref="A189:B189"/>
    <mergeCell ref="A190:B190"/>
    <mergeCell ref="A191:B191"/>
    <mergeCell ref="A192:B192"/>
    <mergeCell ref="A193:H193"/>
    <mergeCell ref="A194:B194"/>
    <mergeCell ref="A195:B195"/>
    <mergeCell ref="C194:H194"/>
    <mergeCell ref="A249:B249"/>
    <mergeCell ref="A255:H255"/>
    <mergeCell ref="A229:B229"/>
  </mergeCells>
  <dataValidations count="6">
    <dataValidation type="list" allowBlank="1" showInputMessage="1" showErrorMessage="1" sqref="G26:H26" xr:uid="{00000000-0002-0000-0000-000001000000}">
      <formula1>"Middle,Upper"</formula1>
    </dataValidation>
    <dataValidation type="list" allowBlank="1" showInputMessage="1" showErrorMessage="1" sqref="C113" xr:uid="{00000000-0002-0000-0000-000002000000}">
      <formula1>"300000,350000,400000,500000,600000,700000,800000,900000,1000000,1200000,1400000,1500000,1600000"</formula1>
    </dataValidation>
    <dataValidation type="list" allowBlank="1" showInputMessage="1" showErrorMessage="1" sqref="F130" xr:uid="{00000000-0002-0000-0000-000003000000}">
      <formula1>"Fungible area,Balcony Area,Chajja Area,Cornice Area,AP Area,WS Area"</formula1>
    </dataValidation>
    <dataValidation type="list" allowBlank="1" showInputMessage="1" showErrorMessage="1" sqref="C27:D27" xr:uid="{00000000-0002-0000-0000-000004000000}">
      <formula1>"Bitumen,Concrete"</formula1>
    </dataValidation>
    <dataValidation type="list" allowBlank="1" showInputMessage="1" showErrorMessage="1" sqref="C51:H51 G35:H35" xr:uid="{00000000-0002-0000-0000-000005000000}">
      <formula1>"Yes,No"</formula1>
    </dataValidation>
    <dataValidation type="list" allowBlank="1" showInputMessage="1" showErrorMessage="1" sqref="C130" xr:uid="{00000000-0002-0000-0000-000006000000}">
      <formula1>"Sale /         Rehab /           PAP,Sale / Mhada,Sale / Landowner"</formula1>
    </dataValidation>
  </dataValidations>
  <hyperlinks>
    <hyperlink ref="C23" r:id="rId1" xr:uid="{00000000-0004-0000-0000-000000000000}"/>
    <hyperlink ref="I24" r:id="rId2" location="amenities" xr:uid="{00000000-0004-0000-0000-000001000000}"/>
  </hyperlinks>
  <printOptions horizontalCentered="1"/>
  <pageMargins left="0.27559055118110237" right="0.27559055118110237" top="0.70866141732283472" bottom="0.47244094488188981" header="0.15748031496062992" footer="0.15748031496062992"/>
  <pageSetup paperSize="9" scale="69" fitToHeight="0" orientation="portrait" r:id="rId3"/>
  <headerFooter>
    <oddHeader>&amp;C&amp;25&amp;G</oddHeader>
    <oddFooter>&amp;L&amp;"Times New Roman,Bold"&amp;16Ref No: &amp;F&amp;R&amp;"Times New Roman,Bold"&amp;16&amp;P</oddFooter>
  </headerFooter>
  <rowBreaks count="5" manualBreakCount="5">
    <brk id="24" max="16383" man="1"/>
    <brk id="76" max="16383" man="1"/>
    <brk id="263" max="8" man="1"/>
    <brk id="304" max="16383" man="1"/>
    <brk id="350" max="16383"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K56"/>
  <sheetViews>
    <sheetView zoomScale="70" zoomScaleNormal="70" workbookViewId="0">
      <selection activeCell="A3" sqref="A3:XFD18"/>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11" t="s">
        <v>68</v>
      </c>
      <c r="B3" s="111"/>
      <c r="C3" s="111"/>
      <c r="D3" s="111"/>
      <c r="E3" s="111"/>
      <c r="F3" s="111"/>
      <c r="G3" s="111"/>
      <c r="H3" s="111"/>
      <c r="I3" s="111"/>
    </row>
    <row r="4" spans="1:11" s="1" customFormat="1" ht="20.25" customHeight="1" x14ac:dyDescent="0.3">
      <c r="A4" s="194">
        <v>1</v>
      </c>
      <c r="B4" s="194"/>
      <c r="C4" s="194"/>
      <c r="D4" s="195" t="s">
        <v>4</v>
      </c>
      <c r="E4" s="36" t="s">
        <v>115</v>
      </c>
      <c r="F4" s="191" t="s">
        <v>102</v>
      </c>
      <c r="G4" s="191"/>
      <c r="H4" s="36" t="s">
        <v>116</v>
      </c>
      <c r="I4" s="36" t="s">
        <v>117</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0.25" x14ac:dyDescent="0.3">
      <c r="A5" s="194"/>
      <c r="B5" s="194"/>
      <c r="C5" s="194"/>
      <c r="D5" s="195"/>
      <c r="E5" s="36">
        <v>3</v>
      </c>
      <c r="F5" s="191">
        <v>1</v>
      </c>
      <c r="G5" s="191"/>
      <c r="H5" s="36">
        <v>0</v>
      </c>
      <c r="I5" s="36">
        <f ca="1">--TRIM(RIGHT(SUBSTITUTE(LEFT(A4,_xlfn.AGGREGATE(16,6,FIND({0,1,2,3,4,5,6,7,8,9},A4,ROW(INDIRECT("1:"&amp;LEN(A4)))),1))," ",REPT(" ",LEN(A4))),LEN(A4)))</f>
        <v>1</v>
      </c>
      <c r="J5" s="17" t="s">
        <v>121</v>
      </c>
      <c r="K5" s="18"/>
    </row>
    <row r="6" spans="1:11" s="1" customFormat="1" ht="20.25" customHeight="1" x14ac:dyDescent="0.3">
      <c r="A6" s="129" t="s">
        <v>119</v>
      </c>
      <c r="B6" s="129"/>
      <c r="C6" s="129" t="s">
        <v>133</v>
      </c>
      <c r="D6" s="129"/>
      <c r="E6" s="37" t="s">
        <v>134</v>
      </c>
      <c r="F6" s="129" t="s">
        <v>120</v>
      </c>
      <c r="G6" s="129"/>
      <c r="H6" s="29" t="s">
        <v>118</v>
      </c>
      <c r="I6" s="29"/>
      <c r="J6" s="20" t="s">
        <v>135</v>
      </c>
      <c r="K6" s="19">
        <f ca="1">I5*25%</f>
        <v>0.25</v>
      </c>
    </row>
    <row r="7" spans="1:11" s="1" customFormat="1" ht="20.25" customHeight="1" x14ac:dyDescent="0.3">
      <c r="A7" s="130" t="s">
        <v>136</v>
      </c>
      <c r="B7" s="130"/>
      <c r="C7" s="191">
        <f ca="1">K8</f>
        <v>1</v>
      </c>
      <c r="D7" s="191"/>
      <c r="E7" s="35">
        <f ca="1">((100/I5)*C7)/100</f>
        <v>1</v>
      </c>
      <c r="F7" s="130">
        <f ca="1">(((C7/I5*5)+(C8/I5*20)+(25/(F5+H5+I5)*C9)+(5/(I5)*C10)+(2.5/(I5)*C11)+(2.5/(I5)*C12)+(5/I5*C13)+(10/I5*C14)+(2.5/I5*C15)+(2.5/I5*C16)+(10/I5*C17)+(10/I5*C18))/100)</f>
        <v>0.25</v>
      </c>
      <c r="G7" s="130"/>
      <c r="H7" s="130" t="str">
        <f ca="1">J4</f>
        <v>Excavation work Completed. Plinth work completed</v>
      </c>
      <c r="I7" s="130"/>
      <c r="J7" s="20" t="s">
        <v>122</v>
      </c>
      <c r="K7" s="24">
        <f ca="1">I5*50%</f>
        <v>0.5</v>
      </c>
    </row>
    <row r="8" spans="1:11" s="1" customFormat="1" ht="20.25" x14ac:dyDescent="0.3">
      <c r="A8" s="130" t="s">
        <v>103</v>
      </c>
      <c r="B8" s="130"/>
      <c r="C8" s="196">
        <f ca="1">K16</f>
        <v>1</v>
      </c>
      <c r="D8" s="191"/>
      <c r="E8" s="35">
        <f ca="1">((100/I5)*C8)/100</f>
        <v>1</v>
      </c>
      <c r="F8" s="130"/>
      <c r="G8" s="130"/>
      <c r="H8" s="130"/>
      <c r="I8" s="130"/>
      <c r="J8" s="20" t="s">
        <v>123</v>
      </c>
      <c r="K8" s="24">
        <f ca="1">I5</f>
        <v>1</v>
      </c>
    </row>
    <row r="9" spans="1:11" s="1" customFormat="1" ht="21" customHeight="1" x14ac:dyDescent="0.35">
      <c r="A9" s="130" t="s">
        <v>137</v>
      </c>
      <c r="B9" s="130"/>
      <c r="C9" s="191">
        <v>0</v>
      </c>
      <c r="D9" s="191"/>
      <c r="E9" s="35">
        <f ca="1">((100/(F5+H5+I5))*C9)/100</f>
        <v>0</v>
      </c>
      <c r="F9" s="130"/>
      <c r="G9" s="130"/>
      <c r="H9" s="130"/>
      <c r="I9" s="130"/>
      <c r="J9" s="20" t="s">
        <v>124</v>
      </c>
      <c r="K9" s="25">
        <f ca="1">(IF(E5&gt;1,(I5/(E5+2)),I5*0.2))</f>
        <v>0.2</v>
      </c>
    </row>
    <row r="10" spans="1:11" s="1" customFormat="1" ht="21" customHeight="1" x14ac:dyDescent="0.35">
      <c r="A10" s="130" t="s">
        <v>138</v>
      </c>
      <c r="B10" s="130"/>
      <c r="C10" s="191">
        <v>0</v>
      </c>
      <c r="D10" s="191"/>
      <c r="E10" s="35">
        <f ca="1">((100/I5)*C10)/100</f>
        <v>0</v>
      </c>
      <c r="F10" s="130"/>
      <c r="G10" s="130"/>
      <c r="H10" s="130"/>
      <c r="I10" s="130"/>
      <c r="J10" s="20" t="s">
        <v>125</v>
      </c>
      <c r="K10" s="25">
        <f ca="1">(IF(E5&gt;1,(I5/(E5+2)+K9),I5*0.2+K9))</f>
        <v>0.4</v>
      </c>
    </row>
    <row r="11" spans="1:11" s="1" customFormat="1" ht="21" customHeight="1" x14ac:dyDescent="0.35">
      <c r="A11" s="137" t="s">
        <v>139</v>
      </c>
      <c r="B11" s="138"/>
      <c r="C11" s="191">
        <v>0</v>
      </c>
      <c r="D11" s="191"/>
      <c r="E11" s="35">
        <f ca="1">((100/I5)*C11)/100</f>
        <v>0</v>
      </c>
      <c r="F11" s="130"/>
      <c r="G11" s="130"/>
      <c r="H11" s="130"/>
      <c r="I11" s="130"/>
      <c r="J11" s="20" t="s">
        <v>140</v>
      </c>
      <c r="K11" s="25">
        <f ca="1">(IF(E5&gt;1,(I5/(E5+2)+K10),0))</f>
        <v>0.60000000000000009</v>
      </c>
    </row>
    <row r="12" spans="1:11" s="1" customFormat="1" ht="21" customHeight="1" x14ac:dyDescent="0.35">
      <c r="A12" s="137" t="s">
        <v>170</v>
      </c>
      <c r="B12" s="138"/>
      <c r="C12" s="191">
        <v>0</v>
      </c>
      <c r="D12" s="191"/>
      <c r="E12" s="35">
        <f ca="1">((100/I5)*C12)/100</f>
        <v>0</v>
      </c>
      <c r="F12" s="130"/>
      <c r="G12" s="130"/>
      <c r="H12" s="130"/>
      <c r="I12" s="130"/>
      <c r="J12" s="20" t="s">
        <v>141</v>
      </c>
      <c r="K12" s="25">
        <f ca="1">(IF(E5&gt;2,(I5/(E5+2)+K11),0))</f>
        <v>0.8</v>
      </c>
    </row>
    <row r="13" spans="1:11" s="1" customFormat="1" ht="57.75" customHeight="1" x14ac:dyDescent="0.35">
      <c r="A13" s="137" t="s">
        <v>167</v>
      </c>
      <c r="B13" s="138"/>
      <c r="C13" s="191">
        <v>0</v>
      </c>
      <c r="D13" s="191"/>
      <c r="E13" s="35">
        <f ca="1">((100/(I5))*C13)/100</f>
        <v>0</v>
      </c>
      <c r="F13" s="130"/>
      <c r="G13" s="130"/>
      <c r="H13" s="130"/>
      <c r="I13" s="130"/>
      <c r="J13" s="20" t="s">
        <v>143</v>
      </c>
      <c r="K13" s="26">
        <f>(IF(E5&gt;3,(I5/(E5+2)+K12),0))</f>
        <v>0</v>
      </c>
    </row>
    <row r="14" spans="1:11" s="1" customFormat="1" ht="21" x14ac:dyDescent="0.35">
      <c r="A14" s="130" t="s">
        <v>142</v>
      </c>
      <c r="B14" s="130"/>
      <c r="C14" s="191">
        <v>0</v>
      </c>
      <c r="D14" s="191"/>
      <c r="E14" s="35">
        <f ca="1">((100/(I5))*C14)/100</f>
        <v>0</v>
      </c>
      <c r="F14" s="130"/>
      <c r="G14" s="130"/>
      <c r="H14" s="130"/>
      <c r="I14" s="130"/>
      <c r="J14" s="20" t="s">
        <v>144</v>
      </c>
      <c r="K14" s="25">
        <f>(IF(E5&gt;4,(I5/(E5+2)+K13),0))</f>
        <v>0</v>
      </c>
    </row>
    <row r="15" spans="1:11" s="1" customFormat="1" ht="21" customHeight="1" x14ac:dyDescent="0.35">
      <c r="A15" s="130" t="s">
        <v>169</v>
      </c>
      <c r="B15" s="130"/>
      <c r="C15" s="191">
        <v>0</v>
      </c>
      <c r="D15" s="191"/>
      <c r="E15" s="35">
        <f ca="1">((100/I5)*C15)/100</f>
        <v>0</v>
      </c>
      <c r="F15" s="130"/>
      <c r="G15" s="130"/>
      <c r="H15" s="130"/>
      <c r="I15" s="130"/>
      <c r="J15" s="20" t="s">
        <v>126</v>
      </c>
      <c r="K15" s="25">
        <f>(IF(E5=1,(I5/(E5+3)+K10),IF(E5=0,(I5*0.3+K10),IF(E5&gt;1,0))))</f>
        <v>0</v>
      </c>
    </row>
    <row r="16" spans="1:11" s="1" customFormat="1" ht="21.75" thickBot="1" x14ac:dyDescent="0.4">
      <c r="A16" s="130" t="s">
        <v>168</v>
      </c>
      <c r="B16" s="130"/>
      <c r="C16" s="191">
        <v>0</v>
      </c>
      <c r="D16" s="191"/>
      <c r="E16" s="35">
        <f ca="1">((100/I5)*C16)/100</f>
        <v>0</v>
      </c>
      <c r="F16" s="130"/>
      <c r="G16" s="130"/>
      <c r="H16" s="130"/>
      <c r="I16" s="130"/>
      <c r="J16" s="22" t="s">
        <v>127</v>
      </c>
      <c r="K16" s="27">
        <f ca="1">(IF(E5&gt;1.5,(I5/(E5+2)+K10+MAX(0,K11-K10)+MAX(0,K12-K11)+MAX(0,K13-K12)+MAX(0,K14-K13)+MAX(0,K15-K14)),IF(E5=1,(I5/(E5+3)+K15),IF(E5=0,I5*0.3+K15))))</f>
        <v>1</v>
      </c>
    </row>
    <row r="17" spans="1:9" s="1" customFormat="1" ht="20.25" x14ac:dyDescent="0.25">
      <c r="A17" s="130" t="s">
        <v>145</v>
      </c>
      <c r="B17" s="130"/>
      <c r="C17" s="191">
        <v>0</v>
      </c>
      <c r="D17" s="191"/>
      <c r="E17" s="35">
        <f ca="1">((100/(I5))*C17)/100</f>
        <v>0</v>
      </c>
      <c r="F17" s="130"/>
      <c r="G17" s="130"/>
      <c r="H17" s="130"/>
      <c r="I17" s="130"/>
    </row>
    <row r="18" spans="1:9" s="1" customFormat="1" ht="20.25" x14ac:dyDescent="0.25">
      <c r="A18" s="130" t="s">
        <v>146</v>
      </c>
      <c r="B18" s="130"/>
      <c r="C18" s="191">
        <v>0</v>
      </c>
      <c r="D18" s="191"/>
      <c r="E18" s="35">
        <f ca="1">((100/(I5))*C18)/100</f>
        <v>0</v>
      </c>
      <c r="F18" s="130"/>
      <c r="G18" s="130"/>
      <c r="H18" s="130"/>
      <c r="I18" s="130"/>
    </row>
    <row r="23" spans="1:9" x14ac:dyDescent="0.25">
      <c r="B23" s="197" t="s">
        <v>171</v>
      </c>
      <c r="C23" s="197"/>
      <c r="D23" s="197"/>
      <c r="E23" s="197"/>
      <c r="F23" s="197"/>
      <c r="G23" s="197"/>
    </row>
    <row r="24" spans="1:9" ht="14.45" customHeight="1" x14ac:dyDescent="0.25">
      <c r="B24" s="200" t="s">
        <v>172</v>
      </c>
      <c r="C24" s="200" t="s">
        <v>173</v>
      </c>
      <c r="D24" s="203" t="s">
        <v>174</v>
      </c>
      <c r="E24" s="204" t="s">
        <v>175</v>
      </c>
      <c r="F24" s="201" t="s">
        <v>176</v>
      </c>
      <c r="G24" s="200" t="s">
        <v>177</v>
      </c>
    </row>
    <row r="25" spans="1:9" x14ac:dyDescent="0.25">
      <c r="B25" s="200"/>
      <c r="C25" s="200"/>
      <c r="D25" s="203"/>
      <c r="E25" s="204"/>
      <c r="F25" s="201"/>
      <c r="G25" s="200"/>
    </row>
    <row r="26" spans="1:9" x14ac:dyDescent="0.25">
      <c r="B26" s="50" t="s">
        <v>178</v>
      </c>
      <c r="C26" s="51">
        <v>10</v>
      </c>
      <c r="D26" s="51">
        <v>1</v>
      </c>
      <c r="E26" s="52"/>
      <c r="F26" s="53">
        <f>((E26/D26)*0.05)*100</f>
        <v>0</v>
      </c>
      <c r="G26" s="53">
        <f t="shared" ref="G26:G37" si="0">((E26/D26)*(C26/100))*100</f>
        <v>0</v>
      </c>
    </row>
    <row r="27" spans="1:9" x14ac:dyDescent="0.25">
      <c r="B27" s="50" t="s">
        <v>179</v>
      </c>
      <c r="C27" s="52">
        <v>10</v>
      </c>
      <c r="D27" s="52">
        <v>1</v>
      </c>
      <c r="E27" s="52"/>
      <c r="F27" s="53">
        <f>((E27/D27)*0.05)*100</f>
        <v>0</v>
      </c>
      <c r="G27" s="53">
        <f t="shared" si="0"/>
        <v>0</v>
      </c>
    </row>
    <row r="28" spans="1:9" x14ac:dyDescent="0.25">
      <c r="B28" s="50" t="s">
        <v>180</v>
      </c>
      <c r="C28" s="52">
        <v>15</v>
      </c>
      <c r="D28" s="52">
        <v>1</v>
      </c>
      <c r="E28" s="52"/>
      <c r="F28" s="53">
        <f>((E28/D28)*0.15)*100</f>
        <v>0</v>
      </c>
      <c r="G28" s="53">
        <f t="shared" si="0"/>
        <v>0</v>
      </c>
    </row>
    <row r="29" spans="1:9" x14ac:dyDescent="0.25">
      <c r="B29" s="54" t="s">
        <v>181</v>
      </c>
      <c r="C29" s="52">
        <v>25</v>
      </c>
      <c r="D29" s="52">
        <v>40</v>
      </c>
      <c r="E29" s="52"/>
      <c r="F29" s="53">
        <f>((E29/D29)*0.25)*100</f>
        <v>0</v>
      </c>
      <c r="G29" s="53">
        <f t="shared" si="0"/>
        <v>0</v>
      </c>
    </row>
    <row r="30" spans="1:9" x14ac:dyDescent="0.25">
      <c r="B30" s="54" t="s">
        <v>182</v>
      </c>
      <c r="C30" s="52">
        <v>5</v>
      </c>
      <c r="D30" s="52">
        <v>39</v>
      </c>
      <c r="E30" s="52"/>
      <c r="F30" s="53">
        <f>((E30/D30)*0.05)*100</f>
        <v>0</v>
      </c>
      <c r="G30" s="53">
        <f t="shared" si="0"/>
        <v>0</v>
      </c>
    </row>
    <row r="31" spans="1:9" ht="30" x14ac:dyDescent="0.25">
      <c r="B31" s="54" t="s">
        <v>183</v>
      </c>
      <c r="C31" s="52">
        <v>2.5</v>
      </c>
      <c r="D31" s="52">
        <v>39</v>
      </c>
      <c r="E31" s="52"/>
      <c r="F31" s="53">
        <f>((E31/D31)*0.025)*100</f>
        <v>0</v>
      </c>
      <c r="G31" s="53">
        <f t="shared" si="0"/>
        <v>0</v>
      </c>
    </row>
    <row r="32" spans="1:9" ht="30" x14ac:dyDescent="0.25">
      <c r="B32" s="54" t="s">
        <v>184</v>
      </c>
      <c r="C32" s="52">
        <v>2.5</v>
      </c>
      <c r="D32" s="52">
        <v>39</v>
      </c>
      <c r="E32" s="52"/>
      <c r="F32" s="53">
        <f>((E32/D32)*0.025)*100</f>
        <v>0</v>
      </c>
      <c r="G32" s="53">
        <f t="shared" si="0"/>
        <v>0</v>
      </c>
    </row>
    <row r="33" spans="1:7" ht="45" x14ac:dyDescent="0.25">
      <c r="B33" s="55" t="s">
        <v>185</v>
      </c>
      <c r="C33" s="52">
        <v>5</v>
      </c>
      <c r="D33" s="52">
        <v>39</v>
      </c>
      <c r="E33" s="52"/>
      <c r="F33" s="53">
        <f>((E33/D33)*0.05)*100</f>
        <v>0</v>
      </c>
      <c r="G33" s="53">
        <f t="shared" si="0"/>
        <v>0</v>
      </c>
    </row>
    <row r="34" spans="1:7" ht="30" x14ac:dyDescent="0.25">
      <c r="B34" s="55" t="s">
        <v>186</v>
      </c>
      <c r="C34" s="52">
        <v>5</v>
      </c>
      <c r="D34" s="52">
        <v>39</v>
      </c>
      <c r="E34" s="52"/>
      <c r="F34" s="53">
        <f>((E34/D34)*0.1)*100</f>
        <v>0</v>
      </c>
      <c r="G34" s="53">
        <f t="shared" si="0"/>
        <v>0</v>
      </c>
    </row>
    <row r="35" spans="1:7" ht="30" x14ac:dyDescent="0.25">
      <c r="B35" s="55" t="s">
        <v>187</v>
      </c>
      <c r="C35" s="52">
        <v>5</v>
      </c>
      <c r="D35" s="52">
        <v>39</v>
      </c>
      <c r="E35" s="52"/>
      <c r="F35" s="53">
        <f>((E35/D35)*0.05)*100</f>
        <v>0</v>
      </c>
      <c r="G35" s="53">
        <f t="shared" si="0"/>
        <v>0</v>
      </c>
    </row>
    <row r="36" spans="1:7" ht="60" x14ac:dyDescent="0.25">
      <c r="B36" s="55" t="s">
        <v>188</v>
      </c>
      <c r="C36" s="52">
        <v>10</v>
      </c>
      <c r="D36" s="52">
        <v>39</v>
      </c>
      <c r="E36" s="52"/>
      <c r="F36" s="53">
        <f>((E36/D36)*0.1)*100</f>
        <v>0</v>
      </c>
      <c r="G36" s="53">
        <f t="shared" si="0"/>
        <v>0</v>
      </c>
    </row>
    <row r="37" spans="1:7" ht="45" x14ac:dyDescent="0.25">
      <c r="B37" s="55" t="s">
        <v>189</v>
      </c>
      <c r="C37" s="52">
        <v>5</v>
      </c>
      <c r="D37" s="52">
        <v>39</v>
      </c>
      <c r="E37" s="52"/>
      <c r="F37" s="53">
        <f>((E37/D37)*0.1)*100</f>
        <v>0</v>
      </c>
      <c r="G37" s="53">
        <f t="shared" si="0"/>
        <v>0</v>
      </c>
    </row>
    <row r="38" spans="1:7" ht="15.75" x14ac:dyDescent="0.25">
      <c r="B38" s="56" t="s">
        <v>190</v>
      </c>
      <c r="C38" s="57">
        <f>SUM(C26:C37)</f>
        <v>100</v>
      </c>
      <c r="D38" s="56"/>
      <c r="E38" s="56"/>
      <c r="F38" s="57">
        <f>SUM(F26:F37)</f>
        <v>0</v>
      </c>
      <c r="G38" s="57">
        <f>SUM(G26:G37)</f>
        <v>0</v>
      </c>
    </row>
    <row r="39" spans="1:7" x14ac:dyDescent="0.25">
      <c r="B39" s="201" t="s">
        <v>191</v>
      </c>
      <c r="C39" s="201"/>
      <c r="D39" s="201"/>
      <c r="E39" s="201"/>
      <c r="F39" s="201"/>
      <c r="G39" s="201"/>
    </row>
    <row r="40" spans="1:7" x14ac:dyDescent="0.25">
      <c r="B40" s="202" t="s">
        <v>192</v>
      </c>
      <c r="C40" s="202"/>
      <c r="D40" s="202"/>
      <c r="E40" s="202" t="s">
        <v>193</v>
      </c>
      <c r="F40" s="202"/>
      <c r="G40" s="202"/>
    </row>
    <row r="41" spans="1:7" x14ac:dyDescent="0.25">
      <c r="B41" s="198" t="s">
        <v>194</v>
      </c>
      <c r="C41" s="198"/>
      <c r="D41" s="198"/>
      <c r="E41" s="198" t="s">
        <v>195</v>
      </c>
      <c r="F41" s="198"/>
      <c r="G41" s="198"/>
    </row>
    <row r="42" spans="1:7" x14ac:dyDescent="0.25">
      <c r="B42" s="198" t="s">
        <v>196</v>
      </c>
      <c r="C42" s="198"/>
      <c r="D42" s="198"/>
      <c r="E42" s="198" t="s">
        <v>197</v>
      </c>
      <c r="F42" s="198"/>
      <c r="G42" s="198"/>
    </row>
    <row r="43" spans="1:7" x14ac:dyDescent="0.25">
      <c r="B43" s="199" t="s">
        <v>198</v>
      </c>
      <c r="C43" s="199"/>
      <c r="D43" s="199"/>
      <c r="E43" s="199" t="s">
        <v>199</v>
      </c>
      <c r="F43" s="199"/>
      <c r="G43" s="199"/>
    </row>
    <row r="45" spans="1:7" ht="15.75" thickBot="1" x14ac:dyDescent="0.3"/>
    <row r="46" spans="1:7" ht="17.25" thickTop="1" thickBot="1" x14ac:dyDescent="0.3">
      <c r="A46" s="58" t="s">
        <v>200</v>
      </c>
      <c r="B46" s="58" t="s">
        <v>172</v>
      </c>
      <c r="C46" s="59" t="s">
        <v>201</v>
      </c>
      <c r="D46" s="59" t="s">
        <v>202</v>
      </c>
      <c r="E46" s="59" t="s">
        <v>203</v>
      </c>
    </row>
    <row r="47" spans="1:7" ht="31.5" thickTop="1" thickBot="1" x14ac:dyDescent="0.3">
      <c r="A47" s="60">
        <v>1</v>
      </c>
      <c r="B47" s="61" t="s">
        <v>204</v>
      </c>
      <c r="C47" s="62">
        <v>0</v>
      </c>
      <c r="D47" s="63">
        <v>0.1</v>
      </c>
      <c r="E47" s="62">
        <v>0.1</v>
      </c>
    </row>
    <row r="48" spans="1:7" ht="31.5" thickTop="1" thickBot="1" x14ac:dyDescent="0.3">
      <c r="A48" s="60">
        <v>2</v>
      </c>
      <c r="B48" s="61" t="s">
        <v>205</v>
      </c>
      <c r="C48" s="62" t="s">
        <v>206</v>
      </c>
      <c r="D48" s="63" t="s">
        <v>207</v>
      </c>
      <c r="E48" s="62">
        <v>0.3</v>
      </c>
    </row>
    <row r="49" spans="1:5" ht="61.5" thickTop="1" thickBot="1" x14ac:dyDescent="0.3">
      <c r="A49" s="60">
        <v>3</v>
      </c>
      <c r="B49" s="61" t="s">
        <v>208</v>
      </c>
      <c r="C49" s="62" t="s">
        <v>209</v>
      </c>
      <c r="D49" s="63" t="s">
        <v>210</v>
      </c>
      <c r="E49" s="62">
        <v>0.45</v>
      </c>
    </row>
    <row r="50" spans="1:5" ht="76.5" thickTop="1" thickBot="1" x14ac:dyDescent="0.3">
      <c r="A50" s="60">
        <v>4</v>
      </c>
      <c r="B50" s="61" t="s">
        <v>211</v>
      </c>
      <c r="C50" s="62" t="s">
        <v>212</v>
      </c>
      <c r="D50" s="63" t="s">
        <v>213</v>
      </c>
      <c r="E50" s="62">
        <v>0.7</v>
      </c>
    </row>
    <row r="51" spans="1:5" ht="76.5" thickTop="1" thickBot="1" x14ac:dyDescent="0.3">
      <c r="A51" s="60">
        <v>5</v>
      </c>
      <c r="B51" s="61" t="s">
        <v>214</v>
      </c>
      <c r="C51" s="62" t="s">
        <v>215</v>
      </c>
      <c r="D51" s="63" t="s">
        <v>216</v>
      </c>
      <c r="E51" s="62">
        <v>0.75</v>
      </c>
    </row>
    <row r="52" spans="1:5" ht="76.5" thickTop="1" thickBot="1" x14ac:dyDescent="0.3">
      <c r="A52" s="60">
        <v>6</v>
      </c>
      <c r="B52" s="61" t="s">
        <v>217</v>
      </c>
      <c r="C52" s="62" t="s">
        <v>218</v>
      </c>
      <c r="D52" s="63" t="s">
        <v>219</v>
      </c>
      <c r="E52" s="62">
        <v>0.8</v>
      </c>
    </row>
    <row r="53" spans="1:5" ht="121.5" thickTop="1" thickBot="1" x14ac:dyDescent="0.3">
      <c r="A53" s="60">
        <v>7</v>
      </c>
      <c r="B53" s="61" t="s">
        <v>220</v>
      </c>
      <c r="C53" s="62" t="s">
        <v>221</v>
      </c>
      <c r="D53" s="63" t="s">
        <v>222</v>
      </c>
      <c r="E53" s="62">
        <v>0.85</v>
      </c>
    </row>
    <row r="54" spans="1:5" ht="211.5" thickTop="1" thickBot="1" x14ac:dyDescent="0.3">
      <c r="A54" s="60">
        <v>8</v>
      </c>
      <c r="B54" s="61" t="s">
        <v>223</v>
      </c>
      <c r="C54" s="62" t="s">
        <v>224</v>
      </c>
      <c r="D54" s="63" t="s">
        <v>225</v>
      </c>
      <c r="E54" s="62">
        <v>0.95</v>
      </c>
    </row>
    <row r="55" spans="1:5" ht="91.5" thickTop="1" thickBot="1" x14ac:dyDescent="0.3">
      <c r="A55" s="60">
        <v>9</v>
      </c>
      <c r="B55" s="61" t="s">
        <v>226</v>
      </c>
      <c r="C55" s="62" t="s">
        <v>227</v>
      </c>
      <c r="D55" s="63" t="s">
        <v>228</v>
      </c>
      <c r="E55" s="62">
        <v>1</v>
      </c>
    </row>
    <row r="56" spans="1:5" ht="15.75" thickTop="1" x14ac:dyDescent="0.25"/>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52">
        <v>1</v>
      </c>
      <c r="C2" s="71" t="s">
        <v>248</v>
      </c>
    </row>
    <row r="3" spans="2:3" x14ac:dyDescent="0.25">
      <c r="B3" s="52">
        <v>2</v>
      </c>
      <c r="C3" s="72" t="s">
        <v>249</v>
      </c>
    </row>
    <row r="4" spans="2:3" x14ac:dyDescent="0.25">
      <c r="B4" s="52">
        <v>3</v>
      </c>
      <c r="C4" s="73" t="s">
        <v>250</v>
      </c>
    </row>
    <row r="5" spans="2:3" x14ac:dyDescent="0.25">
      <c r="B5" s="52">
        <v>4</v>
      </c>
      <c r="C5" s="72" t="s">
        <v>251</v>
      </c>
    </row>
    <row r="6" spans="2:3" x14ac:dyDescent="0.25">
      <c r="B6" s="52">
        <v>5</v>
      </c>
      <c r="C6" s="73" t="s">
        <v>252</v>
      </c>
    </row>
    <row r="7" spans="2:3" ht="30" x14ac:dyDescent="0.25">
      <c r="B7" s="52">
        <v>6</v>
      </c>
      <c r="C7" s="72" t="s">
        <v>253</v>
      </c>
    </row>
    <row r="8" spans="2:3" ht="75" x14ac:dyDescent="0.25">
      <c r="B8" s="52">
        <v>7</v>
      </c>
      <c r="C8" s="72" t="s">
        <v>254</v>
      </c>
    </row>
    <row r="9" spans="2:3" x14ac:dyDescent="0.25">
      <c r="B9" s="52">
        <v>8</v>
      </c>
      <c r="C9" s="73" t="s">
        <v>255</v>
      </c>
    </row>
    <row r="10" spans="2:3" x14ac:dyDescent="0.25">
      <c r="B10" s="52">
        <v>9</v>
      </c>
      <c r="C10" s="73" t="s">
        <v>256</v>
      </c>
    </row>
    <row r="11" spans="2:3" x14ac:dyDescent="0.25">
      <c r="B11" s="52">
        <v>10</v>
      </c>
      <c r="C11" s="73" t="s">
        <v>257</v>
      </c>
    </row>
    <row r="12" spans="2:3" x14ac:dyDescent="0.25">
      <c r="B12" s="52">
        <v>11</v>
      </c>
      <c r="C12" s="73" t="s">
        <v>258</v>
      </c>
    </row>
    <row r="13" spans="2:3" x14ac:dyDescent="0.25">
      <c r="B13" s="52">
        <v>12</v>
      </c>
      <c r="C13" s="73" t="s">
        <v>259</v>
      </c>
    </row>
    <row r="14" spans="2:3" x14ac:dyDescent="0.25">
      <c r="B14" s="52">
        <v>13</v>
      </c>
      <c r="C14" s="73" t="s">
        <v>260</v>
      </c>
    </row>
    <row r="15" spans="2:3" x14ac:dyDescent="0.25">
      <c r="B15" s="52">
        <v>14</v>
      </c>
      <c r="C15" s="73" t="s">
        <v>250</v>
      </c>
    </row>
    <row r="16" spans="2:3" x14ac:dyDescent="0.25">
      <c r="B16" s="52">
        <v>15</v>
      </c>
      <c r="C16" s="73" t="s">
        <v>242</v>
      </c>
    </row>
    <row r="17" spans="2:3" x14ac:dyDescent="0.25">
      <c r="B17" s="74">
        <v>16</v>
      </c>
      <c r="C17" s="75" t="s">
        <v>261</v>
      </c>
    </row>
    <row r="18" spans="2:3" x14ac:dyDescent="0.25">
      <c r="B18" s="76">
        <v>17</v>
      </c>
      <c r="C18" s="75" t="s">
        <v>262</v>
      </c>
    </row>
    <row r="19" spans="2:3" x14ac:dyDescent="0.25">
      <c r="B19" s="77">
        <v>18</v>
      </c>
      <c r="C19" s="52" t="s">
        <v>263</v>
      </c>
    </row>
    <row r="20" spans="2:3" x14ac:dyDescent="0.25">
      <c r="B20" s="76">
        <v>19</v>
      </c>
      <c r="C20" s="52" t="s">
        <v>264</v>
      </c>
    </row>
    <row r="21" spans="2:3" x14ac:dyDescent="0.25">
      <c r="B21" s="78">
        <v>20</v>
      </c>
      <c r="C21" s="52" t="s">
        <v>265</v>
      </c>
    </row>
    <row r="22" spans="2:3" x14ac:dyDescent="0.25">
      <c r="B22" s="76">
        <v>21</v>
      </c>
      <c r="C22" s="52" t="s">
        <v>263</v>
      </c>
    </row>
    <row r="23" spans="2:3" s="80" customFormat="1" ht="30" x14ac:dyDescent="0.25">
      <c r="B23" s="79">
        <v>22</v>
      </c>
      <c r="C23" s="71" t="s">
        <v>266</v>
      </c>
    </row>
    <row r="24" spans="2:3" s="80" customFormat="1" ht="30" x14ac:dyDescent="0.25">
      <c r="B24" s="81">
        <v>23</v>
      </c>
      <c r="C24" s="71" t="s">
        <v>267</v>
      </c>
    </row>
    <row r="25" spans="2:3" x14ac:dyDescent="0.25">
      <c r="B25" s="78">
        <v>24</v>
      </c>
      <c r="C25" s="52" t="s">
        <v>268</v>
      </c>
    </row>
    <row r="26" spans="2:3" x14ac:dyDescent="0.25">
      <c r="B26" s="76">
        <v>25</v>
      </c>
      <c r="C26" s="52" t="s">
        <v>269</v>
      </c>
    </row>
    <row r="27" spans="2:3" x14ac:dyDescent="0.25">
      <c r="B27" s="81">
        <v>26</v>
      </c>
      <c r="C27" s="78" t="s">
        <v>270</v>
      </c>
    </row>
    <row r="28" spans="2:3" x14ac:dyDescent="0.25">
      <c r="B28" s="82">
        <v>27</v>
      </c>
      <c r="C28" s="52" t="s">
        <v>271</v>
      </c>
    </row>
    <row r="29" spans="2:3" ht="60" x14ac:dyDescent="0.25">
      <c r="B29" s="83">
        <v>28</v>
      </c>
      <c r="C29" s="72" t="s">
        <v>272</v>
      </c>
    </row>
    <row r="30" spans="2:3" x14ac:dyDescent="0.25">
      <c r="B30" s="81">
        <v>29</v>
      </c>
      <c r="C30" s="52" t="s">
        <v>273</v>
      </c>
    </row>
    <row r="31" spans="2:3" ht="30" x14ac:dyDescent="0.25">
      <c r="B31" s="84">
        <v>30</v>
      </c>
      <c r="C31" s="72" t="s">
        <v>301</v>
      </c>
    </row>
    <row r="32" spans="2:3" x14ac:dyDescent="0.25">
      <c r="B32" s="81">
        <v>31</v>
      </c>
      <c r="C32" s="52" t="s">
        <v>302</v>
      </c>
    </row>
    <row r="33" spans="2:3" x14ac:dyDescent="0.25">
      <c r="B33" s="81">
        <v>32</v>
      </c>
      <c r="C33" s="52" t="s">
        <v>303</v>
      </c>
    </row>
    <row r="34" spans="2:3" ht="30" x14ac:dyDescent="0.25">
      <c r="B34" s="84">
        <v>33</v>
      </c>
      <c r="C34" s="75" t="s">
        <v>304</v>
      </c>
    </row>
    <row r="35" spans="2:3" x14ac:dyDescent="0.25">
      <c r="B35" s="81">
        <v>34</v>
      </c>
      <c r="C35" s="52"/>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L44"/>
  <sheetViews>
    <sheetView workbookViewId="0">
      <selection sqref="A1:XFD1048576"/>
    </sheetView>
  </sheetViews>
  <sheetFormatPr defaultColWidth="9.140625" defaultRowHeight="15" x14ac:dyDescent="0.25"/>
  <cols>
    <col min="1" max="1" width="9.140625" style="85"/>
    <col min="2" max="2" width="12.28515625" style="85" customWidth="1"/>
    <col min="3" max="16384" width="9.140625" style="85"/>
  </cols>
  <sheetData>
    <row r="2" spans="1:12" x14ac:dyDescent="0.25">
      <c r="B2" s="86" t="s">
        <v>274</v>
      </c>
      <c r="C2" s="205"/>
      <c r="D2" s="205"/>
    </row>
    <row r="3" spans="1:12" x14ac:dyDescent="0.25">
      <c r="D3" s="87"/>
      <c r="E3" s="87"/>
      <c r="F3" s="87"/>
      <c r="G3" s="87"/>
      <c r="H3" s="87"/>
      <c r="I3" s="87"/>
    </row>
    <row r="4" spans="1:12" x14ac:dyDescent="0.25">
      <c r="A4" s="86" t="s">
        <v>275</v>
      </c>
      <c r="B4" s="70" t="s">
        <v>276</v>
      </c>
      <c r="C4" s="206" t="s">
        <v>277</v>
      </c>
      <c r="D4" s="206"/>
      <c r="E4" s="206"/>
      <c r="F4" s="70"/>
      <c r="G4" s="207" t="s">
        <v>278</v>
      </c>
      <c r="H4" s="207"/>
      <c r="I4" s="207"/>
      <c r="J4" s="208" t="s">
        <v>279</v>
      </c>
      <c r="K4" s="208"/>
      <c r="L4" s="208"/>
    </row>
    <row r="5" spans="1:12" x14ac:dyDescent="0.25">
      <c r="A5" s="86"/>
      <c r="B5" s="70"/>
      <c r="C5" s="70" t="s">
        <v>280</v>
      </c>
      <c r="D5" s="70" t="s">
        <v>281</v>
      </c>
      <c r="E5" s="70" t="s">
        <v>282</v>
      </c>
      <c r="F5" s="70"/>
      <c r="G5" s="70" t="s">
        <v>280</v>
      </c>
      <c r="H5" s="70" t="s">
        <v>281</v>
      </c>
      <c r="I5" s="70" t="s">
        <v>282</v>
      </c>
      <c r="J5" s="70" t="s">
        <v>280</v>
      </c>
      <c r="K5" s="70" t="s">
        <v>281</v>
      </c>
      <c r="L5" s="70" t="s">
        <v>282</v>
      </c>
    </row>
    <row r="6" spans="1:12" x14ac:dyDescent="0.25">
      <c r="B6" s="69" t="s">
        <v>283</v>
      </c>
      <c r="C6" s="69"/>
      <c r="D6" s="69"/>
      <c r="E6" s="69">
        <f>C6*D6</f>
        <v>0</v>
      </c>
      <c r="F6" s="69" t="s">
        <v>284</v>
      </c>
      <c r="G6" s="69"/>
      <c r="H6" s="69"/>
      <c r="I6" s="69">
        <f>G6*H6</f>
        <v>0</v>
      </c>
      <c r="J6" s="69"/>
      <c r="K6" s="69"/>
      <c r="L6" s="69">
        <f>J6*K6</f>
        <v>0</v>
      </c>
    </row>
    <row r="7" spans="1:12" x14ac:dyDescent="0.25">
      <c r="B7" s="69"/>
      <c r="C7" s="69"/>
      <c r="D7" s="69"/>
      <c r="E7" s="69">
        <f t="shared" ref="E7:E41" si="0">C7*D7</f>
        <v>0</v>
      </c>
      <c r="F7" s="69" t="s">
        <v>284</v>
      </c>
      <c r="G7" s="69"/>
      <c r="H7" s="69"/>
      <c r="I7" s="69">
        <f t="shared" ref="I7:I35" si="1">G7*H7</f>
        <v>0</v>
      </c>
      <c r="J7" s="69"/>
      <c r="K7" s="69"/>
      <c r="L7" s="69">
        <f t="shared" ref="L7:L35" si="2">J7*K7</f>
        <v>0</v>
      </c>
    </row>
    <row r="8" spans="1:12" x14ac:dyDescent="0.25">
      <c r="B8" s="69"/>
      <c r="C8" s="69"/>
      <c r="D8" s="69"/>
      <c r="E8" s="69">
        <f t="shared" si="0"/>
        <v>0</v>
      </c>
      <c r="F8" s="69"/>
      <c r="G8" s="69"/>
      <c r="H8" s="69"/>
      <c r="I8" s="69">
        <f t="shared" si="1"/>
        <v>0</v>
      </c>
      <c r="J8" s="69"/>
      <c r="K8" s="69"/>
      <c r="L8" s="69">
        <f t="shared" si="2"/>
        <v>0</v>
      </c>
    </row>
    <row r="9" spans="1:12" x14ac:dyDescent="0.25">
      <c r="B9" s="69"/>
      <c r="C9" s="69"/>
      <c r="D9" s="69"/>
      <c r="E9" s="69">
        <f t="shared" si="0"/>
        <v>0</v>
      </c>
      <c r="F9" s="69" t="s">
        <v>285</v>
      </c>
      <c r="G9" s="69"/>
      <c r="H9" s="69"/>
      <c r="I9" s="69">
        <f t="shared" si="1"/>
        <v>0</v>
      </c>
      <c r="J9" s="69"/>
      <c r="K9" s="69"/>
      <c r="L9" s="69">
        <f t="shared" si="2"/>
        <v>0</v>
      </c>
    </row>
    <row r="10" spans="1:12" x14ac:dyDescent="0.25">
      <c r="B10" s="69" t="s">
        <v>286</v>
      </c>
      <c r="C10" s="69"/>
      <c r="D10" s="69"/>
      <c r="E10" s="69">
        <f t="shared" si="0"/>
        <v>0</v>
      </c>
      <c r="F10" s="69" t="s">
        <v>285</v>
      </c>
      <c r="G10" s="69"/>
      <c r="H10" s="69"/>
      <c r="I10" s="69">
        <f t="shared" si="1"/>
        <v>0</v>
      </c>
      <c r="J10" s="69"/>
      <c r="K10" s="69"/>
      <c r="L10" s="69">
        <f t="shared" si="2"/>
        <v>0</v>
      </c>
    </row>
    <row r="11" spans="1:12" x14ac:dyDescent="0.25">
      <c r="B11" s="69"/>
      <c r="C11" s="69"/>
      <c r="D11" s="69"/>
      <c r="E11" s="69">
        <f t="shared" si="0"/>
        <v>0</v>
      </c>
      <c r="F11" s="69" t="s">
        <v>287</v>
      </c>
      <c r="G11" s="69"/>
      <c r="H11" s="69"/>
      <c r="I11" s="69">
        <f t="shared" si="1"/>
        <v>0</v>
      </c>
      <c r="J11" s="69"/>
      <c r="K11" s="69"/>
      <c r="L11" s="69">
        <f t="shared" si="2"/>
        <v>0</v>
      </c>
    </row>
    <row r="12" spans="1:12" x14ac:dyDescent="0.25">
      <c r="B12" s="69"/>
      <c r="C12" s="69"/>
      <c r="D12" s="69"/>
      <c r="E12" s="69">
        <f t="shared" si="0"/>
        <v>0</v>
      </c>
      <c r="F12" s="69"/>
      <c r="G12" s="69"/>
      <c r="H12" s="69"/>
      <c r="I12" s="69">
        <f t="shared" si="1"/>
        <v>0</v>
      </c>
      <c r="J12" s="69"/>
      <c r="K12" s="69"/>
      <c r="L12" s="69">
        <f t="shared" si="2"/>
        <v>0</v>
      </c>
    </row>
    <row r="13" spans="1:12" x14ac:dyDescent="0.25">
      <c r="B13" s="69"/>
      <c r="C13" s="69"/>
      <c r="D13" s="69"/>
      <c r="E13" s="69">
        <f t="shared" si="0"/>
        <v>0</v>
      </c>
      <c r="F13" s="69"/>
      <c r="G13" s="69"/>
      <c r="H13" s="69"/>
      <c r="I13" s="69">
        <f t="shared" si="1"/>
        <v>0</v>
      </c>
      <c r="J13" s="69"/>
      <c r="K13" s="69"/>
      <c r="L13" s="69">
        <f t="shared" si="2"/>
        <v>0</v>
      </c>
    </row>
    <row r="14" spans="1:12" x14ac:dyDescent="0.25">
      <c r="B14" s="69" t="s">
        <v>288</v>
      </c>
      <c r="C14" s="69"/>
      <c r="D14" s="69"/>
      <c r="E14" s="69">
        <f t="shared" si="0"/>
        <v>0</v>
      </c>
      <c r="F14" s="69" t="s">
        <v>285</v>
      </c>
      <c r="G14" s="69"/>
      <c r="H14" s="69"/>
      <c r="I14" s="69">
        <f t="shared" si="1"/>
        <v>0</v>
      </c>
      <c r="J14" s="69"/>
      <c r="K14" s="69"/>
      <c r="L14" s="69">
        <f t="shared" si="2"/>
        <v>0</v>
      </c>
    </row>
    <row r="15" spans="1:12" x14ac:dyDescent="0.25">
      <c r="B15" s="69"/>
      <c r="C15" s="69"/>
      <c r="D15" s="69"/>
      <c r="E15" s="69">
        <f t="shared" si="0"/>
        <v>0</v>
      </c>
      <c r="F15" s="69" t="s">
        <v>287</v>
      </c>
      <c r="G15" s="69"/>
      <c r="H15" s="69"/>
      <c r="I15" s="69">
        <f t="shared" si="1"/>
        <v>0</v>
      </c>
      <c r="J15" s="69"/>
      <c r="K15" s="69"/>
      <c r="L15" s="69">
        <f t="shared" si="2"/>
        <v>0</v>
      </c>
    </row>
    <row r="16" spans="1:12" x14ac:dyDescent="0.25">
      <c r="B16" s="69"/>
      <c r="C16" s="69"/>
      <c r="D16" s="69"/>
      <c r="E16" s="69">
        <f t="shared" si="0"/>
        <v>0</v>
      </c>
      <c r="F16" s="69"/>
      <c r="G16" s="69"/>
      <c r="H16" s="69"/>
      <c r="I16" s="69">
        <f t="shared" si="1"/>
        <v>0</v>
      </c>
      <c r="J16" s="69"/>
      <c r="K16" s="69"/>
      <c r="L16" s="69">
        <f t="shared" si="2"/>
        <v>0</v>
      </c>
    </row>
    <row r="17" spans="2:12" x14ac:dyDescent="0.25">
      <c r="B17" s="69"/>
      <c r="C17" s="69"/>
      <c r="D17" s="69"/>
      <c r="E17" s="69">
        <f t="shared" si="0"/>
        <v>0</v>
      </c>
      <c r="F17" s="69"/>
      <c r="G17" s="69"/>
      <c r="H17" s="69"/>
      <c r="I17" s="69">
        <f t="shared" si="1"/>
        <v>0</v>
      </c>
      <c r="J17" s="69"/>
      <c r="K17" s="69"/>
      <c r="L17" s="69">
        <f t="shared" si="2"/>
        <v>0</v>
      </c>
    </row>
    <row r="18" spans="2:12" x14ac:dyDescent="0.25">
      <c r="B18" s="69" t="s">
        <v>289</v>
      </c>
      <c r="C18" s="69"/>
      <c r="D18" s="69"/>
      <c r="E18" s="69">
        <f t="shared" si="0"/>
        <v>0</v>
      </c>
      <c r="F18" s="69" t="s">
        <v>285</v>
      </c>
      <c r="G18" s="69"/>
      <c r="H18" s="69"/>
      <c r="I18" s="69">
        <f t="shared" si="1"/>
        <v>0</v>
      </c>
      <c r="J18" s="69"/>
      <c r="K18" s="69"/>
      <c r="L18" s="69">
        <f t="shared" si="2"/>
        <v>0</v>
      </c>
    </row>
    <row r="19" spans="2:12" x14ac:dyDescent="0.25">
      <c r="B19" s="69"/>
      <c r="C19" s="69"/>
      <c r="D19" s="69"/>
      <c r="E19" s="69">
        <f t="shared" si="0"/>
        <v>0</v>
      </c>
      <c r="F19" s="69" t="s">
        <v>287</v>
      </c>
      <c r="G19" s="69"/>
      <c r="H19" s="69"/>
      <c r="I19" s="69">
        <f t="shared" si="1"/>
        <v>0</v>
      </c>
      <c r="J19" s="69"/>
      <c r="K19" s="69"/>
      <c r="L19" s="69">
        <f t="shared" si="2"/>
        <v>0</v>
      </c>
    </row>
    <row r="20" spans="2:12" x14ac:dyDescent="0.25">
      <c r="B20" s="69"/>
      <c r="C20" s="69"/>
      <c r="D20" s="69"/>
      <c r="E20" s="69">
        <f t="shared" si="0"/>
        <v>0</v>
      </c>
      <c r="F20" s="69"/>
      <c r="G20" s="69"/>
      <c r="H20" s="69"/>
      <c r="I20" s="69">
        <f t="shared" si="1"/>
        <v>0</v>
      </c>
      <c r="J20" s="69"/>
      <c r="K20" s="69"/>
      <c r="L20" s="69">
        <f t="shared" si="2"/>
        <v>0</v>
      </c>
    </row>
    <row r="21" spans="2:12" x14ac:dyDescent="0.25">
      <c r="B21" s="69" t="s">
        <v>290</v>
      </c>
      <c r="C21" s="69"/>
      <c r="D21" s="69"/>
      <c r="E21" s="69">
        <f t="shared" si="0"/>
        <v>0</v>
      </c>
      <c r="F21" s="69" t="s">
        <v>285</v>
      </c>
      <c r="G21" s="69"/>
      <c r="H21" s="69"/>
      <c r="I21" s="69">
        <f t="shared" si="1"/>
        <v>0</v>
      </c>
      <c r="J21" s="69"/>
      <c r="K21" s="69"/>
      <c r="L21" s="69">
        <f t="shared" si="2"/>
        <v>0</v>
      </c>
    </row>
    <row r="22" spans="2:12" x14ac:dyDescent="0.25">
      <c r="B22" s="69"/>
      <c r="C22" s="69"/>
      <c r="D22" s="69"/>
      <c r="E22" s="69">
        <f t="shared" si="0"/>
        <v>0</v>
      </c>
      <c r="F22" s="69" t="s">
        <v>287</v>
      </c>
      <c r="G22" s="69"/>
      <c r="H22" s="69"/>
      <c r="I22" s="69">
        <f t="shared" si="1"/>
        <v>0</v>
      </c>
      <c r="J22" s="69"/>
      <c r="K22" s="69"/>
      <c r="L22" s="69">
        <f t="shared" si="2"/>
        <v>0</v>
      </c>
    </row>
    <row r="23" spans="2:12" x14ac:dyDescent="0.25">
      <c r="B23" s="69"/>
      <c r="C23" s="69"/>
      <c r="D23" s="69"/>
      <c r="E23" s="69">
        <f t="shared" si="0"/>
        <v>0</v>
      </c>
      <c r="F23" s="69"/>
      <c r="G23" s="69"/>
      <c r="H23" s="69"/>
      <c r="I23" s="69">
        <f t="shared" si="1"/>
        <v>0</v>
      </c>
      <c r="J23" s="69"/>
      <c r="K23" s="69"/>
      <c r="L23" s="69">
        <f t="shared" si="2"/>
        <v>0</v>
      </c>
    </row>
    <row r="24" spans="2:12" x14ac:dyDescent="0.25">
      <c r="B24" s="69" t="s">
        <v>291</v>
      </c>
      <c r="C24" s="69"/>
      <c r="D24" s="69"/>
      <c r="E24" s="69">
        <f t="shared" si="0"/>
        <v>0</v>
      </c>
      <c r="F24" s="69" t="s">
        <v>292</v>
      </c>
      <c r="G24" s="69"/>
      <c r="H24" s="69"/>
      <c r="I24" s="69">
        <f t="shared" si="1"/>
        <v>0</v>
      </c>
      <c r="J24" s="69"/>
      <c r="K24" s="69"/>
      <c r="L24" s="69">
        <f t="shared" si="2"/>
        <v>0</v>
      </c>
    </row>
    <row r="25" spans="2:12" x14ac:dyDescent="0.25">
      <c r="B25" s="69"/>
      <c r="C25" s="69"/>
      <c r="D25" s="69"/>
      <c r="E25" s="69">
        <f t="shared" si="0"/>
        <v>0</v>
      </c>
      <c r="F25" s="69" t="s">
        <v>292</v>
      </c>
      <c r="G25" s="69"/>
      <c r="H25" s="69"/>
      <c r="I25" s="69">
        <f t="shared" si="1"/>
        <v>0</v>
      </c>
      <c r="J25" s="69"/>
      <c r="K25" s="69"/>
      <c r="L25" s="69">
        <f t="shared" si="2"/>
        <v>0</v>
      </c>
    </row>
    <row r="26" spans="2:12" x14ac:dyDescent="0.25">
      <c r="B26" s="69"/>
      <c r="C26" s="69"/>
      <c r="D26" s="69"/>
      <c r="E26" s="69">
        <f t="shared" si="0"/>
        <v>0</v>
      </c>
      <c r="F26" s="69" t="s">
        <v>292</v>
      </c>
      <c r="G26" s="69"/>
      <c r="H26" s="69"/>
      <c r="I26" s="69">
        <f t="shared" si="1"/>
        <v>0</v>
      </c>
      <c r="J26" s="69"/>
      <c r="K26" s="69"/>
      <c r="L26" s="69">
        <f t="shared" si="2"/>
        <v>0</v>
      </c>
    </row>
    <row r="27" spans="2:12" x14ac:dyDescent="0.25">
      <c r="B27" s="69"/>
      <c r="C27" s="69"/>
      <c r="D27" s="69"/>
      <c r="E27" s="69">
        <f t="shared" si="0"/>
        <v>0</v>
      </c>
      <c r="F27" s="69" t="s">
        <v>292</v>
      </c>
      <c r="G27" s="69"/>
      <c r="H27" s="69"/>
      <c r="I27" s="69">
        <f t="shared" si="1"/>
        <v>0</v>
      </c>
      <c r="J27" s="69"/>
      <c r="K27" s="69"/>
      <c r="L27" s="69">
        <f t="shared" si="2"/>
        <v>0</v>
      </c>
    </row>
    <row r="28" spans="2:12" x14ac:dyDescent="0.25">
      <c r="B28" s="69" t="s">
        <v>293</v>
      </c>
      <c r="C28" s="69"/>
      <c r="D28" s="69"/>
      <c r="E28" s="69">
        <f t="shared" si="0"/>
        <v>0</v>
      </c>
      <c r="F28" s="69" t="s">
        <v>292</v>
      </c>
      <c r="G28" s="69"/>
      <c r="H28" s="69"/>
      <c r="I28" s="69">
        <f t="shared" si="1"/>
        <v>0</v>
      </c>
      <c r="J28" s="69"/>
      <c r="K28" s="69"/>
      <c r="L28" s="69">
        <f t="shared" si="2"/>
        <v>0</v>
      </c>
    </row>
    <row r="29" spans="2:12" x14ac:dyDescent="0.25">
      <c r="B29" s="69" t="s">
        <v>294</v>
      </c>
      <c r="C29" s="69"/>
      <c r="D29" s="69"/>
      <c r="E29" s="69">
        <f t="shared" si="0"/>
        <v>0</v>
      </c>
      <c r="F29" s="69" t="s">
        <v>292</v>
      </c>
      <c r="G29" s="69"/>
      <c r="H29" s="69"/>
      <c r="I29" s="69">
        <f t="shared" si="1"/>
        <v>0</v>
      </c>
      <c r="J29" s="69"/>
      <c r="K29" s="69"/>
      <c r="L29" s="69">
        <f t="shared" si="2"/>
        <v>0</v>
      </c>
    </row>
    <row r="30" spans="2:12" x14ac:dyDescent="0.25">
      <c r="B30" s="69" t="s">
        <v>295</v>
      </c>
      <c r="C30" s="69"/>
      <c r="D30" s="69"/>
      <c r="E30" s="69">
        <f t="shared" si="0"/>
        <v>0</v>
      </c>
      <c r="F30" s="69"/>
      <c r="G30" s="69"/>
      <c r="H30" s="69"/>
      <c r="I30" s="69">
        <f t="shared" si="1"/>
        <v>0</v>
      </c>
      <c r="J30" s="69"/>
      <c r="K30" s="69"/>
      <c r="L30" s="69">
        <f t="shared" si="2"/>
        <v>0</v>
      </c>
    </row>
    <row r="31" spans="2:12" x14ac:dyDescent="0.25">
      <c r="B31" s="69"/>
      <c r="C31" s="69"/>
      <c r="D31" s="69"/>
      <c r="E31" s="69">
        <f t="shared" si="0"/>
        <v>0</v>
      </c>
      <c r="F31" s="69"/>
      <c r="G31" s="69"/>
      <c r="H31" s="69"/>
      <c r="I31" s="69">
        <f t="shared" si="1"/>
        <v>0</v>
      </c>
      <c r="J31" s="69"/>
      <c r="K31" s="69"/>
      <c r="L31" s="69">
        <f t="shared" si="2"/>
        <v>0</v>
      </c>
    </row>
    <row r="32" spans="2:12" x14ac:dyDescent="0.25">
      <c r="B32" s="69"/>
      <c r="C32" s="69"/>
      <c r="D32" s="69"/>
      <c r="E32" s="69">
        <f t="shared" si="0"/>
        <v>0</v>
      </c>
      <c r="F32" s="69"/>
      <c r="G32" s="69"/>
      <c r="H32" s="69"/>
      <c r="I32" s="69">
        <f t="shared" si="1"/>
        <v>0</v>
      </c>
      <c r="J32" s="69"/>
      <c r="K32" s="69"/>
      <c r="L32" s="69">
        <f t="shared" si="2"/>
        <v>0</v>
      </c>
    </row>
    <row r="33" spans="2:12" x14ac:dyDescent="0.25">
      <c r="B33" s="69" t="s">
        <v>296</v>
      </c>
      <c r="C33" s="69"/>
      <c r="D33" s="69"/>
      <c r="E33" s="69">
        <f t="shared" si="0"/>
        <v>0</v>
      </c>
      <c r="F33" s="69"/>
      <c r="G33" s="69"/>
      <c r="H33" s="69"/>
      <c r="I33" s="69">
        <f t="shared" si="1"/>
        <v>0</v>
      </c>
      <c r="J33" s="69"/>
      <c r="K33" s="69"/>
      <c r="L33" s="69">
        <f t="shared" si="2"/>
        <v>0</v>
      </c>
    </row>
    <row r="34" spans="2:12" x14ac:dyDescent="0.25">
      <c r="B34" s="69" t="s">
        <v>297</v>
      </c>
      <c r="C34" s="69"/>
      <c r="D34" s="69"/>
      <c r="E34" s="69">
        <f t="shared" si="0"/>
        <v>0</v>
      </c>
      <c r="F34" s="69"/>
      <c r="G34" s="69"/>
      <c r="H34" s="69"/>
      <c r="I34" s="69">
        <f t="shared" si="1"/>
        <v>0</v>
      </c>
      <c r="J34" s="69"/>
      <c r="K34" s="69"/>
      <c r="L34" s="69">
        <f t="shared" si="2"/>
        <v>0</v>
      </c>
    </row>
    <row r="35" spans="2:12" x14ac:dyDescent="0.25">
      <c r="B35" s="69" t="s">
        <v>298</v>
      </c>
      <c r="C35" s="69"/>
      <c r="D35" s="69"/>
      <c r="E35" s="69">
        <f t="shared" si="0"/>
        <v>0</v>
      </c>
      <c r="F35" s="69"/>
      <c r="G35" s="69"/>
      <c r="H35" s="69"/>
      <c r="I35" s="69">
        <f t="shared" si="1"/>
        <v>0</v>
      </c>
      <c r="J35" s="69"/>
      <c r="K35" s="69"/>
      <c r="L35" s="69">
        <f t="shared" si="2"/>
        <v>0</v>
      </c>
    </row>
    <row r="36" spans="2:12" x14ac:dyDescent="0.25">
      <c r="B36" s="69" t="s">
        <v>299</v>
      </c>
      <c r="C36" s="69"/>
      <c r="D36" s="69"/>
      <c r="E36" s="69">
        <f t="shared" si="0"/>
        <v>0</v>
      </c>
      <c r="F36" s="69"/>
      <c r="G36" s="69"/>
      <c r="H36" s="69"/>
      <c r="I36" s="69">
        <f>G36*H36</f>
        <v>0</v>
      </c>
      <c r="J36" s="69"/>
      <c r="K36" s="69"/>
      <c r="L36" s="69">
        <f>J36*K36</f>
        <v>0</v>
      </c>
    </row>
    <row r="37" spans="2:12" x14ac:dyDescent="0.25">
      <c r="B37" s="69"/>
      <c r="C37" s="69"/>
      <c r="D37" s="69"/>
      <c r="E37" s="69">
        <f t="shared" si="0"/>
        <v>0</v>
      </c>
      <c r="F37" s="69"/>
      <c r="G37" s="69"/>
      <c r="H37" s="69"/>
      <c r="I37" s="69">
        <f t="shared" ref="I37:I38" si="3">G37*H37</f>
        <v>0</v>
      </c>
      <c r="J37" s="69"/>
      <c r="K37" s="69"/>
      <c r="L37" s="69">
        <f t="shared" ref="L37:L38" si="4">J37*K37</f>
        <v>0</v>
      </c>
    </row>
    <row r="38" spans="2:12" x14ac:dyDescent="0.25">
      <c r="B38" s="69" t="s">
        <v>300</v>
      </c>
      <c r="C38" s="69"/>
      <c r="D38" s="69"/>
      <c r="E38" s="69">
        <f t="shared" si="0"/>
        <v>0</v>
      </c>
      <c r="F38" s="69"/>
      <c r="G38" s="69"/>
      <c r="H38" s="69"/>
      <c r="I38" s="69">
        <f t="shared" si="3"/>
        <v>0</v>
      </c>
      <c r="J38" s="69"/>
      <c r="K38" s="69"/>
      <c r="L38" s="69">
        <f t="shared" si="4"/>
        <v>0</v>
      </c>
    </row>
    <row r="39" spans="2:12" x14ac:dyDescent="0.25">
      <c r="B39" s="69"/>
      <c r="C39" s="69"/>
      <c r="D39" s="69"/>
      <c r="E39" s="69">
        <f t="shared" si="0"/>
        <v>0</v>
      </c>
      <c r="F39" s="69"/>
      <c r="G39" s="69"/>
      <c r="H39" s="69"/>
      <c r="I39" s="69">
        <f>G39*H39</f>
        <v>0</v>
      </c>
      <c r="J39" s="69"/>
      <c r="K39" s="69"/>
      <c r="L39" s="69">
        <f>J39*K39</f>
        <v>0</v>
      </c>
    </row>
    <row r="40" spans="2:12" x14ac:dyDescent="0.25">
      <c r="B40" s="69"/>
      <c r="C40" s="69"/>
      <c r="D40" s="69"/>
      <c r="E40" s="69">
        <f t="shared" si="0"/>
        <v>0</v>
      </c>
      <c r="F40" s="69"/>
      <c r="G40" s="69"/>
      <c r="H40" s="69"/>
      <c r="I40" s="69">
        <f>G40*H40</f>
        <v>0</v>
      </c>
      <c r="J40" s="69"/>
      <c r="K40" s="69"/>
      <c r="L40" s="69">
        <f>J40*K40</f>
        <v>0</v>
      </c>
    </row>
    <row r="41" spans="2:12" x14ac:dyDescent="0.25">
      <c r="B41" s="69"/>
      <c r="C41" s="69"/>
      <c r="D41" s="69"/>
      <c r="E41" s="69">
        <f t="shared" si="0"/>
        <v>0</v>
      </c>
      <c r="F41" s="69"/>
      <c r="G41" s="69"/>
      <c r="H41" s="69"/>
      <c r="I41" s="69">
        <f>G41*H41</f>
        <v>0</v>
      </c>
      <c r="J41" s="69"/>
      <c r="K41" s="69"/>
      <c r="L41" s="69">
        <f>J41*K41</f>
        <v>0</v>
      </c>
    </row>
    <row r="42" spans="2:12" x14ac:dyDescent="0.25">
      <c r="B42" s="69" t="s">
        <v>156</v>
      </c>
      <c r="C42" s="69"/>
      <c r="D42" s="69">
        <f>E42*10.764</f>
        <v>0</v>
      </c>
      <c r="E42" s="88">
        <f>SUM(E6:E41)</f>
        <v>0</v>
      </c>
      <c r="F42" s="69"/>
      <c r="G42" s="69"/>
      <c r="H42" s="69">
        <f>I42*10.764</f>
        <v>0</v>
      </c>
      <c r="I42" s="89">
        <f>SUM(I6:I41)</f>
        <v>0</v>
      </c>
      <c r="J42" s="69"/>
      <c r="K42" s="69">
        <f>L42*10.764</f>
        <v>0</v>
      </c>
      <c r="L42" s="90">
        <f>SUM(L6:L41)</f>
        <v>0</v>
      </c>
    </row>
    <row r="44" spans="2:12" x14ac:dyDescent="0.25">
      <c r="D44" s="85">
        <f>D42+H42</f>
        <v>0</v>
      </c>
      <c r="E44" s="85">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2025-08-08T11:42:02Z</cp:lastPrinted>
  <dcterms:created xsi:type="dcterms:W3CDTF">2010-11-23T11:42:48Z</dcterms:created>
  <dcterms:modified xsi:type="dcterms:W3CDTF">2025-08-08T11:43:04Z</dcterms:modified>
</cp:coreProperties>
</file>