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EAB7972F-798C-4FD3-AC5C-A2A9F4340550}" xr6:coauthVersionLast="36" xr6:coauthVersionMax="36" xr10:uidLastSave="{00000000-0000-0000-0000-000000000000}"/>
  <bookViews>
    <workbookView xWindow="0" yWindow="0" windowWidth="20490" windowHeight="682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Report!$A$1:$H$339</definedName>
  </definedNames>
  <calcPr calcId="191029"/>
</workbook>
</file>

<file path=xl/calcChain.xml><?xml version="1.0" encoding="utf-8"?>
<calcChain xmlns="http://schemas.openxmlformats.org/spreadsheetml/2006/main">
  <c r="J2" i="3" l="1"/>
  <c r="L141" i="3" l="1"/>
  <c r="I137" i="3"/>
  <c r="J155" i="3"/>
  <c r="E156" i="3"/>
  <c r="E155" i="3"/>
  <c r="E147" i="3"/>
  <c r="E148" i="3"/>
  <c r="E140" i="3"/>
  <c r="E139" i="3"/>
  <c r="E138" i="3"/>
  <c r="E132" i="3"/>
  <c r="E137" i="3"/>
  <c r="E134" i="3"/>
  <c r="I122" i="3"/>
  <c r="E127" i="3"/>
  <c r="E107" i="3"/>
  <c r="E103" i="3"/>
  <c r="E105" i="3"/>
  <c r="I57" i="3"/>
  <c r="D203" i="3" l="1"/>
  <c r="D201" i="3"/>
  <c r="E91" i="3"/>
  <c r="E92" i="3" s="1"/>
  <c r="E96" i="3"/>
  <c r="E95" i="3"/>
  <c r="E97" i="3" s="1"/>
  <c r="I187" i="3"/>
  <c r="I181" i="3"/>
  <c r="I173" i="3"/>
  <c r="I165" i="3"/>
  <c r="I157" i="3"/>
  <c r="I149" i="3"/>
  <c r="I121" i="3"/>
  <c r="I116" i="3"/>
  <c r="I108" i="3"/>
  <c r="I106" i="3"/>
  <c r="I104" i="3"/>
  <c r="E87" i="3" l="1"/>
  <c r="E190" i="3"/>
  <c r="H190" i="3" s="1"/>
  <c r="E189" i="3"/>
  <c r="H189" i="3" s="1"/>
  <c r="E188" i="3"/>
  <c r="H188" i="3" s="1"/>
  <c r="E186" i="3"/>
  <c r="H186" i="3" s="1"/>
  <c r="E185" i="3"/>
  <c r="H185" i="3" s="1"/>
  <c r="E184" i="3"/>
  <c r="E183" i="3"/>
  <c r="H183" i="3" s="1"/>
  <c r="E182" i="3"/>
  <c r="H182" i="3" s="1"/>
  <c r="E178" i="3"/>
  <c r="H178" i="3" s="1"/>
  <c r="E177" i="3"/>
  <c r="E176" i="3"/>
  <c r="H176" i="3" s="1"/>
  <c r="E175" i="3"/>
  <c r="H175" i="3" s="1"/>
  <c r="E174" i="3"/>
  <c r="H174" i="3" s="1"/>
  <c r="E166" i="3"/>
  <c r="E164" i="3"/>
  <c r="H164" i="3" s="1"/>
  <c r="E163" i="3"/>
  <c r="H163" i="3" s="1"/>
  <c r="E162" i="3"/>
  <c r="H162" i="3" s="1"/>
  <c r="E161" i="3"/>
  <c r="H161" i="3" s="1"/>
  <c r="E160" i="3"/>
  <c r="H160" i="3" s="1"/>
  <c r="E159" i="3"/>
  <c r="H159" i="3" s="1"/>
  <c r="E158" i="3"/>
  <c r="H158" i="3" s="1"/>
  <c r="H155" i="3"/>
  <c r="I155" i="3" s="1"/>
  <c r="E154" i="3"/>
  <c r="H154" i="3" s="1"/>
  <c r="E153" i="3"/>
  <c r="H153" i="3" s="1"/>
  <c r="E152" i="3"/>
  <c r="E151" i="3"/>
  <c r="H151" i="3" s="1"/>
  <c r="E150" i="3"/>
  <c r="H150" i="3" s="1"/>
  <c r="H148" i="3"/>
  <c r="E146" i="3"/>
  <c r="H146" i="3" s="1"/>
  <c r="E145" i="3"/>
  <c r="E144" i="3"/>
  <c r="H144" i="3" s="1"/>
  <c r="E143" i="3"/>
  <c r="H143" i="3" s="1"/>
  <c r="E142" i="3"/>
  <c r="H142" i="3" s="1"/>
  <c r="H139" i="3"/>
  <c r="H138" i="3"/>
  <c r="L138" i="3" s="1"/>
  <c r="H137" i="3"/>
  <c r="E135" i="3"/>
  <c r="H134" i="3"/>
  <c r="E133" i="3"/>
  <c r="H133" i="3" s="1"/>
  <c r="H132" i="3"/>
  <c r="E130" i="3"/>
  <c r="H130" i="3" s="1"/>
  <c r="E129" i="3"/>
  <c r="H129" i="3" s="1"/>
  <c r="E125" i="3"/>
  <c r="H125" i="3" s="1"/>
  <c r="E124" i="3"/>
  <c r="E123" i="3"/>
  <c r="H123" i="3" s="1"/>
  <c r="E122" i="3"/>
  <c r="H122" i="3" s="1"/>
  <c r="E120" i="3"/>
  <c r="E119" i="3"/>
  <c r="E118" i="3"/>
  <c r="E117" i="3"/>
  <c r="E114" i="3"/>
  <c r="E113" i="3"/>
  <c r="E112" i="3"/>
  <c r="E111" i="3"/>
  <c r="E110" i="3"/>
  <c r="E109" i="3"/>
  <c r="I100" i="3"/>
  <c r="H184" i="3"/>
  <c r="H177" i="3"/>
  <c r="H166" i="3"/>
  <c r="H156" i="3"/>
  <c r="H152" i="3"/>
  <c r="H147" i="3"/>
  <c r="I141" i="3"/>
  <c r="H145" i="3"/>
  <c r="H140" i="3"/>
  <c r="I136" i="3"/>
  <c r="H135" i="3"/>
  <c r="I131" i="3"/>
  <c r="H124" i="3"/>
  <c r="H127" i="3"/>
  <c r="I126" i="3"/>
  <c r="V122" i="3"/>
  <c r="U188" i="3"/>
  <c r="U122" i="3"/>
  <c r="V142" i="3"/>
  <c r="U182" i="3"/>
  <c r="V137" i="3"/>
  <c r="U132" i="3"/>
  <c r="V182" i="3"/>
  <c r="U166" i="3"/>
  <c r="V127" i="3"/>
  <c r="V158" i="3"/>
  <c r="U142" i="3"/>
  <c r="V188" i="3"/>
  <c r="U137" i="3"/>
  <c r="U150" i="3"/>
  <c r="U158" i="3"/>
  <c r="V132" i="3"/>
  <c r="V166" i="3"/>
  <c r="V174" i="3"/>
  <c r="V150" i="3"/>
  <c r="U127" i="3"/>
  <c r="U174" i="3"/>
  <c r="I140" i="3" l="1"/>
  <c r="J140" i="3" s="1"/>
  <c r="L140" i="3"/>
  <c r="L139" i="3"/>
  <c r="I139" i="3"/>
  <c r="L137" i="3"/>
  <c r="J137" i="3"/>
  <c r="G95" i="3"/>
  <c r="E88" i="3"/>
  <c r="I94" i="3" s="1"/>
  <c r="E98" i="3"/>
  <c r="U189" i="3"/>
  <c r="T188" i="3"/>
  <c r="V189" i="3"/>
  <c r="V190" i="3" s="1"/>
  <c r="V191" i="3" s="1"/>
  <c r="V192" i="3" s="1"/>
  <c r="U183" i="3"/>
  <c r="T182" i="3"/>
  <c r="V183" i="3"/>
  <c r="V184" i="3" s="1"/>
  <c r="V185" i="3" s="1"/>
  <c r="V186" i="3" s="1"/>
  <c r="U175" i="3"/>
  <c r="T174" i="3"/>
  <c r="V175" i="3"/>
  <c r="V176" i="3" s="1"/>
  <c r="V177" i="3" s="1"/>
  <c r="V178" i="3" s="1"/>
  <c r="V179" i="3" s="1"/>
  <c r="V180" i="3" s="1"/>
  <c r="U167" i="3"/>
  <c r="T166" i="3"/>
  <c r="V167" i="3"/>
  <c r="V168" i="3" s="1"/>
  <c r="V169" i="3" s="1"/>
  <c r="V170" i="3" s="1"/>
  <c r="V171" i="3" s="1"/>
  <c r="V172" i="3" s="1"/>
  <c r="U159" i="3"/>
  <c r="T158" i="3"/>
  <c r="V159" i="3"/>
  <c r="V160" i="3" s="1"/>
  <c r="V161" i="3" s="1"/>
  <c r="V162" i="3" s="1"/>
  <c r="V163" i="3" s="1"/>
  <c r="V164" i="3" s="1"/>
  <c r="U151" i="3"/>
  <c r="T150" i="3"/>
  <c r="V151" i="3"/>
  <c r="V152" i="3" s="1"/>
  <c r="V153" i="3" s="1"/>
  <c r="V154" i="3" s="1"/>
  <c r="V155" i="3" s="1"/>
  <c r="V156" i="3" s="1"/>
  <c r="U143" i="3"/>
  <c r="T142" i="3"/>
  <c r="V143" i="3"/>
  <c r="V144" i="3" s="1"/>
  <c r="V145" i="3" s="1"/>
  <c r="V146" i="3" s="1"/>
  <c r="V147" i="3" s="1"/>
  <c r="V148" i="3" s="1"/>
  <c r="V138" i="3"/>
  <c r="V139" i="3" s="1"/>
  <c r="V140" i="3" s="1"/>
  <c r="U138" i="3"/>
  <c r="T137" i="3"/>
  <c r="U133" i="3"/>
  <c r="T132" i="3"/>
  <c r="V133" i="3"/>
  <c r="V134" i="3" s="1"/>
  <c r="V135" i="3" s="1"/>
  <c r="V128" i="3"/>
  <c r="V129" i="3" s="1"/>
  <c r="V130" i="3" s="1"/>
  <c r="U128" i="3"/>
  <c r="T127" i="3"/>
  <c r="V123" i="3"/>
  <c r="V124" i="3" s="1"/>
  <c r="V125" i="3" s="1"/>
  <c r="U123" i="3"/>
  <c r="T122" i="3"/>
  <c r="H107" i="3"/>
  <c r="H105" i="3"/>
  <c r="G83" i="3"/>
  <c r="G82" i="3"/>
  <c r="G20" i="3"/>
  <c r="C19" i="3"/>
  <c r="U190" i="3" l="1"/>
  <c r="T189" i="3"/>
  <c r="U184" i="3"/>
  <c r="T183" i="3"/>
  <c r="U176" i="3"/>
  <c r="T175" i="3"/>
  <c r="U168" i="3"/>
  <c r="T167" i="3"/>
  <c r="U160" i="3"/>
  <c r="T159" i="3"/>
  <c r="U152" i="3"/>
  <c r="T151" i="3"/>
  <c r="U144" i="3"/>
  <c r="T143" i="3"/>
  <c r="U139" i="3"/>
  <c r="T138" i="3"/>
  <c r="U134" i="3"/>
  <c r="T133" i="3"/>
  <c r="U129" i="3"/>
  <c r="T128" i="3"/>
  <c r="U124" i="3"/>
  <c r="T123" i="3"/>
  <c r="H103" i="3"/>
  <c r="G87" i="3" s="1"/>
  <c r="G88" i="3" l="1"/>
  <c r="U191" i="3"/>
  <c r="T190" i="3"/>
  <c r="U185" i="3"/>
  <c r="T184" i="3"/>
  <c r="U177" i="3"/>
  <c r="T176" i="3"/>
  <c r="U169" i="3"/>
  <c r="T168" i="3"/>
  <c r="U161" i="3"/>
  <c r="T160" i="3"/>
  <c r="U153" i="3"/>
  <c r="T152" i="3"/>
  <c r="U145" i="3"/>
  <c r="T144" i="3"/>
  <c r="U140" i="3"/>
  <c r="T140" i="3" s="1"/>
  <c r="T139" i="3"/>
  <c r="U135" i="3"/>
  <c r="T135" i="3" s="1"/>
  <c r="T134" i="3"/>
  <c r="U130" i="3"/>
  <c r="T130" i="3" s="1"/>
  <c r="T129" i="3"/>
  <c r="U125" i="3"/>
  <c r="T125" i="3" s="1"/>
  <c r="T124"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I42" i="6"/>
  <c r="H42" i="6" s="1"/>
  <c r="L42" i="6"/>
  <c r="K42" i="6" s="1"/>
  <c r="U192" i="3"/>
  <c r="T192" i="3" s="1"/>
  <c r="T191" i="3"/>
  <c r="U186" i="3"/>
  <c r="T186" i="3" s="1"/>
  <c r="T185" i="3"/>
  <c r="U178" i="3"/>
  <c r="T177" i="3"/>
  <c r="U170" i="3"/>
  <c r="T169" i="3"/>
  <c r="U162" i="3"/>
  <c r="T161" i="3"/>
  <c r="U154" i="3"/>
  <c r="T153" i="3"/>
  <c r="U146" i="3"/>
  <c r="T145" i="3"/>
  <c r="E44" i="6"/>
  <c r="D42" i="6"/>
  <c r="D44" i="6" s="1"/>
  <c r="U179" i="3" l="1"/>
  <c r="T178" i="3"/>
  <c r="U171" i="3"/>
  <c r="T170" i="3"/>
  <c r="U163" i="3"/>
  <c r="T162" i="3"/>
  <c r="U155" i="3"/>
  <c r="T154" i="3"/>
  <c r="U147" i="3"/>
  <c r="T146" i="3"/>
  <c r="C26" i="3"/>
  <c r="C18" i="3"/>
  <c r="H120" i="3"/>
  <c r="H119" i="3"/>
  <c r="H118" i="3"/>
  <c r="H117" i="3"/>
  <c r="H114" i="3"/>
  <c r="H113" i="3"/>
  <c r="H112" i="3"/>
  <c r="H111" i="3"/>
  <c r="H110" i="3"/>
  <c r="H109" i="3"/>
  <c r="G96" i="3" l="1"/>
  <c r="G97" i="3" s="1"/>
  <c r="G91" i="3"/>
  <c r="G92" i="3" s="1"/>
  <c r="U180" i="3"/>
  <c r="T180" i="3" s="1"/>
  <c r="T179" i="3"/>
  <c r="U172" i="3"/>
  <c r="T172" i="3" s="1"/>
  <c r="T171" i="3"/>
  <c r="U164" i="3"/>
  <c r="T164" i="3" s="1"/>
  <c r="T163" i="3"/>
  <c r="U156" i="3"/>
  <c r="T156" i="3" s="1"/>
  <c r="T155" i="3"/>
  <c r="U148" i="3"/>
  <c r="T148" i="3" s="1"/>
  <c r="T147" i="3"/>
  <c r="A61" i="3"/>
  <c r="G98"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E18" i="4"/>
  <c r="E15" i="4"/>
  <c r="E17" i="4"/>
  <c r="E11" i="4"/>
  <c r="K6" i="4"/>
  <c r="E9" i="4"/>
  <c r="K8" i="4"/>
  <c r="C7" i="4" s="1"/>
  <c r="E14" i="4"/>
  <c r="E12" i="4"/>
  <c r="E16" i="4"/>
  <c r="E10" i="4"/>
  <c r="K9" i="4"/>
  <c r="K10" i="4" s="1"/>
  <c r="K11" i="4" s="1"/>
  <c r="E13" i="4"/>
  <c r="K7" i="4"/>
  <c r="K12" i="4" l="1"/>
  <c r="K16" i="4" s="1"/>
  <c r="C8" i="4" s="1"/>
  <c r="E8" i="4" s="1"/>
  <c r="E7" i="4"/>
  <c r="F7" i="4" l="1"/>
  <c r="J4" i="4" s="1"/>
  <c r="H7" i="4" s="1"/>
  <c r="G4" i="3" l="1"/>
  <c r="D202" i="3" l="1"/>
  <c r="G84" i="3"/>
  <c r="J71" i="3"/>
  <c r="J70" i="3"/>
  <c r="H62" i="3"/>
  <c r="J66" i="3" l="1"/>
  <c r="D71" i="3"/>
  <c r="D68" i="3"/>
  <c r="D66" i="3"/>
  <c r="J64" i="3"/>
  <c r="D75" i="3"/>
  <c r="D73" i="3"/>
  <c r="D70" i="3"/>
  <c r="D67" i="3"/>
  <c r="J65" i="3"/>
  <c r="J63" i="3"/>
  <c r="D74" i="3"/>
  <c r="D72" i="3"/>
  <c r="D69" i="3"/>
  <c r="J67" i="3" l="1"/>
  <c r="C64" i="3"/>
  <c r="J72" i="3" l="1"/>
  <c r="C65" i="3" s="1"/>
  <c r="D65" i="3" s="1"/>
  <c r="D64" i="3"/>
  <c r="J68" i="3"/>
  <c r="J69" i="3" l="1"/>
  <c r="V109" i="3"/>
  <c r="V117" i="3"/>
  <c r="U117" i="3"/>
  <c r="U109" i="3"/>
  <c r="E64" i="3" l="1"/>
  <c r="G76" i="3" s="1"/>
  <c r="T117" i="3"/>
  <c r="U118" i="3"/>
  <c r="V118" i="3"/>
  <c r="V119" i="3" s="1"/>
  <c r="V120" i="3" s="1"/>
  <c r="V110" i="3"/>
  <c r="V111" i="3" s="1"/>
  <c r="V112" i="3" s="1"/>
  <c r="V113" i="3" s="1"/>
  <c r="V114" i="3" s="1"/>
  <c r="V115" i="3" s="1"/>
  <c r="U110" i="3"/>
  <c r="T109" i="3"/>
  <c r="I61" i="3" l="1"/>
  <c r="G64" i="3" s="1"/>
  <c r="T118" i="3"/>
  <c r="U119" i="3"/>
  <c r="T119" i="3" s="1"/>
  <c r="U111" i="3"/>
  <c r="T110" i="3"/>
  <c r="U120" i="3" l="1"/>
  <c r="T120" i="3" s="1"/>
  <c r="U112" i="3"/>
  <c r="T111" i="3"/>
  <c r="U113" i="3" l="1"/>
  <c r="T112" i="3"/>
  <c r="U114" i="3" l="1"/>
  <c r="T113" i="3"/>
  <c r="U115" i="3" l="1"/>
  <c r="T114" i="3"/>
  <c r="T11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82"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<sst xmlns="http://schemas.openxmlformats.org/spreadsheetml/2006/main" count="679" uniqueCount="397">
  <si>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</si>
  <si>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</si>
  <si>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</si>
  <si>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</si>
  <si>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</si>
  <si>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</si>
  <si>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</si>
  <si>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</si>
  <si>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</si>
  <si>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</si>
  <si>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</si>
  <si>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</si>
  <si>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</si>
  <si>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</si>
  <si>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</si>
  <si>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</si>
  <si>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</si>
  <si>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</si>
  <si>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</si>
  <si>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</si>
  <si>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</si>
  <si>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</si>
  <si>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</si>
  <si>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</si>
  <si>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</si>
  <si>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</si>
  <si>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</si>
  <si>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</si>
  <si>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</si>
  <si>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</si>
  <si>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</si>
  <si>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</si>
  <si>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</si>
  <si>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</si>
  <si>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</si>
  <si>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</si>
  <si>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</si>
  <si>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</si>
  <si>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</si>
  <si>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</si>
  <si>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</si>
  <si>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</si>
  <si>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</si>
  <si>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</si>
  <si>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</si>
  <si>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</si>
  <si>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</si>
  <si>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</si>
  <si>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</si>
  <si>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</si>
  <si>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</si>
  <si>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</si>
  <si>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</si>
  <si>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</si>
  <si>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</si>
  <si>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</si>
  <si>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</si>
  <si>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</si>
  <si>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</si>
  <si>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</si>
  <si>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</si>
  <si>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</si>
  <si>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</si>
  <si>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</si>
  <si>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</si>
  <si>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</si>
  <si>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</si>
  <si>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</si>
  <si>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</si>
  <si>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</si>
  <si>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</si>
  <si>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</si>
  <si>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</si>
  <si>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</si>
  <si>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</si>
  <si>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</si>
  <si>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</si>
  <si>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</si>
  <si>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</si>
  <si>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</si>
  <si>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</si>
  <si>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</si>
  <si>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</si>
  <si>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</si>
  <si>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</si>
  <si>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</si>
  <si>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</si>
  <si>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</si>
  <si>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</si>
  <si>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</si>
  <si>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</si>
  <si>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</si>
  <si>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</si>
  <si>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</si>
  <si>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</si>
  <si>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</si>
  <si>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</si>
  <si>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</si>
  <si>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</si>
  <si>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</si>
  <si>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</si>
  <si>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</si>
  <si>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</si>
  <si>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</si>
  <si>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</si>
  <si>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</si>
  <si>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</si>
  <si>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</si>
  <si>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</si>
  <si>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</si>
  <si>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</si>
  <si>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</si>
  <si>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</si>
  <si>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</si>
  <si>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</si>
  <si>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</si>
  <si>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</si>
  <si>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</si>
  <si>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</si>
  <si>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</si>
  <si>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</si>
  <si>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</si>
  <si>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</si>
  <si>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</si>
  <si>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</si>
  <si>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</si>
  <si>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</si>
  <si>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</si>
  <si>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</si>
  <si>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</si>
  <si>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</si>
  <si>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</si>
  <si>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</si>
  <si>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</si>
  <si>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</si>
  <si>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</si>
  <si>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</si>
  <si>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</si>
  <si>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</si>
  <si>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</si>
  <si>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</si>
  <si>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</si>
  <si>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</si>
  <si>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</si>
  <si>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</si>
  <si>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</si>
  <si>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</si>
  <si>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</si>
  <si>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</si>
  <si>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</si>
  <si>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</si>
  <si>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</si>
  <si>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</si>
  <si>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</si>
  <si>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</si>
  <si>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</si>
  <si>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</si>
  <si>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</si>
  <si>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</si>
  <si>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</si>
  <si>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</si>
  <si>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</si>
  <si>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</si>
  <si>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</si>
  <si>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</si>
  <si>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</si>
  <si>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</si>
  <si>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</si>
  <si>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</si>
  <si>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</si>
  <si>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</si>
  <si>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</si>
  <si>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</si>
  <si>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</si>
  <si>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</si>
  <si>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</si>
  <si>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</si>
  <si>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</si>
  <si>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</si>
  <si>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</si>
  <si>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</si>
  <si>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</si>
  <si>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</si>
  <si>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</si>
  <si>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</si>
  <si>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</si>
  <si>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</si>
  <si>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</si>
  <si>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</si>
  <si>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</si>
  <si>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</si>
  <si>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</si>
  <si>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</si>
  <si>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</si>
  <si>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</si>
  <si>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</si>
  <si>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</si>
  <si>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</si>
  <si>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</si>
  <si>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</si>
  <si>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</si>
  <si>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</si>
  <si>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</si>
  <si>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</si>
  <si>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</si>
  <si>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</si>
  <si>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</si>
  <si>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</si>
  <si>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</si>
  <si>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</si>
  <si>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</si>
  <si>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</si>
  <si>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</si>
  <si>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</si>
  <si>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</si>
  <si>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</si>
  <si>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</si>
  <si>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</si>
  <si>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</si>
  <si>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</si>
  <si>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</si>
  <si>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</si>
  <si>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</si>
  <si>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</si>
  <si>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</si>
  <si>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</si>
  <si>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</si>
  <si>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</si>
  <si>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</si>
  <si>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</si>
  <si>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</si>
  <si>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</si>
  <si>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</si>
  <si>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</si>
  <si>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</si>
  <si>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</si>
  <si>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</si>
  <si>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</si>
  <si>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</si>
  <si>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</si>
  <si>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</si>
  <si>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</si>
  <si>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</si>
  <si>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</si>
  <si>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</si>
  <si>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</si>
  <si>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</si>
  <si>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</si>
  <si>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</si>
  <si>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</si>
  <si>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</si>
  <si>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</si>
  <si>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</si>
  <si>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</si>
  <si>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</si>
  <si>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</si>
  <si>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</si>
  <si>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</si>
  <si>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</si>
  <si>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</si>
  <si>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</si>
  <si>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</si>
  <si>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</si>
  <si>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</si>
  <si>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</si>
  <si>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</si>
  <si>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</si>
  <si>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</si>
  <si>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</si>
  <si>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</si>
  <si>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</si>
  <si>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</si>
  <si>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</si>
  <si>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</si>
  <si>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</si>
  <si>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</si>
  <si>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</si>
  <si>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</si>
  <si>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</si>
  <si>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</si>
  <si>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</si>
  <si>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</si>
  <si>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</si>
  <si>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</si>
  <si>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</si>
  <si>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</si>
  <si>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</si>
  <si>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</si>
  <si>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</si>
  <si>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</si>
  <si>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</si>
  <si>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</si>
  <si>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</si>
  <si>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</si>
  <si>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</si>
  <si>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</si>
  <si>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</si>
  <si>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Platinum Oceanic</t>
  </si>
  <si>
    <t>M/s. Platinumcorp Lifescapes LLP</t>
  </si>
  <si>
    <t>Approved Layout &amp; Floor Plans, CC, RERA certificate, Airport NOC, Fire NOC</t>
  </si>
  <si>
    <t>2nd, 8th &amp; 9th Floors, Peninsula Heights, CD Barfiwala Marg, Juhu Lane, Andheri (W), Mumbai - 400 058</t>
  </si>
  <si>
    <t>Address was not in RERA Site.</t>
  </si>
  <si>
    <t>Mr. Suraj Khare</t>
  </si>
  <si>
    <t>Platinum Oceanic, Off Carter Rd, Pyari Nagar, Chuim Village, Danda, Khar West, Mumbai, Maharashtra 400052</t>
  </si>
  <si>
    <t>Plan Showing Property Bearing C.T.S. No. 926 A of Village Bandra - D, Govind Patil Road, Taluka Andheri, Khar West, 'H/W' Ward, Mumbai.</t>
  </si>
  <si>
    <t>Slum Rehabilitation
Authority (SRA)</t>
  </si>
  <si>
    <t>P51800078789</t>
  </si>
  <si>
    <t>HDFC Bank Limited</t>
  </si>
  <si>
    <t>19.075059,72.825289</t>
  </si>
  <si>
    <t>https://maps.app.goo.gl/vvBMu4rSA5oWAxbY7</t>
  </si>
  <si>
    <t>Pimpleshwar Hanuman Mandir</t>
  </si>
  <si>
    <t>https://oceanic.platinumcorp.in/</t>
  </si>
  <si>
    <t>H-W/PVT/0117/20240116/AP/C</t>
  </si>
  <si>
    <t>This C.C is granted for work upto Plinth Level</t>
  </si>
  <si>
    <t xml:space="preserve">CC Details
Valid Up to: </t>
  </si>
  <si>
    <t>1B + G + 1st to 18th Floor</t>
  </si>
  <si>
    <t>1B + G + 1st to 17th Floor</t>
  </si>
  <si>
    <t>0.15 KM from Dandpada Bus Stop</t>
  </si>
  <si>
    <t>About 0.35 KM from Khar Danda Municipal School</t>
  </si>
  <si>
    <t>About 1.50 KM from Ramkrishna Mision Hospital</t>
  </si>
  <si>
    <t>1. Approx. 0.30 KM from Danda Fish Market.
2. Approx. 0.35 KM from Bombay Gourmet Market.</t>
  </si>
  <si>
    <t>1.80 KM from Khar Road Railway Station
2.80 KM from Santacruz Railway Station</t>
  </si>
  <si>
    <t>Building</t>
  </si>
  <si>
    <t>Proposed 18.30 Mtr Wide Govind Patil Road</t>
  </si>
  <si>
    <t>Khar Danda Road</t>
  </si>
  <si>
    <t>Proposed 18.30 Mtr Wide Eventide Cross Road</t>
  </si>
  <si>
    <t>Internal Road</t>
  </si>
  <si>
    <t>Other Plot</t>
  </si>
  <si>
    <t xml:space="preserve">Fire NOC No.
Valid Up to: </t>
  </si>
  <si>
    <t>JUHU/WEST/B/021722/655160</t>
  </si>
  <si>
    <t>Basement Floor For Parking Tower, Fire Water Tank, Domestic Water Tank, Flushing Water Tank &amp; Pump Room</t>
  </si>
  <si>
    <t>Ground Floor For Commercial, Parking, Entrance Lobby &amp; Driveway</t>
  </si>
  <si>
    <t xml:space="preserve"> - </t>
  </si>
  <si>
    <t xml:space="preserve">1st Floor For Commercial, Parking Tower &amp; Entrance Lobby </t>
  </si>
  <si>
    <t>Commercial</t>
  </si>
  <si>
    <t>2nd Floor For Commercial, Parking Tower, Entrance Lobby &amp; Part Terrace Area</t>
  </si>
  <si>
    <t>Sale /         Rehab /           PTC</t>
  </si>
  <si>
    <t>PTC</t>
  </si>
  <si>
    <t>Fitness Centre</t>
  </si>
  <si>
    <t>3rd Floor For Multipurpose Room &amp; Fitness Centre</t>
  </si>
  <si>
    <t>Multipurpose Room</t>
  </si>
  <si>
    <t>Rehab</t>
  </si>
  <si>
    <t>3BHK</t>
  </si>
  <si>
    <t>2.5BHK</t>
  </si>
  <si>
    <t>2BHK</t>
  </si>
  <si>
    <t>6th Floor</t>
  </si>
  <si>
    <t>7th Floor For Residential (Part Refuge Area)</t>
  </si>
  <si>
    <t>Refuge Area</t>
  </si>
  <si>
    <t>8th Floor</t>
  </si>
  <si>
    <t>9th Floor</t>
  </si>
  <si>
    <t>10th &amp; 11th Floor</t>
  </si>
  <si>
    <t>12th Floor</t>
  </si>
  <si>
    <t>13th Floor</t>
  </si>
  <si>
    <t xml:space="preserve"> -</t>
  </si>
  <si>
    <t>Terrace Area</t>
  </si>
  <si>
    <t>16th Floor</t>
  </si>
  <si>
    <t>Sale / Rehab/ PTC</t>
  </si>
  <si>
    <t>Balwadi</t>
  </si>
  <si>
    <t>Welfare Center</t>
  </si>
  <si>
    <t>14th Floor For Residential, Balwadi, Amenity &amp; Welfare Center (Part Refuge Area)</t>
  </si>
  <si>
    <t>Amenity-1</t>
  </si>
  <si>
    <t>Amenity-2</t>
  </si>
  <si>
    <t>Amenity-3</t>
  </si>
  <si>
    <t>17th Floor For Residential &amp; Amenity Area (Part Terrace Area)</t>
  </si>
  <si>
    <t>OK</t>
  </si>
  <si>
    <t xml:space="preserve">In RERA Portal Rehab Flats are stated as 2BHK or 3BHK Member, Shops as Office Space and Sale Flats as 2BHK or 3BHK. Sale Flats count are more than Approved Sale Flats </t>
  </si>
  <si>
    <t>Mr. Tushar Bhuwad</t>
  </si>
  <si>
    <t>Construction work is in process at the time of Visit (labour found).</t>
  </si>
  <si>
    <t>Mr. Sudam Ishi 9220387309</t>
  </si>
  <si>
    <t>Mumbai-RO Thane</t>
  </si>
  <si>
    <t>Platinum Oceanic, Redevelopment of Gulmohr Co-operative Housing Scoiety, Near Pimpleshwar Hanuman Mandir, Khar Danda Road, Pyari Nagar, Chuim Village, Danda, Khar West, Mumbai, Maharashtra 400052</t>
  </si>
  <si>
    <t>Upper</t>
  </si>
  <si>
    <t>18m</t>
  </si>
  <si>
    <t>Bungalow</t>
  </si>
  <si>
    <t xml:space="preserve">P-20379/2024/(C.T.S. No. 926/A situated at Village–
Bandra-D And Other)/H/W Ward/BANDRA-D/SRACFO/1/New.
Basement + Ground Floor + 1st to 18th upper Residential Floors = 63.75 mtrs height </t>
  </si>
  <si>
    <t xml:space="preserve">Valid up to Date: 
</t>
  </si>
  <si>
    <t>AAI/RHQ/WR/DoAS/Auth./JUHU/WEST/B/021722/655160/158</t>
  </si>
  <si>
    <t xml:space="preserve">Airport Authority Clearance Details
Valid Up to: </t>
  </si>
  <si>
    <t xml:space="preserve">Revised Airport Authority Clearance Details
Valid Up to: </t>
  </si>
  <si>
    <t>Site Elevation  (AMSL) = 4.74 M
Permissible Top Elevation  (AMSL) = 57.13 M</t>
  </si>
  <si>
    <t>Permissible Top Elevation (AMSL) = 68.63 M</t>
  </si>
  <si>
    <t>Commercial - G1</t>
  </si>
  <si>
    <t>Commercial - F1</t>
  </si>
  <si>
    <t>Commercial - S1</t>
  </si>
  <si>
    <t>Terrace &amp; Refuge Area</t>
  </si>
  <si>
    <t>15th Floor For Residential (Part Terrace &amp; Refuge Area)</t>
  </si>
  <si>
    <t>4th &amp; 5th Floor</t>
  </si>
  <si>
    <t>Unit Details, Nomenclature and Area Details (Multipurpose Room)</t>
  </si>
  <si>
    <t>Unit Details, Nomenclature and Area Details (Flat)</t>
  </si>
  <si>
    <t xml:space="preserve">We considered Gross carpet area = Net carpet + Balcony Area.
</t>
  </si>
  <si>
    <t>We have given Valuation for Sale Flats only.</t>
  </si>
  <si>
    <t xml:space="preserve">Sale Flat = 11
Commercial = 3
PTC Flat  = 40
Rehab Flat = 20
</t>
  </si>
  <si>
    <t xml:space="preserve">Sale Flat = 19 
Office = 3
PTC Flat = 40
Rehab Flat  = 20
</t>
  </si>
  <si>
    <t xml:space="preserve">Swimming Pool, Deck Area, Party Lounge, Sitouts, Yoga, Meditation Zone, Advanced Security with Ample Car Parking Spaces etc. </t>
  </si>
  <si>
    <t>64000 to 65000</t>
  </si>
  <si>
    <t>08/08/2025 at 02:19PM</t>
  </si>
  <si>
    <t>Mr. Ronnie Mali 9819477776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</si>
</sst>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sz val="16"/>
      <color rgb="FFFFFF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209">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9" fillId="0" borderId="0" xfId="0" applyFont="1" applyAlignment="1">
      <alignment vertical="top"/>
    </xf>
    <xf numFmtId="0" fontId="26" fillId="0" borderId="0" xfId="2" applyAlignment="1">
      <alignment vertical="top"/>
    </xf>
    <xf numFmtId="14" fontId="4" fillId="4" borderId="1" xfId="0" applyNumberFormat="1" applyFont="1" applyFill="1" applyBorder="1" applyAlignment="1">
      <alignment horizontal="left" vertical="top" wrapText="1"/>
    </xf>
    <xf numFmtId="1" fontId="8" fillId="0" borderId="1" xfId="1" applyNumberFormat="1" applyFont="1" applyBorder="1" applyAlignment="1">
      <alignment horizontal="center" vertical="top" wrapText="1"/>
    </xf>
    <xf numFmtId="0" fontId="9"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4" fillId="11" borderId="6" xfId="0" applyFont="1" applyFill="1" applyBorder="1" applyAlignment="1">
      <alignment vertical="top" wrapText="1"/>
    </xf>
    <xf numFmtId="14" fontId="4" fillId="4" borderId="6" xfId="0" applyNumberFormat="1" applyFont="1" applyFill="1" applyBorder="1" applyAlignment="1">
      <alignment horizontal="left" vertical="top"/>
    </xf>
    <xf numFmtId="1" fontId="3" fillId="0" borderId="0" xfId="0" applyNumberFormat="1" applyFont="1" applyAlignment="1">
      <alignment vertical="top"/>
    </xf>
    <xf numFmtId="0" fontId="8" fillId="0" borderId="0" xfId="0" applyFont="1" applyAlignment="1">
      <alignment vertical="top"/>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left" vertical="top" wrapText="1"/>
    </xf>
    <xf numFmtId="0" fontId="4" fillId="0" borderId="1" xfId="0" applyFont="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0" fontId="3"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6"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1" xfId="0" applyFont="1" applyFill="1" applyBorder="1" applyAlignment="1">
      <alignment horizontal="center" vertical="top" wrapText="1"/>
    </xf>
    <xf numFmtId="0" fontId="26" fillId="4" borderId="1" xfId="2" applyFill="1" applyBorder="1" applyAlignment="1">
      <alignment horizontal="center" vertical="top" wrapText="1"/>
    </xf>
    <xf numFmtId="0" fontId="20" fillId="4" borderId="1" xfId="0" applyFont="1" applyFill="1" applyBorder="1" applyAlignment="1">
      <alignment horizontal="center" vertical="top"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0"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4" xfId="1" applyNumberFormat="1" applyFont="1" applyFill="1" applyBorder="1" applyAlignment="1">
      <alignment horizontal="center" vertical="center"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0"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9" fillId="0" borderId="0" xfId="0" applyNumberFormat="1" applyFont="1" applyAlignment="1">
      <alignment vertical="top"/>
    </xf>
    <xf numFmtId="14" fontId="3" fillId="0" borderId="0" xfId="0" applyNumberFormat="1" applyFont="1" applyAlignment="1">
      <alignment vertical="top"/>
    </xf>
    <xf numFmtId="0" fontId="27" fillId="0" borderId="0" xfId="0"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jpg"/><Relationship Id="rId8"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8</xdr:col>
      <xdr:colOff>1178297</xdr:colOff>
      <xdr:row>8</xdr:row>
      <xdr:rowOff>280148</xdr:rowOff>
    </xdr:from>
    <xdr:to>
      <xdr:col>14</xdr:col>
      <xdr:colOff>302043</xdr:colOff>
      <xdr:row>10</xdr:row>
      <xdr:rowOff>162924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591238" y="4213413"/>
          <a:ext cx="5990477" cy="980952"/>
        </a:xfrm>
        <a:prstGeom prst="rect">
          <a:avLst/>
        </a:prstGeom>
      </xdr:spPr>
    </xdr:pic>
    <xdr:clientData/>
  </xdr:twoCellAnchor>
  <xdr:twoCellAnchor editAs="oneCell">
    <xdr:from>
      <xdr:col>8</xdr:col>
      <xdr:colOff>862853</xdr:colOff>
      <xdr:row>16</xdr:row>
      <xdr:rowOff>381000</xdr:rowOff>
    </xdr:from>
    <xdr:to>
      <xdr:col>16</xdr:col>
      <xdr:colOff>243029</xdr:colOff>
      <xdr:row>19</xdr:row>
      <xdr:rowOff>486685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0275794" y="8292353"/>
          <a:ext cx="7457143" cy="1685714"/>
        </a:xfrm>
        <a:prstGeom prst="rect">
          <a:avLst/>
        </a:prstGeom>
      </xdr:spPr>
    </xdr:pic>
    <xdr:clientData/>
  </xdr:twoCellAnchor>
  <xdr:twoCellAnchor editAs="oneCell">
    <xdr:from>
      <xdr:col>9</xdr:col>
      <xdr:colOff>430025</xdr:colOff>
      <xdr:row>31</xdr:row>
      <xdr:rowOff>220916</xdr:rowOff>
    </xdr:from>
    <xdr:to>
      <xdr:col>26</xdr:col>
      <xdr:colOff>321012</xdr:colOff>
      <xdr:row>57</xdr:row>
      <xdr:rowOff>47625</xdr:rowOff>
    </xdr:to>
    <xdr:pic>
      <xdr:nvPicPr>
        <xdr:cNvPr id="4" name="Picture 3" descr="im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26713" y="16889666"/>
          <a:ext cx="10080262" cy="10589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311363</xdr:colOff>
      <xdr:row>47</xdr:row>
      <xdr:rowOff>312164</xdr:rowOff>
    </xdr:from>
    <xdr:to>
      <xdr:col>11</xdr:col>
      <xdr:colOff>622714</xdr:colOff>
      <xdr:row>51</xdr:row>
      <xdr:rowOff>196758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673077" y="22791164"/>
          <a:ext cx="4127537" cy="1803201"/>
        </a:xfrm>
        <a:prstGeom prst="rect">
          <a:avLst/>
        </a:prstGeom>
      </xdr:spPr>
    </xdr:pic>
    <xdr:clientData/>
  </xdr:twoCellAnchor>
  <xdr:twoCellAnchor editAs="oneCell">
    <xdr:from>
      <xdr:col>11</xdr:col>
      <xdr:colOff>48825</xdr:colOff>
      <xdr:row>50</xdr:row>
      <xdr:rowOff>74439</xdr:rowOff>
    </xdr:from>
    <xdr:to>
      <xdr:col>11</xdr:col>
      <xdr:colOff>1145236</xdr:colOff>
      <xdr:row>52</xdr:row>
      <xdr:rowOff>1359770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3084468" y="24213510"/>
          <a:ext cx="1102597" cy="1802402"/>
        </a:xfrm>
        <a:prstGeom prst="rect">
          <a:avLst/>
        </a:prstGeom>
      </xdr:spPr>
    </xdr:pic>
    <xdr:clientData/>
  </xdr:twoCellAnchor>
  <xdr:twoCellAnchor editAs="oneCell">
    <xdr:from>
      <xdr:col>8</xdr:col>
      <xdr:colOff>1887754</xdr:colOff>
      <xdr:row>51</xdr:row>
      <xdr:rowOff>131486</xdr:rowOff>
    </xdr:from>
    <xdr:to>
      <xdr:col>9</xdr:col>
      <xdr:colOff>878903</xdr:colOff>
      <xdr:row>52</xdr:row>
      <xdr:rowOff>1669605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08845" y="24394259"/>
          <a:ext cx="1236328" cy="1797890"/>
        </a:xfrm>
        <a:prstGeom prst="rect">
          <a:avLst/>
        </a:prstGeom>
      </xdr:spPr>
    </xdr:pic>
    <xdr:clientData/>
  </xdr:twoCellAnchor>
  <xdr:twoCellAnchor editAs="oneCell">
    <xdr:from>
      <xdr:col>8</xdr:col>
      <xdr:colOff>1311089</xdr:colOff>
      <xdr:row>51</xdr:row>
      <xdr:rowOff>11206</xdr:rowOff>
    </xdr:from>
    <xdr:to>
      <xdr:col>9</xdr:col>
      <xdr:colOff>337387</xdr:colOff>
      <xdr:row>52</xdr:row>
      <xdr:rowOff>1546410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0724030" y="24619324"/>
          <a:ext cx="1278681" cy="1792939"/>
        </a:xfrm>
        <a:prstGeom prst="rect">
          <a:avLst/>
        </a:prstGeom>
      </xdr:spPr>
    </xdr:pic>
    <xdr:clientData/>
  </xdr:twoCellAnchor>
  <xdr:twoCellAnchor editAs="oneCell">
    <xdr:from>
      <xdr:col>8</xdr:col>
      <xdr:colOff>1475173</xdr:colOff>
      <xdr:row>75</xdr:row>
      <xdr:rowOff>213712</xdr:rowOff>
    </xdr:from>
    <xdr:to>
      <xdr:col>23</xdr:col>
      <xdr:colOff>448403</xdr:colOff>
      <xdr:row>91</xdr:row>
      <xdr:rowOff>163285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0836887" y="33047748"/>
          <a:ext cx="9570720" cy="5025038"/>
        </a:xfrm>
        <a:prstGeom prst="rect">
          <a:avLst/>
        </a:prstGeom>
      </xdr:spPr>
    </xdr:pic>
    <xdr:clientData/>
  </xdr:twoCellAnchor>
  <xdr:twoCellAnchor editAs="oneCell">
    <xdr:from>
      <xdr:col>9</xdr:col>
      <xdr:colOff>33615</xdr:colOff>
      <xdr:row>99</xdr:row>
      <xdr:rowOff>605117</xdr:rowOff>
    </xdr:from>
    <xdr:to>
      <xdr:col>11</xdr:col>
      <xdr:colOff>1411941</xdr:colOff>
      <xdr:row>109</xdr:row>
      <xdr:rowOff>42176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1698939" y="40744588"/>
          <a:ext cx="2913531" cy="3112588"/>
        </a:xfrm>
        <a:prstGeom prst="rect">
          <a:avLst/>
        </a:prstGeom>
      </xdr:spPr>
    </xdr:pic>
    <xdr:clientData/>
  </xdr:twoCellAnchor>
  <xdr:twoCellAnchor editAs="oneCell">
    <xdr:from>
      <xdr:col>9</xdr:col>
      <xdr:colOff>31216</xdr:colOff>
      <xdr:row>93</xdr:row>
      <xdr:rowOff>27214</xdr:rowOff>
    </xdr:from>
    <xdr:to>
      <xdr:col>11</xdr:col>
      <xdr:colOff>1316764</xdr:colOff>
      <xdr:row>99</xdr:row>
      <xdr:rowOff>281603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1651716" y="38453785"/>
          <a:ext cx="2849133" cy="1805603"/>
        </a:xfrm>
        <a:prstGeom prst="rect">
          <a:avLst/>
        </a:prstGeom>
      </xdr:spPr>
    </xdr:pic>
    <xdr:clientData/>
  </xdr:twoCellAnchor>
  <xdr:twoCellAnchor editAs="oneCell">
    <xdr:from>
      <xdr:col>9</xdr:col>
      <xdr:colOff>560294</xdr:colOff>
      <xdr:row>20</xdr:row>
      <xdr:rowOff>56029</xdr:rowOff>
    </xdr:from>
    <xdr:to>
      <xdr:col>15</xdr:col>
      <xdr:colOff>279483</xdr:colOff>
      <xdr:row>22</xdr:row>
      <xdr:rowOff>219970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12225618" y="10074088"/>
          <a:ext cx="4938656" cy="1800000"/>
        </a:xfrm>
        <a:prstGeom prst="rect">
          <a:avLst/>
        </a:prstGeom>
      </xdr:spPr>
    </xdr:pic>
    <xdr:clientData/>
  </xdr:twoCellAnchor>
  <xdr:twoCellAnchor>
    <xdr:from>
      <xdr:col>1</xdr:col>
      <xdr:colOff>257734</xdr:colOff>
      <xdr:row>248</xdr:row>
      <xdr:rowOff>134471</xdr:rowOff>
    </xdr:from>
    <xdr:to>
      <xdr:col>7</xdr:col>
      <xdr:colOff>291351</xdr:colOff>
      <xdr:row>295</xdr:row>
      <xdr:rowOff>89647</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1427948" y="90159328"/>
          <a:ext cx="7054903" cy="12106355"/>
          <a:chOff x="369000" y="304794"/>
          <a:chExt cx="6120000" cy="11445919"/>
        </a:xfrm>
      </xdr:grpSpPr>
      <xdr:grpSp>
        <xdr:nvGrpSpPr>
          <xdr:cNvPr id="14" name="Group 13">
            <a:extLst>
              <a:ext uri="{FF2B5EF4-FFF2-40B4-BE49-F238E27FC236}">
                <a16:creationId xmlns:a16="http://schemas.microsoft.com/office/drawing/2014/main" id="{00000000-0008-0000-0000-00000E000000}"/>
              </a:ext>
            </a:extLst>
          </xdr:cNvPr>
          <xdr:cNvGrpSpPr/>
        </xdr:nvGrpSpPr>
        <xdr:grpSpPr>
          <a:xfrm>
            <a:off x="369000" y="304794"/>
            <a:ext cx="6120000" cy="7560000"/>
            <a:chOff x="-13598" y="0"/>
            <a:chExt cx="6347324" cy="9144000"/>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6333726" cy="9144000"/>
            </a:xfrm>
            <a:prstGeom prst="rect">
              <a:avLst/>
            </a:prstGeom>
            <a:ln>
              <a:solidFill>
                <a:schemeClr val="tx1"/>
              </a:solidFill>
            </a:ln>
          </xdr:spPr>
        </xdr:pic>
        <xdr:sp macro="" textlink="">
          <xdr:nvSpPr>
            <xdr:cNvPr id="17" name="Rectangle 10">
              <a:extLst>
                <a:ext uri="{FF2B5EF4-FFF2-40B4-BE49-F238E27FC236}">
                  <a16:creationId xmlns:a16="http://schemas.microsoft.com/office/drawing/2014/main" id="{00000000-0008-0000-0000-000011000000}"/>
                </a:ext>
              </a:extLst>
            </xdr:cNvPr>
            <xdr:cNvSpPr/>
          </xdr:nvSpPr>
          <xdr:spPr>
            <a:xfrm>
              <a:off x="1066402" y="1889760"/>
              <a:ext cx="5001024" cy="6690360"/>
            </a:xfrm>
            <a:custGeom>
              <a:avLst/>
              <a:gdLst>
                <a:gd name="connsiteX0" fmla="*/ 0 w 5762625"/>
                <a:gd name="connsiteY0" fmla="*/ 0 h 6753225"/>
                <a:gd name="connsiteX1" fmla="*/ 5762625 w 5762625"/>
                <a:gd name="connsiteY1" fmla="*/ 0 h 6753225"/>
                <a:gd name="connsiteX2" fmla="*/ 5762625 w 5762625"/>
                <a:gd name="connsiteY2" fmla="*/ 6753225 h 6753225"/>
                <a:gd name="connsiteX3" fmla="*/ 0 w 5762625"/>
                <a:gd name="connsiteY3" fmla="*/ 6753225 h 6753225"/>
                <a:gd name="connsiteX4" fmla="*/ 0 w 5762625"/>
                <a:gd name="connsiteY4" fmla="*/ 0 h 6753225"/>
                <a:gd name="connsiteX0" fmla="*/ 0 w 5762625"/>
                <a:gd name="connsiteY0" fmla="*/ 0 h 6753225"/>
                <a:gd name="connsiteX1" fmla="*/ 5762625 w 5762625"/>
                <a:gd name="connsiteY1" fmla="*/ 0 h 6753225"/>
                <a:gd name="connsiteX2" fmla="*/ 5762625 w 5762625"/>
                <a:gd name="connsiteY2" fmla="*/ 6753225 h 6753225"/>
                <a:gd name="connsiteX3" fmla="*/ 57150 w 5762625"/>
                <a:gd name="connsiteY3" fmla="*/ 6543675 h 6753225"/>
                <a:gd name="connsiteX4" fmla="*/ 0 w 5762625"/>
                <a:gd name="connsiteY4" fmla="*/ 0 h 6753225"/>
                <a:gd name="connsiteX0" fmla="*/ 361950 w 5705475"/>
                <a:gd name="connsiteY0" fmla="*/ 85725 h 6753225"/>
                <a:gd name="connsiteX1" fmla="*/ 5705475 w 5705475"/>
                <a:gd name="connsiteY1" fmla="*/ 0 h 6753225"/>
                <a:gd name="connsiteX2" fmla="*/ 5705475 w 5705475"/>
                <a:gd name="connsiteY2" fmla="*/ 6753225 h 6753225"/>
                <a:gd name="connsiteX3" fmla="*/ 0 w 5705475"/>
                <a:gd name="connsiteY3" fmla="*/ 6543675 h 6753225"/>
                <a:gd name="connsiteX4" fmla="*/ 361950 w 5705475"/>
                <a:gd name="connsiteY4" fmla="*/ 85725 h 6753225"/>
                <a:gd name="connsiteX0" fmla="*/ 447675 w 5705475"/>
                <a:gd name="connsiteY0" fmla="*/ 278454 h 6753225"/>
                <a:gd name="connsiteX1" fmla="*/ 5705475 w 5705475"/>
                <a:gd name="connsiteY1" fmla="*/ 0 h 6753225"/>
                <a:gd name="connsiteX2" fmla="*/ 5705475 w 5705475"/>
                <a:gd name="connsiteY2" fmla="*/ 6753225 h 6753225"/>
                <a:gd name="connsiteX3" fmla="*/ 0 w 5705475"/>
                <a:gd name="connsiteY3" fmla="*/ 6543675 h 6753225"/>
                <a:gd name="connsiteX4" fmla="*/ 447675 w 5705475"/>
                <a:gd name="connsiteY4" fmla="*/ 278454 h 6753225"/>
                <a:gd name="connsiteX0" fmla="*/ 447675 w 5743575"/>
                <a:gd name="connsiteY0" fmla="*/ 0 h 6474771"/>
                <a:gd name="connsiteX1" fmla="*/ 5743575 w 5743575"/>
                <a:gd name="connsiteY1" fmla="*/ 446207 h 6474771"/>
                <a:gd name="connsiteX2" fmla="*/ 5705475 w 5743575"/>
                <a:gd name="connsiteY2" fmla="*/ 6474771 h 6474771"/>
                <a:gd name="connsiteX3" fmla="*/ 0 w 5743575"/>
                <a:gd name="connsiteY3" fmla="*/ 6265221 h 6474771"/>
                <a:gd name="connsiteX4" fmla="*/ 447675 w 5743575"/>
                <a:gd name="connsiteY4" fmla="*/ 0 h 6474771"/>
                <a:gd name="connsiteX0" fmla="*/ 277823 w 5573723"/>
                <a:gd name="connsiteY0" fmla="*/ 0 h 6474771"/>
                <a:gd name="connsiteX1" fmla="*/ 5573723 w 5573723"/>
                <a:gd name="connsiteY1" fmla="*/ 446207 h 6474771"/>
                <a:gd name="connsiteX2" fmla="*/ 5535623 w 5573723"/>
                <a:gd name="connsiteY2" fmla="*/ 6474771 h 6474771"/>
                <a:gd name="connsiteX3" fmla="*/ 0 w 5573723"/>
                <a:gd name="connsiteY3" fmla="*/ 6257847 h 6474771"/>
                <a:gd name="connsiteX4" fmla="*/ 277823 w 5573723"/>
                <a:gd name="connsiteY4" fmla="*/ 0 h 64747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73723" h="6474771">
                  <a:moveTo>
                    <a:pt x="277823" y="0"/>
                  </a:moveTo>
                  <a:lnTo>
                    <a:pt x="5573723" y="446207"/>
                  </a:lnTo>
                  <a:lnTo>
                    <a:pt x="5535623" y="6474771"/>
                  </a:lnTo>
                  <a:lnTo>
                    <a:pt x="0" y="6257847"/>
                  </a:lnTo>
                  <a:lnTo>
                    <a:pt x="277823" y="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598" y="8064000"/>
              <a:ext cx="1080000" cy="1080000"/>
            </a:xfrm>
            <a:prstGeom prst="rect">
              <a:avLst/>
            </a:prstGeom>
          </xdr:spPr>
        </xdr:pic>
      </xdr:grpSp>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1781175" y="7988338"/>
            <a:ext cx="3295650" cy="3762375"/>
          </a:xfrm>
          <a:prstGeom prst="rect">
            <a:avLst/>
          </a:prstGeom>
          <a:ln>
            <a:solidFill>
              <a:schemeClr val="tx1"/>
            </a:solidFill>
          </a:ln>
        </xdr:spPr>
      </xdr:pic>
    </xdr:grpSp>
    <xdr:clientData/>
  </xdr:twoCellAnchor>
  <xdr:twoCellAnchor>
    <xdr:from>
      <xdr:col>0</xdr:col>
      <xdr:colOff>216114</xdr:colOff>
      <xdr:row>298</xdr:row>
      <xdr:rowOff>206589</xdr:rowOff>
    </xdr:from>
    <xdr:to>
      <xdr:col>7</xdr:col>
      <xdr:colOff>907790</xdr:colOff>
      <xdr:row>326</xdr:row>
      <xdr:rowOff>190001</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216114" y="103158232"/>
          <a:ext cx="8883176" cy="7222412"/>
          <a:chOff x="-1451428" y="-1309500"/>
          <a:chExt cx="9056915" cy="10177728"/>
        </a:xfrm>
      </xdr:grpSpPr>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5"/>
          <a:srcRect l="19852" t="17857" r="10539" b="13493"/>
          <a:stretch/>
        </xdr:blipFill>
        <xdr:spPr>
          <a:xfrm>
            <a:off x="-1451428" y="-1309500"/>
            <a:ext cx="9056915" cy="5021944"/>
          </a:xfrm>
          <a:prstGeom prst="rect">
            <a:avLst/>
          </a:prstGeom>
          <a:ln>
            <a:solidFill>
              <a:schemeClr val="tx1"/>
            </a:solidFill>
          </a:ln>
        </xdr:spPr>
      </xdr:pic>
      <xdr:grpSp>
        <xdr:nvGrpSpPr>
          <xdr:cNvPr id="22" name="Group 21">
            <a:extLst>
              <a:ext uri="{FF2B5EF4-FFF2-40B4-BE49-F238E27FC236}">
                <a16:creationId xmlns:a16="http://schemas.microsoft.com/office/drawing/2014/main" id="{00000000-0008-0000-0000-000016000000}"/>
              </a:ext>
            </a:extLst>
          </xdr:cNvPr>
          <xdr:cNvGrpSpPr/>
        </xdr:nvGrpSpPr>
        <xdr:grpSpPr>
          <a:xfrm>
            <a:off x="-1451428" y="3846285"/>
            <a:ext cx="9056915" cy="5021943"/>
            <a:chOff x="-1451428" y="3846285"/>
            <a:chExt cx="9056915" cy="5021943"/>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6"/>
            <a:srcRect l="8475" t="19245" r="16674" b="13691"/>
            <a:stretch/>
          </xdr:blipFill>
          <xdr:spPr>
            <a:xfrm>
              <a:off x="-1451428" y="3846285"/>
              <a:ext cx="9056915" cy="5021943"/>
            </a:xfrm>
            <a:prstGeom prst="rect">
              <a:avLst/>
            </a:prstGeom>
            <a:ln>
              <a:solidFill>
                <a:schemeClr val="tx1"/>
              </a:solidFill>
            </a:ln>
          </xdr:spPr>
        </xdr:pic>
        <xdr:sp macro="" textlink="">
          <xdr:nvSpPr>
            <xdr:cNvPr id="24" name="Rectangle 20">
              <a:extLst>
                <a:ext uri="{FF2B5EF4-FFF2-40B4-BE49-F238E27FC236}">
                  <a16:creationId xmlns:a16="http://schemas.microsoft.com/office/drawing/2014/main" id="{00000000-0008-0000-0000-000018000000}"/>
                </a:ext>
              </a:extLst>
            </xdr:cNvPr>
            <xdr:cNvSpPr/>
          </xdr:nvSpPr>
          <xdr:spPr>
            <a:xfrm rot="207956">
              <a:off x="3166242" y="6466801"/>
              <a:ext cx="914828" cy="1230280"/>
            </a:xfrm>
            <a:custGeom>
              <a:avLst/>
              <a:gdLst>
                <a:gd name="connsiteX0" fmla="*/ 0 w 914400"/>
                <a:gd name="connsiteY0" fmla="*/ 0 h 1272494"/>
                <a:gd name="connsiteX1" fmla="*/ 914400 w 914400"/>
                <a:gd name="connsiteY1" fmla="*/ 0 h 1272494"/>
                <a:gd name="connsiteX2" fmla="*/ 914400 w 914400"/>
                <a:gd name="connsiteY2" fmla="*/ 1272494 h 1272494"/>
                <a:gd name="connsiteX3" fmla="*/ 0 w 914400"/>
                <a:gd name="connsiteY3" fmla="*/ 1272494 h 1272494"/>
                <a:gd name="connsiteX4" fmla="*/ 0 w 914400"/>
                <a:gd name="connsiteY4" fmla="*/ 0 h 1272494"/>
                <a:gd name="connsiteX0" fmla="*/ 169550 w 914400"/>
                <a:gd name="connsiteY0" fmla="*/ 42214 h 1272494"/>
                <a:gd name="connsiteX1" fmla="*/ 914400 w 914400"/>
                <a:gd name="connsiteY1" fmla="*/ 0 h 1272494"/>
                <a:gd name="connsiteX2" fmla="*/ 914400 w 914400"/>
                <a:gd name="connsiteY2" fmla="*/ 1272494 h 1272494"/>
                <a:gd name="connsiteX3" fmla="*/ 0 w 914400"/>
                <a:gd name="connsiteY3" fmla="*/ 1272494 h 1272494"/>
                <a:gd name="connsiteX4" fmla="*/ 169550 w 914400"/>
                <a:gd name="connsiteY4" fmla="*/ 42214 h 1272494"/>
                <a:gd name="connsiteX0" fmla="*/ 169550 w 914828"/>
                <a:gd name="connsiteY0" fmla="*/ 0 h 1230280"/>
                <a:gd name="connsiteX1" fmla="*/ 914828 w 914828"/>
                <a:gd name="connsiteY1" fmla="*/ 43642 h 1230280"/>
                <a:gd name="connsiteX2" fmla="*/ 914400 w 914828"/>
                <a:gd name="connsiteY2" fmla="*/ 1230280 h 1230280"/>
                <a:gd name="connsiteX3" fmla="*/ 0 w 914828"/>
                <a:gd name="connsiteY3" fmla="*/ 1230280 h 1230280"/>
                <a:gd name="connsiteX4" fmla="*/ 169550 w 914828"/>
                <a:gd name="connsiteY4" fmla="*/ 0 h 12302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14828" h="1230280">
                  <a:moveTo>
                    <a:pt x="169550" y="0"/>
                  </a:moveTo>
                  <a:lnTo>
                    <a:pt x="914828" y="43642"/>
                  </a:lnTo>
                  <a:cubicBezTo>
                    <a:pt x="914685" y="439188"/>
                    <a:pt x="914543" y="834734"/>
                    <a:pt x="914400" y="1230280"/>
                  </a:cubicBezTo>
                  <a:lnTo>
                    <a:pt x="0" y="1230280"/>
                  </a:lnTo>
                  <a:lnTo>
                    <a:pt x="16955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TextBox 21">
              <a:extLst>
                <a:ext uri="{FF2B5EF4-FFF2-40B4-BE49-F238E27FC236}">
                  <a16:creationId xmlns:a16="http://schemas.microsoft.com/office/drawing/2014/main" id="{00000000-0008-0000-0000-000019000000}"/>
                </a:ext>
              </a:extLst>
            </xdr:cNvPr>
            <xdr:cNvSpPr txBox="1"/>
          </xdr:nvSpPr>
          <xdr:spPr>
            <a:xfrm>
              <a:off x="2632982" y="7629890"/>
              <a:ext cx="1933515" cy="53088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Platinum Oceanic</a:t>
              </a:r>
              <a:endParaRPr lang="en-IN" b="1">
                <a:solidFill>
                  <a:srgbClr val="FFFF00"/>
                </a:solidFill>
              </a:endParaRPr>
            </a:p>
          </xdr:txBody>
        </xdr:sp>
      </xdr:grpSp>
    </xdr:grpSp>
    <xdr:clientData/>
  </xdr:twoCellAnchor>
  <xdr:twoCellAnchor>
    <xdr:from>
      <xdr:col>8</xdr:col>
      <xdr:colOff>1302284</xdr:colOff>
      <xdr:row>205</xdr:row>
      <xdr:rowOff>110455</xdr:rowOff>
    </xdr:from>
    <xdr:to>
      <xdr:col>22</xdr:col>
      <xdr:colOff>310565</xdr:colOff>
      <xdr:row>241</xdr:row>
      <xdr:rowOff>177692</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10663998" y="79018276"/>
          <a:ext cx="8982317" cy="9374523"/>
          <a:chOff x="0" y="51437"/>
          <a:chExt cx="6858000" cy="7175839"/>
        </a:xfrm>
      </xdr:grpSpPr>
      <xdr:grpSp>
        <xdr:nvGrpSpPr>
          <xdr:cNvPr id="27" name="Group 26">
            <a:extLst>
              <a:ext uri="{FF2B5EF4-FFF2-40B4-BE49-F238E27FC236}">
                <a16:creationId xmlns:a16="http://schemas.microsoft.com/office/drawing/2014/main" id="{00000000-0008-0000-0000-00001B000000}"/>
              </a:ext>
            </a:extLst>
          </xdr:cNvPr>
          <xdr:cNvGrpSpPr/>
        </xdr:nvGrpSpPr>
        <xdr:grpSpPr>
          <a:xfrm>
            <a:off x="0" y="51437"/>
            <a:ext cx="6858000" cy="5216688"/>
            <a:chOff x="0" y="51437"/>
            <a:chExt cx="6858000" cy="5216688"/>
          </a:xfrm>
        </xdr:grpSpPr>
        <xdr:grpSp>
          <xdr:nvGrpSpPr>
            <xdr:cNvPr id="32" name="Group 31">
              <a:extLst>
                <a:ext uri="{FF2B5EF4-FFF2-40B4-BE49-F238E27FC236}">
                  <a16:creationId xmlns:a16="http://schemas.microsoft.com/office/drawing/2014/main" id="{00000000-0008-0000-0000-000020000000}"/>
                </a:ext>
              </a:extLst>
            </xdr:cNvPr>
            <xdr:cNvGrpSpPr/>
          </xdr:nvGrpSpPr>
          <xdr:grpSpPr>
            <a:xfrm>
              <a:off x="0" y="2748125"/>
              <a:ext cx="6858000" cy="2520000"/>
              <a:chOff x="0" y="2748124"/>
              <a:chExt cx="6858000" cy="2520000"/>
            </a:xfrm>
          </xdr:grpSpPr>
          <xdr:pic>
            <xdr:nvPicPr>
              <xdr:cNvPr id="36" name="Picture 35" descr="https://vsjcllp.vsjadon.com/upload/insp-234697-845.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2748124"/>
                <a:ext cx="3355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4697-861.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02667" y="2748124"/>
                <a:ext cx="3355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nvGrpSpPr>
            <xdr:cNvPr id="33" name="Group 32">
              <a:extLst>
                <a:ext uri="{FF2B5EF4-FFF2-40B4-BE49-F238E27FC236}">
                  <a16:creationId xmlns:a16="http://schemas.microsoft.com/office/drawing/2014/main" id="{00000000-0008-0000-0000-000021000000}"/>
                </a:ext>
              </a:extLst>
            </xdr:cNvPr>
            <xdr:cNvGrpSpPr/>
          </xdr:nvGrpSpPr>
          <xdr:grpSpPr>
            <a:xfrm>
              <a:off x="0" y="51437"/>
              <a:ext cx="6858000" cy="2520000"/>
              <a:chOff x="0" y="51437"/>
              <a:chExt cx="6858000" cy="2520000"/>
            </a:xfrm>
          </xdr:grpSpPr>
          <xdr:pic>
            <xdr:nvPicPr>
              <xdr:cNvPr id="34" name="Picture 33" descr="https://vsjcllp.vsjadon.com/upload/insp-234697-843.jpg">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51437"/>
                <a:ext cx="3355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34697-862.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02667" y="51437"/>
                <a:ext cx="3355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grpSp>
        <xdr:nvGrpSpPr>
          <xdr:cNvPr id="28" name="Group 27">
            <a:extLst>
              <a:ext uri="{FF2B5EF4-FFF2-40B4-BE49-F238E27FC236}">
                <a16:creationId xmlns:a16="http://schemas.microsoft.com/office/drawing/2014/main" id="{00000000-0008-0000-0000-00001C000000}"/>
              </a:ext>
            </a:extLst>
          </xdr:cNvPr>
          <xdr:cNvGrpSpPr/>
        </xdr:nvGrpSpPr>
        <xdr:grpSpPr>
          <a:xfrm>
            <a:off x="1309992" y="5427276"/>
            <a:ext cx="4238017" cy="1800000"/>
            <a:chOff x="2619983" y="7344000"/>
            <a:chExt cx="4238017" cy="1800000"/>
          </a:xfrm>
        </xdr:grpSpPr>
        <xdr:pic>
          <xdr:nvPicPr>
            <xdr:cNvPr id="29" name="Picture 28" descr="https://vsjcllp.vsjadon.com/upload/insp-234697-1525.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509875" y="7344000"/>
              <a:ext cx="1348125" cy="18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34697-847.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68441" y="7344000"/>
              <a:ext cx="1348125" cy="18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34697-871.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619983" y="7344000"/>
              <a:ext cx="1348125" cy="18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8</xdr:col>
      <xdr:colOff>1040328</xdr:colOff>
      <xdr:row>6</xdr:row>
      <xdr:rowOff>197921</xdr:rowOff>
    </xdr:from>
    <xdr:to>
      <xdr:col>22</xdr:col>
      <xdr:colOff>212969</xdr:colOff>
      <xdr:row>16</xdr:row>
      <xdr:rowOff>382236</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4"/>
        <a:stretch>
          <a:fillRect/>
        </a:stretch>
      </xdr:blipFill>
      <xdr:spPr>
        <a:xfrm>
          <a:off x="10402042" y="2905742"/>
          <a:ext cx="9157811" cy="5708815"/>
        </a:xfrm>
        <a:prstGeom prst="rect">
          <a:avLst/>
        </a:prstGeom>
      </xdr:spPr>
    </xdr:pic>
    <xdr:clientData/>
  </xdr:twoCellAnchor>
  <xdr:twoCellAnchor editAs="oneCell">
    <xdr:from>
      <xdr:col>16</xdr:col>
      <xdr:colOff>225136</xdr:colOff>
      <xdr:row>129</xdr:row>
      <xdr:rowOff>22266</xdr:rowOff>
    </xdr:from>
    <xdr:to>
      <xdr:col>29</xdr:col>
      <xdr:colOff>297477</xdr:colOff>
      <xdr:row>142</xdr:row>
      <xdr:rowOff>24506</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a:stretch>
          <a:fillRect/>
        </a:stretch>
      </xdr:blipFill>
      <xdr:spPr>
        <a:xfrm>
          <a:off x="16469591" y="50331584"/>
          <a:ext cx="6047114" cy="3639058"/>
        </a:xfrm>
        <a:prstGeom prst="rect">
          <a:avLst/>
        </a:prstGeom>
      </xdr:spPr>
    </xdr:pic>
    <xdr:clientData/>
  </xdr:twoCellAnchor>
  <xdr:twoCellAnchor editAs="oneCell">
    <xdr:from>
      <xdr:col>10</xdr:col>
      <xdr:colOff>180605</xdr:colOff>
      <xdr:row>145</xdr:row>
      <xdr:rowOff>428008</xdr:rowOff>
    </xdr:from>
    <xdr:to>
      <xdr:col>27</xdr:col>
      <xdr:colOff>81954</xdr:colOff>
      <xdr:row>157</xdr:row>
      <xdr:rowOff>294410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6"/>
        <a:stretch>
          <a:fillRect/>
        </a:stretch>
      </xdr:blipFill>
      <xdr:spPr>
        <a:xfrm>
          <a:off x="12788241" y="55932781"/>
          <a:ext cx="9564895" cy="4542311"/>
        </a:xfrm>
        <a:prstGeom prst="rect">
          <a:avLst/>
        </a:prstGeom>
      </xdr:spPr>
    </xdr:pic>
    <xdr:clientData/>
  </xdr:twoCellAnchor>
  <xdr:twoCellAnchor editAs="oneCell">
    <xdr:from>
      <xdr:col>14</xdr:col>
      <xdr:colOff>493566</xdr:colOff>
      <xdr:row>139</xdr:row>
      <xdr:rowOff>55974</xdr:rowOff>
    </xdr:from>
    <xdr:to>
      <xdr:col>32</xdr:col>
      <xdr:colOff>262862</xdr:colOff>
      <xdr:row>149</xdr:row>
      <xdr:rowOff>437445</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
        <a:stretch>
          <a:fillRect/>
        </a:stretch>
      </xdr:blipFill>
      <xdr:spPr>
        <a:xfrm>
          <a:off x="16789975" y="52963019"/>
          <a:ext cx="8774751" cy="4278062"/>
        </a:xfrm>
        <a:prstGeom prst="rect">
          <a:avLst/>
        </a:prstGeom>
      </xdr:spPr>
    </xdr:pic>
    <xdr:clientData/>
  </xdr:twoCellAnchor>
  <xdr:twoCellAnchor editAs="oneCell">
    <xdr:from>
      <xdr:col>8</xdr:col>
      <xdr:colOff>1524001</xdr:colOff>
      <xdr:row>114</xdr:row>
      <xdr:rowOff>207820</xdr:rowOff>
    </xdr:from>
    <xdr:to>
      <xdr:col>28</xdr:col>
      <xdr:colOff>496435</xdr:colOff>
      <xdr:row>132</xdr:row>
      <xdr:rowOff>86591</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8"/>
        <a:stretch>
          <a:fillRect/>
        </a:stretch>
      </xdr:blipFill>
      <xdr:spPr>
        <a:xfrm>
          <a:off x="10945092" y="46620547"/>
          <a:ext cx="12428661" cy="4554680"/>
        </a:xfrm>
        <a:prstGeom prst="rect">
          <a:avLst/>
        </a:prstGeom>
      </xdr:spPr>
    </xdr:pic>
    <xdr:clientData/>
  </xdr:twoCellAnchor>
  <xdr:twoCellAnchor editAs="oneCell">
    <xdr:from>
      <xdr:col>16</xdr:col>
      <xdr:colOff>155864</xdr:colOff>
      <xdr:row>130</xdr:row>
      <xdr:rowOff>17319</xdr:rowOff>
    </xdr:from>
    <xdr:to>
      <xdr:col>35</xdr:col>
      <xdr:colOff>70602</xdr:colOff>
      <xdr:row>141</xdr:row>
      <xdr:rowOff>93928</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9"/>
        <a:stretch>
          <a:fillRect/>
        </a:stretch>
      </xdr:blipFill>
      <xdr:spPr>
        <a:xfrm>
          <a:off x="16400319" y="50586410"/>
          <a:ext cx="9526329" cy="2934109"/>
        </a:xfrm>
        <a:prstGeom prst="rect">
          <a:avLst/>
        </a:prstGeom>
      </xdr:spPr>
    </xdr:pic>
    <xdr:clientData/>
  </xdr:twoCellAnchor>
  <xdr:twoCellAnchor>
    <xdr:from>
      <xdr:col>0</xdr:col>
      <xdr:colOff>504265</xdr:colOff>
      <xdr:row>204</xdr:row>
      <xdr:rowOff>112061</xdr:rowOff>
    </xdr:from>
    <xdr:to>
      <xdr:col>7</xdr:col>
      <xdr:colOff>582704</xdr:colOff>
      <xdr:row>241</xdr:row>
      <xdr:rowOff>145677</xdr:rowOff>
    </xdr:to>
    <xdr:grpSp>
      <xdr:nvGrpSpPr>
        <xdr:cNvPr id="44" name="Group 43">
          <a:extLst>
            <a:ext uri="{FF2B5EF4-FFF2-40B4-BE49-F238E27FC236}">
              <a16:creationId xmlns:a16="http://schemas.microsoft.com/office/drawing/2014/main" id="{32B9FE40-7470-44A8-9B7E-10F20B31F705}"/>
            </a:ext>
          </a:extLst>
        </xdr:cNvPr>
        <xdr:cNvGrpSpPr/>
      </xdr:nvGrpSpPr>
      <xdr:grpSpPr>
        <a:xfrm>
          <a:off x="504265" y="78761347"/>
          <a:ext cx="8269939" cy="9599437"/>
          <a:chOff x="704906" y="247651"/>
          <a:chExt cx="5491388" cy="6530999"/>
        </a:xfrm>
      </xdr:grpSpPr>
      <xdr:pic>
        <xdr:nvPicPr>
          <xdr:cNvPr id="46" name="Picture 45">
            <a:extLst>
              <a:ext uri="{FF2B5EF4-FFF2-40B4-BE49-F238E27FC236}">
                <a16:creationId xmlns:a16="http://schemas.microsoft.com/office/drawing/2014/main" id="{88730B47-5372-4B16-9A8E-43396F9D2CB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729000" y="247651"/>
            <a:ext cx="5400000" cy="4055633"/>
          </a:xfrm>
          <a:prstGeom prst="rect">
            <a:avLst/>
          </a:prstGeom>
          <a:ln>
            <a:solidFill>
              <a:schemeClr val="tx1"/>
            </a:solidFill>
          </a:ln>
        </xdr:spPr>
      </xdr:pic>
      <xdr:pic>
        <xdr:nvPicPr>
          <xdr:cNvPr id="47" name="Picture 46">
            <a:extLst>
              <a:ext uri="{FF2B5EF4-FFF2-40B4-BE49-F238E27FC236}">
                <a16:creationId xmlns:a16="http://schemas.microsoft.com/office/drawing/2014/main" id="{46BB465F-8AFB-4233-BACA-AD1187CC98E5}"/>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704906" y="4438650"/>
            <a:ext cx="1752562" cy="2340000"/>
          </a:xfrm>
          <a:prstGeom prst="rect">
            <a:avLst/>
          </a:prstGeom>
          <a:ln>
            <a:solidFill>
              <a:schemeClr val="tx1"/>
            </a:solidFill>
          </a:ln>
        </xdr:spPr>
      </xdr:pic>
      <xdr:pic>
        <xdr:nvPicPr>
          <xdr:cNvPr id="48" name="Picture 47">
            <a:extLst>
              <a:ext uri="{FF2B5EF4-FFF2-40B4-BE49-F238E27FC236}">
                <a16:creationId xmlns:a16="http://schemas.microsoft.com/office/drawing/2014/main" id="{4F779961-B74D-48E5-850A-34188AF11B0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571768" y="4438650"/>
            <a:ext cx="1752563" cy="2340000"/>
          </a:xfrm>
          <a:prstGeom prst="rect">
            <a:avLst/>
          </a:prstGeom>
          <a:ln>
            <a:solidFill>
              <a:schemeClr val="tx1"/>
            </a:solidFill>
          </a:ln>
        </xdr:spPr>
      </xdr:pic>
      <xdr:pic>
        <xdr:nvPicPr>
          <xdr:cNvPr id="49" name="Picture 48">
            <a:extLst>
              <a:ext uri="{FF2B5EF4-FFF2-40B4-BE49-F238E27FC236}">
                <a16:creationId xmlns:a16="http://schemas.microsoft.com/office/drawing/2014/main" id="{1BEC9493-5DDD-4132-B075-9FDD22E75CEA}"/>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443731" y="4438650"/>
            <a:ext cx="1752563" cy="234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oceanic.platinumcorp.in/" TargetMode="External"/><Relationship Id="rId7" Type="http://schemas.openxmlformats.org/officeDocument/2006/relationships/vmlDrawing" Target="../drawings/vmlDrawing2.vml"/><Relationship Id="rId2" Type="http://schemas.openxmlformats.org/officeDocument/2006/relationships/hyperlink" Target="https://oceanic.platinumcorp.in/" TargetMode="External"/><Relationship Id="rId1" Type="http://schemas.openxmlformats.org/officeDocument/2006/relationships/hyperlink" Target="https://maps.app.goo.gl/vvBMu4rSA5oWAxbY7"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39"/>
  <sheetViews>
    <sheetView tabSelected="1" view="pageBreakPreview" topLeftCell="A215" zoomScale="70" zoomScaleNormal="85" zoomScaleSheetLayoutView="70" zoomScalePageLayoutView="70" workbookViewId="0">
      <selection activeCell="J74" sqref="J74"/>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4" style="1" bestFit="1" customWidth="1"/>
    <col min="11" max="11" width="9.140625" style="1"/>
    <col min="12" max="12" width="28.140625" style="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11" t="s">
        <v>38</v>
      </c>
      <c r="B1" s="112"/>
      <c r="C1" s="112"/>
      <c r="D1" s="112"/>
      <c r="E1" s="112"/>
      <c r="F1" s="112"/>
      <c r="G1" s="112"/>
      <c r="H1" s="113"/>
    </row>
    <row r="2" spans="1:11" ht="42" customHeight="1" x14ac:dyDescent="0.25">
      <c r="A2" s="129" t="s">
        <v>10</v>
      </c>
      <c r="B2" s="129"/>
      <c r="C2" s="127" t="s">
        <v>85</v>
      </c>
      <c r="D2" s="127"/>
      <c r="E2" s="129" t="s">
        <v>12</v>
      </c>
      <c r="F2" s="129"/>
      <c r="G2" s="132">
        <v>45874</v>
      </c>
      <c r="H2" s="132"/>
      <c r="I2" s="207">
        <v>45877</v>
      </c>
      <c r="J2" s="134">
        <f>I2-I3</f>
        <v>80</v>
      </c>
      <c r="K2" s="135"/>
    </row>
    <row r="3" spans="1:11" ht="42.75" customHeight="1" x14ac:dyDescent="0.25">
      <c r="A3" s="129" t="s">
        <v>39</v>
      </c>
      <c r="B3" s="129"/>
      <c r="C3" s="127" t="s">
        <v>297</v>
      </c>
      <c r="D3" s="127"/>
      <c r="E3" s="129" t="s">
        <v>155</v>
      </c>
      <c r="F3" s="129"/>
      <c r="G3" s="133" t="s">
        <v>395</v>
      </c>
      <c r="H3" s="127"/>
      <c r="I3" s="206">
        <v>45797</v>
      </c>
    </row>
    <row r="4" spans="1:11" ht="43.5" customHeight="1" x14ac:dyDescent="0.25">
      <c r="A4" s="129" t="s">
        <v>36</v>
      </c>
      <c r="B4" s="129"/>
      <c r="C4" s="127" t="s">
        <v>396</v>
      </c>
      <c r="D4" s="127"/>
      <c r="E4" s="129" t="s">
        <v>33</v>
      </c>
      <c r="F4" s="129"/>
      <c r="G4" s="127" t="str">
        <f ca="1">TEXT(TODAY(),"DD/MM/YYYY")</f>
        <v>08/08/2025</v>
      </c>
      <c r="H4" s="127"/>
      <c r="I4" s="130" t="s">
        <v>368</v>
      </c>
      <c r="J4" s="130"/>
    </row>
    <row r="5" spans="1:11" ht="20.25" x14ac:dyDescent="0.25">
      <c r="A5" s="139" t="s">
        <v>40</v>
      </c>
      <c r="B5" s="139"/>
      <c r="C5" s="139"/>
      <c r="D5" s="139"/>
      <c r="E5" s="139"/>
      <c r="F5" s="139"/>
      <c r="G5" s="139"/>
      <c r="H5" s="139"/>
    </row>
    <row r="6" spans="1:11" ht="43.5" customHeight="1" x14ac:dyDescent="0.25">
      <c r="A6" s="129" t="s">
        <v>29</v>
      </c>
      <c r="B6" s="129"/>
      <c r="C6" s="127" t="s">
        <v>369</v>
      </c>
      <c r="D6" s="127"/>
      <c r="E6" s="129" t="s">
        <v>35</v>
      </c>
      <c r="F6" s="129"/>
      <c r="G6" s="131" t="s">
        <v>302</v>
      </c>
      <c r="H6" s="131"/>
    </row>
    <row r="7" spans="1:11" ht="49.5" customHeight="1" x14ac:dyDescent="0.25">
      <c r="A7" s="129" t="s">
        <v>42</v>
      </c>
      <c r="B7" s="129"/>
      <c r="C7" s="127" t="s">
        <v>298</v>
      </c>
      <c r="D7" s="127"/>
      <c r="E7" s="129" t="s">
        <v>43</v>
      </c>
      <c r="F7" s="129"/>
      <c r="G7" s="127" t="s">
        <v>298</v>
      </c>
      <c r="H7" s="127"/>
    </row>
    <row r="8" spans="1:11" ht="48.75" customHeight="1" x14ac:dyDescent="0.25">
      <c r="A8" s="129" t="s">
        <v>44</v>
      </c>
      <c r="B8" s="129"/>
      <c r="C8" s="127" t="s">
        <v>300</v>
      </c>
      <c r="D8" s="127"/>
      <c r="E8" s="127"/>
      <c r="F8" s="127"/>
      <c r="G8" s="127"/>
      <c r="H8" s="127"/>
      <c r="I8" s="86" t="s">
        <v>301</v>
      </c>
    </row>
    <row r="9" spans="1:11" ht="45" customHeight="1" x14ac:dyDescent="0.25">
      <c r="A9" s="128" t="s">
        <v>146</v>
      </c>
      <c r="B9" s="41" t="s">
        <v>41</v>
      </c>
      <c r="C9" s="127" t="s">
        <v>303</v>
      </c>
      <c r="D9" s="127"/>
      <c r="E9" s="127"/>
      <c r="F9" s="127"/>
      <c r="G9" s="127"/>
      <c r="H9" s="127"/>
    </row>
    <row r="10" spans="1:11" ht="41.25" customHeight="1" x14ac:dyDescent="0.25">
      <c r="A10" s="128"/>
      <c r="B10" s="41" t="s">
        <v>11</v>
      </c>
      <c r="C10" s="127" t="s">
        <v>304</v>
      </c>
      <c r="D10" s="127"/>
      <c r="E10" s="127"/>
      <c r="F10" s="127"/>
      <c r="G10" s="127"/>
      <c r="H10" s="127"/>
    </row>
    <row r="11" spans="1:11" ht="63.75" customHeight="1" x14ac:dyDescent="0.25">
      <c r="A11" s="128"/>
      <c r="B11" s="41" t="s">
        <v>5</v>
      </c>
      <c r="C11" s="127" t="s">
        <v>370</v>
      </c>
      <c r="D11" s="127"/>
      <c r="E11" s="127"/>
      <c r="F11" s="127"/>
      <c r="G11" s="127"/>
      <c r="H11" s="127"/>
    </row>
    <row r="12" spans="1:11" ht="40.5" customHeight="1" x14ac:dyDescent="0.25">
      <c r="A12" s="129" t="s">
        <v>34</v>
      </c>
      <c r="B12" s="129"/>
      <c r="C12" s="131" t="s">
        <v>299</v>
      </c>
      <c r="D12" s="131"/>
      <c r="E12" s="131"/>
      <c r="F12" s="131"/>
      <c r="G12" s="131"/>
      <c r="H12" s="131"/>
    </row>
    <row r="13" spans="1:11" ht="20.100000000000001" customHeight="1" x14ac:dyDescent="0.25">
      <c r="A13" s="139" t="s">
        <v>45</v>
      </c>
      <c r="B13" s="139"/>
      <c r="C13" s="139"/>
      <c r="D13" s="139"/>
      <c r="E13" s="139"/>
      <c r="F13" s="139"/>
      <c r="G13" s="139"/>
      <c r="H13" s="139"/>
    </row>
    <row r="14" spans="1:11" ht="41.25" customHeight="1" x14ac:dyDescent="0.25">
      <c r="A14" s="129" t="s">
        <v>27</v>
      </c>
      <c r="B14" s="129" t="s">
        <v>4</v>
      </c>
      <c r="C14" s="127" t="s">
        <v>86</v>
      </c>
      <c r="D14" s="127"/>
      <c r="E14" s="129" t="s">
        <v>46</v>
      </c>
      <c r="F14" s="129" t="s">
        <v>4</v>
      </c>
      <c r="G14" s="127" t="s">
        <v>305</v>
      </c>
      <c r="H14" s="127"/>
    </row>
    <row r="15" spans="1:11" ht="41.25" customHeight="1" x14ac:dyDescent="0.25">
      <c r="A15" s="129" t="s">
        <v>47</v>
      </c>
      <c r="B15" s="129" t="s">
        <v>4</v>
      </c>
      <c r="C15" s="127" t="s">
        <v>306</v>
      </c>
      <c r="D15" s="127"/>
      <c r="E15" s="129" t="s">
        <v>48</v>
      </c>
      <c r="F15" s="129" t="s">
        <v>4</v>
      </c>
      <c r="G15" s="132">
        <v>47118</v>
      </c>
      <c r="H15" s="127"/>
    </row>
    <row r="16" spans="1:11" ht="41.25" customHeight="1" x14ac:dyDescent="0.25">
      <c r="A16" s="129" t="s">
        <v>49</v>
      </c>
      <c r="B16" s="129" t="s">
        <v>4</v>
      </c>
      <c r="C16" s="132">
        <v>45670</v>
      </c>
      <c r="D16" s="127"/>
      <c r="E16" s="129" t="s">
        <v>50</v>
      </c>
      <c r="F16" s="129" t="s">
        <v>4</v>
      </c>
      <c r="G16" s="171">
        <v>45658</v>
      </c>
      <c r="H16" s="127"/>
    </row>
    <row r="17" spans="1:9" ht="41.25" customHeight="1" x14ac:dyDescent="0.25">
      <c r="A17" s="129" t="s">
        <v>51</v>
      </c>
      <c r="B17" s="129" t="s">
        <v>4</v>
      </c>
      <c r="C17" s="132">
        <v>47118</v>
      </c>
      <c r="D17" s="127"/>
      <c r="E17" s="129" t="s">
        <v>52</v>
      </c>
      <c r="F17" s="129" t="s">
        <v>4</v>
      </c>
      <c r="G17" s="127" t="s">
        <v>307</v>
      </c>
      <c r="H17" s="127"/>
    </row>
    <row r="18" spans="1:9" ht="41.25" customHeight="1" x14ac:dyDescent="0.25">
      <c r="A18" s="129" t="s">
        <v>53</v>
      </c>
      <c r="B18" s="129" t="s">
        <v>4</v>
      </c>
      <c r="C18" s="12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7"/>
      <c r="E18" s="129" t="s">
        <v>93</v>
      </c>
      <c r="F18" s="129" t="s">
        <v>4</v>
      </c>
      <c r="G18" s="110">
        <v>1112.9000000000001</v>
      </c>
      <c r="H18" s="110"/>
    </row>
    <row r="19" spans="1:9" ht="41.25" customHeight="1" x14ac:dyDescent="0.25">
      <c r="A19" s="129" t="s">
        <v>54</v>
      </c>
      <c r="B19" s="129" t="s">
        <v>4</v>
      </c>
      <c r="C19" s="110">
        <f>1112.9/G18</f>
        <v>1</v>
      </c>
      <c r="D19" s="110"/>
      <c r="E19" s="129" t="s">
        <v>237</v>
      </c>
      <c r="F19" s="129" t="s">
        <v>4</v>
      </c>
      <c r="G19" s="110">
        <v>943</v>
      </c>
      <c r="H19" s="110"/>
    </row>
    <row r="20" spans="1:9" ht="41.25" customHeight="1" x14ac:dyDescent="0.25">
      <c r="A20" s="129" t="s">
        <v>91</v>
      </c>
      <c r="B20" s="129" t="s">
        <v>4</v>
      </c>
      <c r="C20" s="127">
        <v>5425.39</v>
      </c>
      <c r="D20" s="127"/>
      <c r="E20" s="129" t="s">
        <v>92</v>
      </c>
      <c r="F20" s="129" t="s">
        <v>4</v>
      </c>
      <c r="G20" s="127">
        <f>4831.53</f>
        <v>4831.53</v>
      </c>
      <c r="H20" s="127"/>
    </row>
    <row r="21" spans="1:9" ht="87.75" customHeight="1" x14ac:dyDescent="0.25">
      <c r="A21" s="129" t="s">
        <v>56</v>
      </c>
      <c r="B21" s="129" t="s">
        <v>4</v>
      </c>
      <c r="C21" s="127" t="s">
        <v>391</v>
      </c>
      <c r="D21" s="127"/>
      <c r="E21" s="129" t="s">
        <v>55</v>
      </c>
      <c r="F21" s="129" t="s">
        <v>4</v>
      </c>
      <c r="G21" s="127" t="s">
        <v>392</v>
      </c>
      <c r="H21" s="127"/>
      <c r="I21" s="90" t="s">
        <v>365</v>
      </c>
    </row>
    <row r="22" spans="1:9" ht="41.25" customHeight="1" x14ac:dyDescent="0.25">
      <c r="A22" s="129" t="s">
        <v>159</v>
      </c>
      <c r="B22" s="129" t="s">
        <v>4</v>
      </c>
      <c r="C22" s="127" t="s">
        <v>308</v>
      </c>
      <c r="D22" s="127"/>
      <c r="E22" s="129" t="s">
        <v>160</v>
      </c>
      <c r="F22" s="129" t="s">
        <v>4</v>
      </c>
      <c r="G22" s="127" t="s">
        <v>310</v>
      </c>
      <c r="H22" s="127"/>
    </row>
    <row r="23" spans="1:9" ht="33" x14ac:dyDescent="0.25">
      <c r="A23" s="129" t="s">
        <v>157</v>
      </c>
      <c r="B23" s="129" t="s">
        <v>4</v>
      </c>
      <c r="C23" s="137" t="s">
        <v>309</v>
      </c>
      <c r="D23" s="138"/>
      <c r="E23" s="138"/>
      <c r="F23" s="138"/>
      <c r="G23" s="138"/>
      <c r="H23" s="138"/>
    </row>
    <row r="24" spans="1:9" ht="47.25" customHeight="1" x14ac:dyDescent="0.25">
      <c r="A24" s="129" t="s">
        <v>25</v>
      </c>
      <c r="B24" s="129" t="s">
        <v>4</v>
      </c>
      <c r="C24" s="127" t="s">
        <v>393</v>
      </c>
      <c r="D24" s="127"/>
      <c r="E24" s="127"/>
      <c r="F24" s="127"/>
      <c r="G24" s="127"/>
      <c r="H24" s="127"/>
      <c r="I24" s="87" t="s">
        <v>311</v>
      </c>
    </row>
    <row r="25" spans="1:9" ht="24" customHeight="1" x14ac:dyDescent="0.25">
      <c r="A25" s="139" t="s">
        <v>20</v>
      </c>
      <c r="B25" s="139"/>
      <c r="C25" s="139"/>
      <c r="D25" s="139"/>
      <c r="E25" s="139"/>
      <c r="F25" s="139"/>
      <c r="G25" s="139"/>
      <c r="H25" s="139"/>
    </row>
    <row r="26" spans="1:9" ht="43.5" customHeight="1" x14ac:dyDescent="0.25">
      <c r="A26" s="129" t="s">
        <v>26</v>
      </c>
      <c r="B26" s="129" t="s">
        <v>4</v>
      </c>
      <c r="C26" s="127" t="str">
        <f>IF(AND(G26="Upper"),"Developed","Developing")</f>
        <v>Developed</v>
      </c>
      <c r="D26" s="127"/>
      <c r="E26" s="129" t="s">
        <v>13</v>
      </c>
      <c r="F26" s="129" t="s">
        <v>4</v>
      </c>
      <c r="G26" s="127" t="s">
        <v>371</v>
      </c>
      <c r="H26" s="127"/>
    </row>
    <row r="27" spans="1:9" ht="43.5" customHeight="1" x14ac:dyDescent="0.25">
      <c r="A27" s="129" t="s">
        <v>14</v>
      </c>
      <c r="B27" s="129" t="s">
        <v>4</v>
      </c>
      <c r="C27" s="127" t="s">
        <v>96</v>
      </c>
      <c r="D27" s="127"/>
      <c r="E27" s="129" t="s">
        <v>147</v>
      </c>
      <c r="F27" s="129" t="s">
        <v>4</v>
      </c>
      <c r="G27" s="127" t="s">
        <v>372</v>
      </c>
      <c r="H27" s="127"/>
    </row>
    <row r="28" spans="1:9" ht="43.5" customHeight="1" x14ac:dyDescent="0.25">
      <c r="A28" s="129" t="s">
        <v>23</v>
      </c>
      <c r="B28" s="129" t="s">
        <v>4</v>
      </c>
      <c r="C28" s="127" t="s">
        <v>95</v>
      </c>
      <c r="D28" s="127"/>
      <c r="E28" s="129" t="s">
        <v>16</v>
      </c>
      <c r="F28" s="129" t="s">
        <v>4</v>
      </c>
      <c r="G28" s="131" t="s">
        <v>317</v>
      </c>
      <c r="H28" s="131"/>
    </row>
    <row r="29" spans="1:9" ht="62.25" customHeight="1" x14ac:dyDescent="0.25">
      <c r="A29" s="129" t="s">
        <v>105</v>
      </c>
      <c r="B29" s="129" t="s">
        <v>4</v>
      </c>
      <c r="C29" s="131" t="s">
        <v>318</v>
      </c>
      <c r="D29" s="131"/>
      <c r="E29" s="129" t="s">
        <v>106</v>
      </c>
      <c r="F29" s="129" t="s">
        <v>4</v>
      </c>
      <c r="G29" s="131" t="s">
        <v>319</v>
      </c>
      <c r="H29" s="131"/>
    </row>
    <row r="30" spans="1:9" ht="84" customHeight="1" x14ac:dyDescent="0.25">
      <c r="A30" s="129" t="s">
        <v>17</v>
      </c>
      <c r="B30" s="129" t="s">
        <v>4</v>
      </c>
      <c r="C30" s="131" t="s">
        <v>320</v>
      </c>
      <c r="D30" s="131"/>
      <c r="E30" s="129" t="s">
        <v>15</v>
      </c>
      <c r="F30" s="129" t="s">
        <v>4</v>
      </c>
      <c r="G30" s="131" t="s">
        <v>321</v>
      </c>
      <c r="H30" s="131"/>
    </row>
    <row r="31" spans="1:9" ht="20.25" x14ac:dyDescent="0.25">
      <c r="A31" s="129" t="s">
        <v>111</v>
      </c>
      <c r="B31" s="129" t="s">
        <v>4</v>
      </c>
      <c r="C31" s="127" t="s">
        <v>112</v>
      </c>
      <c r="D31" s="127"/>
      <c r="E31" s="129" t="s">
        <v>113</v>
      </c>
      <c r="F31" s="129" t="s">
        <v>4</v>
      </c>
      <c r="G31" s="127" t="s">
        <v>112</v>
      </c>
      <c r="H31" s="127"/>
    </row>
    <row r="32" spans="1:9" ht="21.75" customHeight="1" x14ac:dyDescent="0.25">
      <c r="A32" s="129" t="s">
        <v>114</v>
      </c>
      <c r="B32" s="129" t="s">
        <v>4</v>
      </c>
      <c r="C32" s="127" t="s">
        <v>112</v>
      </c>
      <c r="D32" s="127"/>
      <c r="E32" s="127"/>
      <c r="F32" s="127"/>
      <c r="G32" s="127"/>
      <c r="H32" s="127"/>
    </row>
    <row r="33" spans="1:15" ht="20.25" x14ac:dyDescent="0.25">
      <c r="A33" s="136" t="s">
        <v>37</v>
      </c>
      <c r="B33" s="136"/>
      <c r="C33" s="136"/>
      <c r="D33" s="136"/>
      <c r="E33" s="136"/>
      <c r="F33" s="136"/>
      <c r="G33" s="136"/>
      <c r="H33" s="136"/>
    </row>
    <row r="34" spans="1:15" ht="43.5" customHeight="1" x14ac:dyDescent="0.25">
      <c r="A34" s="129" t="s">
        <v>18</v>
      </c>
      <c r="B34" s="129"/>
      <c r="C34" s="127" t="s">
        <v>97</v>
      </c>
      <c r="D34" s="127"/>
      <c r="E34" s="129" t="s">
        <v>19</v>
      </c>
      <c r="F34" s="129" t="s">
        <v>4</v>
      </c>
      <c r="G34" s="127" t="s">
        <v>98</v>
      </c>
      <c r="H34" s="127"/>
    </row>
    <row r="35" spans="1:15" ht="43.5" customHeight="1" x14ac:dyDescent="0.25">
      <c r="A35" s="129" t="s">
        <v>22</v>
      </c>
      <c r="B35" s="129"/>
      <c r="C35" s="127" t="s">
        <v>98</v>
      </c>
      <c r="D35" s="127"/>
      <c r="E35" s="129" t="s">
        <v>32</v>
      </c>
      <c r="F35" s="129" t="s">
        <v>4</v>
      </c>
      <c r="G35" s="127" t="s">
        <v>98</v>
      </c>
      <c r="H35" s="127"/>
    </row>
    <row r="36" spans="1:15" ht="20.25" x14ac:dyDescent="0.25">
      <c r="A36" s="129" t="s">
        <v>31</v>
      </c>
      <c r="B36" s="129"/>
      <c r="C36" s="127" t="s">
        <v>99</v>
      </c>
      <c r="D36" s="127"/>
      <c r="E36" s="129" t="s">
        <v>21</v>
      </c>
      <c r="F36" s="129" t="s">
        <v>4</v>
      </c>
      <c r="G36" s="127" t="s">
        <v>100</v>
      </c>
      <c r="H36" s="127"/>
    </row>
    <row r="37" spans="1:15" ht="20.25" x14ac:dyDescent="0.25">
      <c r="A37" s="139" t="s">
        <v>0</v>
      </c>
      <c r="B37" s="139"/>
      <c r="C37" s="139"/>
      <c r="D37" s="139"/>
      <c r="E37" s="139"/>
      <c r="F37" s="139"/>
      <c r="G37" s="139"/>
      <c r="H37" s="139"/>
    </row>
    <row r="38" spans="1:15" ht="20.25" x14ac:dyDescent="0.25">
      <c r="A38" s="124" t="s">
        <v>0</v>
      </c>
      <c r="B38" s="124"/>
      <c r="C38" s="124" t="s">
        <v>225</v>
      </c>
      <c r="D38" s="124"/>
      <c r="E38" s="124"/>
      <c r="F38" s="124" t="s">
        <v>7</v>
      </c>
      <c r="G38" s="124"/>
      <c r="H38" s="124"/>
      <c r="J38" s="122" t="s">
        <v>1</v>
      </c>
      <c r="K38" s="123"/>
      <c r="L38" s="43" t="s">
        <v>6</v>
      </c>
      <c r="M38" s="122" t="s">
        <v>2</v>
      </c>
      <c r="N38" s="123"/>
      <c r="O38" s="43" t="s">
        <v>3</v>
      </c>
    </row>
    <row r="39" spans="1:15" ht="20.25" x14ac:dyDescent="0.25">
      <c r="A39" s="128" t="s">
        <v>2</v>
      </c>
      <c r="B39" s="128"/>
      <c r="C39" s="125" t="s">
        <v>327</v>
      </c>
      <c r="D39" s="125"/>
      <c r="E39" s="125"/>
      <c r="F39" s="125" t="s">
        <v>373</v>
      </c>
      <c r="G39" s="125"/>
      <c r="H39" s="125"/>
    </row>
    <row r="40" spans="1:15" ht="43.5" customHeight="1" x14ac:dyDescent="0.25">
      <c r="A40" s="128" t="s">
        <v>3</v>
      </c>
      <c r="B40" s="128"/>
      <c r="C40" s="125" t="s">
        <v>325</v>
      </c>
      <c r="D40" s="125"/>
      <c r="E40" s="125"/>
      <c r="F40" s="125" t="s">
        <v>326</v>
      </c>
      <c r="G40" s="125"/>
      <c r="H40" s="125"/>
    </row>
    <row r="41" spans="1:15" ht="40.5" customHeight="1" x14ac:dyDescent="0.25">
      <c r="A41" s="128" t="s">
        <v>1</v>
      </c>
      <c r="B41" s="128"/>
      <c r="C41" s="125" t="s">
        <v>323</v>
      </c>
      <c r="D41" s="125"/>
      <c r="E41" s="125"/>
      <c r="F41" s="125" t="s">
        <v>324</v>
      </c>
      <c r="G41" s="125"/>
      <c r="H41" s="125"/>
    </row>
    <row r="42" spans="1:15" ht="20.25" x14ac:dyDescent="0.25">
      <c r="A42" s="128" t="s">
        <v>6</v>
      </c>
      <c r="B42" s="128"/>
      <c r="C42" s="125" t="s">
        <v>327</v>
      </c>
      <c r="D42" s="125"/>
      <c r="E42" s="125"/>
      <c r="F42" s="125" t="s">
        <v>322</v>
      </c>
      <c r="G42" s="125"/>
      <c r="H42" s="125"/>
    </row>
    <row r="43" spans="1:15" ht="51" customHeight="1" x14ac:dyDescent="0.25">
      <c r="A43" s="129" t="s">
        <v>226</v>
      </c>
      <c r="B43" s="129"/>
      <c r="C43" s="126" t="s">
        <v>95</v>
      </c>
      <c r="D43" s="126"/>
      <c r="E43" s="126"/>
      <c r="F43" s="126"/>
      <c r="G43" s="126"/>
      <c r="H43" s="126"/>
    </row>
    <row r="44" spans="1:15" ht="20.25" x14ac:dyDescent="0.25">
      <c r="A44" s="139" t="s">
        <v>57</v>
      </c>
      <c r="B44" s="139"/>
      <c r="C44" s="139"/>
      <c r="D44" s="139"/>
      <c r="E44" s="139"/>
      <c r="F44" s="139"/>
      <c r="G44" s="139"/>
      <c r="H44" s="139"/>
    </row>
    <row r="45" spans="1:15" ht="21" customHeight="1" x14ac:dyDescent="0.25">
      <c r="A45" s="124" t="s">
        <v>58</v>
      </c>
      <c r="B45" s="124"/>
      <c r="C45" s="43" t="s">
        <v>59</v>
      </c>
      <c r="D45" s="124" t="s">
        <v>145</v>
      </c>
      <c r="E45" s="124"/>
      <c r="F45" s="124"/>
      <c r="G45" s="124" t="s">
        <v>60</v>
      </c>
      <c r="H45" s="124"/>
    </row>
    <row r="46" spans="1:15" ht="20.25" x14ac:dyDescent="0.25">
      <c r="A46" s="183" t="s">
        <v>322</v>
      </c>
      <c r="B46" s="183"/>
      <c r="C46" s="40" t="s">
        <v>87</v>
      </c>
      <c r="D46" s="127" t="s">
        <v>315</v>
      </c>
      <c r="E46" s="127"/>
      <c r="F46" s="127"/>
      <c r="G46" s="127" t="s">
        <v>316</v>
      </c>
      <c r="H46" s="127"/>
      <c r="I46" s="87" t="s">
        <v>311</v>
      </c>
      <c r="J46"/>
    </row>
    <row r="47" spans="1:15" ht="20.25" x14ac:dyDescent="0.25">
      <c r="A47" s="139" t="s">
        <v>61</v>
      </c>
      <c r="B47" s="139"/>
      <c r="C47" s="139"/>
      <c r="D47" s="139"/>
      <c r="E47" s="139"/>
      <c r="F47" s="139"/>
      <c r="G47" s="139"/>
      <c r="H47" s="139"/>
    </row>
    <row r="48" spans="1:15" ht="42.75" customHeight="1" x14ac:dyDescent="0.25">
      <c r="A48" s="129" t="s">
        <v>62</v>
      </c>
      <c r="B48" s="129" t="s">
        <v>4</v>
      </c>
      <c r="C48" s="127" t="s">
        <v>95</v>
      </c>
      <c r="D48" s="127"/>
      <c r="E48" s="127"/>
      <c r="F48" s="127"/>
      <c r="G48" s="127"/>
      <c r="H48" s="127"/>
    </row>
    <row r="49" spans="1:10" ht="44.25" customHeight="1" x14ac:dyDescent="0.25">
      <c r="A49" s="129" t="s">
        <v>63</v>
      </c>
      <c r="B49" s="129" t="s">
        <v>4</v>
      </c>
      <c r="C49" s="127" t="s">
        <v>312</v>
      </c>
      <c r="D49" s="127"/>
      <c r="E49" s="127"/>
      <c r="F49" s="127"/>
      <c r="G49" s="58" t="s">
        <v>227</v>
      </c>
      <c r="H49" s="88">
        <v>45548</v>
      </c>
    </row>
    <row r="50" spans="1:10" ht="44.25" customHeight="1" x14ac:dyDescent="0.25">
      <c r="A50" s="129" t="s">
        <v>64</v>
      </c>
      <c r="B50" s="129" t="s">
        <v>4</v>
      </c>
      <c r="C50" s="127" t="s">
        <v>312</v>
      </c>
      <c r="D50" s="127"/>
      <c r="E50" s="127"/>
      <c r="F50" s="127"/>
      <c r="G50" s="58" t="s">
        <v>227</v>
      </c>
      <c r="H50" s="88">
        <v>45548</v>
      </c>
    </row>
    <row r="51" spans="1:10" ht="20.25" x14ac:dyDescent="0.25">
      <c r="A51" s="129" t="s">
        <v>314</v>
      </c>
      <c r="B51" s="129"/>
      <c r="C51" s="127" t="s">
        <v>312</v>
      </c>
      <c r="D51" s="127"/>
      <c r="E51" s="127"/>
      <c r="F51" s="127"/>
      <c r="G51" s="58" t="s">
        <v>227</v>
      </c>
      <c r="H51" s="88">
        <v>45652</v>
      </c>
    </row>
    <row r="52" spans="1:10" ht="20.25" x14ac:dyDescent="0.25">
      <c r="A52" s="129"/>
      <c r="B52" s="129"/>
      <c r="C52" s="102" t="s">
        <v>313</v>
      </c>
      <c r="D52" s="103"/>
      <c r="E52" s="103"/>
      <c r="F52" s="103"/>
      <c r="G52" s="103"/>
      <c r="H52" s="104"/>
    </row>
    <row r="53" spans="1:10" ht="138" customHeight="1" x14ac:dyDescent="0.25">
      <c r="A53" s="129" t="s">
        <v>328</v>
      </c>
      <c r="B53" s="129"/>
      <c r="C53" s="127" t="s">
        <v>374</v>
      </c>
      <c r="D53" s="127"/>
      <c r="E53" s="127"/>
      <c r="F53" s="127"/>
      <c r="G53" s="58" t="s">
        <v>227</v>
      </c>
      <c r="H53" s="88">
        <v>45425</v>
      </c>
    </row>
    <row r="54" spans="1:10" ht="46.5" hidden="1" customHeight="1" x14ac:dyDescent="0.25">
      <c r="A54" s="129" t="s">
        <v>65</v>
      </c>
      <c r="B54" s="129" t="s">
        <v>4</v>
      </c>
      <c r="C54" s="127"/>
      <c r="D54" s="127"/>
      <c r="E54" s="127"/>
      <c r="F54" s="127"/>
      <c r="G54" s="58" t="s">
        <v>228</v>
      </c>
      <c r="H54" s="42"/>
    </row>
    <row r="55" spans="1:10" ht="45" hidden="1" customHeight="1" x14ac:dyDescent="0.25">
      <c r="A55" s="129" t="s">
        <v>66</v>
      </c>
      <c r="B55" s="129" t="s">
        <v>4</v>
      </c>
      <c r="C55" s="127"/>
      <c r="D55" s="127"/>
      <c r="E55" s="127"/>
      <c r="F55" s="127"/>
      <c r="G55" s="58" t="s">
        <v>228</v>
      </c>
      <c r="H55" s="42"/>
    </row>
    <row r="56" spans="1:10" ht="20.25" customHeight="1" x14ac:dyDescent="0.25">
      <c r="A56" s="98" t="s">
        <v>377</v>
      </c>
      <c r="B56" s="99"/>
      <c r="C56" s="127" t="s">
        <v>329</v>
      </c>
      <c r="D56" s="127"/>
      <c r="E56" s="127"/>
      <c r="F56" s="127"/>
      <c r="G56" s="94" t="s">
        <v>228</v>
      </c>
      <c r="H56" s="95">
        <v>45271</v>
      </c>
    </row>
    <row r="57" spans="1:10" ht="63" customHeight="1" x14ac:dyDescent="0.25">
      <c r="A57" s="100"/>
      <c r="B57" s="101"/>
      <c r="C57" s="127" t="s">
        <v>379</v>
      </c>
      <c r="D57" s="127"/>
      <c r="E57" s="127"/>
      <c r="F57" s="127"/>
      <c r="G57" s="94" t="s">
        <v>375</v>
      </c>
      <c r="H57" s="95">
        <v>47628</v>
      </c>
      <c r="I57" s="1">
        <f>57.13-4.74</f>
        <v>52.39</v>
      </c>
    </row>
    <row r="58" spans="1:10" ht="45.75" customHeight="1" x14ac:dyDescent="0.25">
      <c r="A58" s="98" t="s">
        <v>378</v>
      </c>
      <c r="B58" s="99"/>
      <c r="C58" s="127" t="s">
        <v>376</v>
      </c>
      <c r="D58" s="127"/>
      <c r="E58" s="127"/>
      <c r="F58" s="127"/>
      <c r="G58" s="58" t="s">
        <v>228</v>
      </c>
      <c r="H58" s="93">
        <v>45271</v>
      </c>
    </row>
    <row r="59" spans="1:10" ht="40.5" customHeight="1" x14ac:dyDescent="0.25">
      <c r="A59" s="100"/>
      <c r="B59" s="101"/>
      <c r="C59" s="102" t="s">
        <v>380</v>
      </c>
      <c r="D59" s="103"/>
      <c r="E59" s="103"/>
      <c r="F59" s="103"/>
      <c r="G59" s="103"/>
      <c r="H59" s="104"/>
    </row>
    <row r="60" spans="1:10" ht="21" thickBot="1" x14ac:dyDescent="0.3">
      <c r="A60" s="139" t="s">
        <v>67</v>
      </c>
      <c r="B60" s="139"/>
      <c r="C60" s="139"/>
      <c r="D60" s="139"/>
      <c r="E60" s="139"/>
      <c r="F60" s="139"/>
      <c r="G60" s="139"/>
      <c r="H60" s="139"/>
      <c r="I60" s="208"/>
    </row>
    <row r="61" spans="1:10" ht="20.25" customHeight="1" x14ac:dyDescent="0.3">
      <c r="A61" s="188" t="str">
        <f>CONCATENATE((IF(OR(A46="",A46="NA"),"",A46)),"= ",(IF(OR(D46="",D46="NA"),"",D46)),".")</f>
        <v>Building= 1B + G + 1st to 18th Floor.</v>
      </c>
      <c r="B61" s="188"/>
      <c r="C61" s="188"/>
      <c r="D61" s="29" t="s">
        <v>115</v>
      </c>
      <c r="E61" s="182" t="s">
        <v>102</v>
      </c>
      <c r="F61" s="182"/>
      <c r="G61" s="29" t="s">
        <v>116</v>
      </c>
      <c r="H61" s="29" t="s">
        <v>117</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v>
      </c>
      <c r="J61" s="17"/>
    </row>
    <row r="62" spans="1:10" ht="20.25" x14ac:dyDescent="0.3">
      <c r="A62" s="188"/>
      <c r="B62" s="188"/>
      <c r="C62" s="188"/>
      <c r="D62" s="91">
        <v>1</v>
      </c>
      <c r="E62" s="182">
        <v>1</v>
      </c>
      <c r="F62" s="182"/>
      <c r="G62" s="91">
        <v>0</v>
      </c>
      <c r="H62" s="29">
        <f ca="1">--TRIM(RIGHT(SUBSTITUTE(LEFT(A61,_xlfn.AGGREGATE(16,6,FIND({0,1,2,3,4,5,6,7,8,9},A61,ROW(INDIRECT("1:"&amp;LEN(A61)))),1))," ",REPT(" ",LEN(A61))),LEN(A61)))</f>
        <v>18</v>
      </c>
      <c r="I62" s="16" t="s">
        <v>121</v>
      </c>
      <c r="J62" s="17"/>
    </row>
    <row r="63" spans="1:10" ht="20.25" customHeight="1" x14ac:dyDescent="0.3">
      <c r="A63" s="181" t="s">
        <v>119</v>
      </c>
      <c r="B63" s="181"/>
      <c r="C63" s="39" t="s">
        <v>129</v>
      </c>
      <c r="D63" s="27" t="s">
        <v>130</v>
      </c>
      <c r="E63" s="181" t="s">
        <v>120</v>
      </c>
      <c r="F63" s="181"/>
      <c r="G63" s="28" t="s">
        <v>118</v>
      </c>
      <c r="H63" s="28"/>
      <c r="I63" s="19" t="s">
        <v>131</v>
      </c>
      <c r="J63" s="18">
        <f ca="1">H62*25%</f>
        <v>4.5</v>
      </c>
    </row>
    <row r="64" spans="1:10" ht="20.25" customHeight="1" x14ac:dyDescent="0.3">
      <c r="A64" s="166" t="s">
        <v>132</v>
      </c>
      <c r="B64" s="166"/>
      <c r="C64" s="34">
        <f ca="1">J65</f>
        <v>18</v>
      </c>
      <c r="D64" s="4">
        <f ca="1">((100/H62)*C64)/100</f>
        <v>1</v>
      </c>
      <c r="E64" s="172">
        <f ca="1">(((C64/H62*10)+(C65/H62*15)+(25/(E62+G62+H62)*C66)+(5/(H62)*C67)+(2.5/(H62)*C68)+(2.5/(H62)*C69)+(5/H62*C70)+(10/H62*C71)+(2.5/H62*C72)+(2.5/H62*C73)+(10/H62*C74)+(10/H62*C75))/100)</f>
        <v>0.25</v>
      </c>
      <c r="F64" s="173"/>
      <c r="G64" s="166" t="str">
        <f ca="1">I61</f>
        <v>Excavation work Completed. Plinth work completed</v>
      </c>
      <c r="H64" s="166"/>
      <c r="I64" s="19" t="s">
        <v>122</v>
      </c>
      <c r="J64" s="23">
        <f ca="1">H62*50%</f>
        <v>9</v>
      </c>
    </row>
    <row r="65" spans="1:11" ht="20.25" x14ac:dyDescent="0.3">
      <c r="A65" s="166" t="s">
        <v>103</v>
      </c>
      <c r="B65" s="166"/>
      <c r="C65" s="35">
        <f>J73</f>
        <v>18</v>
      </c>
      <c r="D65" s="4">
        <f ca="1">((100/H62)*C65)/100</f>
        <v>1</v>
      </c>
      <c r="E65" s="174"/>
      <c r="F65" s="175"/>
      <c r="G65" s="166"/>
      <c r="H65" s="166"/>
      <c r="I65" s="19" t="s">
        <v>123</v>
      </c>
      <c r="J65" s="23">
        <f ca="1">H62</f>
        <v>18</v>
      </c>
    </row>
    <row r="66" spans="1:11" ht="21" customHeight="1" x14ac:dyDescent="0.35">
      <c r="A66" s="166" t="s">
        <v>133</v>
      </c>
      <c r="B66" s="166"/>
      <c r="C66" s="34">
        <v>0</v>
      </c>
      <c r="D66" s="4">
        <f ca="1">((100/(E62+G62+H62))*C66)/100</f>
        <v>0</v>
      </c>
      <c r="E66" s="174"/>
      <c r="F66" s="175"/>
      <c r="G66" s="166"/>
      <c r="H66" s="166"/>
      <c r="I66" s="19" t="s">
        <v>124</v>
      </c>
      <c r="J66" s="24">
        <f ca="1">(IF(D62&gt;1,(H62/(D62+2)),H62*0.2))</f>
        <v>3.6</v>
      </c>
    </row>
    <row r="67" spans="1:11" ht="21" customHeight="1" x14ac:dyDescent="0.35">
      <c r="A67" s="166" t="s">
        <v>134</v>
      </c>
      <c r="B67" s="166"/>
      <c r="C67" s="34">
        <v>0</v>
      </c>
      <c r="D67" s="4">
        <f ca="1">((100/H62)*C67)/100</f>
        <v>0</v>
      </c>
      <c r="E67" s="174"/>
      <c r="F67" s="175"/>
      <c r="G67" s="166"/>
      <c r="H67" s="166"/>
      <c r="I67" s="19" t="s">
        <v>125</v>
      </c>
      <c r="J67" s="24">
        <f ca="1">(IF(D62&gt;1,(H62/(D62+2)+J66),H62*0.2+J66))</f>
        <v>7.2</v>
      </c>
    </row>
    <row r="68" spans="1:11" ht="21" customHeight="1" x14ac:dyDescent="0.35">
      <c r="A68" s="189" t="s">
        <v>135</v>
      </c>
      <c r="B68" s="190"/>
      <c r="C68" s="34">
        <v>0</v>
      </c>
      <c r="D68" s="4">
        <f ca="1">((100/H62)*C68)/100</f>
        <v>0</v>
      </c>
      <c r="E68" s="174"/>
      <c r="F68" s="175"/>
      <c r="G68" s="166"/>
      <c r="H68" s="166"/>
      <c r="I68" s="19" t="s">
        <v>136</v>
      </c>
      <c r="J68" s="24">
        <f>(IF(D62&gt;1,(H62/(D62+2)+J67),0))</f>
        <v>0</v>
      </c>
    </row>
    <row r="69" spans="1:11" ht="21" customHeight="1" x14ac:dyDescent="0.35">
      <c r="A69" s="189" t="s">
        <v>166</v>
      </c>
      <c r="B69" s="190"/>
      <c r="C69" s="34">
        <v>0</v>
      </c>
      <c r="D69" s="4">
        <f ca="1">((100/H62)*C69)/100</f>
        <v>0</v>
      </c>
      <c r="E69" s="174"/>
      <c r="F69" s="175"/>
      <c r="G69" s="166"/>
      <c r="H69" s="166"/>
      <c r="I69" s="19" t="s">
        <v>137</v>
      </c>
      <c r="J69" s="24">
        <f>(IF(D62&gt;2,(H62/(D62+2)+J68),0))</f>
        <v>0</v>
      </c>
    </row>
    <row r="70" spans="1:11" ht="21" x14ac:dyDescent="0.35">
      <c r="A70" s="189" t="s">
        <v>163</v>
      </c>
      <c r="B70" s="190"/>
      <c r="C70" s="34">
        <v>0</v>
      </c>
      <c r="D70" s="4">
        <f ca="1">((100/(H62))*C70)/100</f>
        <v>0</v>
      </c>
      <c r="E70" s="174"/>
      <c r="F70" s="175"/>
      <c r="G70" s="166"/>
      <c r="H70" s="166"/>
      <c r="I70" s="19" t="s">
        <v>139</v>
      </c>
      <c r="J70" s="25">
        <f>(IF(D62&gt;3,(H62/(D62+2)+J69),0))</f>
        <v>0</v>
      </c>
    </row>
    <row r="71" spans="1:11" ht="21" x14ac:dyDescent="0.35">
      <c r="A71" s="166" t="s">
        <v>138</v>
      </c>
      <c r="B71" s="166"/>
      <c r="C71" s="34">
        <v>0</v>
      </c>
      <c r="D71" s="4">
        <f ca="1">((100/(H62))*C71)/100</f>
        <v>0</v>
      </c>
      <c r="E71" s="174"/>
      <c r="F71" s="175"/>
      <c r="G71" s="166"/>
      <c r="H71" s="166"/>
      <c r="I71" s="19" t="s">
        <v>140</v>
      </c>
      <c r="J71" s="24">
        <f>(IF(D62&gt;4,(H62/(D62+2)+J70),0))</f>
        <v>0</v>
      </c>
    </row>
    <row r="72" spans="1:11" ht="21" customHeight="1" x14ac:dyDescent="0.35">
      <c r="A72" s="166" t="s">
        <v>165</v>
      </c>
      <c r="B72" s="166"/>
      <c r="C72" s="34">
        <v>0</v>
      </c>
      <c r="D72" s="4">
        <f ca="1">((100/H62)*C72)/100</f>
        <v>0</v>
      </c>
      <c r="E72" s="174"/>
      <c r="F72" s="175"/>
      <c r="G72" s="166"/>
      <c r="H72" s="166"/>
      <c r="I72" s="19" t="s">
        <v>126</v>
      </c>
      <c r="J72" s="24">
        <f ca="1">(IF(D62=1,(H62/(D62+3)+J67),IF(D62=0,(H62*0.3+J67),IF(D62&gt;1,0))))</f>
        <v>11.7</v>
      </c>
    </row>
    <row r="73" spans="1:11" ht="21.75" thickBot="1" x14ac:dyDescent="0.4">
      <c r="A73" s="166" t="s">
        <v>164</v>
      </c>
      <c r="B73" s="166"/>
      <c r="C73" s="34">
        <v>0</v>
      </c>
      <c r="D73" s="4">
        <f ca="1">((100/H62)*C73)/100</f>
        <v>0</v>
      </c>
      <c r="E73" s="174"/>
      <c r="F73" s="175"/>
      <c r="G73" s="166"/>
      <c r="H73" s="166"/>
      <c r="I73" s="21" t="s">
        <v>127</v>
      </c>
      <c r="J73" s="26">
        <v>18</v>
      </c>
    </row>
    <row r="74" spans="1:11" ht="20.25" x14ac:dyDescent="0.25">
      <c r="A74" s="166" t="s">
        <v>141</v>
      </c>
      <c r="B74" s="166"/>
      <c r="C74" s="34">
        <v>0</v>
      </c>
      <c r="D74" s="4">
        <f ca="1">((100/(H62))*C74)/100</f>
        <v>0</v>
      </c>
      <c r="E74" s="174"/>
      <c r="F74" s="175"/>
      <c r="G74" s="166"/>
      <c r="H74" s="166"/>
    </row>
    <row r="75" spans="1:11" ht="20.25" x14ac:dyDescent="0.25">
      <c r="A75" s="166" t="s">
        <v>142</v>
      </c>
      <c r="B75" s="166"/>
      <c r="C75" s="34">
        <v>0</v>
      </c>
      <c r="D75" s="4">
        <f ca="1">((100/(H62))*C75)/100</f>
        <v>0</v>
      </c>
      <c r="E75" s="176"/>
      <c r="F75" s="177"/>
      <c r="G75" s="166"/>
      <c r="H75" s="166"/>
    </row>
    <row r="76" spans="1:11" ht="36.75" customHeight="1" x14ac:dyDescent="0.3">
      <c r="A76" s="184" t="s">
        <v>128</v>
      </c>
      <c r="B76" s="185"/>
      <c r="C76" s="185"/>
      <c r="D76" s="185"/>
      <c r="E76" s="185"/>
      <c r="F76" s="185"/>
      <c r="G76" s="167">
        <f ca="1">AVERAGE(E64)</f>
        <v>0.25</v>
      </c>
      <c r="H76" s="168"/>
      <c r="I76" s="19"/>
      <c r="J76" s="20"/>
      <c r="K76" s="20"/>
    </row>
    <row r="77" spans="1:11" ht="20.25" x14ac:dyDescent="0.25">
      <c r="A77" s="111" t="s">
        <v>71</v>
      </c>
      <c r="B77" s="112"/>
      <c r="C77" s="112"/>
      <c r="D77" s="112"/>
      <c r="E77" s="112"/>
      <c r="F77" s="112"/>
      <c r="G77" s="112"/>
      <c r="H77" s="113"/>
    </row>
    <row r="78" spans="1:11" ht="54.75" customHeight="1" x14ac:dyDescent="0.25">
      <c r="A78" s="114" t="s">
        <v>72</v>
      </c>
      <c r="B78" s="115"/>
      <c r="C78" s="108" t="s">
        <v>107</v>
      </c>
      <c r="D78" s="109"/>
      <c r="E78" s="114" t="s">
        <v>143</v>
      </c>
      <c r="F78" s="115" t="s">
        <v>4</v>
      </c>
      <c r="G78" s="130" t="s">
        <v>156</v>
      </c>
      <c r="H78" s="130"/>
    </row>
    <row r="79" spans="1:11" ht="44.25" customHeight="1" x14ac:dyDescent="0.25">
      <c r="A79" s="114" t="s">
        <v>153</v>
      </c>
      <c r="B79" s="115"/>
      <c r="C79" s="108" t="s">
        <v>394</v>
      </c>
      <c r="D79" s="109"/>
      <c r="E79" s="114" t="s">
        <v>154</v>
      </c>
      <c r="F79" s="115" t="s">
        <v>4</v>
      </c>
      <c r="G79" s="127" t="s">
        <v>144</v>
      </c>
      <c r="H79" s="127"/>
    </row>
    <row r="80" spans="1:11" ht="20.25" x14ac:dyDescent="0.25">
      <c r="A80" s="114" t="s">
        <v>73</v>
      </c>
      <c r="B80" s="115"/>
      <c r="C80" s="102">
        <v>1200000</v>
      </c>
      <c r="D80" s="104"/>
      <c r="E80" s="114" t="s">
        <v>101</v>
      </c>
      <c r="F80" s="115" t="s">
        <v>4</v>
      </c>
      <c r="G80" s="108" t="s">
        <v>108</v>
      </c>
      <c r="H80" s="109"/>
    </row>
    <row r="81" spans="1:150 16226:16383" ht="20.25" x14ac:dyDescent="0.25">
      <c r="A81" s="111" t="s">
        <v>70</v>
      </c>
      <c r="B81" s="112"/>
      <c r="C81" s="112"/>
      <c r="D81" s="112"/>
      <c r="E81" s="112"/>
      <c r="F81" s="112"/>
      <c r="G81" s="112"/>
      <c r="H81" s="113"/>
    </row>
    <row r="82" spans="1:150 16226:16383" ht="20.25" customHeight="1" x14ac:dyDescent="0.25">
      <c r="A82" s="114" t="s">
        <v>8</v>
      </c>
      <c r="B82" s="116"/>
      <c r="C82" s="116"/>
      <c r="D82" s="116"/>
      <c r="E82" s="116"/>
      <c r="F82" s="115"/>
      <c r="G82" s="169">
        <f>230370/10.764</f>
        <v>21401.895206243033</v>
      </c>
      <c r="H82" s="170"/>
    </row>
    <row r="83" spans="1:150 16226:16383" ht="20.25" customHeight="1" x14ac:dyDescent="0.25">
      <c r="A83" s="114" t="s">
        <v>28</v>
      </c>
      <c r="B83" s="116"/>
      <c r="C83" s="116"/>
      <c r="D83" s="116"/>
      <c r="E83" s="116"/>
      <c r="F83" s="115" t="s">
        <v>4</v>
      </c>
      <c r="G83" s="110">
        <f>420790/10.764</f>
        <v>39092.344853214418</v>
      </c>
      <c r="H83" s="110"/>
    </row>
    <row r="84" spans="1:150 16226:16383" ht="20.25" customHeight="1" x14ac:dyDescent="0.25">
      <c r="A84" s="114" t="s">
        <v>109</v>
      </c>
      <c r="B84" s="116"/>
      <c r="C84" s="116"/>
      <c r="D84" s="116"/>
      <c r="E84" s="116"/>
      <c r="F84" s="115" t="s">
        <v>4</v>
      </c>
      <c r="G84" s="110">
        <f>G82*0.8</f>
        <v>17121.516164994428</v>
      </c>
      <c r="H84" s="110"/>
    </row>
    <row r="85" spans="1:150 16226:16383" ht="20.25" x14ac:dyDescent="0.25">
      <c r="A85" s="163" t="s">
        <v>238</v>
      </c>
      <c r="B85" s="164"/>
      <c r="C85" s="164"/>
      <c r="D85" s="164"/>
      <c r="E85" s="164"/>
      <c r="F85" s="164"/>
      <c r="G85" s="164"/>
      <c r="H85" s="165"/>
    </row>
    <row r="86" spans="1:150 16226:16383" s="2" customFormat="1" ht="20.25" x14ac:dyDescent="0.25">
      <c r="A86" s="118" t="s">
        <v>150</v>
      </c>
      <c r="B86" s="119"/>
      <c r="C86" s="118" t="s">
        <v>151</v>
      </c>
      <c r="D86" s="119"/>
      <c r="E86" s="118" t="s">
        <v>149</v>
      </c>
      <c r="F86" s="119"/>
      <c r="G86" s="118" t="s">
        <v>161</v>
      </c>
      <c r="H86" s="11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2" customFormat="1" ht="20.25" x14ac:dyDescent="0.25">
      <c r="A87" s="120" t="s">
        <v>334</v>
      </c>
      <c r="B87" s="121"/>
      <c r="C87" s="120" t="s">
        <v>332</v>
      </c>
      <c r="D87" s="121"/>
      <c r="E87" s="120">
        <f>COUNT(F103,F105,F107)</f>
        <v>3</v>
      </c>
      <c r="F87" s="121"/>
      <c r="G87" s="120">
        <f>SUM(H103,H105,H107)</f>
        <v>8517.1402176119991</v>
      </c>
      <c r="H87" s="121"/>
      <c r="I87" s="86" t="s">
        <v>364</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2" customFormat="1" ht="20.25" x14ac:dyDescent="0.25">
      <c r="A88" s="118" t="s">
        <v>152</v>
      </c>
      <c r="B88" s="119"/>
      <c r="C88" s="118" t="s">
        <v>94</v>
      </c>
      <c r="D88" s="119"/>
      <c r="E88" s="118">
        <f>SUM(E87)</f>
        <v>3</v>
      </c>
      <c r="F88" s="119"/>
      <c r="G88" s="118">
        <f>SUM(G87)</f>
        <v>8517.1402176119991</v>
      </c>
      <c r="H88" s="11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ht="20.25" x14ac:dyDescent="0.25">
      <c r="A89" s="163" t="s">
        <v>387</v>
      </c>
      <c r="B89" s="164"/>
      <c r="C89" s="164"/>
      <c r="D89" s="164"/>
      <c r="E89" s="164"/>
      <c r="F89" s="164"/>
      <c r="G89" s="164"/>
      <c r="H89" s="165"/>
    </row>
    <row r="90" spans="1:150 16226:16383" s="2" customFormat="1" ht="20.25" x14ac:dyDescent="0.25">
      <c r="A90" s="118" t="s">
        <v>150</v>
      </c>
      <c r="B90" s="119"/>
      <c r="C90" s="118" t="s">
        <v>356</v>
      </c>
      <c r="D90" s="119"/>
      <c r="E90" s="118" t="s">
        <v>149</v>
      </c>
      <c r="F90" s="119"/>
      <c r="G90" s="118" t="s">
        <v>161</v>
      </c>
      <c r="H90" s="11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2" customFormat="1" ht="20.25" x14ac:dyDescent="0.25">
      <c r="A91" s="120" t="s">
        <v>322</v>
      </c>
      <c r="B91" s="121"/>
      <c r="C91" s="120" t="s">
        <v>337</v>
      </c>
      <c r="D91" s="121"/>
      <c r="E91" s="120">
        <f>COUNT(F109:F114)+COUNT(F142:F146)*2+COUNT(F150:F154)+COUNT(F158:F162)+COUNT(F166)+COUNT(F174:F178)+COUNT(F182:F186)+COUNT(F188:F190)</f>
        <v>40</v>
      </c>
      <c r="F91" s="121"/>
      <c r="G91" s="120">
        <f>SUM(H109:H114)+SUM(H142:H146)*2+SUM(H150:H154)+SUM(H158:H162)+SUM(H166)+SUM(H174:H178)+SUM(H182:H186)+SUM(H188:H190)</f>
        <v>11954.267329212</v>
      </c>
      <c r="H91" s="121"/>
      <c r="I91" s="86" t="s">
        <v>364</v>
      </c>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2" customFormat="1" ht="20.25" x14ac:dyDescent="0.25">
      <c r="A92" s="118" t="s">
        <v>152</v>
      </c>
      <c r="B92" s="119"/>
      <c r="C92" s="118" t="s">
        <v>94</v>
      </c>
      <c r="D92" s="119"/>
      <c r="E92" s="118">
        <f>SUM(E91)</f>
        <v>40</v>
      </c>
      <c r="F92" s="119"/>
      <c r="G92" s="118">
        <f>SUM(G91)</f>
        <v>11954.267329212</v>
      </c>
      <c r="H92" s="11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ht="20.25" x14ac:dyDescent="0.25">
      <c r="A93" s="163" t="s">
        <v>388</v>
      </c>
      <c r="B93" s="164"/>
      <c r="C93" s="164"/>
      <c r="D93" s="164"/>
      <c r="E93" s="164"/>
      <c r="F93" s="164"/>
      <c r="G93" s="164"/>
      <c r="H93" s="165"/>
    </row>
    <row r="94" spans="1:150 16226:16383" s="2" customFormat="1" ht="20.25" x14ac:dyDescent="0.25">
      <c r="A94" s="118" t="s">
        <v>150</v>
      </c>
      <c r="B94" s="119"/>
      <c r="C94" s="118" t="s">
        <v>151</v>
      </c>
      <c r="D94" s="119"/>
      <c r="E94" s="118" t="s">
        <v>149</v>
      </c>
      <c r="F94" s="119"/>
      <c r="G94" s="118" t="s">
        <v>161</v>
      </c>
      <c r="H94" s="119"/>
      <c r="I94" s="96">
        <f>E88+E92+E97</f>
        <v>74</v>
      </c>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2" customFormat="1" ht="20.25" x14ac:dyDescent="0.25">
      <c r="A95" s="120" t="s">
        <v>322</v>
      </c>
      <c r="B95" s="121"/>
      <c r="C95" s="120" t="s">
        <v>87</v>
      </c>
      <c r="D95" s="121"/>
      <c r="E95" s="120">
        <f>COUNT(F137,F139:F140)+COUNT(F147:F148)*2+COUNT(F155:F156)+COUNT(F163:F164)</f>
        <v>11</v>
      </c>
      <c r="F95" s="121"/>
      <c r="G95" s="120">
        <f>SUM(H137,H139:H140)+SUM(H147:H148)*2+SUM(H155:H156)+SUM(H163:H164)</f>
        <v>7512.8414399999983</v>
      </c>
      <c r="H95" s="121"/>
      <c r="I95" s="86" t="s">
        <v>364</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2" customFormat="1" ht="20.25" x14ac:dyDescent="0.25">
      <c r="A96" s="120" t="s">
        <v>322</v>
      </c>
      <c r="B96" s="121"/>
      <c r="C96" s="120" t="s">
        <v>341</v>
      </c>
      <c r="D96" s="121"/>
      <c r="E96" s="120">
        <f>COUNT(F117:F120)*2+COUNT(F122:F125)+COUNT(F127,F129:F130)+COUNT(F132:F135)+COUNT(F138)</f>
        <v>20</v>
      </c>
      <c r="F96" s="121"/>
      <c r="G96" s="120">
        <f>SUM(H117:H120)*2+SUM(H122:H125)+SUM(H127,H129:H130)+SUM(H132:H135)+SUM(H138)</f>
        <v>13626.578159999997</v>
      </c>
      <c r="H96" s="121"/>
      <c r="I96" s="86" t="s">
        <v>364</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2" customFormat="1" ht="20.25" x14ac:dyDescent="0.25">
      <c r="A97" s="118" t="s">
        <v>152</v>
      </c>
      <c r="B97" s="119"/>
      <c r="C97" s="118" t="s">
        <v>94</v>
      </c>
      <c r="D97" s="119"/>
      <c r="E97" s="118">
        <f>SUM(E95:E96)</f>
        <v>31</v>
      </c>
      <c r="F97" s="119"/>
      <c r="G97" s="118">
        <f>SUM(G95:G96)</f>
        <v>21139.419599999994</v>
      </c>
      <c r="H97" s="11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2" customFormat="1" ht="20.25" x14ac:dyDescent="0.25">
      <c r="A98" s="118" t="s">
        <v>239</v>
      </c>
      <c r="B98" s="119"/>
      <c r="C98" s="118" t="s">
        <v>94</v>
      </c>
      <c r="D98" s="119"/>
      <c r="E98" s="118">
        <f>E87+E91+E97</f>
        <v>74</v>
      </c>
      <c r="F98" s="119"/>
      <c r="G98" s="118">
        <f>G87+G91+G97</f>
        <v>41610.827146823991</v>
      </c>
      <c r="H98" s="11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ht="20.25" x14ac:dyDescent="0.25">
      <c r="A99" s="186" t="s">
        <v>148</v>
      </c>
      <c r="B99" s="187"/>
      <c r="C99" s="187"/>
      <c r="D99" s="187"/>
      <c r="E99" s="187"/>
      <c r="F99" s="187"/>
      <c r="G99" s="187"/>
      <c r="H99" s="165"/>
    </row>
    <row r="100" spans="1:150 16226:16383" ht="66" customHeight="1" x14ac:dyDescent="0.25">
      <c r="A100" s="59" t="s">
        <v>229</v>
      </c>
      <c r="B100" s="38" t="s">
        <v>230</v>
      </c>
      <c r="C100" s="89" t="s">
        <v>336</v>
      </c>
      <c r="D100" s="30" t="s">
        <v>88</v>
      </c>
      <c r="E100" s="38" t="s">
        <v>162</v>
      </c>
      <c r="F100" s="37" t="s">
        <v>231</v>
      </c>
      <c r="G100" s="30" t="s">
        <v>90</v>
      </c>
      <c r="H100" s="30" t="s">
        <v>89</v>
      </c>
      <c r="I100" s="1">
        <f>10.764</f>
        <v>10.763999999999999</v>
      </c>
    </row>
    <row r="101" spans="1:150 16226:16383" s="2" customFormat="1" ht="40.5" customHeight="1" x14ac:dyDescent="0.25">
      <c r="A101" s="178" t="s">
        <v>330</v>
      </c>
      <c r="B101" s="179"/>
      <c r="C101" s="179"/>
      <c r="D101" s="179"/>
      <c r="E101" s="179"/>
      <c r="F101" s="179"/>
      <c r="G101" s="179"/>
      <c r="H101" s="18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2" customFormat="1" ht="20.25" x14ac:dyDescent="0.25">
      <c r="A102" s="178" t="s">
        <v>331</v>
      </c>
      <c r="B102" s="179"/>
      <c r="C102" s="179"/>
      <c r="D102" s="179"/>
      <c r="E102" s="142"/>
      <c r="F102" s="179"/>
      <c r="G102" s="179"/>
      <c r="H102" s="18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2" customFormat="1" ht="20.25" x14ac:dyDescent="0.25">
      <c r="A103" s="117" t="s">
        <v>381</v>
      </c>
      <c r="B103" s="117"/>
      <c r="C103" s="60" t="s">
        <v>332</v>
      </c>
      <c r="D103" s="60" t="s">
        <v>334</v>
      </c>
      <c r="E103" s="85">
        <f>(7.405*8.486+4.15*2.864+4.8*3.664+1.45*4.2+1.3*2+7.95*1.4+10.25*1.05+6.286*6.317+6.646*2.725+6.15*3.888+7.276*1.242)*(10.764)</f>
        <v>2299.8484463760001</v>
      </c>
      <c r="F103" s="36">
        <v>0</v>
      </c>
      <c r="G103" s="36">
        <v>0</v>
      </c>
      <c r="H103" s="5">
        <f>E103+F103+(IF(G103&lt;101,G103,IF(G103&lt;201,G103/2,IF(G103&lt;=301,G103/3,G103/4))))</f>
        <v>2299.8484463760001</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2" customFormat="1" ht="20.25" x14ac:dyDescent="0.25">
      <c r="A104" s="178" t="s">
        <v>333</v>
      </c>
      <c r="B104" s="179"/>
      <c r="C104" s="179"/>
      <c r="D104" s="179"/>
      <c r="E104" s="142"/>
      <c r="F104" s="179"/>
      <c r="G104" s="179"/>
      <c r="H104" s="180"/>
      <c r="I104" s="1">
        <f>1</f>
        <v>1</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2" customFormat="1" ht="20.25" x14ac:dyDescent="0.25">
      <c r="A105" s="117" t="s">
        <v>382</v>
      </c>
      <c r="B105" s="117"/>
      <c r="C105" s="60" t="s">
        <v>332</v>
      </c>
      <c r="D105" s="60" t="s">
        <v>334</v>
      </c>
      <c r="E105" s="85">
        <f>(7.556*7.104+4.05*2.846+4.8*3.646+1.45*4.2+1.3*2+1.3*2+6.982*5.141+5.046*3.822+7.153*1.221+10.495*8.468+5.32*9.05+4.05*3+4.05*3.1+1.2*2.2)*(10.764)</f>
        <v>3468.9322666439994</v>
      </c>
      <c r="F105" s="84">
        <v>0</v>
      </c>
      <c r="G105" s="84">
        <v>0</v>
      </c>
      <c r="H105" s="84">
        <f>E105+F105+(IF(G105&lt;101,G105,IF(G105&lt;201,G105/2,IF(G105&lt;=301,G105/3,G105/4))))</f>
        <v>3468.9322666439994</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2" customFormat="1" ht="20.25" x14ac:dyDescent="0.25">
      <c r="A106" s="178" t="s">
        <v>335</v>
      </c>
      <c r="B106" s="179"/>
      <c r="C106" s="179"/>
      <c r="D106" s="179"/>
      <c r="E106" s="142"/>
      <c r="F106" s="179"/>
      <c r="G106" s="179"/>
      <c r="H106" s="180"/>
      <c r="I106" s="1">
        <f>1</f>
        <v>1</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2" customFormat="1" ht="20.25" x14ac:dyDescent="0.25">
      <c r="A107" s="117" t="s">
        <v>383</v>
      </c>
      <c r="B107" s="117"/>
      <c r="C107" s="60" t="s">
        <v>332</v>
      </c>
      <c r="D107" s="60" t="s">
        <v>334</v>
      </c>
      <c r="E107" s="85">
        <f>(5.544*7.448+2.1*2.502+4.8*3.302+1.45*4.2+1.3*2+1.3*2+4.846*4.473+4.031*2.548+4.769*0.814+10.678*6.518+5.4*9.05+4.05*3+4.05*3.1+1.2*2.2)*(10.764)</f>
        <v>2748.3595045920001</v>
      </c>
      <c r="F107" s="84">
        <v>0</v>
      </c>
      <c r="G107" s="84">
        <v>0</v>
      </c>
      <c r="H107" s="84">
        <f>E107+F107+(IF(G107&lt;101,G107,IF(G107&lt;201,G107/2,IF(G107&lt;=301,G107/3,G107/4))))</f>
        <v>2748.3595045920001</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2" customFormat="1" ht="20.25" x14ac:dyDescent="0.25">
      <c r="A108" s="140" t="s">
        <v>339</v>
      </c>
      <c r="B108" s="141"/>
      <c r="C108" s="141"/>
      <c r="D108" s="141"/>
      <c r="E108" s="142"/>
      <c r="F108" s="141"/>
      <c r="G108" s="141"/>
      <c r="H108" s="143"/>
      <c r="I108" s="1">
        <f>1</f>
        <v>1</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2" customFormat="1" ht="40.5" customHeight="1" x14ac:dyDescent="0.25">
      <c r="A109" s="117">
        <v>1</v>
      </c>
      <c r="B109" s="117"/>
      <c r="C109" s="60" t="s">
        <v>337</v>
      </c>
      <c r="D109" s="60" t="s">
        <v>340</v>
      </c>
      <c r="E109" s="85">
        <f>(2.859*3.621+0.85*1.221+0.82*1.6+2.15*1.3+3.2*3.9)*(10.764)</f>
        <v>301.14753879599999</v>
      </c>
      <c r="F109" s="36">
        <v>0</v>
      </c>
      <c r="G109" s="36">
        <v>0</v>
      </c>
      <c r="H109" s="36">
        <f>E109+F109+(IF(G109&lt;101,G109,IF(G109&lt;201,G109/2,IF(G109&lt;=301,G109/3,G109/4))))</f>
        <v>301.14753879599999</v>
      </c>
      <c r="I109" s="1"/>
      <c r="J109" s="1"/>
      <c r="K109" s="1"/>
      <c r="L109" s="1"/>
      <c r="M109" s="1"/>
      <c r="N109" s="1"/>
      <c r="O109" s="1"/>
      <c r="P109" s="1"/>
      <c r="Q109" s="1"/>
      <c r="R109" s="1"/>
      <c r="S109" s="1"/>
      <c r="T109" s="22" t="str">
        <f t="shared" ref="T109:T115" ca="1" si="0">U109&amp;""&amp;",..,"&amp;""&amp;V109</f>
        <v>301,..,301</v>
      </c>
      <c r="U109" s="22">
        <f ca="1">(SUMPRODUCT(MID(0&amp;(LEFT(A108,SUM(LEN(A108)-LEN(SUBSTITUTE(A108,{"0","1","2","3"},""))))), LARGE(INDEX(ISNUMBER(--MID((LEFT(A108,SUM(LEN(A108)-LEN(SUBSTITUTE(A108,{"0","1","2","3"},""))))), ROW(INDIRECT("1:"&amp;LEN((LEFT(A108,SUM(LEN(A108)-LEN(SUBSTITUTE(A108,{"0","1","2","3"},"")))))))), 1)) * ROW(INDIRECT("1:"&amp;LEN((LEFT(A108,SUM(LEN(A108)-LEN(SUBSTITUTE(A108,{"0","1","2","3"},"")))))))), 0), ROW(INDIRECT("1:"&amp;LEN((LEFT(A108,SUM(LEN(A108)-LEN(SUBSTITUTE(A108,{"0","1","2","3"},"")))))))))+1, 1) * 10^ROW(INDIRECT("1:"&amp;LEN((LEFT(A108,SUM(LEN(A108)-LEN(SUBSTITUTE(A108,{"0","1","2","3"},""))))))))/10))*100+1</f>
        <v>301</v>
      </c>
      <c r="V109" s="22">
        <f ca="1">(SUMPRODUCT(MID(0&amp;(--TRIM(RIGHT(SUBSTITUTE(LEFT(A108,_xlfn.AGGREGATE(16,6,FIND({0,1,2,3,4,5,6,7,8,9},A108,ROW(INDIRECT("1:"&amp;LEN(A108)))),1))," ",REPT(" ",LEN(A108))),LEN(A108)))), LARGE(INDEX(ISNUMBER(--MID((--TRIM(RIGHT(SUBSTITUTE(LEFT(A108,_xlfn.AGGREGATE(16,6,FIND({0,1,2,3,4,5,6,7,8,9},A108,ROW(INDIRECT("1:"&amp;LEN(A108)))),1))," ",REPT(" ",LEN(A108))),LEN(A108)))), ROW(INDIRECT("1:"&amp;LEN((--TRIM(RIGHT(SUBSTITUTE(LEFT(A108,_xlfn.AGGREGATE(16,6,FIND({0,1,2,3,4,5,6,7,8,9},A108,ROW(INDIRECT("1:"&amp;LEN(A108)))),1))," ",REPT(" ",LEN(A108))),LEN(A108))))))), 1)) * ROW(INDIRECT("1:"&amp;LEN((--TRIM(RIGHT(SUBSTITUTE(LEFT(A108,_xlfn.AGGREGATE(16,6,FIND({0,1,2,3,4,5,6,7,8,9},A108,ROW(INDIRECT("1:"&amp;LEN(A108)))),1))," ",REPT(" ",LEN(A108))),LEN(A108))))))), 0), ROW(INDIRECT("1:"&amp;LEN((--TRIM(RIGHT(SUBSTITUTE(LEFT(A108,_xlfn.AGGREGATE(16,6,FIND({0,1,2,3,4,5,6,7,8,9},A108,ROW(INDIRECT("1:"&amp;LEN(A108)))),1))," ",REPT(" ",LEN(A108))),LEN(A108))))))))+1, 1) * 10^ROW(INDIRECT("1:"&amp;LEN((--TRIM(RIGHT(SUBSTITUTE(LEFT(A108,_xlfn.AGGREGATE(16,6,FIND({0,1,2,3,4,5,6,7,8,9},A108,ROW(INDIRECT("1:"&amp;LEN(A108)))),1))," ",REPT(" ",LEN(A108))),LEN(A108)))))))/10))*100+1</f>
        <v>301</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2" customFormat="1" ht="40.5" customHeight="1" x14ac:dyDescent="0.25">
      <c r="A110" s="117">
        <v>2</v>
      </c>
      <c r="B110" s="117"/>
      <c r="C110" s="60" t="s">
        <v>337</v>
      </c>
      <c r="D110" s="60" t="s">
        <v>340</v>
      </c>
      <c r="E110" s="85">
        <f>(1.691*2.284+0.7*2.32+3.13*3.3+2.5*3.3+1.12*2.1)*(10.764)</f>
        <v>284.35521441599997</v>
      </c>
      <c r="F110" s="84">
        <v>0</v>
      </c>
      <c r="G110" s="85">
        <v>0</v>
      </c>
      <c r="H110" s="36">
        <f t="shared" ref="H110:H114" si="1">E110+F110+(IF(G110&lt;101,G110,IF(G110&lt;201,G110/2,IF(G110&lt;=301,G110/3,G110/4))))</f>
        <v>284.35521441599997</v>
      </c>
      <c r="I110" s="1"/>
      <c r="J110" s="1"/>
      <c r="K110" s="1"/>
      <c r="L110" s="1"/>
      <c r="M110" s="1"/>
      <c r="N110" s="1"/>
      <c r="O110" s="1"/>
      <c r="P110" s="1"/>
      <c r="Q110" s="1"/>
      <c r="R110" s="1"/>
      <c r="S110" s="1"/>
      <c r="T110" s="22" t="str">
        <f t="shared" ca="1" si="0"/>
        <v>302,..,302</v>
      </c>
      <c r="U110" s="22">
        <f ca="1">U109+1</f>
        <v>302</v>
      </c>
      <c r="V110" s="22">
        <f ca="1">V109+1</f>
        <v>302</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2" customFormat="1" ht="40.5" customHeight="1" x14ac:dyDescent="0.25">
      <c r="A111" s="117">
        <v>3</v>
      </c>
      <c r="B111" s="117"/>
      <c r="C111" s="60" t="s">
        <v>337</v>
      </c>
      <c r="D111" s="60" t="s">
        <v>340</v>
      </c>
      <c r="E111" s="85">
        <f>(2.6*3.75+2.1*1.25+1.49*1.8+5.4*2.07+4.05*0.409+2.1*1.25+1.49*1.8)*(10.764)</f>
        <v>357.34811580000002</v>
      </c>
      <c r="F111" s="84">
        <v>0</v>
      </c>
      <c r="G111" s="85">
        <v>0</v>
      </c>
      <c r="H111" s="36">
        <f t="shared" si="1"/>
        <v>357.34811580000002</v>
      </c>
      <c r="I111" s="1"/>
      <c r="J111" s="1"/>
      <c r="K111" s="1"/>
      <c r="L111" s="1"/>
      <c r="M111" s="1"/>
      <c r="N111" s="1"/>
      <c r="O111" s="1"/>
      <c r="P111" s="1"/>
      <c r="Q111" s="1"/>
      <c r="R111" s="1"/>
      <c r="S111" s="1"/>
      <c r="T111" s="22" t="str">
        <f t="shared" ca="1" si="0"/>
        <v>303,..,303</v>
      </c>
      <c r="U111" s="22">
        <f t="shared" ref="U111:U115" ca="1" si="2">U110+1</f>
        <v>303</v>
      </c>
      <c r="V111" s="22">
        <f t="shared" ref="V111:V115" ca="1" si="3">V110+1</f>
        <v>303</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2" customFormat="1" ht="40.5" customHeight="1" x14ac:dyDescent="0.25">
      <c r="A112" s="117">
        <v>4</v>
      </c>
      <c r="B112" s="117"/>
      <c r="C112" s="60" t="s">
        <v>337</v>
      </c>
      <c r="D112" s="60" t="s">
        <v>340</v>
      </c>
      <c r="E112" s="85">
        <f>(6.5*3.15+2.535*1.35+1.91*1.6+0.75*0.2+1.3*0.6)*(10.764)</f>
        <v>300.13530299999996</v>
      </c>
      <c r="F112" s="84">
        <v>0</v>
      </c>
      <c r="G112" s="85">
        <v>0</v>
      </c>
      <c r="H112" s="36">
        <f t="shared" si="1"/>
        <v>300.13530299999996</v>
      </c>
      <c r="I112" s="1"/>
      <c r="J112" s="1"/>
      <c r="K112" s="1"/>
      <c r="L112" s="1"/>
      <c r="M112" s="1"/>
      <c r="N112" s="1"/>
      <c r="O112" s="1"/>
      <c r="P112" s="1"/>
      <c r="Q112" s="1"/>
      <c r="R112" s="1"/>
      <c r="S112" s="1"/>
      <c r="T112" s="22" t="str">
        <f t="shared" ca="1" si="0"/>
        <v>304,..,304</v>
      </c>
      <c r="U112" s="22">
        <f t="shared" ca="1" si="2"/>
        <v>304</v>
      </c>
      <c r="V112" s="22">
        <f t="shared" ca="1" si="3"/>
        <v>304</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2" customFormat="1" ht="40.5" customHeight="1" x14ac:dyDescent="0.25">
      <c r="A113" s="117">
        <v>5</v>
      </c>
      <c r="B113" s="117"/>
      <c r="C113" s="60" t="s">
        <v>337</v>
      </c>
      <c r="D113" s="60" t="s">
        <v>340</v>
      </c>
      <c r="E113" s="85">
        <f>(2.8*2.308+1.45*3.9+3.8*3.4+2.2*1.3)*(10.764)</f>
        <v>300.28761359999993</v>
      </c>
      <c r="F113" s="84">
        <v>0</v>
      </c>
      <c r="G113" s="85">
        <v>0</v>
      </c>
      <c r="H113" s="36">
        <f t="shared" si="1"/>
        <v>300.28761359999993</v>
      </c>
      <c r="I113" s="1"/>
      <c r="J113" s="1"/>
      <c r="K113" s="1"/>
      <c r="L113" s="1"/>
      <c r="M113" s="1"/>
      <c r="N113" s="1"/>
      <c r="O113" s="1"/>
      <c r="P113" s="1"/>
      <c r="Q113" s="1"/>
      <c r="R113" s="1"/>
      <c r="S113" s="1"/>
      <c r="T113" s="22" t="str">
        <f t="shared" ca="1" si="0"/>
        <v>305,..,305</v>
      </c>
      <c r="U113" s="22">
        <f t="shared" ca="1" si="2"/>
        <v>305</v>
      </c>
      <c r="V113" s="22">
        <f t="shared" ca="1" si="3"/>
        <v>305</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2" customFormat="1" ht="40.5" customHeight="1" x14ac:dyDescent="0.25">
      <c r="A114" s="117">
        <v>6</v>
      </c>
      <c r="B114" s="117"/>
      <c r="C114" s="60" t="s">
        <v>337</v>
      </c>
      <c r="D114" s="60" t="s">
        <v>340</v>
      </c>
      <c r="E114" s="85">
        <f>(3.35*1.22+0.85*0.742+2.45*4.408+1.05*2.3+2.45*3.05+2*1.3)*(10.764)</f>
        <v>301.44366719999999</v>
      </c>
      <c r="F114" s="84">
        <v>0</v>
      </c>
      <c r="G114" s="85">
        <v>0</v>
      </c>
      <c r="H114" s="36">
        <f t="shared" si="1"/>
        <v>301.44366719999999</v>
      </c>
      <c r="I114" s="1"/>
      <c r="J114" s="1"/>
      <c r="K114" s="1"/>
      <c r="L114" s="1"/>
      <c r="M114" s="1"/>
      <c r="N114" s="1"/>
      <c r="O114" s="1"/>
      <c r="P114" s="1"/>
      <c r="Q114" s="1"/>
      <c r="R114" s="1"/>
      <c r="S114" s="1"/>
      <c r="T114" s="22" t="str">
        <f t="shared" ca="1" si="0"/>
        <v>306,..,306</v>
      </c>
      <c r="U114" s="22">
        <f t="shared" ca="1" si="2"/>
        <v>306</v>
      </c>
      <c r="V114" s="22">
        <f t="shared" ca="1" si="3"/>
        <v>306</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2" customFormat="1" ht="20.25" customHeight="1" x14ac:dyDescent="0.25">
      <c r="A115" s="117">
        <v>7</v>
      </c>
      <c r="B115" s="117"/>
      <c r="C115" s="105" t="s">
        <v>338</v>
      </c>
      <c r="D115" s="106"/>
      <c r="E115" s="150"/>
      <c r="F115" s="106"/>
      <c r="G115" s="106"/>
      <c r="H115" s="107"/>
      <c r="I115" s="1"/>
      <c r="J115" s="1"/>
      <c r="K115" s="1"/>
      <c r="L115" s="1"/>
      <c r="M115" s="1"/>
      <c r="N115" s="1"/>
      <c r="O115" s="1"/>
      <c r="P115" s="1"/>
      <c r="Q115" s="1"/>
      <c r="R115" s="1"/>
      <c r="S115" s="1"/>
      <c r="T115" s="22" t="str">
        <f t="shared" ca="1" si="0"/>
        <v>307,..,307</v>
      </c>
      <c r="U115" s="22">
        <f t="shared" ca="1" si="2"/>
        <v>307</v>
      </c>
      <c r="V115" s="22">
        <f t="shared" ca="1" si="3"/>
        <v>307</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2" customFormat="1" ht="20.25" x14ac:dyDescent="0.25">
      <c r="A116" s="140" t="s">
        <v>386</v>
      </c>
      <c r="B116" s="141"/>
      <c r="C116" s="141"/>
      <c r="D116" s="141"/>
      <c r="E116" s="144"/>
      <c r="F116" s="141"/>
      <c r="G116" s="141"/>
      <c r="H116" s="143"/>
      <c r="I116" s="1">
        <f>2</f>
        <v>2</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2" customFormat="1" ht="20.25" customHeight="1" x14ac:dyDescent="0.25">
      <c r="A117" s="117">
        <v>1</v>
      </c>
      <c r="B117" s="117"/>
      <c r="C117" s="60" t="s">
        <v>341</v>
      </c>
      <c r="D117" s="60" t="s">
        <v>343</v>
      </c>
      <c r="E117" s="85">
        <f>(5.4*3.2+2.9*2.25+3.2*3.9+3.05*2.25+3.75*3.3+1.3*(2.15+2.25)+0.9*(1.95+2.55))*(10.764)</f>
        <v>702.80846999999983</v>
      </c>
      <c r="F117" s="36">
        <v>0</v>
      </c>
      <c r="G117" s="36">
        <v>0</v>
      </c>
      <c r="H117" s="36">
        <f>E117+F117+(IF(G117&lt;101,G117,IF(G117&lt;201,G117/2,IF(G117&lt;=301,G117/3,G117/4))))</f>
        <v>702.80846999999983</v>
      </c>
      <c r="I117" s="1"/>
      <c r="J117" s="1"/>
      <c r="K117" s="1"/>
      <c r="L117" s="1"/>
      <c r="M117" s="1"/>
      <c r="N117" s="1"/>
      <c r="O117" s="1"/>
      <c r="P117" s="1"/>
      <c r="Q117" s="1"/>
      <c r="R117" s="1"/>
      <c r="S117" s="1"/>
      <c r="T117" s="22" t="e">
        <f ca="1">U117&amp;""&amp;" to "&amp;""&amp;V117</f>
        <v>#REF!</v>
      </c>
      <c r="U117" s="22" t="e">
        <f ca="1">(SUMPRODUCT(MID(0&amp;(LEFT(A116,SUM(LEN(A116)-LEN(SUBSTITUTE(A116,{"0","1","2","3"},""))))), LARGE(INDEX(ISNUMBER(--MID((LEFT(A116,SUM(LEN(A116)-LEN(SUBSTITUTE(A116,{"0","1","2","3"},""))))), ROW(INDIRECT("1:"&amp;LEN((LEFT(A116,SUM(LEN(A116)-LEN(SUBSTITUTE(A116,{"0","1","2","3"},"")))))))), 1)) * ROW(INDIRECT("1:"&amp;LEN((LEFT(A116,SUM(LEN(A116)-LEN(SUBSTITUTE(A116,{"0","1","2","3"},"")))))))), 0), ROW(INDIRECT("1:"&amp;LEN((LEFT(A116,SUM(LEN(A116)-LEN(SUBSTITUTE(A116,{"0","1","2","3"},"")))))))))+1, 1) * 10^ROW(INDIRECT("1:"&amp;LEN((LEFT(A116,SUM(LEN(A116)-LEN(SUBSTITUTE(A116,{"0","1","2","3"},""))))))))/10))*100+1</f>
        <v>#REF!</v>
      </c>
      <c r="V117" s="22">
        <f ca="1">(SUMPRODUCT(MID(0&amp;(--TRIM(RIGHT(SUBSTITUTE(LEFT(A116,_xlfn.AGGREGATE(16,6,FIND({0,1,2,3,4,5,6,7,8,9},A116,ROW(INDIRECT("1:"&amp;LEN(A116)))),1))," ",REPT(" ",LEN(A116))),LEN(A116)))), LARGE(INDEX(ISNUMBER(--MID((--TRIM(RIGHT(SUBSTITUTE(LEFT(A116,_xlfn.AGGREGATE(16,6,FIND({0,1,2,3,4,5,6,7,8,9},A116,ROW(INDIRECT("1:"&amp;LEN(A116)))),1))," ",REPT(" ",LEN(A116))),LEN(A116)))), ROW(INDIRECT("1:"&amp;LEN((--TRIM(RIGHT(SUBSTITUTE(LEFT(A116,_xlfn.AGGREGATE(16,6,FIND({0,1,2,3,4,5,6,7,8,9},A116,ROW(INDIRECT("1:"&amp;LEN(A116)))),1))," ",REPT(" ",LEN(A116))),LEN(A116))))))), 1)) * ROW(INDIRECT("1:"&amp;LEN((--TRIM(RIGHT(SUBSTITUTE(LEFT(A116,_xlfn.AGGREGATE(16,6,FIND({0,1,2,3,4,5,6,7,8,9},A116,ROW(INDIRECT("1:"&amp;LEN(A116)))),1))," ",REPT(" ",LEN(A116))),LEN(A116))))))), 0), ROW(INDIRECT("1:"&amp;LEN((--TRIM(RIGHT(SUBSTITUTE(LEFT(A116,_xlfn.AGGREGATE(16,6,FIND({0,1,2,3,4,5,6,7,8,9},A116,ROW(INDIRECT("1:"&amp;LEN(A116)))),1))," ",REPT(" ",LEN(A116))),LEN(A116))))))))+1, 1) * 10^ROW(INDIRECT("1:"&amp;LEN((--TRIM(RIGHT(SUBSTITUTE(LEFT(A116,_xlfn.AGGREGATE(16,6,FIND({0,1,2,3,4,5,6,7,8,9},A116,ROW(INDIRECT("1:"&amp;LEN(A116)))),1))," ",REPT(" ",LEN(A116))),LEN(A116)))))))/10))*100+1</f>
        <v>501</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2" customFormat="1" ht="20.25" customHeight="1" x14ac:dyDescent="0.25">
      <c r="A118" s="117">
        <v>2</v>
      </c>
      <c r="B118" s="117"/>
      <c r="C118" s="60" t="s">
        <v>341</v>
      </c>
      <c r="D118" s="60" t="s">
        <v>343</v>
      </c>
      <c r="E118" s="85">
        <f>(5.4*3.2+2.9*2.25+3.05*3.45+3.8*3.3+2.4*3.05+1.35*2.25+1.3*2.2+0.9*(1.75+2.2+0.6+4.2))*(10.764)</f>
        <v>731.5214400000001</v>
      </c>
      <c r="F118" s="85">
        <v>0</v>
      </c>
      <c r="G118" s="85">
        <v>0</v>
      </c>
      <c r="H118" s="36">
        <f t="shared" ref="H118:H120" si="4">E118+F118+(IF(G118&lt;101,G118,IF(G118&lt;201,G118/2,IF(G118&lt;=301,G118/3,G118/4))))</f>
        <v>731.5214400000001</v>
      </c>
      <c r="I118" s="1"/>
      <c r="J118" s="1"/>
      <c r="K118" s="1"/>
      <c r="L118" s="1"/>
      <c r="M118" s="1"/>
      <c r="N118" s="1"/>
      <c r="O118" s="1"/>
      <c r="P118" s="1"/>
      <c r="Q118" s="1"/>
      <c r="R118" s="1"/>
      <c r="S118" s="1"/>
      <c r="T118" s="22" t="e">
        <f t="shared" ref="T118:T120" ca="1" si="5">U118&amp;""&amp;" to "&amp;""&amp;V118</f>
        <v>#REF!</v>
      </c>
      <c r="U118" s="22" t="e">
        <f ca="1">U117+1</f>
        <v>#REF!</v>
      </c>
      <c r="V118" s="22">
        <f ca="1">V117+1</f>
        <v>502</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 customFormat="1" ht="20.25" customHeight="1" x14ac:dyDescent="0.25">
      <c r="A119" s="117">
        <v>3</v>
      </c>
      <c r="B119" s="117"/>
      <c r="C119" s="60" t="s">
        <v>341</v>
      </c>
      <c r="D119" s="60" t="s">
        <v>344</v>
      </c>
      <c r="E119" s="85">
        <f>(5.4*3.2+3*2.15+3*3.4+3.25*3.4+1.3*(2+2.2)+0.9*(3.75+1.45))*(10.764)</f>
        <v>593.31167999999991</v>
      </c>
      <c r="F119" s="85">
        <v>0</v>
      </c>
      <c r="G119" s="85">
        <v>0</v>
      </c>
      <c r="H119" s="36">
        <f t="shared" si="4"/>
        <v>593.31167999999991</v>
      </c>
      <c r="I119" s="1"/>
      <c r="J119" s="1"/>
      <c r="K119" s="1"/>
      <c r="L119" s="1"/>
      <c r="M119" s="1"/>
      <c r="N119" s="1"/>
      <c r="O119" s="1"/>
      <c r="P119" s="1"/>
      <c r="Q119" s="1"/>
      <c r="R119" s="1"/>
      <c r="S119" s="1"/>
      <c r="T119" s="22" t="e">
        <f t="shared" ca="1" si="5"/>
        <v>#REF!</v>
      </c>
      <c r="U119" s="22" t="e">
        <f t="shared" ref="U119:U120" ca="1" si="6">U118+1</f>
        <v>#REF!</v>
      </c>
      <c r="V119" s="22">
        <f t="shared" ref="V119:V120" ca="1" si="7">V118+1</f>
        <v>503</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2" customFormat="1" ht="20.25" customHeight="1" x14ac:dyDescent="0.25">
      <c r="A120" s="117">
        <v>4</v>
      </c>
      <c r="B120" s="117"/>
      <c r="C120" s="60" t="s">
        <v>341</v>
      </c>
      <c r="D120" s="60" t="s">
        <v>344</v>
      </c>
      <c r="E120" s="85">
        <f>(4.55*3.2+3*2.15+3*2.9+3.4*3.1+1.2*(2.2+2)+0.9*(3.35+2))*(10.764)</f>
        <v>539.33021999999994</v>
      </c>
      <c r="F120" s="85">
        <v>0</v>
      </c>
      <c r="G120" s="85">
        <v>0</v>
      </c>
      <c r="H120" s="36">
        <f t="shared" si="4"/>
        <v>539.33021999999994</v>
      </c>
      <c r="I120" s="1"/>
      <c r="J120" s="1"/>
      <c r="K120" s="1"/>
      <c r="L120" s="1"/>
      <c r="M120" s="1"/>
      <c r="N120" s="1"/>
      <c r="O120" s="1"/>
      <c r="P120" s="1"/>
      <c r="Q120" s="1"/>
      <c r="R120" s="1"/>
      <c r="S120" s="1"/>
      <c r="T120" s="22" t="e">
        <f t="shared" ca="1" si="5"/>
        <v>#REF!</v>
      </c>
      <c r="U120" s="22" t="e">
        <f t="shared" ca="1" si="6"/>
        <v>#REF!</v>
      </c>
      <c r="V120" s="22">
        <f t="shared" ca="1" si="7"/>
        <v>504</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2" customFormat="1" ht="20.25" x14ac:dyDescent="0.25">
      <c r="A121" s="140" t="s">
        <v>345</v>
      </c>
      <c r="B121" s="141"/>
      <c r="C121" s="141"/>
      <c r="D121" s="141"/>
      <c r="E121" s="142"/>
      <c r="F121" s="141"/>
      <c r="G121" s="141"/>
      <c r="H121" s="143"/>
      <c r="I121" s="1">
        <f>1</f>
        <v>1</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2" customFormat="1" ht="20.25" customHeight="1" x14ac:dyDescent="0.25">
      <c r="A122" s="117">
        <v>1</v>
      </c>
      <c r="B122" s="117"/>
      <c r="C122" s="60" t="s">
        <v>341</v>
      </c>
      <c r="D122" s="60" t="s">
        <v>343</v>
      </c>
      <c r="E122" s="85">
        <f>(5.4*3.2+2.9*2.25+3.2*3.9+3.05*2.25+3.75*3.3+1.3*(2.15+2.25+2.3)+0.9*(1.95+2.55))*(10.764)</f>
        <v>734.9928299999998</v>
      </c>
      <c r="F122" s="85">
        <v>0</v>
      </c>
      <c r="G122" s="85">
        <v>0</v>
      </c>
      <c r="H122" s="85">
        <f>E122+F122+(IF(G122&lt;101,G122,IF(G122&lt;201,G122/2,IF(G122&lt;=301,G122/3,G122/4))))</f>
        <v>734.9928299999998</v>
      </c>
      <c r="I122" s="1">
        <f>3.05*2.25*(10.764)</f>
        <v>73.867949999999993</v>
      </c>
      <c r="J122" s="1"/>
      <c r="K122" s="1"/>
      <c r="L122" s="1"/>
      <c r="M122" s="1"/>
      <c r="N122" s="1"/>
      <c r="O122" s="1"/>
      <c r="P122" s="1"/>
      <c r="Q122" s="1"/>
      <c r="R122" s="1"/>
      <c r="S122" s="1"/>
      <c r="T122" s="22" t="e">
        <f ca="1">U122&amp;""&amp;" to "&amp;""&amp;V122</f>
        <v>#REF!</v>
      </c>
      <c r="U122" s="22" t="e">
        <f ca="1">(SUMPRODUCT(MID(0&amp;(LEFT(A121,SUM(LEN(A121)-LEN(SUBSTITUTE(A121,{"0","1","2","3"},""))))), LARGE(INDEX(ISNUMBER(--MID((LEFT(A121,SUM(LEN(A121)-LEN(SUBSTITUTE(A121,{"0","1","2","3"},""))))), ROW(INDIRECT("1:"&amp;LEN((LEFT(A121,SUM(LEN(A121)-LEN(SUBSTITUTE(A121,{"0","1","2","3"},"")))))))), 1)) * ROW(INDIRECT("1:"&amp;LEN((LEFT(A121,SUM(LEN(A121)-LEN(SUBSTITUTE(A121,{"0","1","2","3"},"")))))))), 0), ROW(INDIRECT("1:"&amp;LEN((LEFT(A121,SUM(LEN(A121)-LEN(SUBSTITUTE(A121,{"0","1","2","3"},"")))))))))+1, 1) * 10^ROW(INDIRECT("1:"&amp;LEN((LEFT(A121,SUM(LEN(A121)-LEN(SUBSTITUTE(A121,{"0","1","2","3"},""))))))))/10))*100+1</f>
        <v>#REF!</v>
      </c>
      <c r="V122" s="22">
        <f ca="1">(SUMPRODUCT(MID(0&amp;(--TRIM(RIGHT(SUBSTITUTE(LEFT(A121,_xlfn.AGGREGATE(16,6,FIND({0,1,2,3,4,5,6,7,8,9},A121,ROW(INDIRECT("1:"&amp;LEN(A121)))),1))," ",REPT(" ",LEN(A121))),LEN(A121)))), LARGE(INDEX(ISNUMBER(--MID((--TRIM(RIGHT(SUBSTITUTE(LEFT(A121,_xlfn.AGGREGATE(16,6,FIND({0,1,2,3,4,5,6,7,8,9},A121,ROW(INDIRECT("1:"&amp;LEN(A121)))),1))," ",REPT(" ",LEN(A121))),LEN(A121)))), ROW(INDIRECT("1:"&amp;LEN((--TRIM(RIGHT(SUBSTITUTE(LEFT(A121,_xlfn.AGGREGATE(16,6,FIND({0,1,2,3,4,5,6,7,8,9},A121,ROW(INDIRECT("1:"&amp;LEN(A121)))),1))," ",REPT(" ",LEN(A121))),LEN(A121))))))), 1)) * ROW(INDIRECT("1:"&amp;LEN((--TRIM(RIGHT(SUBSTITUTE(LEFT(A121,_xlfn.AGGREGATE(16,6,FIND({0,1,2,3,4,5,6,7,8,9},A121,ROW(INDIRECT("1:"&amp;LEN(A121)))),1))," ",REPT(" ",LEN(A121))),LEN(A121))))))), 0), ROW(INDIRECT("1:"&amp;LEN((--TRIM(RIGHT(SUBSTITUTE(LEFT(A121,_xlfn.AGGREGATE(16,6,FIND({0,1,2,3,4,5,6,7,8,9},A121,ROW(INDIRECT("1:"&amp;LEN(A121)))),1))," ",REPT(" ",LEN(A121))),LEN(A121))))))))+1, 1) * 10^ROW(INDIRECT("1:"&amp;LEN((--TRIM(RIGHT(SUBSTITUTE(LEFT(A121,_xlfn.AGGREGATE(16,6,FIND({0,1,2,3,4,5,6,7,8,9},A121,ROW(INDIRECT("1:"&amp;LEN(A121)))),1))," ",REPT(" ",LEN(A121))),LEN(A121)))))))/10))*100+1</f>
        <v>601</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2" customFormat="1" ht="20.25" customHeight="1" x14ac:dyDescent="0.25">
      <c r="A123" s="117">
        <v>2</v>
      </c>
      <c r="B123" s="117"/>
      <c r="C123" s="60" t="s">
        <v>341</v>
      </c>
      <c r="D123" s="60" t="s">
        <v>343</v>
      </c>
      <c r="E123" s="85">
        <f>(5.4*3.2+2.9*2.25+3.05*3.45+3.8*3.3+2.4*3.05+1.35*2.25+1.3*2.2+0.9*(1.75+2.2+0.6+4.2))*(10.764)</f>
        <v>731.5214400000001</v>
      </c>
      <c r="F123" s="85">
        <v>0</v>
      </c>
      <c r="G123" s="85">
        <v>0</v>
      </c>
      <c r="H123" s="85">
        <f t="shared" ref="H123:H125" si="8">E123+F123+(IF(G123&lt;101,G123,IF(G123&lt;201,G123/2,IF(G123&lt;=301,G123/3,G123/4))))</f>
        <v>731.5214400000001</v>
      </c>
      <c r="I123" s="1"/>
      <c r="J123" s="1"/>
      <c r="K123" s="1"/>
      <c r="L123" s="1"/>
      <c r="M123" s="1"/>
      <c r="N123" s="1"/>
      <c r="O123" s="1"/>
      <c r="P123" s="1"/>
      <c r="Q123" s="1"/>
      <c r="R123" s="1"/>
      <c r="S123" s="1"/>
      <c r="T123" s="22" t="e">
        <f t="shared" ref="T123:T125" ca="1" si="9">U123&amp;""&amp;" to "&amp;""&amp;V123</f>
        <v>#REF!</v>
      </c>
      <c r="U123" s="22" t="e">
        <f ca="1">U122+1</f>
        <v>#REF!</v>
      </c>
      <c r="V123" s="22">
        <f ca="1">V122+1</f>
        <v>602</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customHeight="1" x14ac:dyDescent="0.25">
      <c r="A124" s="117">
        <v>3</v>
      </c>
      <c r="B124" s="117"/>
      <c r="C124" s="60" t="s">
        <v>341</v>
      </c>
      <c r="D124" s="60" t="s">
        <v>344</v>
      </c>
      <c r="E124" s="85">
        <f>(5.4*3.2+3*2.15+3*3.4+3.25*3.4+1.3*(2+2.2)+0.9*(3.75+1.45))*(10.764)</f>
        <v>593.31167999999991</v>
      </c>
      <c r="F124" s="85">
        <v>0</v>
      </c>
      <c r="G124" s="85">
        <v>0</v>
      </c>
      <c r="H124" s="85">
        <f t="shared" si="8"/>
        <v>593.31167999999991</v>
      </c>
      <c r="I124" s="1"/>
      <c r="J124" s="1"/>
      <c r="K124" s="1"/>
      <c r="L124" s="1"/>
      <c r="M124" s="1"/>
      <c r="N124" s="1"/>
      <c r="O124" s="1"/>
      <c r="P124" s="1"/>
      <c r="Q124" s="1"/>
      <c r="R124" s="1"/>
      <c r="S124" s="1"/>
      <c r="T124" s="22" t="e">
        <f t="shared" ca="1" si="9"/>
        <v>#REF!</v>
      </c>
      <c r="U124" s="22" t="e">
        <f t="shared" ref="U124:V125" ca="1" si="10">U123+1</f>
        <v>#REF!</v>
      </c>
      <c r="V124" s="22">
        <f t="shared" ca="1" si="10"/>
        <v>603</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2" customFormat="1" ht="20.25" customHeight="1" x14ac:dyDescent="0.25">
      <c r="A125" s="117">
        <v>4</v>
      </c>
      <c r="B125" s="117"/>
      <c r="C125" s="60" t="s">
        <v>341</v>
      </c>
      <c r="D125" s="60" t="s">
        <v>344</v>
      </c>
      <c r="E125" s="85">
        <f>(4.55*3.2+3*2.15+3*2.9+3.4*3.1+2*(1.2*2.2)+0.9*(3.35+2))*(10.764)</f>
        <v>541.91357999999991</v>
      </c>
      <c r="F125" s="85">
        <v>0</v>
      </c>
      <c r="G125" s="85">
        <v>0</v>
      </c>
      <c r="H125" s="85">
        <f t="shared" si="8"/>
        <v>541.91357999999991</v>
      </c>
      <c r="I125" s="1"/>
      <c r="J125" s="1"/>
      <c r="K125" s="1"/>
      <c r="L125" s="1"/>
      <c r="M125" s="1"/>
      <c r="N125" s="1"/>
      <c r="O125" s="1"/>
      <c r="P125" s="1"/>
      <c r="Q125" s="1"/>
      <c r="R125" s="1"/>
      <c r="S125" s="1"/>
      <c r="T125" s="22" t="e">
        <f t="shared" ca="1" si="9"/>
        <v>#REF!</v>
      </c>
      <c r="U125" s="22" t="e">
        <f t="shared" ca="1" si="10"/>
        <v>#REF!</v>
      </c>
      <c r="V125" s="22">
        <f t="shared" ca="1" si="10"/>
        <v>604</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2" customFormat="1" ht="20.25" x14ac:dyDescent="0.25">
      <c r="A126" s="140" t="s">
        <v>346</v>
      </c>
      <c r="B126" s="141"/>
      <c r="C126" s="141"/>
      <c r="D126" s="141"/>
      <c r="E126" s="142"/>
      <c r="F126" s="141"/>
      <c r="G126" s="141"/>
      <c r="H126" s="143"/>
      <c r="I126" s="1">
        <f>1</f>
        <v>1</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2" customFormat="1" ht="20.25" customHeight="1" x14ac:dyDescent="0.25">
      <c r="A127" s="117">
        <v>1</v>
      </c>
      <c r="B127" s="117"/>
      <c r="C127" s="60" t="s">
        <v>341</v>
      </c>
      <c r="D127" s="60" t="s">
        <v>343</v>
      </c>
      <c r="E127" s="85">
        <f>(6.2*3.2+3.7*2.25+3.2*3.9+3.05*2.25+3.75*3.3+1.3*(2.15+2.25+2.3)+0.9*(1.95+2.55)+(3.2*1.2))*(10.764)</f>
        <v>823.25762999999995</v>
      </c>
      <c r="F127" s="85">
        <v>0</v>
      </c>
      <c r="G127" s="85">
        <v>0</v>
      </c>
      <c r="H127" s="85">
        <f>E127+F127+(IF(G127&lt;101,G127,IF(G127&lt;201,G127/2,IF(G127&lt;=301,G127/3,G127/4))))</f>
        <v>823.25762999999995</v>
      </c>
      <c r="I127" s="1"/>
      <c r="J127" s="1"/>
      <c r="K127" s="1"/>
      <c r="L127" s="1"/>
      <c r="M127" s="1"/>
      <c r="N127" s="1"/>
      <c r="O127" s="1"/>
      <c r="P127" s="1"/>
      <c r="Q127" s="1"/>
      <c r="R127" s="1"/>
      <c r="S127" s="1"/>
      <c r="T127" s="22" t="e">
        <f ca="1">U127&amp;""&amp;" to "&amp;""&amp;V127</f>
        <v>#REF!</v>
      </c>
      <c r="U127" s="22" t="e">
        <f ca="1">(SUMPRODUCT(MID(0&amp;(LEFT(A126,SUM(LEN(A126)-LEN(SUBSTITUTE(A126,{"0","1","2","3"},""))))), LARGE(INDEX(ISNUMBER(--MID((LEFT(A126,SUM(LEN(A126)-LEN(SUBSTITUTE(A126,{"0","1","2","3"},""))))), ROW(INDIRECT("1:"&amp;LEN((LEFT(A126,SUM(LEN(A126)-LEN(SUBSTITUTE(A126,{"0","1","2","3"},"")))))))), 1)) * ROW(INDIRECT("1:"&amp;LEN((LEFT(A126,SUM(LEN(A126)-LEN(SUBSTITUTE(A126,{"0","1","2","3"},"")))))))), 0), ROW(INDIRECT("1:"&amp;LEN((LEFT(A126,SUM(LEN(A126)-LEN(SUBSTITUTE(A126,{"0","1","2","3"},"")))))))))+1, 1) * 10^ROW(INDIRECT("1:"&amp;LEN((LEFT(A126,SUM(LEN(A126)-LEN(SUBSTITUTE(A126,{"0","1","2","3"},""))))))))/10))*100+1</f>
        <v>#REF!</v>
      </c>
      <c r="V127" s="22">
        <f ca="1">(SUMPRODUCT(MID(0&amp;(--TRIM(RIGHT(SUBSTITUTE(LEFT(A126,_xlfn.AGGREGATE(16,6,FIND({0,1,2,3,4,5,6,7,8,9},A126,ROW(INDIRECT("1:"&amp;LEN(A126)))),1)),"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",LEN(A126))),LEN(A126)))))))/10))*100+1</f>
        <v>701</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2" customFormat="1" ht="20.25" customHeight="1" x14ac:dyDescent="0.25">
      <c r="A128" s="117">
        <v>2</v>
      </c>
      <c r="B128" s="117"/>
      <c r="C128" s="105" t="s">
        <v>347</v>
      </c>
      <c r="D128" s="106"/>
      <c r="E128" s="147"/>
      <c r="F128" s="106"/>
      <c r="G128" s="106"/>
      <c r="H128" s="107"/>
      <c r="I128" s="1"/>
      <c r="J128" s="1"/>
      <c r="K128" s="1"/>
      <c r="L128" s="1"/>
      <c r="M128" s="1"/>
      <c r="N128" s="1"/>
      <c r="O128" s="1"/>
      <c r="P128" s="1"/>
      <c r="Q128" s="1"/>
      <c r="R128" s="1"/>
      <c r="S128" s="1"/>
      <c r="T128" s="22" t="e">
        <f t="shared" ref="T128:T130" ca="1" si="11">U128&amp;""&amp;" to "&amp;""&amp;V128</f>
        <v>#REF!</v>
      </c>
      <c r="U128" s="22" t="e">
        <f ca="1">U127+1</f>
        <v>#REF!</v>
      </c>
      <c r="V128" s="22">
        <f ca="1">V127+1</f>
        <v>702</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customHeight="1" x14ac:dyDescent="0.25">
      <c r="A129" s="117">
        <v>3</v>
      </c>
      <c r="B129" s="117"/>
      <c r="C129" s="60" t="s">
        <v>341</v>
      </c>
      <c r="D129" s="60" t="s">
        <v>344</v>
      </c>
      <c r="E129" s="85">
        <f>(5.4*3.2+3*2.15+3*3.4+3.25*3.4+1.3*(2+2.2)+0.9*(3.75+1.45))*(10.764)</f>
        <v>593.31167999999991</v>
      </c>
      <c r="F129" s="85">
        <v>0</v>
      </c>
      <c r="G129" s="85">
        <v>0</v>
      </c>
      <c r="H129" s="85">
        <f t="shared" ref="H129:H130" si="12">E129+F129+(IF(G129&lt;101,G129,IF(G129&lt;201,G129/2,IF(G129&lt;=301,G129/3,G129/4))))</f>
        <v>593.31167999999991</v>
      </c>
      <c r="I129" s="1"/>
      <c r="J129" s="1"/>
      <c r="K129" s="1"/>
      <c r="L129" s="1"/>
      <c r="M129" s="1"/>
      <c r="N129" s="1"/>
      <c r="O129" s="1"/>
      <c r="P129" s="1"/>
      <c r="Q129" s="1"/>
      <c r="R129" s="1"/>
      <c r="S129" s="1"/>
      <c r="T129" s="22" t="e">
        <f t="shared" ca="1" si="11"/>
        <v>#REF!</v>
      </c>
      <c r="U129" s="22" t="e">
        <f t="shared" ref="U129:V129" ca="1" si="13">U128+1</f>
        <v>#REF!</v>
      </c>
      <c r="V129" s="22">
        <f t="shared" ca="1" si="13"/>
        <v>703</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2" customFormat="1" ht="20.25" customHeight="1" x14ac:dyDescent="0.25">
      <c r="A130" s="117">
        <v>4</v>
      </c>
      <c r="B130" s="117"/>
      <c r="C130" s="60" t="s">
        <v>341</v>
      </c>
      <c r="D130" s="60" t="s">
        <v>344</v>
      </c>
      <c r="E130" s="85">
        <f>(4.55*3.2+3*2.15+3*2.9+3.4*3.1+2*(1.2*2.2)+0.9*(3.35+2))*(10.764)</f>
        <v>541.91357999999991</v>
      </c>
      <c r="F130" s="85">
        <v>0</v>
      </c>
      <c r="G130" s="85">
        <v>0</v>
      </c>
      <c r="H130" s="85">
        <f t="shared" si="12"/>
        <v>541.91357999999991</v>
      </c>
      <c r="I130" s="1"/>
      <c r="J130" s="1"/>
      <c r="K130" s="1"/>
      <c r="L130" s="1"/>
      <c r="M130" s="1"/>
      <c r="N130" s="1"/>
      <c r="O130" s="1"/>
      <c r="P130" s="1"/>
      <c r="Q130" s="1"/>
      <c r="R130" s="1"/>
      <c r="S130" s="1"/>
      <c r="T130" s="22" t="e">
        <f t="shared" ca="1" si="11"/>
        <v>#REF!</v>
      </c>
      <c r="U130" s="22" t="e">
        <f t="shared" ref="U130:V130" ca="1" si="14">U129+1</f>
        <v>#REF!</v>
      </c>
      <c r="V130" s="22">
        <f t="shared" ca="1" si="14"/>
        <v>704</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2" customFormat="1" ht="20.25" x14ac:dyDescent="0.25">
      <c r="A131" s="140" t="s">
        <v>348</v>
      </c>
      <c r="B131" s="141"/>
      <c r="C131" s="141"/>
      <c r="D131" s="141"/>
      <c r="E131" s="142"/>
      <c r="F131" s="141"/>
      <c r="G131" s="141"/>
      <c r="H131" s="143"/>
      <c r="I131" s="1">
        <f>1</f>
        <v>1</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2" customFormat="1" ht="20.25" customHeight="1" x14ac:dyDescent="0.25">
      <c r="A132" s="117">
        <v>1</v>
      </c>
      <c r="B132" s="117"/>
      <c r="C132" s="60" t="s">
        <v>341</v>
      </c>
      <c r="D132" s="60" t="s">
        <v>342</v>
      </c>
      <c r="E132" s="92">
        <f>(6.2*3.2+3.7*2.25+3.2*3.9+3.05*4.3+4.1*3.3+1.3*(2.15+2.3+2.3)+0.9*(2.5+1.95+2.55+0.6)+3.2*2.4+(3.2*1.2))*(10.764)</f>
        <v>1016.3907</v>
      </c>
      <c r="F132" s="85">
        <v>0</v>
      </c>
      <c r="G132" s="85">
        <v>0</v>
      </c>
      <c r="H132" s="85">
        <f>E132+F132+(IF(G132&lt;101,G132,IF(G132&lt;201,G132/2,IF(G132&lt;=301,G132/3,G132/4))))</f>
        <v>1016.3907</v>
      </c>
      <c r="I132" s="1"/>
      <c r="J132" s="1"/>
      <c r="K132" s="1"/>
      <c r="L132" s="1"/>
      <c r="M132" s="1"/>
      <c r="N132" s="1"/>
      <c r="O132" s="1"/>
      <c r="P132" s="1"/>
      <c r="Q132" s="1"/>
      <c r="R132" s="1"/>
      <c r="S132" s="1"/>
      <c r="T132" s="22" t="e">
        <f ca="1">U132&amp;""&amp;" to "&amp;""&amp;V132</f>
        <v>#REF!</v>
      </c>
      <c r="U132" s="22" t="e">
        <f ca="1">(SUMPRODUCT(MID(0&amp;(LEFT(A131,SUM(LEN(A131)-LEN(SUBSTITUTE(A131,{"0","1","2","3"},""))))), LARGE(INDEX(ISNUMBER(--MID((LEFT(A131,SUM(LEN(A131)-LEN(SUBSTITUTE(A131,{"0","1","2","3"},""))))), ROW(INDIRECT("1:"&amp;LEN((LEFT(A131,SUM(LEN(A131)-LEN(SUBSTITUTE(A131,{"0","1","2","3"},"")))))))), 1)) * ROW(INDIRECT("1:"&amp;LEN((LEFT(A131,SUM(LEN(A131)-LEN(SUBSTITUTE(A131,{"0","1","2","3"},"")))))))), 0), ROW(INDIRECT("1:"&amp;LEN((LEFT(A131,SUM(LEN(A131)-LEN(SUBSTITUTE(A131,{"0","1","2","3"},"")))))))))+1, 1) * 10^ROW(INDIRECT("1:"&amp;LEN((LEFT(A131,SUM(LEN(A131)-LEN(SUBSTITUTE(A131,{"0","1","2","3"},""))))))))/10))*100+1</f>
        <v>#REF!</v>
      </c>
      <c r="V132" s="22">
        <f ca="1">(SUMPRODUCT(MID(0&amp;(--TRIM(RIGHT(SUBSTITUTE(LEFT(A131,_xlfn.AGGREGATE(16,6,FIND({0,1,2,3,4,5,6,7,8,9},A131,ROW(INDIRECT("1:"&amp;LEN(A131)))),1))," ",REPT(" ",LEN(A131))),LEN(A131)))), LARGE(INDEX(ISNUMBER(--MID((--TRIM(RIGHT(SUBSTITUTE(LEFT(A131,_xlfn.AGGREGATE(16,6,FIND({0,1,2,3,4,5,6,7,8,9},A131,ROW(INDIRECT("1:"&amp;LEN(A131)))),1))," ",REPT(" ",LEN(A131))),LEN(A131)))), ROW(INDIRECT("1:"&amp;LEN((--TRIM(RIGHT(SUBSTITUTE(LEFT(A131,_xlfn.AGGREGATE(16,6,FIND({0,1,2,3,4,5,6,7,8,9},A131,ROW(INDIRECT("1:"&amp;LEN(A131)))),1))," ",REPT(" ",LEN(A131))),LEN(A131))))))), 1)) * ROW(INDIRECT("1:"&amp;LEN((--TRIM(RIGHT(SUBSTITUTE(LEFT(A131,_xlfn.AGGREGATE(16,6,FIND({0,1,2,3,4,5,6,7,8,9},A131,ROW(INDIRECT("1:"&amp;LEN(A131)))),1))," ",REPT(" ",LEN(A131))),LEN(A131))))))), 0), ROW(INDIRECT("1:"&amp;LEN((--TRIM(RIGHT(SUBSTITUTE(LEFT(A131,_xlfn.AGGREGATE(16,6,FIND({0,1,2,3,4,5,6,7,8,9},A131,ROW(INDIRECT("1:"&amp;LEN(A131)))),1))," ",REPT(" ",LEN(A131))),LEN(A131))))))))+1, 1) * 10^ROW(INDIRECT("1:"&amp;LEN((--TRIM(RIGHT(SUBSTITUTE(LEFT(A131,_xlfn.AGGREGATE(16,6,FIND({0,1,2,3,4,5,6,7,8,9},A131,ROW(INDIRECT("1:"&amp;LEN(A131)))),1))," ",REPT(" ",LEN(A131))),LEN(A131)))))))/10))*100+1</f>
        <v>801</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2" customFormat="1" ht="20.25" customHeight="1" x14ac:dyDescent="0.25">
      <c r="A133" s="117">
        <v>2</v>
      </c>
      <c r="B133" s="117"/>
      <c r="C133" s="60" t="s">
        <v>341</v>
      </c>
      <c r="D133" s="60" t="s">
        <v>343</v>
      </c>
      <c r="E133" s="85">
        <f>(5.4*3.2+2.9*2.25+3.05*3.45+3.8*3.3+2.4*3.05+1.35*2.25+1.3*2.2+0.9*(1.75+2.2+0.6+4.2))*(10.764)</f>
        <v>731.5214400000001</v>
      </c>
      <c r="F133" s="85">
        <v>0</v>
      </c>
      <c r="G133" s="85">
        <v>0</v>
      </c>
      <c r="H133" s="85">
        <f t="shared" ref="H133:H135" si="15">E133+F133+(IF(G133&lt;101,G133,IF(G133&lt;201,G133/2,IF(G133&lt;=301,G133/3,G133/4))))</f>
        <v>731.5214400000001</v>
      </c>
      <c r="I133" s="1"/>
      <c r="J133" s="1"/>
      <c r="K133" s="1"/>
      <c r="L133" s="1"/>
      <c r="M133" s="1"/>
      <c r="N133" s="1"/>
      <c r="O133" s="1"/>
      <c r="P133" s="1"/>
      <c r="Q133" s="1"/>
      <c r="R133" s="1"/>
      <c r="S133" s="1"/>
      <c r="T133" s="22" t="e">
        <f t="shared" ref="T133:T135" ca="1" si="16">U133&amp;""&amp;" to "&amp;""&amp;V133</f>
        <v>#REF!</v>
      </c>
      <c r="U133" s="22" t="e">
        <f ca="1">U132+1</f>
        <v>#REF!</v>
      </c>
      <c r="V133" s="22">
        <f ca="1">V132+1</f>
        <v>802</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2" customFormat="1" ht="20.25" customHeight="1" x14ac:dyDescent="0.25">
      <c r="A134" s="117">
        <v>3</v>
      </c>
      <c r="B134" s="117"/>
      <c r="C134" s="60" t="s">
        <v>341</v>
      </c>
      <c r="D134" s="60" t="s">
        <v>344</v>
      </c>
      <c r="E134" s="85">
        <f>(5.4*3.2+3*2.15+3*3.7+3.25*3.7+1.3*(2+2.2)+0.9*(3.75+1.45)+(6.6*1.05))*(10.764)</f>
        <v>688.0886999999999</v>
      </c>
      <c r="F134" s="85">
        <v>0</v>
      </c>
      <c r="G134" s="85">
        <v>0</v>
      </c>
      <c r="H134" s="85">
        <f t="shared" si="15"/>
        <v>688.0886999999999</v>
      </c>
      <c r="I134" s="1"/>
      <c r="J134" s="1"/>
      <c r="K134" s="1"/>
      <c r="L134" s="1"/>
      <c r="M134" s="1"/>
      <c r="N134" s="1"/>
      <c r="O134" s="1"/>
      <c r="P134" s="1"/>
      <c r="Q134" s="1"/>
      <c r="R134" s="1"/>
      <c r="S134" s="1"/>
      <c r="T134" s="22" t="e">
        <f t="shared" ca="1" si="16"/>
        <v>#REF!</v>
      </c>
      <c r="U134" s="22" t="e">
        <f t="shared" ref="U134:V134" ca="1" si="17">U133+1</f>
        <v>#REF!</v>
      </c>
      <c r="V134" s="22">
        <f t="shared" ca="1" si="17"/>
        <v>803</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customHeight="1" x14ac:dyDescent="0.25">
      <c r="A135" s="117">
        <v>4</v>
      </c>
      <c r="B135" s="117"/>
      <c r="C135" s="60" t="s">
        <v>341</v>
      </c>
      <c r="D135" s="60" t="s">
        <v>344</v>
      </c>
      <c r="E135" s="85">
        <f>(4.55*3.2+3*2.15+3*2.9+3.4*3.1+2*(1.2*2.2)+0.9*(3.35+2))*(10.764)</f>
        <v>541.91357999999991</v>
      </c>
      <c r="F135" s="85">
        <v>0</v>
      </c>
      <c r="G135" s="85">
        <v>0</v>
      </c>
      <c r="H135" s="85">
        <f t="shared" si="15"/>
        <v>541.91357999999991</v>
      </c>
      <c r="I135" s="1"/>
      <c r="J135" s="1"/>
      <c r="K135" s="1"/>
      <c r="L135" s="1"/>
      <c r="M135" s="1"/>
      <c r="N135" s="1"/>
      <c r="O135" s="1"/>
      <c r="P135" s="1"/>
      <c r="Q135" s="1"/>
      <c r="R135" s="1"/>
      <c r="S135" s="1"/>
      <c r="T135" s="22" t="e">
        <f t="shared" ca="1" si="16"/>
        <v>#REF!</v>
      </c>
      <c r="U135" s="22" t="e">
        <f t="shared" ref="U135:V135" ca="1" si="18">U134+1</f>
        <v>#REF!</v>
      </c>
      <c r="V135" s="22">
        <f t="shared" ca="1" si="18"/>
        <v>804</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x14ac:dyDescent="0.25">
      <c r="A136" s="140" t="s">
        <v>349</v>
      </c>
      <c r="B136" s="141"/>
      <c r="C136" s="141"/>
      <c r="D136" s="141"/>
      <c r="E136" s="142"/>
      <c r="F136" s="141"/>
      <c r="G136" s="141"/>
      <c r="H136" s="143"/>
      <c r="I136" s="1">
        <f>1</f>
        <v>1</v>
      </c>
      <c r="J136" s="1"/>
      <c r="K136" s="1"/>
      <c r="L136" s="1">
        <v>62000</v>
      </c>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2" customFormat="1" ht="20.25" customHeight="1" x14ac:dyDescent="0.25">
      <c r="A137" s="117">
        <v>1</v>
      </c>
      <c r="B137" s="117"/>
      <c r="C137" s="60" t="s">
        <v>87</v>
      </c>
      <c r="D137" s="60" t="s">
        <v>342</v>
      </c>
      <c r="E137" s="92">
        <f>(6.2*3.2+3.7*2.25+3.2*3.9+3.05*4.3+4.1*3.3+1.3*(2.15+2.3+2.3)+0.9*(2.5+1.95+2.55+0.6)+3.2*2.4+(3.2*1.2))*(10.764)</f>
        <v>1016.3907</v>
      </c>
      <c r="F137" s="85">
        <v>0</v>
      </c>
      <c r="G137" s="85">
        <v>0</v>
      </c>
      <c r="H137" s="85">
        <f>E137+F137+(IF(G137&lt;101,G137,IF(G137&lt;201,G137/2,IF(G137&lt;=301,G137/3,G137/4))))</f>
        <v>1016.3907</v>
      </c>
      <c r="I137" s="1">
        <f>(68200000-(6820000*0.12))</f>
        <v>67381600</v>
      </c>
      <c r="J137" s="97">
        <f>I137/H137</f>
        <v>66294.978889515609</v>
      </c>
      <c r="K137" s="1"/>
      <c r="L137" s="1">
        <f>$L$136*H137</f>
        <v>63016223.400000006</v>
      </c>
      <c r="M137" s="1"/>
      <c r="N137" s="1"/>
      <c r="O137" s="1"/>
      <c r="P137" s="1"/>
      <c r="Q137" s="1"/>
      <c r="R137" s="1"/>
      <c r="S137" s="1"/>
      <c r="T137" s="22" t="e">
        <f ca="1">U137&amp;""&amp;" to "&amp;""&amp;V137</f>
        <v>#REF!</v>
      </c>
      <c r="U137" s="22" t="e">
        <f ca="1">(SUMPRODUCT(MID(0&amp;(LEFT(A136,SUM(LEN(A136)-LEN(SUBSTITUTE(A136,{"0","1","2","3"},""))))), LARGE(INDEX(ISNUMBER(--MID((LEFT(A136,SUM(LEN(A136)-LEN(SUBSTITUTE(A136,{"0","1","2","3"},""))))), ROW(INDIRECT("1:"&amp;LEN((LEFT(A136,SUM(LEN(A136)-LEN(SUBSTITUTE(A136,{"0","1","2","3"},"")))))))), 1)) * ROW(INDIRECT("1:"&amp;LEN((LEFT(A136,SUM(LEN(A136)-LEN(SUBSTITUTE(A136,{"0","1","2","3"},"")))))))), 0), ROW(INDIRECT("1:"&amp;LEN((LEFT(A136,SUM(LEN(A136)-LEN(SUBSTITUTE(A136,{"0","1","2","3"},"")))))))))+1, 1) * 10^ROW(INDIRECT("1:"&amp;LEN((LEFT(A136,SUM(LEN(A136)-LEN(SUBSTITUTE(A136,{"0","1","2","3"},""))))))))/10))*100+1</f>
        <v>#REF!</v>
      </c>
      <c r="V137" s="22">
        <f ca="1">(SUMPRODUCT(MID(0&amp;(--TRIM(RIGHT(SUBSTITUTE(LEFT(A136,_xlfn.AGGREGATE(16,6,FIND({0,1,2,3,4,5,6,7,8,9},A136,ROW(INDIRECT("1:"&amp;LEN(A136)))),1)),"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901</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2" customFormat="1" ht="20.25" customHeight="1" x14ac:dyDescent="0.25">
      <c r="A138" s="117">
        <v>2</v>
      </c>
      <c r="B138" s="117"/>
      <c r="C138" s="60" t="s">
        <v>341</v>
      </c>
      <c r="D138" s="60" t="s">
        <v>342</v>
      </c>
      <c r="E138" s="85">
        <f>(6.2*3.2+3.7*2.25+3.05*4.25+3.8*3.3+3.7*3.05+1.35*2.25+1.3*(2.2+2.4+2.3)+0.9*(1.75+2.2+0.6+4.2)+(3.2*1.2))*(10.764)</f>
        <v>954.4976999999999</v>
      </c>
      <c r="F138" s="85">
        <v>0</v>
      </c>
      <c r="G138" s="85">
        <v>0</v>
      </c>
      <c r="H138" s="85">
        <f t="shared" ref="H138:H140" si="19">E138+F138+(IF(G138&lt;101,G138,IF(G138&lt;201,G138/2,IF(G138&lt;=301,G138/3,G138/4))))</f>
        <v>954.4976999999999</v>
      </c>
      <c r="I138" s="1"/>
      <c r="J138" s="1"/>
      <c r="K138" s="1"/>
      <c r="L138" s="1">
        <f t="shared" ref="L138:L141" si="20">$L$136*H138</f>
        <v>59178857.399999991</v>
      </c>
      <c r="M138" s="1"/>
      <c r="N138" s="1"/>
      <c r="O138" s="1"/>
      <c r="P138" s="1"/>
      <c r="Q138" s="1"/>
      <c r="R138" s="1"/>
      <c r="S138" s="1"/>
      <c r="T138" s="22" t="e">
        <f t="shared" ref="T138:T140" ca="1" si="21">U138&amp;""&amp;" to "&amp;""&amp;V138</f>
        <v>#REF!</v>
      </c>
      <c r="U138" s="22" t="e">
        <f ca="1">U137+1</f>
        <v>#REF!</v>
      </c>
      <c r="V138" s="22">
        <f ca="1">V137+1</f>
        <v>902</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2" customFormat="1" ht="20.25" customHeight="1" x14ac:dyDescent="0.25">
      <c r="A139" s="117">
        <v>3</v>
      </c>
      <c r="B139" s="117"/>
      <c r="C139" s="60" t="s">
        <v>87</v>
      </c>
      <c r="D139" s="60" t="s">
        <v>344</v>
      </c>
      <c r="E139" s="92">
        <f>(5.4*3.2+3*2.15+3*3.7+3.25*3.7+1.3*(2+2.2)+0.9*(3.75+1.45)+(6.6*1.05))*(10.764)</f>
        <v>688.0886999999999</v>
      </c>
      <c r="F139" s="85">
        <v>0</v>
      </c>
      <c r="G139" s="85">
        <v>0</v>
      </c>
      <c r="H139" s="85">
        <f t="shared" si="19"/>
        <v>688.0886999999999</v>
      </c>
      <c r="I139" s="97">
        <f>42300000/H139</f>
        <v>61474.632558273384</v>
      </c>
      <c r="J139" s="1"/>
      <c r="K139" s="1"/>
      <c r="L139" s="1">
        <f t="shared" si="20"/>
        <v>42661499.399999991</v>
      </c>
      <c r="M139" s="1"/>
      <c r="N139" s="1"/>
      <c r="O139" s="1"/>
      <c r="P139" s="1"/>
      <c r="Q139" s="1"/>
      <c r="R139" s="1"/>
      <c r="S139" s="1"/>
      <c r="T139" s="22" t="e">
        <f t="shared" ca="1" si="21"/>
        <v>#REF!</v>
      </c>
      <c r="U139" s="22" t="e">
        <f t="shared" ref="U139:V139" ca="1" si="22">U138+1</f>
        <v>#REF!</v>
      </c>
      <c r="V139" s="22">
        <f t="shared" ca="1" si="22"/>
        <v>903</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2" customFormat="1" ht="20.25" customHeight="1" x14ac:dyDescent="0.25">
      <c r="A140" s="117">
        <v>4</v>
      </c>
      <c r="B140" s="117"/>
      <c r="C140" s="60" t="s">
        <v>87</v>
      </c>
      <c r="D140" s="60" t="s">
        <v>344</v>
      </c>
      <c r="E140" s="85">
        <f>(5.4*3.2+3*2.15+3.55*2.9+4.6*3.1+2.2*(1.2+1.2)+0.9*(3.35+2)+(3.2*1))*(10.764)</f>
        <v>662.8471199999999</v>
      </c>
      <c r="F140" s="85">
        <v>0</v>
      </c>
      <c r="G140" s="85">
        <v>0</v>
      </c>
      <c r="H140" s="85">
        <f t="shared" si="19"/>
        <v>662.8471199999999</v>
      </c>
      <c r="I140" s="1">
        <f>55440000/H140</f>
        <v>83639.195716804214</v>
      </c>
      <c r="J140" s="96">
        <f>I140/H140</f>
        <v>126.18172907925469</v>
      </c>
      <c r="K140" s="1"/>
      <c r="L140" s="1">
        <f t="shared" si="20"/>
        <v>41096521.439999998</v>
      </c>
      <c r="M140" s="1"/>
      <c r="N140" s="1"/>
      <c r="O140" s="1"/>
      <c r="P140" s="1"/>
      <c r="Q140" s="1"/>
      <c r="R140" s="1"/>
      <c r="S140" s="1"/>
      <c r="T140" s="22" t="e">
        <f t="shared" ca="1" si="21"/>
        <v>#REF!</v>
      </c>
      <c r="U140" s="22" t="e">
        <f t="shared" ref="U140:V140" ca="1" si="23">U139+1</f>
        <v>#REF!</v>
      </c>
      <c r="V140" s="22">
        <f t="shared" ca="1" si="23"/>
        <v>904</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2" customFormat="1" ht="20.25" x14ac:dyDescent="0.25">
      <c r="A141" s="140" t="s">
        <v>350</v>
      </c>
      <c r="B141" s="141"/>
      <c r="C141" s="141"/>
      <c r="D141" s="141"/>
      <c r="E141" s="142"/>
      <c r="F141" s="141"/>
      <c r="G141" s="141"/>
      <c r="H141" s="143"/>
      <c r="I141" s="1">
        <f>2</f>
        <v>2</v>
      </c>
      <c r="J141" s="1"/>
      <c r="K141" s="1"/>
      <c r="L141" s="1">
        <f t="shared" si="20"/>
        <v>0</v>
      </c>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2" customFormat="1" ht="40.5" customHeight="1" x14ac:dyDescent="0.25">
      <c r="A142" s="117">
        <v>1</v>
      </c>
      <c r="B142" s="117"/>
      <c r="C142" s="60" t="s">
        <v>337</v>
      </c>
      <c r="D142" s="60" t="s">
        <v>340</v>
      </c>
      <c r="E142" s="85">
        <f>(3.2*3.986+3.05*3.986+1.33*2.3)*(10.764)</f>
        <v>301.08522600000003</v>
      </c>
      <c r="F142" s="85">
        <v>0</v>
      </c>
      <c r="G142" s="85">
        <v>0</v>
      </c>
      <c r="H142" s="85">
        <f>E142+F142+(IF(G142&lt;101,G142,IF(G142&lt;201,G142/2,IF(G142&lt;=301,G142/3,G142/4))))</f>
        <v>301.08522600000003</v>
      </c>
      <c r="I142" s="1"/>
      <c r="J142" s="1"/>
      <c r="K142" s="1"/>
      <c r="L142" s="1"/>
      <c r="M142" s="1"/>
      <c r="N142" s="1"/>
      <c r="O142" s="1"/>
      <c r="P142" s="1"/>
      <c r="Q142" s="1"/>
      <c r="R142" s="1"/>
      <c r="S142" s="1"/>
      <c r="T142" s="22" t="e">
        <f t="shared" ref="T142:T148" ca="1" si="24">U142&amp;""&amp;",..,"&amp;""&amp;V142</f>
        <v>#REF!</v>
      </c>
      <c r="U142" s="22" t="e">
        <f ca="1">(SUMPRODUCT(MID(0&amp;(LEFT(A140,SUM(LEN(A140)-LEN(SUBSTITUTE(A140,{"0","1","2","3"},""))))), LARGE(INDEX(ISNUMBER(--MID((LEFT(A140,SUM(LEN(A140)-LEN(SUBSTITUTE(A140,{"0","1","2","3"},""))))), ROW(INDIRECT("1:"&amp;LEN((LEFT(A140,SUM(LEN(A140)-LEN(SUBSTITUTE(A140,{"0","1","2","3"},"")))))))), 1)) * ROW(INDIRECT("1:"&amp;LEN((LEFT(A140,SUM(LEN(A140)-LEN(SUBSTITUTE(A140,{"0","1","2","3"},"")))))))), 0), ROW(INDIRECT("1:"&amp;LEN((LEFT(A140,SUM(LEN(A140)-LEN(SUBSTITUTE(A140,{"0","1","2","3"},"")))))))))+1, 1) * 10^ROW(INDIRECT("1:"&amp;LEN((LEFT(A140,SUM(LEN(A140)-LEN(SUBSTITUTE(A140,{"0","1","2","3"},""))))))))/10))*100+1</f>
        <v>#REF!</v>
      </c>
      <c r="V142" s="22">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401</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2" customFormat="1" ht="40.5" customHeight="1" x14ac:dyDescent="0.25">
      <c r="A143" s="117">
        <v>2</v>
      </c>
      <c r="B143" s="117"/>
      <c r="C143" s="60" t="s">
        <v>337</v>
      </c>
      <c r="D143" s="60" t="s">
        <v>340</v>
      </c>
      <c r="E143" s="85">
        <f>(4.1*3.3+3.7*2.25+3*1.214+2.3*1.3)*(10.764)</f>
        <v>306.6340679999999</v>
      </c>
      <c r="F143" s="85">
        <v>0</v>
      </c>
      <c r="G143" s="85">
        <v>0</v>
      </c>
      <c r="H143" s="85">
        <f t="shared" ref="H143:H148" si="25">E143+F143+(IF(G143&lt;101,G143,IF(G143&lt;201,G143/2,IF(G143&lt;=301,G143/3,G143/4))))</f>
        <v>306.6340679999999</v>
      </c>
      <c r="I143" s="1"/>
      <c r="J143" s="1"/>
      <c r="K143" s="1"/>
      <c r="L143" s="1"/>
      <c r="M143" s="1"/>
      <c r="N143" s="1"/>
      <c r="O143" s="1"/>
      <c r="P143" s="1"/>
      <c r="Q143" s="1"/>
      <c r="R143" s="1"/>
      <c r="S143" s="1"/>
      <c r="T143" s="22" t="e">
        <f t="shared" ca="1" si="24"/>
        <v>#REF!</v>
      </c>
      <c r="U143" s="22" t="e">
        <f ca="1">U142+1</f>
        <v>#REF!</v>
      </c>
      <c r="V143" s="22">
        <f ca="1">V142+1</f>
        <v>402</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2" customFormat="1" ht="40.5" customHeight="1" x14ac:dyDescent="0.25">
      <c r="A144" s="117">
        <v>3</v>
      </c>
      <c r="B144" s="117"/>
      <c r="C144" s="60" t="s">
        <v>337</v>
      </c>
      <c r="D144" s="60" t="s">
        <v>340</v>
      </c>
      <c r="E144" s="85">
        <f>(4.85*3.75+2.4*1.45+3.4*0.324+2.3*1.3)*(10.764)</f>
        <v>277.2709524</v>
      </c>
      <c r="F144" s="85">
        <v>0</v>
      </c>
      <c r="G144" s="85">
        <v>0</v>
      </c>
      <c r="H144" s="85">
        <f t="shared" si="25"/>
        <v>277.2709524</v>
      </c>
      <c r="I144" s="1"/>
      <c r="J144" s="1"/>
      <c r="K144" s="1"/>
      <c r="L144" s="1"/>
      <c r="M144" s="1"/>
      <c r="N144" s="1"/>
      <c r="O144" s="1"/>
      <c r="P144" s="1"/>
      <c r="Q144" s="1"/>
      <c r="R144" s="1"/>
      <c r="S144" s="1"/>
      <c r="T144" s="22" t="e">
        <f t="shared" ca="1" si="24"/>
        <v>#REF!</v>
      </c>
      <c r="U144" s="22" t="e">
        <f t="shared" ref="U144:V148" ca="1" si="26">U143+1</f>
        <v>#REF!</v>
      </c>
      <c r="V144" s="22">
        <f t="shared" ca="1" si="26"/>
        <v>403</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2" customFormat="1" ht="40.5" customHeight="1" x14ac:dyDescent="0.25">
      <c r="A145" s="117">
        <v>4</v>
      </c>
      <c r="B145" s="117"/>
      <c r="C145" s="60" t="s">
        <v>337</v>
      </c>
      <c r="D145" s="60" t="s">
        <v>340</v>
      </c>
      <c r="E145" s="85">
        <f>(3.4*3.926+4.85*2.2+3.7*0.2+2.4*1.3)*(10.764)</f>
        <v>300.08309759999997</v>
      </c>
      <c r="F145" s="85">
        <v>0</v>
      </c>
      <c r="G145" s="85">
        <v>0</v>
      </c>
      <c r="H145" s="85">
        <f t="shared" si="25"/>
        <v>300.08309759999997</v>
      </c>
      <c r="I145" s="1"/>
      <c r="J145" s="1"/>
      <c r="K145" s="1"/>
      <c r="L145" s="1"/>
      <c r="M145" s="1"/>
      <c r="N145" s="1"/>
      <c r="O145" s="1"/>
      <c r="P145" s="1"/>
      <c r="Q145" s="1"/>
      <c r="R145" s="1"/>
      <c r="S145" s="1"/>
      <c r="T145" s="22" t="e">
        <f t="shared" ca="1" si="24"/>
        <v>#REF!</v>
      </c>
      <c r="U145" s="22" t="e">
        <f t="shared" ca="1" si="26"/>
        <v>#REF!</v>
      </c>
      <c r="V145" s="22">
        <f t="shared" ca="1" si="26"/>
        <v>404</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2" customFormat="1" ht="40.5" customHeight="1" x14ac:dyDescent="0.25">
      <c r="A146" s="117">
        <v>5</v>
      </c>
      <c r="B146" s="117"/>
      <c r="C146" s="60" t="s">
        <v>337</v>
      </c>
      <c r="D146" s="60" t="s">
        <v>340</v>
      </c>
      <c r="E146" s="85">
        <f>(3.3*3.95+3.05*3.95+1.3*2.3)*(10.764)</f>
        <v>302.17238999999995</v>
      </c>
      <c r="F146" s="85">
        <v>0</v>
      </c>
      <c r="G146" s="85">
        <v>0</v>
      </c>
      <c r="H146" s="85">
        <f t="shared" si="25"/>
        <v>302.17238999999995</v>
      </c>
      <c r="I146" s="1"/>
      <c r="J146" s="1"/>
      <c r="K146" s="1"/>
      <c r="L146" s="1"/>
      <c r="M146" s="1"/>
      <c r="N146" s="1"/>
      <c r="O146" s="1"/>
      <c r="P146" s="1"/>
      <c r="Q146" s="1"/>
      <c r="R146" s="1"/>
      <c r="S146" s="1"/>
      <c r="T146" s="22" t="e">
        <f t="shared" ca="1" si="24"/>
        <v>#REF!</v>
      </c>
      <c r="U146" s="22" t="e">
        <f t="shared" ca="1" si="26"/>
        <v>#REF!</v>
      </c>
      <c r="V146" s="22">
        <f t="shared" ca="1" si="26"/>
        <v>405</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2" customFormat="1" ht="20.25" x14ac:dyDescent="0.25">
      <c r="A147" s="117">
        <v>6</v>
      </c>
      <c r="B147" s="117"/>
      <c r="C147" s="60" t="s">
        <v>87</v>
      </c>
      <c r="D147" s="60" t="s">
        <v>344</v>
      </c>
      <c r="E147" s="92">
        <f>(5.4*3.2+3*2.15+3*3.7+3.25*3.7+1.3*(2+2.2)+0.9*(3.75+1.45))*(10.764)</f>
        <v>613.49417999999991</v>
      </c>
      <c r="F147" s="85">
        <v>0</v>
      </c>
      <c r="G147" s="85">
        <v>0</v>
      </c>
      <c r="H147" s="85">
        <f t="shared" si="25"/>
        <v>613.49417999999991</v>
      </c>
      <c r="I147" s="1"/>
      <c r="J147" s="1"/>
      <c r="K147" s="1"/>
      <c r="L147" s="1"/>
      <c r="M147" s="1"/>
      <c r="N147" s="1"/>
      <c r="O147" s="1"/>
      <c r="P147" s="1"/>
      <c r="Q147" s="1"/>
      <c r="R147" s="1"/>
      <c r="S147" s="1"/>
      <c r="T147" s="22" t="e">
        <f t="shared" ca="1" si="24"/>
        <v>#REF!</v>
      </c>
      <c r="U147" s="22" t="e">
        <f t="shared" ca="1" si="26"/>
        <v>#REF!</v>
      </c>
      <c r="V147" s="22">
        <f t="shared" ca="1" si="26"/>
        <v>406</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2" customFormat="1" ht="20.25" customHeight="1" x14ac:dyDescent="0.25">
      <c r="A148" s="117">
        <v>7</v>
      </c>
      <c r="B148" s="117"/>
      <c r="C148" s="60" t="s">
        <v>87</v>
      </c>
      <c r="D148" s="60" t="s">
        <v>344</v>
      </c>
      <c r="E148" s="92">
        <f>(5.4*3.2+3*2.15+3.55*2.9+4.6*3.1+2.2*(1.2+1.2)+0.9*(3.35+2)+(3.2*1))*(10.764)</f>
        <v>662.8471199999999</v>
      </c>
      <c r="F148" s="85">
        <v>0</v>
      </c>
      <c r="G148" s="85">
        <v>0</v>
      </c>
      <c r="H148" s="85">
        <f t="shared" si="25"/>
        <v>662.8471199999999</v>
      </c>
      <c r="I148" s="1"/>
      <c r="J148" s="1"/>
      <c r="K148" s="1"/>
      <c r="L148" s="1"/>
      <c r="M148" s="1"/>
      <c r="N148" s="1"/>
      <c r="O148" s="1"/>
      <c r="P148" s="1"/>
      <c r="Q148" s="1"/>
      <c r="R148" s="1"/>
      <c r="S148" s="1"/>
      <c r="T148" s="22" t="e">
        <f t="shared" ca="1" si="24"/>
        <v>#REF!</v>
      </c>
      <c r="U148" s="22" t="e">
        <f t="shared" ca="1" si="26"/>
        <v>#REF!</v>
      </c>
      <c r="V148" s="22">
        <f t="shared" ca="1" si="26"/>
        <v>407</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2" customFormat="1" ht="20.25" x14ac:dyDescent="0.25">
      <c r="A149" s="140" t="s">
        <v>351</v>
      </c>
      <c r="B149" s="141"/>
      <c r="C149" s="141"/>
      <c r="D149" s="141"/>
      <c r="E149" s="142"/>
      <c r="F149" s="141"/>
      <c r="G149" s="141"/>
      <c r="H149" s="143"/>
      <c r="I149" s="1">
        <f>1</f>
        <v>1</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2" customFormat="1" ht="40.5" customHeight="1" x14ac:dyDescent="0.25">
      <c r="A150" s="117">
        <v>1</v>
      </c>
      <c r="B150" s="117"/>
      <c r="C150" s="60" t="s">
        <v>337</v>
      </c>
      <c r="D150" s="60" t="s">
        <v>340</v>
      </c>
      <c r="E150" s="85">
        <f>(3.2*3.986+3.05*3.986+1.33*2.3)*(10.764)</f>
        <v>301.08522600000003</v>
      </c>
      <c r="F150" s="85">
        <v>0</v>
      </c>
      <c r="G150" s="85">
        <v>0</v>
      </c>
      <c r="H150" s="85">
        <f>E150+F150+(IF(G150&lt;101,G150,IF(G150&lt;201,G150/2,IF(G150&lt;=301,G150/3,G150/4))))</f>
        <v>301.08522600000003</v>
      </c>
      <c r="I150" s="1"/>
      <c r="J150" s="1"/>
      <c r="K150" s="1"/>
      <c r="L150" s="1"/>
      <c r="M150" s="1"/>
      <c r="N150" s="1"/>
      <c r="O150" s="1"/>
      <c r="P150" s="1"/>
      <c r="Q150" s="1"/>
      <c r="R150" s="1"/>
      <c r="S150" s="1"/>
      <c r="T150" s="22" t="e">
        <f t="shared" ref="T150:T156" ca="1" si="27">U150&amp;""&amp;",..,"&amp;""&amp;V150</f>
        <v>#REF!</v>
      </c>
      <c r="U150" s="22" t="e">
        <f ca="1">(SUMPRODUCT(MID(0&amp;(LEFT(A148,SUM(LEN(A148)-LEN(SUBSTITUTE(A148,{"0","1","2","3"},""))))), LARGE(INDEX(ISNUMBER(--MID((LEFT(A148,SUM(LEN(A148)-LEN(SUBSTITUTE(A148,{"0","1","2","3"},""))))), ROW(INDIRECT("1:"&amp;LEN((LEFT(A148,SUM(LEN(A148)-LEN(SUBSTITUTE(A148,{"0","1","2","3"},"")))))))), 1)) * ROW(INDIRECT("1:"&amp;LEN((LEFT(A148,SUM(LEN(A148)-LEN(SUBSTITUTE(A148,{"0","1","2","3"},"")))))))), 0), ROW(INDIRECT("1:"&amp;LEN((LEFT(A148,SUM(LEN(A148)-LEN(SUBSTITUTE(A148,{"0","1","2","3"},"")))))))))+1, 1) * 10^ROW(INDIRECT("1:"&amp;LEN((LEFT(A148,SUM(LEN(A148)-LEN(SUBSTITUTE(A148,{"0","1","2","3"},""))))))))/10))*100+1</f>
        <v>#REF!</v>
      </c>
      <c r="V150" s="22">
        <f ca="1">(SUMPRODUCT(MID(0&amp;(--TRIM(RIGHT(SUBSTITUTE(LEFT(A148,_xlfn.AGGREGATE(16,6,FIND({0,1,2,3,4,5,6,7,8,9},A148,ROW(INDIRECT("1:"&amp;LEN(A148)))),1)),"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701</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2" customFormat="1" ht="40.5" customHeight="1" x14ac:dyDescent="0.25">
      <c r="A151" s="117">
        <v>2</v>
      </c>
      <c r="B151" s="117"/>
      <c r="C151" s="60" t="s">
        <v>337</v>
      </c>
      <c r="D151" s="60" t="s">
        <v>340</v>
      </c>
      <c r="E151" s="85">
        <f>(4.1*3.3+3.7*2.25+3*1.214+2.3*1.3)*(10.764)</f>
        <v>306.6340679999999</v>
      </c>
      <c r="F151" s="85">
        <v>0</v>
      </c>
      <c r="G151" s="85">
        <v>0</v>
      </c>
      <c r="H151" s="85">
        <f t="shared" ref="H151:H156" si="28">E151+F151+(IF(G151&lt;101,G151,IF(G151&lt;201,G151/2,IF(G151&lt;=301,G151/3,G151/4))))</f>
        <v>306.6340679999999</v>
      </c>
      <c r="I151" s="1"/>
      <c r="J151" s="1"/>
      <c r="K151" s="1"/>
      <c r="L151" s="1"/>
      <c r="M151" s="1"/>
      <c r="N151" s="1"/>
      <c r="O151" s="1"/>
      <c r="P151" s="1"/>
      <c r="Q151" s="1"/>
      <c r="R151" s="1"/>
      <c r="S151" s="1"/>
      <c r="T151" s="22" t="e">
        <f t="shared" ca="1" si="27"/>
        <v>#REF!</v>
      </c>
      <c r="U151" s="22" t="e">
        <f ca="1">U150+1</f>
        <v>#REF!</v>
      </c>
      <c r="V151" s="22">
        <f ca="1">V150+1</f>
        <v>702</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2" customFormat="1" ht="40.5" customHeight="1" x14ac:dyDescent="0.25">
      <c r="A152" s="117">
        <v>3</v>
      </c>
      <c r="B152" s="117"/>
      <c r="C152" s="60" t="s">
        <v>337</v>
      </c>
      <c r="D152" s="60" t="s">
        <v>340</v>
      </c>
      <c r="E152" s="85">
        <f>(4.85*3.75+2.4*1.45+3.4*0.324+2.3*1.3)*(10.764)</f>
        <v>277.2709524</v>
      </c>
      <c r="F152" s="85">
        <v>0</v>
      </c>
      <c r="G152" s="85">
        <v>0</v>
      </c>
      <c r="H152" s="85">
        <f t="shared" si="28"/>
        <v>277.2709524</v>
      </c>
      <c r="I152" s="1"/>
      <c r="J152" s="1"/>
      <c r="K152" s="1"/>
      <c r="L152" s="1"/>
      <c r="M152" s="1"/>
      <c r="N152" s="1"/>
      <c r="O152" s="1"/>
      <c r="P152" s="1"/>
      <c r="Q152" s="1"/>
      <c r="R152" s="1"/>
      <c r="S152" s="1"/>
      <c r="T152" s="22" t="e">
        <f t="shared" ca="1" si="27"/>
        <v>#REF!</v>
      </c>
      <c r="U152" s="22" t="e">
        <f t="shared" ref="U152:V152" ca="1" si="29">U151+1</f>
        <v>#REF!</v>
      </c>
      <c r="V152" s="22">
        <f t="shared" ca="1" si="29"/>
        <v>703</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2" customFormat="1" ht="40.5" customHeight="1" x14ac:dyDescent="0.25">
      <c r="A153" s="117">
        <v>4</v>
      </c>
      <c r="B153" s="117"/>
      <c r="C153" s="60" t="s">
        <v>337</v>
      </c>
      <c r="D153" s="60" t="s">
        <v>340</v>
      </c>
      <c r="E153" s="85">
        <f>(3.4*3.926+4.85*2.2+3.7*0.2+2.4*1.3)*(10.764)</f>
        <v>300.08309759999997</v>
      </c>
      <c r="F153" s="85">
        <v>0</v>
      </c>
      <c r="G153" s="85">
        <v>0</v>
      </c>
      <c r="H153" s="85">
        <f t="shared" si="28"/>
        <v>300.08309759999997</v>
      </c>
      <c r="I153" s="1"/>
      <c r="J153" s="1"/>
      <c r="K153" s="1"/>
      <c r="L153" s="1"/>
      <c r="M153" s="1"/>
      <c r="N153" s="1"/>
      <c r="O153" s="1"/>
      <c r="P153" s="1"/>
      <c r="Q153" s="1"/>
      <c r="R153" s="1"/>
      <c r="S153" s="1"/>
      <c r="T153" s="22" t="e">
        <f t="shared" ca="1" si="27"/>
        <v>#REF!</v>
      </c>
      <c r="U153" s="22" t="e">
        <f t="shared" ref="U153:V153" ca="1" si="30">U152+1</f>
        <v>#REF!</v>
      </c>
      <c r="V153" s="22">
        <f t="shared" ca="1" si="30"/>
        <v>704</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2" customFormat="1" ht="40.5" customHeight="1" x14ac:dyDescent="0.25">
      <c r="A154" s="117">
        <v>5</v>
      </c>
      <c r="B154" s="117"/>
      <c r="C154" s="60" t="s">
        <v>337</v>
      </c>
      <c r="D154" s="60" t="s">
        <v>340</v>
      </c>
      <c r="E154" s="85">
        <f>(3.3*3.95+3.05*3.95+1.3*2.3)*(10.764)</f>
        <v>302.17238999999995</v>
      </c>
      <c r="F154" s="85">
        <v>0</v>
      </c>
      <c r="G154" s="85">
        <v>0</v>
      </c>
      <c r="H154" s="85">
        <f t="shared" si="28"/>
        <v>302.17238999999995</v>
      </c>
      <c r="I154" s="1"/>
      <c r="J154" s="1"/>
      <c r="K154" s="1"/>
      <c r="L154" s="1"/>
      <c r="M154" s="1"/>
      <c r="N154" s="1"/>
      <c r="O154" s="1"/>
      <c r="P154" s="1"/>
      <c r="Q154" s="1"/>
      <c r="R154" s="1"/>
      <c r="S154" s="1"/>
      <c r="T154" s="22" t="e">
        <f t="shared" ca="1" si="27"/>
        <v>#REF!</v>
      </c>
      <c r="U154" s="22" t="e">
        <f t="shared" ref="U154:V154" ca="1" si="31">U153+1</f>
        <v>#REF!</v>
      </c>
      <c r="V154" s="22">
        <f t="shared" ca="1" si="31"/>
        <v>705</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2" customFormat="1" ht="20.25" x14ac:dyDescent="0.25">
      <c r="A155" s="117">
        <v>6</v>
      </c>
      <c r="B155" s="117"/>
      <c r="C155" s="60" t="s">
        <v>87</v>
      </c>
      <c r="D155" s="60" t="s">
        <v>344</v>
      </c>
      <c r="E155" s="92">
        <f>(5.4*3.2+3*2.15+3*3.7+3.25*3.7+1.3*(2+2.2)+0.9*(3.75+1.45)+(6.6*1.05))*(10.764)</f>
        <v>688.0886999999999</v>
      </c>
      <c r="F155" s="85">
        <v>0</v>
      </c>
      <c r="G155" s="85">
        <v>0</v>
      </c>
      <c r="H155" s="85">
        <f t="shared" si="28"/>
        <v>688.0886999999999</v>
      </c>
      <c r="I155" s="1">
        <f>J155/H155</f>
        <v>81530.18644253278</v>
      </c>
      <c r="J155" s="1">
        <f>66000000-(66000000*0.15)</f>
        <v>56100000</v>
      </c>
      <c r="K155" s="1"/>
      <c r="L155" s="1"/>
      <c r="M155" s="1"/>
      <c r="N155" s="1"/>
      <c r="O155" s="1"/>
      <c r="P155" s="1"/>
      <c r="Q155" s="1"/>
      <c r="R155" s="1"/>
      <c r="S155" s="1"/>
      <c r="T155" s="22" t="e">
        <f t="shared" ca="1" si="27"/>
        <v>#REF!</v>
      </c>
      <c r="U155" s="22" t="e">
        <f t="shared" ref="U155:V155" ca="1" si="32">U154+1</f>
        <v>#REF!</v>
      </c>
      <c r="V155" s="22">
        <f t="shared" ca="1" si="32"/>
        <v>706</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2" customFormat="1" ht="20.25" customHeight="1" x14ac:dyDescent="0.25">
      <c r="A156" s="117">
        <v>7</v>
      </c>
      <c r="B156" s="117"/>
      <c r="C156" s="60" t="s">
        <v>87</v>
      </c>
      <c r="D156" s="60" t="s">
        <v>344</v>
      </c>
      <c r="E156" s="92">
        <f>(5.4*3.2+3*2.15+3.55*2.9+4.6*3.1+2.2*(1.2+1.2)+0.9*(3.35+2)+(3.2*1))*(10.764)</f>
        <v>662.8471199999999</v>
      </c>
      <c r="F156" s="85">
        <v>0</v>
      </c>
      <c r="G156" s="85">
        <v>0</v>
      </c>
      <c r="H156" s="85">
        <f t="shared" si="28"/>
        <v>662.8471199999999</v>
      </c>
      <c r="I156" s="1"/>
      <c r="J156" s="1"/>
      <c r="K156" s="1"/>
      <c r="L156" s="1"/>
      <c r="M156" s="1"/>
      <c r="N156" s="1"/>
      <c r="O156" s="1"/>
      <c r="P156" s="1"/>
      <c r="Q156" s="1"/>
      <c r="R156" s="1"/>
      <c r="S156" s="1"/>
      <c r="T156" s="22" t="e">
        <f t="shared" ca="1" si="27"/>
        <v>#REF!</v>
      </c>
      <c r="U156" s="22" t="e">
        <f t="shared" ref="U156:V156" ca="1" si="33">U155+1</f>
        <v>#REF!</v>
      </c>
      <c r="V156" s="22">
        <f t="shared" ca="1" si="33"/>
        <v>707</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2" customFormat="1" ht="20.25" x14ac:dyDescent="0.25">
      <c r="A157" s="140" t="s">
        <v>352</v>
      </c>
      <c r="B157" s="141"/>
      <c r="C157" s="141"/>
      <c r="D157" s="141"/>
      <c r="E157" s="142"/>
      <c r="F157" s="141"/>
      <c r="G157" s="141"/>
      <c r="H157" s="143"/>
      <c r="I157" s="1">
        <f>1</f>
        <v>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2" customFormat="1" ht="40.5" customHeight="1" x14ac:dyDescent="0.25">
      <c r="A158" s="117">
        <v>1</v>
      </c>
      <c r="B158" s="117"/>
      <c r="C158" s="60" t="s">
        <v>337</v>
      </c>
      <c r="D158" s="60" t="s">
        <v>340</v>
      </c>
      <c r="E158" s="85">
        <f>(3.2*3.986+3.05*3.986+1.33*2.3)*(10.764)</f>
        <v>301.08522600000003</v>
      </c>
      <c r="F158" s="85">
        <v>0</v>
      </c>
      <c r="G158" s="85">
        <v>0</v>
      </c>
      <c r="H158" s="85">
        <f>E158+F158+(IF(G158&lt;101,G158,IF(G158&lt;201,G158/2,IF(G158&lt;=301,G158/3,G158/4))))</f>
        <v>301.08522600000003</v>
      </c>
      <c r="I158" s="1"/>
      <c r="J158" s="1"/>
      <c r="K158" s="1"/>
      <c r="L158" s="1"/>
      <c r="M158" s="1"/>
      <c r="N158" s="1"/>
      <c r="O158" s="1"/>
      <c r="P158" s="1"/>
      <c r="Q158" s="1"/>
      <c r="R158" s="1"/>
      <c r="S158" s="1"/>
      <c r="T158" s="22" t="e">
        <f t="shared" ref="T158:T164" ca="1" si="34">U158&amp;""&amp;",..,"&amp;""&amp;V158</f>
        <v>#REF!</v>
      </c>
      <c r="U158" s="22" t="e">
        <f ca="1">(SUMPRODUCT(MID(0&amp;(LEFT(A156,SUM(LEN(A156)-LEN(SUBSTITUTE(A156,{"0","1","2","3"},""))))), LARGE(INDEX(ISNUMBER(--MID((LEFT(A156,SUM(LEN(A156)-LEN(SUBSTITUTE(A156,{"0","1","2","3"},""))))), ROW(INDIRECT("1:"&amp;LEN((LEFT(A156,SUM(LEN(A156)-LEN(SUBSTITUTE(A156,{"0","1","2","3"},"")))))))), 1)) * ROW(INDIRECT("1:"&amp;LEN((LEFT(A156,SUM(LEN(A156)-LEN(SUBSTITUTE(A156,{"0","1","2","3"},"")))))))), 0), ROW(INDIRECT("1:"&amp;LEN((LEFT(A156,SUM(LEN(A156)-LEN(SUBSTITUTE(A156,{"0","1","2","3"},"")))))))))+1, 1) * 10^ROW(INDIRECT("1:"&amp;LEN((LEFT(A156,SUM(LEN(A156)-LEN(SUBSTITUTE(A156,{"0","1","2","3"},""))))))))/10))*100+1</f>
        <v>#REF!</v>
      </c>
      <c r="V158" s="22">
        <f ca="1">(SUMPRODUCT(MID(0&amp;(--TRIM(RIGHT(SUBSTITUTE(LEFT(A156,_xlfn.AGGREGATE(16,6,FIND({0,1,2,3,4,5,6,7,8,9},A156,ROW(INDIRECT("1:"&amp;LEN(A156)))),1)),"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",LEN(A156))),LEN(A156)))))))/10))*100+1</f>
        <v>701</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2" customFormat="1" ht="40.5" customHeight="1" x14ac:dyDescent="0.25">
      <c r="A159" s="117">
        <v>2</v>
      </c>
      <c r="B159" s="117"/>
      <c r="C159" s="60" t="s">
        <v>337</v>
      </c>
      <c r="D159" s="60" t="s">
        <v>340</v>
      </c>
      <c r="E159" s="85">
        <f>(4.1*3.3+3.7*2.25+3*1.214+2.3*1.3)*(10.764)</f>
        <v>306.6340679999999</v>
      </c>
      <c r="F159" s="85">
        <v>0</v>
      </c>
      <c r="G159" s="85">
        <v>0</v>
      </c>
      <c r="H159" s="85">
        <f t="shared" ref="H159:H164" si="35">E159+F159+(IF(G159&lt;101,G159,IF(G159&lt;201,G159/2,IF(G159&lt;=301,G159/3,G159/4))))</f>
        <v>306.6340679999999</v>
      </c>
      <c r="I159" s="1"/>
      <c r="J159" s="1"/>
      <c r="K159" s="1"/>
      <c r="L159" s="1"/>
      <c r="M159" s="1"/>
      <c r="N159" s="1"/>
      <c r="O159" s="1"/>
      <c r="P159" s="1"/>
      <c r="Q159" s="1"/>
      <c r="R159" s="1"/>
      <c r="S159" s="1"/>
      <c r="T159" s="22" t="e">
        <f t="shared" ca="1" si="34"/>
        <v>#REF!</v>
      </c>
      <c r="U159" s="22" t="e">
        <f ca="1">U158+1</f>
        <v>#REF!</v>
      </c>
      <c r="V159" s="22">
        <f ca="1">V158+1</f>
        <v>702</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2" customFormat="1" ht="40.5" customHeight="1" x14ac:dyDescent="0.25">
      <c r="A160" s="117">
        <v>3</v>
      </c>
      <c r="B160" s="117"/>
      <c r="C160" s="60" t="s">
        <v>337</v>
      </c>
      <c r="D160" s="60" t="s">
        <v>340</v>
      </c>
      <c r="E160" s="85">
        <f>(4.85*3.75+2.4*1.45+3.4*0.324+2.3*1.3)*(10.764)</f>
        <v>277.2709524</v>
      </c>
      <c r="F160" s="85">
        <v>0</v>
      </c>
      <c r="G160" s="85">
        <v>0</v>
      </c>
      <c r="H160" s="85">
        <f t="shared" si="35"/>
        <v>277.2709524</v>
      </c>
      <c r="I160" s="1"/>
      <c r="J160" s="1"/>
      <c r="K160" s="1"/>
      <c r="L160" s="1"/>
      <c r="M160" s="1"/>
      <c r="N160" s="1"/>
      <c r="O160" s="1"/>
      <c r="P160" s="1"/>
      <c r="Q160" s="1"/>
      <c r="R160" s="1"/>
      <c r="S160" s="1"/>
      <c r="T160" s="22" t="e">
        <f t="shared" ca="1" si="34"/>
        <v>#REF!</v>
      </c>
      <c r="U160" s="22" t="e">
        <f t="shared" ref="U160:V160" ca="1" si="36">U159+1</f>
        <v>#REF!</v>
      </c>
      <c r="V160" s="22">
        <f t="shared" ca="1" si="36"/>
        <v>703</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2" customFormat="1" ht="40.5" customHeight="1" x14ac:dyDescent="0.25">
      <c r="A161" s="117">
        <v>4</v>
      </c>
      <c r="B161" s="117"/>
      <c r="C161" s="60" t="s">
        <v>337</v>
      </c>
      <c r="D161" s="60" t="s">
        <v>340</v>
      </c>
      <c r="E161" s="85">
        <f>(3.4*3.926+4.85*2.2+3.7*0.2+2.4*1.3)*(10.764)</f>
        <v>300.08309759999997</v>
      </c>
      <c r="F161" s="85">
        <v>0</v>
      </c>
      <c r="G161" s="85">
        <v>0</v>
      </c>
      <c r="H161" s="85">
        <f t="shared" si="35"/>
        <v>300.08309759999997</v>
      </c>
      <c r="I161" s="1"/>
      <c r="J161" s="1"/>
      <c r="K161" s="1"/>
      <c r="L161" s="1"/>
      <c r="M161" s="1"/>
      <c r="N161" s="1"/>
      <c r="O161" s="1"/>
      <c r="P161" s="1"/>
      <c r="Q161" s="1"/>
      <c r="R161" s="1"/>
      <c r="S161" s="1"/>
      <c r="T161" s="22" t="e">
        <f t="shared" ca="1" si="34"/>
        <v>#REF!</v>
      </c>
      <c r="U161" s="22" t="e">
        <f t="shared" ref="U161:V161" ca="1" si="37">U160+1</f>
        <v>#REF!</v>
      </c>
      <c r="V161" s="22">
        <f t="shared" ca="1" si="37"/>
        <v>704</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2" customFormat="1" ht="40.5" customHeight="1" x14ac:dyDescent="0.25">
      <c r="A162" s="117">
        <v>5</v>
      </c>
      <c r="B162" s="117"/>
      <c r="C162" s="60" t="s">
        <v>337</v>
      </c>
      <c r="D162" s="60" t="s">
        <v>340</v>
      </c>
      <c r="E162" s="85">
        <f>(3.3*3.95+3.05*3.95+1.3*2.3)*(10.764)</f>
        <v>302.17238999999995</v>
      </c>
      <c r="F162" s="85">
        <v>0</v>
      </c>
      <c r="G162" s="85">
        <v>0</v>
      </c>
      <c r="H162" s="85">
        <f t="shared" si="35"/>
        <v>302.17238999999995</v>
      </c>
      <c r="I162" s="1"/>
      <c r="J162" s="1"/>
      <c r="K162" s="1"/>
      <c r="L162" s="1"/>
      <c r="M162" s="1"/>
      <c r="N162" s="1"/>
      <c r="O162" s="1"/>
      <c r="P162" s="1"/>
      <c r="Q162" s="1"/>
      <c r="R162" s="1"/>
      <c r="S162" s="1"/>
      <c r="T162" s="22" t="e">
        <f t="shared" ca="1" si="34"/>
        <v>#REF!</v>
      </c>
      <c r="U162" s="22" t="e">
        <f t="shared" ref="U162:V162" ca="1" si="38">U161+1</f>
        <v>#REF!</v>
      </c>
      <c r="V162" s="22">
        <f t="shared" ca="1" si="38"/>
        <v>705</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2" customFormat="1" ht="20.25" x14ac:dyDescent="0.25">
      <c r="A163" s="117">
        <v>6</v>
      </c>
      <c r="B163" s="117"/>
      <c r="C163" s="60" t="s">
        <v>87</v>
      </c>
      <c r="D163" s="60" t="s">
        <v>344</v>
      </c>
      <c r="E163" s="85">
        <f>(5.4*3.2+3*2.15+3*3.7+3.25*3.7+1.3*(2+2.2)+0.9*(3.75+1.45))*(10.764)</f>
        <v>613.49417999999991</v>
      </c>
      <c r="F163" s="85">
        <v>0</v>
      </c>
      <c r="G163" s="85">
        <v>0</v>
      </c>
      <c r="H163" s="85">
        <f t="shared" si="35"/>
        <v>613.49417999999991</v>
      </c>
      <c r="I163" s="1"/>
      <c r="J163" s="1"/>
      <c r="K163" s="1"/>
      <c r="L163" s="1"/>
      <c r="M163" s="1"/>
      <c r="N163" s="1"/>
      <c r="O163" s="1"/>
      <c r="P163" s="1"/>
      <c r="Q163" s="1"/>
      <c r="R163" s="1"/>
      <c r="S163" s="1"/>
      <c r="T163" s="22" t="e">
        <f t="shared" ca="1" si="34"/>
        <v>#REF!</v>
      </c>
      <c r="U163" s="22" t="e">
        <f t="shared" ref="U163:V163" ca="1" si="39">U162+1</f>
        <v>#REF!</v>
      </c>
      <c r="V163" s="22">
        <f t="shared" ca="1" si="39"/>
        <v>706</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2" customFormat="1" ht="20.25" customHeight="1" x14ac:dyDescent="0.25">
      <c r="A164" s="117">
        <v>7</v>
      </c>
      <c r="B164" s="117"/>
      <c r="C164" s="60" t="s">
        <v>87</v>
      </c>
      <c r="D164" s="60" t="s">
        <v>344</v>
      </c>
      <c r="E164" s="85">
        <f>(5.4*3.2+3*2.15+3.55*2.9+4.6*3.1+2*(1.2*2.2)+0.9*(3.35+2))*(10.764)</f>
        <v>628.40231999999992</v>
      </c>
      <c r="F164" s="85">
        <v>0</v>
      </c>
      <c r="G164" s="85">
        <v>0</v>
      </c>
      <c r="H164" s="85">
        <f t="shared" si="35"/>
        <v>628.40231999999992</v>
      </c>
      <c r="I164" s="1"/>
      <c r="J164" s="1"/>
      <c r="K164" s="1"/>
      <c r="L164" s="1"/>
      <c r="M164" s="1"/>
      <c r="N164" s="1"/>
      <c r="O164" s="1"/>
      <c r="P164" s="1"/>
      <c r="Q164" s="1"/>
      <c r="R164" s="1"/>
      <c r="S164" s="1"/>
      <c r="T164" s="22" t="e">
        <f t="shared" ca="1" si="34"/>
        <v>#REF!</v>
      </c>
      <c r="U164" s="22" t="e">
        <f t="shared" ref="U164:V164" ca="1" si="40">U163+1</f>
        <v>#REF!</v>
      </c>
      <c r="V164" s="22">
        <f t="shared" ca="1" si="40"/>
        <v>707</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2" customFormat="1" ht="20.25" x14ac:dyDescent="0.25">
      <c r="A165" s="140" t="s">
        <v>359</v>
      </c>
      <c r="B165" s="141"/>
      <c r="C165" s="141"/>
      <c r="D165" s="141"/>
      <c r="E165" s="142"/>
      <c r="F165" s="141"/>
      <c r="G165" s="141"/>
      <c r="H165" s="143"/>
      <c r="I165" s="1">
        <f>1</f>
        <v>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2" customFormat="1" ht="40.5" customHeight="1" x14ac:dyDescent="0.25">
      <c r="A166" s="117">
        <v>1</v>
      </c>
      <c r="B166" s="117"/>
      <c r="C166" s="60" t="s">
        <v>337</v>
      </c>
      <c r="D166" s="60" t="s">
        <v>340</v>
      </c>
      <c r="E166" s="85">
        <f>(3.2*3.986+3.05*3.986+1.33*2.3)*(10.764)</f>
        <v>301.08522600000003</v>
      </c>
      <c r="F166" s="85">
        <v>0</v>
      </c>
      <c r="G166" s="85">
        <v>0</v>
      </c>
      <c r="H166" s="85">
        <f>E166+F166+(IF(G166&lt;101,G166,IF(G166&lt;201,G166/2,IF(G166&lt;=301,G166/3,G166/4))))</f>
        <v>301.08522600000003</v>
      </c>
      <c r="I166" s="1"/>
      <c r="J166" s="1"/>
      <c r="K166" s="1"/>
      <c r="L166" s="1"/>
      <c r="M166" s="1"/>
      <c r="N166" s="1"/>
      <c r="O166" s="1"/>
      <c r="P166" s="1"/>
      <c r="Q166" s="1"/>
      <c r="R166" s="1"/>
      <c r="S166" s="1"/>
      <c r="T166" s="22" t="e">
        <f t="shared" ref="T166:T172" ca="1" si="41">U166&amp;""&amp;",..,"&amp;""&amp;V166</f>
        <v>#REF!</v>
      </c>
      <c r="U166" s="22" t="e">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#REF!</v>
      </c>
      <c r="V166" s="22">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701</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2" customFormat="1" ht="40.5" customHeight="1" x14ac:dyDescent="0.25">
      <c r="A167" s="117">
        <v>2</v>
      </c>
      <c r="B167" s="117"/>
      <c r="C167" s="60" t="s">
        <v>337</v>
      </c>
      <c r="D167" s="105" t="s">
        <v>357</v>
      </c>
      <c r="E167" s="106"/>
      <c r="F167" s="106"/>
      <c r="G167" s="106"/>
      <c r="H167" s="107"/>
      <c r="I167" s="1"/>
      <c r="J167" s="1"/>
      <c r="K167" s="1"/>
      <c r="L167" s="1"/>
      <c r="M167" s="1"/>
      <c r="N167" s="1"/>
      <c r="O167" s="1"/>
      <c r="P167" s="1"/>
      <c r="Q167" s="1"/>
      <c r="R167" s="1"/>
      <c r="S167" s="1"/>
      <c r="T167" s="22" t="e">
        <f t="shared" ca="1" si="41"/>
        <v>#REF!</v>
      </c>
      <c r="U167" s="22" t="e">
        <f ca="1">U166+1</f>
        <v>#REF!</v>
      </c>
      <c r="V167" s="22">
        <f ca="1">V166+1</f>
        <v>702</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2" customFormat="1" ht="40.5" customHeight="1" x14ac:dyDescent="0.25">
      <c r="A168" s="117">
        <v>3</v>
      </c>
      <c r="B168" s="117"/>
      <c r="C168" s="60" t="s">
        <v>337</v>
      </c>
      <c r="D168" s="105" t="s">
        <v>360</v>
      </c>
      <c r="E168" s="106"/>
      <c r="F168" s="106"/>
      <c r="G168" s="106"/>
      <c r="H168" s="107"/>
      <c r="I168" s="1"/>
      <c r="J168" s="1"/>
      <c r="K168" s="1"/>
      <c r="L168" s="1"/>
      <c r="M168" s="1"/>
      <c r="N168" s="1"/>
      <c r="O168" s="1"/>
      <c r="P168" s="1"/>
      <c r="Q168" s="1"/>
      <c r="R168" s="1"/>
      <c r="S168" s="1"/>
      <c r="T168" s="22" t="e">
        <f t="shared" ca="1" si="41"/>
        <v>#REF!</v>
      </c>
      <c r="U168" s="22" t="e">
        <f t="shared" ref="U168:V168" ca="1" si="42">U167+1</f>
        <v>#REF!</v>
      </c>
      <c r="V168" s="22">
        <f t="shared" ca="1" si="42"/>
        <v>703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2" customFormat="1" ht="40.5" customHeight="1" x14ac:dyDescent="0.25">
      <c r="A169" s="117">
        <v>4</v>
      </c>
      <c r="B169" s="117"/>
      <c r="C169" s="60" t="s">
        <v>337</v>
      </c>
      <c r="D169" s="105" t="s">
        <v>361</v>
      </c>
      <c r="E169" s="106"/>
      <c r="F169" s="106"/>
      <c r="G169" s="106"/>
      <c r="H169" s="107"/>
      <c r="I169" s="1"/>
      <c r="J169" s="1"/>
      <c r="K169" s="1"/>
      <c r="L169" s="1"/>
      <c r="M169" s="1"/>
      <c r="N169" s="1"/>
      <c r="O169" s="1"/>
      <c r="P169" s="1"/>
      <c r="Q169" s="1"/>
      <c r="R169" s="1"/>
      <c r="S169" s="1"/>
      <c r="T169" s="22" t="e">
        <f t="shared" ca="1" si="41"/>
        <v>#REF!</v>
      </c>
      <c r="U169" s="22" t="e">
        <f t="shared" ref="U169:V169" ca="1" si="43">U168+1</f>
        <v>#REF!</v>
      </c>
      <c r="V169" s="22">
        <f t="shared" ca="1" si="43"/>
        <v>704</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2" customFormat="1" ht="40.5" customHeight="1" x14ac:dyDescent="0.25">
      <c r="A170" s="117">
        <v>5</v>
      </c>
      <c r="B170" s="117"/>
      <c r="C170" s="60" t="s">
        <v>337</v>
      </c>
      <c r="D170" s="105" t="s">
        <v>358</v>
      </c>
      <c r="E170" s="106"/>
      <c r="F170" s="106"/>
      <c r="G170" s="106"/>
      <c r="H170" s="107"/>
      <c r="I170" s="1"/>
      <c r="J170" s="1"/>
      <c r="K170" s="1"/>
      <c r="L170" s="1"/>
      <c r="M170" s="1"/>
      <c r="N170" s="1"/>
      <c r="O170" s="1"/>
      <c r="P170" s="1"/>
      <c r="Q170" s="1"/>
      <c r="R170" s="1"/>
      <c r="S170" s="1"/>
      <c r="T170" s="22" t="e">
        <f t="shared" ca="1" si="41"/>
        <v>#REF!</v>
      </c>
      <c r="U170" s="22" t="e">
        <f t="shared" ref="U170:V170" ca="1" si="44">U169+1</f>
        <v>#REF!</v>
      </c>
      <c r="V170" s="22">
        <f t="shared" ca="1" si="44"/>
        <v>705</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2" customFormat="1" ht="20.25" x14ac:dyDescent="0.25">
      <c r="A171" s="117" t="s">
        <v>353</v>
      </c>
      <c r="B171" s="117"/>
      <c r="C171" s="145" t="s">
        <v>347</v>
      </c>
      <c r="D171" s="146"/>
      <c r="E171" s="147"/>
      <c r="F171" s="146"/>
      <c r="G171" s="146"/>
      <c r="H171" s="148"/>
      <c r="I171" s="1"/>
      <c r="J171" s="1"/>
      <c r="K171" s="1"/>
      <c r="L171" s="1"/>
      <c r="M171" s="1"/>
      <c r="N171" s="1"/>
      <c r="O171" s="1"/>
      <c r="P171" s="1"/>
      <c r="Q171" s="1"/>
      <c r="R171" s="1"/>
      <c r="S171" s="1"/>
      <c r="T171" s="22" t="e">
        <f t="shared" ca="1" si="41"/>
        <v>#REF!</v>
      </c>
      <c r="U171" s="22" t="e">
        <f t="shared" ref="U171:V171" ca="1" si="45">U170+1</f>
        <v>#REF!</v>
      </c>
      <c r="V171" s="22">
        <f t="shared" ca="1" si="45"/>
        <v>706</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2" customFormat="1" ht="20.25" customHeight="1" x14ac:dyDescent="0.25">
      <c r="A172" s="117" t="s">
        <v>332</v>
      </c>
      <c r="B172" s="117"/>
      <c r="C172" s="149"/>
      <c r="D172" s="150"/>
      <c r="E172" s="150"/>
      <c r="F172" s="150"/>
      <c r="G172" s="150"/>
      <c r="H172" s="151"/>
      <c r="I172" s="1"/>
      <c r="J172" s="1"/>
      <c r="K172" s="1"/>
      <c r="L172" s="1"/>
      <c r="M172" s="1"/>
      <c r="N172" s="1"/>
      <c r="O172" s="1"/>
      <c r="P172" s="1"/>
      <c r="Q172" s="1"/>
      <c r="R172" s="1"/>
      <c r="S172" s="1"/>
      <c r="T172" s="22" t="e">
        <f t="shared" ca="1" si="41"/>
        <v>#REF!</v>
      </c>
      <c r="U172" s="22" t="e">
        <f t="shared" ref="U172:V172" ca="1" si="46">U171+1</f>
        <v>#REF!</v>
      </c>
      <c r="V172" s="22">
        <f t="shared" ca="1" si="46"/>
        <v>707</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2" customFormat="1" ht="20.25" x14ac:dyDescent="0.25">
      <c r="A173" s="140" t="s">
        <v>385</v>
      </c>
      <c r="B173" s="141"/>
      <c r="C173" s="141"/>
      <c r="D173" s="141"/>
      <c r="E173" s="144"/>
      <c r="F173" s="141"/>
      <c r="G173" s="141"/>
      <c r="H173" s="143"/>
      <c r="I173" s="1">
        <f>1</f>
        <v>1</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2" customFormat="1" ht="40.5" customHeight="1" x14ac:dyDescent="0.25">
      <c r="A174" s="117">
        <v>1</v>
      </c>
      <c r="B174" s="117"/>
      <c r="C174" s="60" t="s">
        <v>337</v>
      </c>
      <c r="D174" s="60" t="s">
        <v>340</v>
      </c>
      <c r="E174" s="85">
        <f>(3.2*3.986+3.05*3.986+1.33*2.3)*(10.764)</f>
        <v>301.08522600000003</v>
      </c>
      <c r="F174" s="85">
        <v>0</v>
      </c>
      <c r="G174" s="85">
        <v>0</v>
      </c>
      <c r="H174" s="85">
        <f>E174+F174+(IF(G174&lt;101,G174,IF(G174&lt;201,G174/2,IF(G174&lt;=301,G174/3,G174/4))))</f>
        <v>301.08522600000003</v>
      </c>
      <c r="I174" s="1"/>
      <c r="J174" s="1"/>
      <c r="K174" s="1"/>
      <c r="L174" s="1"/>
      <c r="M174" s="1"/>
      <c r="N174" s="1"/>
      <c r="O174" s="1"/>
      <c r="P174" s="1"/>
      <c r="Q174" s="1"/>
      <c r="R174" s="1"/>
      <c r="S174" s="1"/>
      <c r="T174" s="22" t="e">
        <f t="shared" ref="T174:T180" ca="1" si="47">U174&amp;""&amp;",..,"&amp;""&amp;V174</f>
        <v>#REF!</v>
      </c>
      <c r="U174" s="22" t="e">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#REF!</v>
      </c>
      <c r="V174" s="22" t="e">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#NUM!</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2" customFormat="1" ht="40.5" customHeight="1" x14ac:dyDescent="0.25">
      <c r="A175" s="117">
        <v>2</v>
      </c>
      <c r="B175" s="117"/>
      <c r="C175" s="60" t="s">
        <v>337</v>
      </c>
      <c r="D175" s="60" t="s">
        <v>340</v>
      </c>
      <c r="E175" s="85">
        <f>(4.1*3.3+3.7*2.25+3*1.214+2.3*1.3)*(10.764)</f>
        <v>306.6340679999999</v>
      </c>
      <c r="F175" s="85">
        <v>0</v>
      </c>
      <c r="G175" s="85">
        <v>0</v>
      </c>
      <c r="H175" s="85">
        <f t="shared" ref="H175:H178" si="48">E175+F175+(IF(G175&lt;101,G175,IF(G175&lt;201,G175/2,IF(G175&lt;=301,G175/3,G175/4))))</f>
        <v>306.6340679999999</v>
      </c>
      <c r="I175" s="1"/>
      <c r="J175" s="1"/>
      <c r="K175" s="1"/>
      <c r="L175" s="1"/>
      <c r="M175" s="1"/>
      <c r="N175" s="1"/>
      <c r="O175" s="1"/>
      <c r="P175" s="1"/>
      <c r="Q175" s="1"/>
      <c r="R175" s="1"/>
      <c r="S175" s="1"/>
      <c r="T175" s="22" t="e">
        <f t="shared" ca="1" si="47"/>
        <v>#REF!</v>
      </c>
      <c r="U175" s="22" t="e">
        <f ca="1">U174+1</f>
        <v>#REF!</v>
      </c>
      <c r="V175" s="22" t="e">
        <f ca="1">V174+1</f>
        <v>#NUM!</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2" customFormat="1" ht="40.5" customHeight="1" x14ac:dyDescent="0.25">
      <c r="A176" s="117">
        <v>3</v>
      </c>
      <c r="B176" s="117"/>
      <c r="C176" s="60" t="s">
        <v>337</v>
      </c>
      <c r="D176" s="60" t="s">
        <v>340</v>
      </c>
      <c r="E176" s="85">
        <f>(4.85*3.75+2.4*1.45+3.4*0.324+2.3*1.3)*(10.764)</f>
        <v>277.2709524</v>
      </c>
      <c r="F176" s="85">
        <v>0</v>
      </c>
      <c r="G176" s="85">
        <v>0</v>
      </c>
      <c r="H176" s="85">
        <f t="shared" si="48"/>
        <v>277.2709524</v>
      </c>
      <c r="I176" s="1"/>
      <c r="J176" s="1"/>
      <c r="K176" s="1"/>
      <c r="L176" s="1"/>
      <c r="M176" s="1"/>
      <c r="N176" s="1"/>
      <c r="O176" s="1"/>
      <c r="P176" s="1"/>
      <c r="Q176" s="1"/>
      <c r="R176" s="1"/>
      <c r="S176" s="1"/>
      <c r="T176" s="22" t="e">
        <f t="shared" ca="1" si="47"/>
        <v>#REF!</v>
      </c>
      <c r="U176" s="22" t="e">
        <f t="shared" ref="U176:V176" ca="1" si="49">U175+1</f>
        <v>#REF!</v>
      </c>
      <c r="V176" s="22" t="e">
        <f t="shared" ca="1" si="49"/>
        <v>#NUM!</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2" customFormat="1" ht="40.5" customHeight="1" x14ac:dyDescent="0.25">
      <c r="A177" s="117">
        <v>4</v>
      </c>
      <c r="B177" s="117"/>
      <c r="C177" s="60" t="s">
        <v>337</v>
      </c>
      <c r="D177" s="60" t="s">
        <v>340</v>
      </c>
      <c r="E177" s="85">
        <f>(3.4*3.926+4.85*2.2+3.7*0.2+2.4*1.3)*(10.764)</f>
        <v>300.08309759999997</v>
      </c>
      <c r="F177" s="85">
        <v>0</v>
      </c>
      <c r="G177" s="85">
        <v>0</v>
      </c>
      <c r="H177" s="85">
        <f t="shared" si="48"/>
        <v>300.08309759999997</v>
      </c>
      <c r="I177" s="1"/>
      <c r="J177" s="1"/>
      <c r="K177" s="1"/>
      <c r="L177" s="1"/>
      <c r="M177" s="1"/>
      <c r="N177" s="1"/>
      <c r="O177" s="1"/>
      <c r="P177" s="1"/>
      <c r="Q177" s="1"/>
      <c r="R177" s="1"/>
      <c r="S177" s="1"/>
      <c r="T177" s="22" t="e">
        <f t="shared" ca="1" si="47"/>
        <v>#REF!</v>
      </c>
      <c r="U177" s="22" t="e">
        <f t="shared" ref="U177:V177" ca="1" si="50">U176+1</f>
        <v>#REF!</v>
      </c>
      <c r="V177" s="22" t="e">
        <f t="shared" ca="1" si="50"/>
        <v>#NUM!</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2" customFormat="1" ht="40.5" customHeight="1" x14ac:dyDescent="0.25">
      <c r="A178" s="117">
        <v>5</v>
      </c>
      <c r="B178" s="117"/>
      <c r="C178" s="60" t="s">
        <v>337</v>
      </c>
      <c r="D178" s="60" t="s">
        <v>340</v>
      </c>
      <c r="E178" s="85">
        <f>(3.3*3.95+3.05*3.95+1.3*2.3)*(10.764)</f>
        <v>302.17238999999995</v>
      </c>
      <c r="F178" s="85">
        <v>0</v>
      </c>
      <c r="G178" s="85">
        <v>0</v>
      </c>
      <c r="H178" s="85">
        <f t="shared" si="48"/>
        <v>302.17238999999995</v>
      </c>
      <c r="I178" s="1"/>
      <c r="J178" s="1"/>
      <c r="K178" s="1"/>
      <c r="L178" s="1"/>
      <c r="M178" s="1"/>
      <c r="N178" s="1"/>
      <c r="O178" s="1"/>
      <c r="P178" s="1"/>
      <c r="Q178" s="1"/>
      <c r="R178" s="1"/>
      <c r="S178" s="1"/>
      <c r="T178" s="22" t="e">
        <f t="shared" ca="1" si="47"/>
        <v>#REF!</v>
      </c>
      <c r="U178" s="22" t="e">
        <f t="shared" ref="U178:V178" ca="1" si="51">U177+1</f>
        <v>#REF!</v>
      </c>
      <c r="V178" s="22" t="e">
        <f t="shared" ca="1" si="51"/>
        <v>#NUM!</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2" customFormat="1" ht="20.25" x14ac:dyDescent="0.25">
      <c r="A179" s="117" t="s">
        <v>353</v>
      </c>
      <c r="B179" s="117"/>
      <c r="C179" s="145" t="s">
        <v>384</v>
      </c>
      <c r="D179" s="146"/>
      <c r="E179" s="147"/>
      <c r="F179" s="146"/>
      <c r="G179" s="146"/>
      <c r="H179" s="148"/>
      <c r="I179" s="1"/>
      <c r="J179" s="1"/>
      <c r="K179" s="1"/>
      <c r="L179" s="1"/>
      <c r="M179" s="1"/>
      <c r="N179" s="1"/>
      <c r="O179" s="1"/>
      <c r="P179" s="1"/>
      <c r="Q179" s="1"/>
      <c r="R179" s="1"/>
      <c r="S179" s="1"/>
      <c r="T179" s="22" t="e">
        <f t="shared" ca="1" si="47"/>
        <v>#REF!</v>
      </c>
      <c r="U179" s="22" t="e">
        <f t="shared" ref="U179:V179" ca="1" si="52">U178+1</f>
        <v>#REF!</v>
      </c>
      <c r="V179" s="22" t="e">
        <f t="shared" ca="1" si="52"/>
        <v>#NUM!</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2" customFormat="1" ht="20.25" customHeight="1" x14ac:dyDescent="0.25">
      <c r="A180" s="117" t="s">
        <v>332</v>
      </c>
      <c r="B180" s="117"/>
      <c r="C180" s="149"/>
      <c r="D180" s="150"/>
      <c r="E180" s="150"/>
      <c r="F180" s="150"/>
      <c r="G180" s="150"/>
      <c r="H180" s="151"/>
      <c r="I180" s="1"/>
      <c r="J180" s="1"/>
      <c r="K180" s="1"/>
      <c r="L180" s="1"/>
      <c r="M180" s="1"/>
      <c r="N180" s="1"/>
      <c r="O180" s="1"/>
      <c r="P180" s="1"/>
      <c r="Q180" s="1"/>
      <c r="R180" s="1"/>
      <c r="S180" s="1"/>
      <c r="T180" s="22" t="e">
        <f t="shared" ca="1" si="47"/>
        <v>#REF!</v>
      </c>
      <c r="U180" s="22" t="e">
        <f t="shared" ref="U180:V180" ca="1" si="53">U179+1</f>
        <v>#REF!</v>
      </c>
      <c r="V180" s="22" t="e">
        <f t="shared" ca="1" si="53"/>
        <v>#NUM!</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2" customFormat="1" ht="20.25" x14ac:dyDescent="0.25">
      <c r="A181" s="140" t="s">
        <v>355</v>
      </c>
      <c r="B181" s="141"/>
      <c r="C181" s="141"/>
      <c r="D181" s="141"/>
      <c r="E181" s="144"/>
      <c r="F181" s="141"/>
      <c r="G181" s="141"/>
      <c r="H181" s="143"/>
      <c r="I181" s="1">
        <f>1</f>
        <v>1</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2" customFormat="1" ht="40.5" customHeight="1" x14ac:dyDescent="0.25">
      <c r="A182" s="117">
        <v>1</v>
      </c>
      <c r="B182" s="117"/>
      <c r="C182" s="60" t="s">
        <v>337</v>
      </c>
      <c r="D182" s="60" t="s">
        <v>340</v>
      </c>
      <c r="E182" s="85">
        <f>(3.2*3.986+3.05*3.986+1.33*2.3)*(10.764)</f>
        <v>301.08522600000003</v>
      </c>
      <c r="F182" s="85">
        <v>0</v>
      </c>
      <c r="G182" s="85">
        <v>0</v>
      </c>
      <c r="H182" s="85">
        <f>E182+F182+(IF(G182&lt;101,G182,IF(G182&lt;201,G182/2,IF(G182&lt;=301,G182/3,G182/4))))</f>
        <v>301.08522600000003</v>
      </c>
      <c r="I182" s="1"/>
      <c r="J182" s="1"/>
      <c r="K182" s="1"/>
      <c r="L182" s="1"/>
      <c r="M182" s="1"/>
      <c r="N182" s="1"/>
      <c r="O182" s="1"/>
      <c r="P182" s="1"/>
      <c r="Q182" s="1"/>
      <c r="R182" s="1"/>
      <c r="S182" s="1"/>
      <c r="T182" s="22" t="e">
        <f t="shared" ref="T182:T186" ca="1" si="54">U182&amp;""&amp;",..,"&amp;""&amp;V182</f>
        <v>#REF!</v>
      </c>
      <c r="U182" s="22" t="e">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#REF!</v>
      </c>
      <c r="V182" s="22" t="e">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#NUM!</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2" customFormat="1" ht="40.5" customHeight="1" x14ac:dyDescent="0.25">
      <c r="A183" s="117">
        <v>2</v>
      </c>
      <c r="B183" s="117"/>
      <c r="C183" s="60" t="s">
        <v>337</v>
      </c>
      <c r="D183" s="60" t="s">
        <v>340</v>
      </c>
      <c r="E183" s="85">
        <f>(4.1*3.3+3.7*2.25+3*1.214+2.3*1.3)*(10.764)</f>
        <v>306.6340679999999</v>
      </c>
      <c r="F183" s="85">
        <v>0</v>
      </c>
      <c r="G183" s="85">
        <v>0</v>
      </c>
      <c r="H183" s="85">
        <f t="shared" ref="H183:H186" si="55">E183+F183+(IF(G183&lt;101,G183,IF(G183&lt;201,G183/2,IF(G183&lt;=301,G183/3,G183/4))))</f>
        <v>306.6340679999999</v>
      </c>
      <c r="I183" s="1"/>
      <c r="J183" s="1"/>
      <c r="K183" s="1"/>
      <c r="L183" s="1"/>
      <c r="M183" s="1"/>
      <c r="N183" s="1"/>
      <c r="O183" s="1"/>
      <c r="P183" s="1"/>
      <c r="Q183" s="1"/>
      <c r="R183" s="1"/>
      <c r="S183" s="1"/>
      <c r="T183" s="22" t="e">
        <f t="shared" ca="1" si="54"/>
        <v>#REF!</v>
      </c>
      <c r="U183" s="22" t="e">
        <f ca="1">U182+1</f>
        <v>#REF!</v>
      </c>
      <c r="V183" s="22" t="e">
        <f ca="1">V182+1</f>
        <v>#NUM!</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2" customFormat="1" ht="40.5" customHeight="1" x14ac:dyDescent="0.25">
      <c r="A184" s="117">
        <v>3</v>
      </c>
      <c r="B184" s="117"/>
      <c r="C184" s="60" t="s">
        <v>337</v>
      </c>
      <c r="D184" s="60" t="s">
        <v>340</v>
      </c>
      <c r="E184" s="85">
        <f>(4.85*3.75+2.4*1.45+3.4*0.324+2.3*1.3)*(10.764)</f>
        <v>277.2709524</v>
      </c>
      <c r="F184" s="85">
        <v>0</v>
      </c>
      <c r="G184" s="85">
        <v>0</v>
      </c>
      <c r="H184" s="85">
        <f t="shared" si="55"/>
        <v>277.2709524</v>
      </c>
      <c r="I184" s="1"/>
      <c r="J184" s="1"/>
      <c r="K184" s="1"/>
      <c r="L184" s="1"/>
      <c r="M184" s="1"/>
      <c r="N184" s="1"/>
      <c r="O184" s="1"/>
      <c r="P184" s="1"/>
      <c r="Q184" s="1"/>
      <c r="R184" s="1"/>
      <c r="S184" s="1"/>
      <c r="T184" s="22" t="e">
        <f t="shared" ca="1" si="54"/>
        <v>#REF!</v>
      </c>
      <c r="U184" s="22" t="e">
        <f t="shared" ref="U184:V184" ca="1" si="56">U183+1</f>
        <v>#REF!</v>
      </c>
      <c r="V184" s="22" t="e">
        <f t="shared" ca="1" si="56"/>
        <v>#NUM!</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2" customFormat="1" ht="40.5" customHeight="1" x14ac:dyDescent="0.25">
      <c r="A185" s="117">
        <v>4</v>
      </c>
      <c r="B185" s="117"/>
      <c r="C185" s="60" t="s">
        <v>337</v>
      </c>
      <c r="D185" s="60" t="s">
        <v>340</v>
      </c>
      <c r="E185" s="85">
        <f>(3.4*3.926+4.85*2.2+3.7*0.2+2.4*1.3)*(10.764)</f>
        <v>300.08309759999997</v>
      </c>
      <c r="F185" s="85">
        <v>0</v>
      </c>
      <c r="G185" s="85">
        <v>0</v>
      </c>
      <c r="H185" s="85">
        <f t="shared" si="55"/>
        <v>300.08309759999997</v>
      </c>
      <c r="I185" s="1"/>
      <c r="J185" s="1"/>
      <c r="K185" s="1"/>
      <c r="L185" s="1"/>
      <c r="M185" s="1"/>
      <c r="N185" s="1"/>
      <c r="O185" s="1"/>
      <c r="P185" s="1"/>
      <c r="Q185" s="1"/>
      <c r="R185" s="1"/>
      <c r="S185" s="1"/>
      <c r="T185" s="22" t="e">
        <f t="shared" ca="1" si="54"/>
        <v>#REF!</v>
      </c>
      <c r="U185" s="22" t="e">
        <f t="shared" ref="U185:V185" ca="1" si="57">U184+1</f>
        <v>#REF!</v>
      </c>
      <c r="V185" s="22" t="e">
        <f t="shared" ca="1" si="57"/>
        <v>#NUM!</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2" customFormat="1" ht="40.5" customHeight="1" x14ac:dyDescent="0.25">
      <c r="A186" s="117">
        <v>5</v>
      </c>
      <c r="B186" s="117"/>
      <c r="C186" s="60" t="s">
        <v>337</v>
      </c>
      <c r="D186" s="60" t="s">
        <v>340</v>
      </c>
      <c r="E186" s="85">
        <f>(3.3*3.95+3.05*3.95+1.3*2.3)*(10.764)</f>
        <v>302.17238999999995</v>
      </c>
      <c r="F186" s="85">
        <v>0</v>
      </c>
      <c r="G186" s="85">
        <v>0</v>
      </c>
      <c r="H186" s="85">
        <f t="shared" si="55"/>
        <v>302.17238999999995</v>
      </c>
      <c r="I186" s="1"/>
      <c r="J186" s="1"/>
      <c r="K186" s="1"/>
      <c r="L186" s="1"/>
      <c r="M186" s="1"/>
      <c r="N186" s="1"/>
      <c r="O186" s="1"/>
      <c r="P186" s="1"/>
      <c r="Q186" s="1"/>
      <c r="R186" s="1"/>
      <c r="S186" s="1"/>
      <c r="T186" s="22" t="e">
        <f t="shared" ca="1" si="54"/>
        <v>#REF!</v>
      </c>
      <c r="U186" s="22" t="e">
        <f t="shared" ref="U186:V186" ca="1" si="58">U185+1</f>
        <v>#REF!</v>
      </c>
      <c r="V186" s="22" t="e">
        <f t="shared" ca="1" si="58"/>
        <v>#NUM!</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2" customFormat="1" ht="20.25" x14ac:dyDescent="0.25">
      <c r="A187" s="140" t="s">
        <v>363</v>
      </c>
      <c r="B187" s="141"/>
      <c r="C187" s="141"/>
      <c r="D187" s="141"/>
      <c r="E187" s="142"/>
      <c r="F187" s="141"/>
      <c r="G187" s="141"/>
      <c r="H187" s="143"/>
      <c r="I187" s="1">
        <f>1</f>
        <v>1</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2" customFormat="1" ht="40.5" customHeight="1" x14ac:dyDescent="0.25">
      <c r="A188" s="117">
        <v>1</v>
      </c>
      <c r="B188" s="117"/>
      <c r="C188" s="60" t="s">
        <v>337</v>
      </c>
      <c r="D188" s="60" t="s">
        <v>340</v>
      </c>
      <c r="E188" s="85">
        <f>(3.2*3.986+3.05*3.986+1.33*2.3)*(10.764)</f>
        <v>301.08522600000003</v>
      </c>
      <c r="F188" s="85">
        <v>0</v>
      </c>
      <c r="G188" s="85">
        <v>0</v>
      </c>
      <c r="H188" s="85">
        <f>E188+F188+(IF(G188&lt;101,G188,IF(G188&lt;201,G188/2,IF(G188&lt;=301,G188/3,G188/4))))</f>
        <v>301.08522600000003</v>
      </c>
      <c r="I188" s="1"/>
      <c r="J188" s="1"/>
      <c r="K188" s="1"/>
      <c r="L188" s="1"/>
      <c r="M188" s="1"/>
      <c r="N188" s="1"/>
      <c r="O188" s="1"/>
      <c r="P188" s="1"/>
      <c r="Q188" s="1"/>
      <c r="R188" s="1"/>
      <c r="S188" s="1"/>
      <c r="T188" s="22" t="e">
        <f t="shared" ref="T188:T192" ca="1" si="59">U188&amp;""&amp;",..,"&amp;""&amp;V188</f>
        <v>#REF!</v>
      </c>
      <c r="U188" s="22" t="e">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#REF!</v>
      </c>
      <c r="V188" s="22">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501</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2" customFormat="1" ht="40.5" customHeight="1" x14ac:dyDescent="0.25">
      <c r="A189" s="117">
        <v>2</v>
      </c>
      <c r="B189" s="117"/>
      <c r="C189" s="60" t="s">
        <v>337</v>
      </c>
      <c r="D189" s="60" t="s">
        <v>340</v>
      </c>
      <c r="E189" s="85">
        <f>(4.1*3.3+3.7*2.25+3*1.214+2.3*1.3)*(10.764)</f>
        <v>306.6340679999999</v>
      </c>
      <c r="F189" s="85">
        <v>0</v>
      </c>
      <c r="G189" s="85">
        <v>0</v>
      </c>
      <c r="H189" s="85">
        <f t="shared" ref="H189:H190" si="60">E189+F189+(IF(G189&lt;101,G189,IF(G189&lt;201,G189/2,IF(G189&lt;=301,G189/3,G189/4))))</f>
        <v>306.6340679999999</v>
      </c>
      <c r="I189" s="1"/>
      <c r="J189" s="1"/>
      <c r="K189" s="1"/>
      <c r="L189" s="1"/>
      <c r="M189" s="1"/>
      <c r="N189" s="1"/>
      <c r="O189" s="1"/>
      <c r="P189" s="1"/>
      <c r="Q189" s="1"/>
      <c r="R189" s="1"/>
      <c r="S189" s="1"/>
      <c r="T189" s="22" t="e">
        <f t="shared" ca="1" si="59"/>
        <v>#REF!</v>
      </c>
      <c r="U189" s="22" t="e">
        <f ca="1">U188+1</f>
        <v>#REF!</v>
      </c>
      <c r="V189" s="22">
        <f ca="1">V188+1</f>
        <v>502</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2" customFormat="1" ht="40.5" customHeight="1" x14ac:dyDescent="0.25">
      <c r="A190" s="117">
        <v>3</v>
      </c>
      <c r="B190" s="117"/>
      <c r="C190" s="60" t="s">
        <v>337</v>
      </c>
      <c r="D190" s="60" t="s">
        <v>340</v>
      </c>
      <c r="E190" s="85">
        <f>(4.85*3.75+2.4*1.45+3.4*0.324+2.3*1.3)*(10.764)</f>
        <v>277.2709524</v>
      </c>
      <c r="F190" s="85">
        <v>0</v>
      </c>
      <c r="G190" s="85">
        <v>0</v>
      </c>
      <c r="H190" s="85">
        <f t="shared" si="60"/>
        <v>277.2709524</v>
      </c>
      <c r="I190" s="1"/>
      <c r="J190" s="1"/>
      <c r="K190" s="1"/>
      <c r="L190" s="1"/>
      <c r="M190" s="1"/>
      <c r="N190" s="1"/>
      <c r="O190" s="1"/>
      <c r="P190" s="1"/>
      <c r="Q190" s="1"/>
      <c r="R190" s="1"/>
      <c r="S190" s="1"/>
      <c r="T190" s="22" t="e">
        <f t="shared" ca="1" si="59"/>
        <v>#REF!</v>
      </c>
      <c r="U190" s="22" t="e">
        <f t="shared" ref="U190:V190" ca="1" si="61">U189+1</f>
        <v>#REF!</v>
      </c>
      <c r="V190" s="22">
        <f t="shared" ca="1" si="61"/>
        <v>503</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2" customFormat="1" ht="20.25" x14ac:dyDescent="0.25">
      <c r="A191" s="117">
        <v>4</v>
      </c>
      <c r="B191" s="117"/>
      <c r="C191" s="60" t="s">
        <v>337</v>
      </c>
      <c r="D191" s="105" t="s">
        <v>362</v>
      </c>
      <c r="E191" s="106"/>
      <c r="F191" s="106"/>
      <c r="G191" s="106"/>
      <c r="H191" s="107"/>
      <c r="I191" s="1"/>
      <c r="J191" s="1"/>
      <c r="K191" s="1"/>
      <c r="L191" s="1"/>
      <c r="M191" s="1"/>
      <c r="N191" s="1"/>
      <c r="O191" s="1"/>
      <c r="P191" s="1"/>
      <c r="Q191" s="1"/>
      <c r="R191" s="1"/>
      <c r="S191" s="1"/>
      <c r="T191" s="22" t="e">
        <f t="shared" ca="1" si="59"/>
        <v>#REF!</v>
      </c>
      <c r="U191" s="22" t="e">
        <f t="shared" ref="U191:V191" ca="1" si="62">U190+1</f>
        <v>#REF!</v>
      </c>
      <c r="V191" s="22">
        <f t="shared" ca="1" si="62"/>
        <v>504</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2" customFormat="1" ht="20.25" x14ac:dyDescent="0.25">
      <c r="A192" s="117" t="s">
        <v>353</v>
      </c>
      <c r="B192" s="117"/>
      <c r="C192" s="105" t="s">
        <v>354</v>
      </c>
      <c r="D192" s="106"/>
      <c r="E192" s="150"/>
      <c r="F192" s="106"/>
      <c r="G192" s="106"/>
      <c r="H192" s="107"/>
      <c r="I192" s="1"/>
      <c r="J192" s="1"/>
      <c r="K192" s="1"/>
      <c r="L192" s="1"/>
      <c r="M192" s="1"/>
      <c r="N192" s="1"/>
      <c r="O192" s="1"/>
      <c r="P192" s="1"/>
      <c r="Q192" s="1"/>
      <c r="R192" s="1"/>
      <c r="S192" s="1"/>
      <c r="T192" s="22" t="e">
        <f t="shared" ca="1" si="59"/>
        <v>#REF!</v>
      </c>
      <c r="U192" s="22" t="e">
        <f t="shared" ref="U192:V192" ca="1" si="63">U191+1</f>
        <v>#REF!</v>
      </c>
      <c r="V192" s="22">
        <f t="shared" ca="1" si="63"/>
        <v>505</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8" ht="20.25" x14ac:dyDescent="0.25">
      <c r="A193" s="139" t="s">
        <v>68</v>
      </c>
      <c r="B193" s="139"/>
      <c r="C193" s="139"/>
      <c r="D193" s="139"/>
      <c r="E193" s="139"/>
      <c r="F193" s="139"/>
      <c r="G193" s="139"/>
      <c r="H193" s="139"/>
    </row>
    <row r="194" spans="1:8" ht="20.25" x14ac:dyDescent="0.25">
      <c r="A194" s="43" t="s">
        <v>232</v>
      </c>
      <c r="B194" s="102" t="s">
        <v>367</v>
      </c>
      <c r="C194" s="103"/>
      <c r="D194" s="103"/>
      <c r="E194" s="103"/>
      <c r="F194" s="103"/>
      <c r="G194" s="103"/>
      <c r="H194" s="104"/>
    </row>
    <row r="195" spans="1:8" ht="20.25" x14ac:dyDescent="0.25">
      <c r="A195" s="43" t="s">
        <v>232</v>
      </c>
      <c r="B195" s="102" t="s">
        <v>233</v>
      </c>
      <c r="C195" s="103"/>
      <c r="D195" s="103"/>
      <c r="E195" s="103"/>
      <c r="F195" s="103"/>
      <c r="G195" s="103"/>
      <c r="H195" s="104"/>
    </row>
    <row r="196" spans="1:8" ht="20.25" x14ac:dyDescent="0.25">
      <c r="A196" s="43" t="s">
        <v>232</v>
      </c>
      <c r="B196" s="102" t="s">
        <v>389</v>
      </c>
      <c r="C196" s="103"/>
      <c r="D196" s="103"/>
      <c r="E196" s="103"/>
      <c r="F196" s="103"/>
      <c r="G196" s="103"/>
      <c r="H196" s="104"/>
    </row>
    <row r="197" spans="1:8" ht="20.25" x14ac:dyDescent="0.25">
      <c r="A197" s="43" t="s">
        <v>232</v>
      </c>
      <c r="B197" s="102" t="s">
        <v>234</v>
      </c>
      <c r="C197" s="103"/>
      <c r="D197" s="103"/>
      <c r="E197" s="103"/>
      <c r="F197" s="103"/>
      <c r="G197" s="103"/>
      <c r="H197" s="104"/>
    </row>
    <row r="198" spans="1:8" ht="20.25" x14ac:dyDescent="0.25">
      <c r="A198" s="43" t="s">
        <v>232</v>
      </c>
      <c r="B198" s="102" t="s">
        <v>235</v>
      </c>
      <c r="C198" s="103"/>
      <c r="D198" s="103"/>
      <c r="E198" s="103"/>
      <c r="F198" s="103"/>
      <c r="G198" s="103"/>
      <c r="H198" s="104"/>
    </row>
    <row r="199" spans="1:8" ht="20.25" x14ac:dyDescent="0.25">
      <c r="A199" s="43" t="s">
        <v>232</v>
      </c>
      <c r="B199" s="102" t="s">
        <v>390</v>
      </c>
      <c r="C199" s="103"/>
      <c r="D199" s="103"/>
      <c r="E199" s="103"/>
      <c r="F199" s="103"/>
      <c r="G199" s="103"/>
      <c r="H199" s="104"/>
    </row>
    <row r="200" spans="1:8" ht="20.25" x14ac:dyDescent="0.25">
      <c r="A200" s="152" t="s">
        <v>74</v>
      </c>
      <c r="B200" s="152"/>
      <c r="C200" s="152"/>
      <c r="D200" s="152"/>
      <c r="E200" s="152"/>
      <c r="F200" s="152"/>
      <c r="G200" s="152"/>
      <c r="H200" s="152"/>
    </row>
    <row r="201" spans="1:8" ht="20.25" x14ac:dyDescent="0.25">
      <c r="A201" s="129" t="s">
        <v>69</v>
      </c>
      <c r="B201" s="129"/>
      <c r="C201" s="129"/>
      <c r="D201" s="102" t="str">
        <f>C3</f>
        <v>Platinum Oceanic</v>
      </c>
      <c r="E201" s="103"/>
      <c r="F201" s="103"/>
      <c r="G201" s="103"/>
      <c r="H201" s="104"/>
    </row>
    <row r="202" spans="1:8" ht="40.5" customHeight="1" x14ac:dyDescent="0.25">
      <c r="A202" s="129" t="s">
        <v>104</v>
      </c>
      <c r="B202" s="129"/>
      <c r="C202" s="129"/>
      <c r="D202" s="102" t="str">
        <f>C9</f>
        <v>Platinum Oceanic, Off Carter Rd, Pyari Nagar, Chuim Village, Danda, Khar West, Mumbai, Maharashtra 400052</v>
      </c>
      <c r="E202" s="103"/>
      <c r="F202" s="103"/>
      <c r="G202" s="103"/>
      <c r="H202" s="104"/>
    </row>
    <row r="203" spans="1:8" ht="20.25" customHeight="1" x14ac:dyDescent="0.25">
      <c r="A203" s="158" t="s">
        <v>110</v>
      </c>
      <c r="B203" s="158"/>
      <c r="C203" s="158"/>
      <c r="D203" s="102" t="str">
        <f>G3</f>
        <v>08/08/2025 at 02:19PM</v>
      </c>
      <c r="E203" s="103"/>
      <c r="F203" s="103"/>
      <c r="G203" s="103"/>
      <c r="H203" s="104"/>
    </row>
    <row r="204" spans="1:8" ht="20.25" x14ac:dyDescent="0.25">
      <c r="A204" s="9"/>
      <c r="B204" s="10"/>
      <c r="C204" s="10"/>
      <c r="D204" s="10"/>
      <c r="E204" s="10"/>
      <c r="F204" s="10"/>
      <c r="G204" s="10"/>
      <c r="H204" s="6"/>
    </row>
    <row r="205" spans="1:8" ht="20.25" x14ac:dyDescent="0.25">
      <c r="A205" s="11"/>
      <c r="B205" s="12"/>
      <c r="C205" s="12"/>
      <c r="D205" s="12"/>
      <c r="E205" s="12"/>
      <c r="F205" s="12"/>
      <c r="G205" s="12"/>
      <c r="H205" s="7"/>
    </row>
    <row r="206" spans="1:8" ht="20.25" x14ac:dyDescent="0.25">
      <c r="A206" s="11"/>
      <c r="B206" s="12"/>
      <c r="C206" s="12"/>
      <c r="D206" s="12"/>
      <c r="E206" s="12"/>
      <c r="F206" s="12"/>
      <c r="G206" s="12"/>
      <c r="H206" s="7"/>
    </row>
    <row r="207" spans="1:8" ht="20.25" x14ac:dyDescent="0.25">
      <c r="A207" s="11"/>
      <c r="B207" s="12"/>
      <c r="C207" s="12"/>
      <c r="D207" s="12"/>
      <c r="E207" s="12"/>
      <c r="F207" s="12"/>
      <c r="G207" s="12"/>
      <c r="H207" s="7"/>
    </row>
    <row r="208" spans="1:8" ht="20.25" x14ac:dyDescent="0.25">
      <c r="A208" s="11"/>
      <c r="B208" s="12"/>
      <c r="C208" s="12"/>
      <c r="D208" s="12"/>
      <c r="E208" s="12"/>
      <c r="F208" s="12"/>
      <c r="G208" s="12"/>
      <c r="H208" s="7"/>
    </row>
    <row r="209" spans="1:8" ht="20.25" x14ac:dyDescent="0.25">
      <c r="A209" s="11"/>
      <c r="B209" s="12"/>
      <c r="C209" s="12"/>
      <c r="D209" s="12"/>
      <c r="E209" s="12"/>
      <c r="F209" s="12"/>
      <c r="G209" s="12"/>
      <c r="H209" s="7"/>
    </row>
    <row r="210" spans="1:8" ht="20.25" x14ac:dyDescent="0.25">
      <c r="A210" s="11"/>
      <c r="B210" s="12"/>
      <c r="C210" s="12"/>
      <c r="D210" s="12"/>
      <c r="E210" s="12"/>
      <c r="F210" s="12"/>
      <c r="G210" s="12"/>
      <c r="H210" s="7"/>
    </row>
    <row r="211" spans="1:8" ht="20.25" x14ac:dyDescent="0.25">
      <c r="A211" s="11"/>
      <c r="B211" s="12"/>
      <c r="C211" s="12"/>
      <c r="D211" s="12"/>
      <c r="E211" s="12"/>
      <c r="F211" s="12"/>
      <c r="G211" s="12"/>
      <c r="H211" s="7"/>
    </row>
    <row r="212" spans="1:8" ht="20.25" x14ac:dyDescent="0.25">
      <c r="A212" s="11"/>
      <c r="B212" s="12"/>
      <c r="C212" s="12"/>
      <c r="D212" s="12"/>
      <c r="E212" s="12"/>
      <c r="F212" s="12"/>
      <c r="G212" s="12"/>
      <c r="H212" s="7"/>
    </row>
    <row r="213" spans="1:8" ht="20.25" x14ac:dyDescent="0.25">
      <c r="A213" s="11"/>
      <c r="B213" s="12"/>
      <c r="C213" s="12"/>
      <c r="D213" s="12"/>
      <c r="E213" s="12"/>
      <c r="F213" s="12"/>
      <c r="G213" s="12"/>
      <c r="H213" s="7"/>
    </row>
    <row r="214" spans="1:8" ht="20.25" x14ac:dyDescent="0.25">
      <c r="A214" s="11"/>
      <c r="B214" s="12"/>
      <c r="C214" s="12"/>
      <c r="D214" s="12"/>
      <c r="E214" s="12"/>
      <c r="F214" s="12"/>
      <c r="G214" s="12"/>
      <c r="H214" s="7"/>
    </row>
    <row r="215" spans="1:8" ht="20.25" x14ac:dyDescent="0.25">
      <c r="A215" s="11"/>
      <c r="B215" s="12"/>
      <c r="C215" s="12"/>
      <c r="D215" s="12"/>
      <c r="E215" s="12"/>
      <c r="F215" s="12"/>
      <c r="G215" s="12"/>
      <c r="H215" s="7"/>
    </row>
    <row r="216" spans="1:8" ht="20.25" x14ac:dyDescent="0.25">
      <c r="A216" s="11"/>
      <c r="B216" s="12"/>
      <c r="C216" s="12"/>
      <c r="D216" s="12"/>
      <c r="E216" s="12"/>
      <c r="F216" s="12"/>
      <c r="G216" s="12"/>
      <c r="H216" s="7"/>
    </row>
    <row r="217" spans="1:8" ht="20.25" x14ac:dyDescent="0.25">
      <c r="A217" s="11"/>
      <c r="B217" s="12"/>
      <c r="C217" s="12"/>
      <c r="D217" s="12"/>
      <c r="E217" s="12"/>
      <c r="F217" s="12"/>
      <c r="G217" s="12"/>
      <c r="H217" s="7"/>
    </row>
    <row r="218" spans="1:8" ht="20.25" x14ac:dyDescent="0.25">
      <c r="A218" s="11"/>
      <c r="B218" s="12"/>
      <c r="C218" s="12"/>
      <c r="D218" s="12"/>
      <c r="E218" s="12"/>
      <c r="F218" s="12"/>
      <c r="G218" s="12"/>
      <c r="H218" s="7"/>
    </row>
    <row r="219" spans="1:8" ht="20.25" x14ac:dyDescent="0.25">
      <c r="A219" s="11"/>
      <c r="B219" s="12"/>
      <c r="C219" s="12"/>
      <c r="D219" s="12"/>
      <c r="E219" s="12"/>
      <c r="F219" s="12"/>
      <c r="G219" s="12"/>
      <c r="H219" s="7"/>
    </row>
    <row r="220" spans="1:8" ht="20.25" x14ac:dyDescent="0.25">
      <c r="A220" s="11"/>
      <c r="B220" s="12"/>
      <c r="C220" s="12"/>
      <c r="D220" s="12"/>
      <c r="E220" s="12"/>
      <c r="F220" s="12"/>
      <c r="G220" s="12"/>
      <c r="H220" s="7"/>
    </row>
    <row r="221" spans="1:8" ht="20.25" x14ac:dyDescent="0.25">
      <c r="A221" s="11"/>
      <c r="B221" s="12"/>
      <c r="C221" s="12"/>
      <c r="D221" s="12"/>
      <c r="E221" s="12"/>
      <c r="F221" s="12"/>
      <c r="G221" s="12"/>
      <c r="H221" s="7"/>
    </row>
    <row r="222" spans="1:8" ht="20.25" x14ac:dyDescent="0.25">
      <c r="A222" s="11"/>
      <c r="B222" s="12"/>
      <c r="C222" s="12"/>
      <c r="D222" s="12"/>
      <c r="E222" s="12"/>
      <c r="F222" s="12"/>
      <c r="G222" s="12"/>
      <c r="H222" s="7"/>
    </row>
    <row r="223" spans="1:8" ht="20.25" x14ac:dyDescent="0.25">
      <c r="A223" s="11"/>
      <c r="B223" s="12"/>
      <c r="C223" s="12"/>
      <c r="D223" s="12"/>
      <c r="E223" s="12"/>
      <c r="F223" s="12"/>
      <c r="G223" s="12"/>
      <c r="H223" s="7"/>
    </row>
    <row r="224" spans="1:8" ht="20.25" x14ac:dyDescent="0.25">
      <c r="A224" s="11"/>
      <c r="B224" s="12"/>
      <c r="C224" s="12"/>
      <c r="D224" s="12"/>
      <c r="E224" s="12"/>
      <c r="F224" s="12"/>
      <c r="G224" s="12"/>
      <c r="H224" s="7"/>
    </row>
    <row r="225" spans="1:8" ht="20.25" x14ac:dyDescent="0.25">
      <c r="A225" s="11"/>
      <c r="B225" s="12"/>
      <c r="C225" s="12"/>
      <c r="D225" s="12"/>
      <c r="E225" s="12"/>
      <c r="F225" s="12"/>
      <c r="G225" s="12"/>
      <c r="H225" s="7"/>
    </row>
    <row r="226" spans="1:8" ht="20.25" x14ac:dyDescent="0.25">
      <c r="A226" s="11"/>
      <c r="B226" s="12"/>
      <c r="C226" s="12"/>
      <c r="D226" s="12"/>
      <c r="E226" s="12"/>
      <c r="F226" s="12"/>
      <c r="G226" s="12"/>
      <c r="H226" s="7"/>
    </row>
    <row r="227" spans="1:8" ht="20.25" x14ac:dyDescent="0.25">
      <c r="A227" s="11"/>
      <c r="B227" s="12"/>
      <c r="C227" s="12"/>
      <c r="D227" s="12"/>
      <c r="E227" s="12"/>
      <c r="F227" s="12"/>
      <c r="G227" s="12"/>
      <c r="H227" s="7"/>
    </row>
    <row r="228" spans="1:8" ht="20.25" x14ac:dyDescent="0.25">
      <c r="A228" s="11"/>
      <c r="B228" s="12"/>
      <c r="C228" s="12"/>
      <c r="D228" s="12"/>
      <c r="E228" s="12"/>
      <c r="F228" s="12"/>
      <c r="G228" s="12"/>
      <c r="H228" s="7"/>
    </row>
    <row r="229" spans="1:8" ht="20.25" x14ac:dyDescent="0.25">
      <c r="A229" s="11"/>
      <c r="B229" s="12"/>
      <c r="C229" s="12"/>
      <c r="D229" s="12"/>
      <c r="E229" s="12"/>
      <c r="F229" s="12"/>
      <c r="G229" s="12"/>
      <c r="H229" s="7"/>
    </row>
    <row r="230" spans="1:8" ht="20.25" x14ac:dyDescent="0.25">
      <c r="A230" s="11"/>
      <c r="B230" s="12"/>
      <c r="C230" s="12"/>
      <c r="D230" s="12"/>
      <c r="E230" s="12"/>
      <c r="F230" s="12"/>
      <c r="G230" s="12"/>
      <c r="H230" s="7"/>
    </row>
    <row r="231" spans="1:8" ht="20.25" x14ac:dyDescent="0.25">
      <c r="A231" s="11"/>
      <c r="B231" s="12"/>
      <c r="C231" s="12"/>
      <c r="D231" s="12"/>
      <c r="E231" s="12"/>
      <c r="F231" s="12"/>
      <c r="G231" s="12"/>
      <c r="H231" s="7"/>
    </row>
    <row r="232" spans="1:8" ht="20.25" x14ac:dyDescent="0.25">
      <c r="A232" s="11"/>
      <c r="B232" s="12"/>
      <c r="C232" s="12"/>
      <c r="D232" s="12"/>
      <c r="E232" s="12"/>
      <c r="F232" s="12"/>
      <c r="G232" s="12"/>
      <c r="H232" s="7"/>
    </row>
    <row r="233" spans="1:8" ht="20.25" x14ac:dyDescent="0.25">
      <c r="A233" s="11"/>
      <c r="B233" s="12"/>
      <c r="C233" s="12"/>
      <c r="D233" s="12"/>
      <c r="E233" s="12"/>
      <c r="F233" s="12"/>
      <c r="G233" s="12"/>
      <c r="H233" s="7"/>
    </row>
    <row r="234" spans="1:8" ht="20.25" x14ac:dyDescent="0.25">
      <c r="A234" s="11"/>
      <c r="B234" s="12"/>
      <c r="C234" s="12"/>
      <c r="D234" s="12"/>
      <c r="E234" s="12"/>
      <c r="F234" s="12"/>
      <c r="G234" s="12"/>
      <c r="H234" s="7"/>
    </row>
    <row r="235" spans="1:8" ht="20.25" x14ac:dyDescent="0.25">
      <c r="A235" s="11"/>
      <c r="B235" s="12"/>
      <c r="C235" s="12"/>
      <c r="D235" s="12"/>
      <c r="E235" s="12"/>
      <c r="F235" s="12"/>
      <c r="G235" s="12"/>
      <c r="H235" s="7"/>
    </row>
    <row r="236" spans="1:8" ht="20.25" x14ac:dyDescent="0.25">
      <c r="A236" s="11"/>
      <c r="B236" s="12"/>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3"/>
      <c r="B247" s="14"/>
      <c r="C247" s="14"/>
      <c r="D247" s="14"/>
      <c r="E247" s="14"/>
      <c r="F247" s="14"/>
      <c r="G247" s="14"/>
      <c r="H247" s="8"/>
    </row>
    <row r="248" spans="1:8" ht="20.25" x14ac:dyDescent="0.25">
      <c r="A248" s="139" t="s">
        <v>158</v>
      </c>
      <c r="B248" s="139"/>
      <c r="C248" s="139"/>
      <c r="D248" s="139"/>
      <c r="E248" s="139"/>
      <c r="F248" s="139"/>
      <c r="G248" s="139"/>
      <c r="H248" s="139"/>
    </row>
    <row r="249" spans="1:8" ht="20.25" x14ac:dyDescent="0.25">
      <c r="A249" s="9"/>
      <c r="B249" s="10"/>
      <c r="C249" s="10"/>
      <c r="D249" s="10"/>
      <c r="E249" s="10"/>
      <c r="F249" s="10"/>
      <c r="G249" s="10"/>
      <c r="H249" s="6"/>
    </row>
    <row r="250" spans="1:8" ht="20.25" x14ac:dyDescent="0.25">
      <c r="A250" s="11"/>
      <c r="B250" s="61"/>
      <c r="C250" s="61"/>
      <c r="D250" s="61"/>
      <c r="E250" s="61"/>
      <c r="F250" s="61"/>
      <c r="G250" s="61"/>
      <c r="H250" s="7"/>
    </row>
    <row r="251" spans="1:8" ht="20.25" x14ac:dyDescent="0.25">
      <c r="A251" s="11"/>
      <c r="B251" s="61"/>
      <c r="C251" s="61"/>
      <c r="D251" s="61"/>
      <c r="E251" s="61"/>
      <c r="F251" s="61"/>
      <c r="G251" s="61"/>
      <c r="H251" s="7"/>
    </row>
    <row r="252" spans="1:8" ht="20.25" x14ac:dyDescent="0.25">
      <c r="A252" s="11"/>
      <c r="B252" s="61"/>
      <c r="C252" s="61"/>
      <c r="D252" s="61"/>
      <c r="E252" s="61"/>
      <c r="F252" s="61"/>
      <c r="G252" s="61"/>
      <c r="H252" s="7"/>
    </row>
    <row r="253" spans="1:8" ht="20.25" x14ac:dyDescent="0.25">
      <c r="A253" s="11"/>
      <c r="B253" s="61"/>
      <c r="C253" s="61"/>
      <c r="D253" s="61"/>
      <c r="E253" s="61"/>
      <c r="F253" s="61"/>
      <c r="G253" s="61"/>
      <c r="H253" s="7"/>
    </row>
    <row r="254" spans="1:8" ht="20.25" x14ac:dyDescent="0.25">
      <c r="A254" s="11"/>
      <c r="B254" s="61"/>
      <c r="C254" s="61"/>
      <c r="D254" s="61"/>
      <c r="E254" s="61"/>
      <c r="F254" s="61"/>
      <c r="G254" s="61"/>
      <c r="H254" s="7"/>
    </row>
    <row r="255" spans="1:8" ht="20.25" x14ac:dyDescent="0.25">
      <c r="A255" s="11"/>
      <c r="B255" s="61"/>
      <c r="C255" s="61"/>
      <c r="D255" s="61"/>
      <c r="E255" s="61"/>
      <c r="F255" s="61"/>
      <c r="G255" s="61"/>
      <c r="H255" s="7"/>
    </row>
    <row r="256" spans="1:8" ht="20.25" x14ac:dyDescent="0.25">
      <c r="A256" s="11"/>
      <c r="B256" s="61"/>
      <c r="C256" s="61"/>
      <c r="D256" s="61"/>
      <c r="E256" s="61"/>
      <c r="F256" s="61"/>
      <c r="G256" s="61"/>
      <c r="H256" s="7"/>
    </row>
    <row r="257" spans="1:8" ht="20.25" x14ac:dyDescent="0.25">
      <c r="A257" s="11"/>
      <c r="B257" s="61"/>
      <c r="C257" s="61"/>
      <c r="D257" s="61"/>
      <c r="E257" s="61"/>
      <c r="F257" s="61"/>
      <c r="G257" s="61"/>
      <c r="H257" s="7"/>
    </row>
    <row r="258" spans="1:8" ht="20.25" x14ac:dyDescent="0.25">
      <c r="A258" s="11"/>
      <c r="B258" s="61"/>
      <c r="C258" s="61"/>
      <c r="D258" s="61"/>
      <c r="E258" s="61"/>
      <c r="F258" s="61"/>
      <c r="G258" s="61"/>
      <c r="H258" s="7"/>
    </row>
    <row r="259" spans="1:8" ht="20.25" x14ac:dyDescent="0.25">
      <c r="A259" s="11"/>
      <c r="B259" s="61"/>
      <c r="C259" s="61"/>
      <c r="D259" s="61"/>
      <c r="E259" s="61"/>
      <c r="F259" s="61"/>
      <c r="G259" s="61"/>
      <c r="H259" s="7"/>
    </row>
    <row r="260" spans="1:8" ht="20.25" x14ac:dyDescent="0.25">
      <c r="A260" s="11"/>
      <c r="B260" s="61"/>
      <c r="C260" s="61"/>
      <c r="D260" s="61"/>
      <c r="E260" s="61"/>
      <c r="F260" s="61"/>
      <c r="G260" s="61"/>
      <c r="H260" s="7"/>
    </row>
    <row r="261" spans="1:8" ht="20.25" x14ac:dyDescent="0.25">
      <c r="A261" s="11"/>
      <c r="B261" s="61"/>
      <c r="C261" s="61"/>
      <c r="D261" s="61"/>
      <c r="E261" s="61"/>
      <c r="F261" s="61"/>
      <c r="G261" s="61"/>
      <c r="H261" s="7"/>
    </row>
    <row r="262" spans="1:8" ht="20.25" x14ac:dyDescent="0.25">
      <c r="A262" s="11"/>
      <c r="B262" s="61"/>
      <c r="C262" s="61"/>
      <c r="D262" s="61"/>
      <c r="E262" s="61"/>
      <c r="F262" s="61"/>
      <c r="G262" s="61"/>
      <c r="H262" s="7"/>
    </row>
    <row r="263" spans="1:8" ht="20.25" x14ac:dyDescent="0.25">
      <c r="A263" s="11"/>
      <c r="B263" s="61"/>
      <c r="C263" s="61"/>
      <c r="D263" s="61"/>
      <c r="E263" s="61"/>
      <c r="F263" s="61"/>
      <c r="G263" s="61"/>
      <c r="H263" s="7"/>
    </row>
    <row r="264" spans="1:8" ht="20.25" x14ac:dyDescent="0.25">
      <c r="A264" s="11"/>
      <c r="B264" s="61"/>
      <c r="C264" s="61"/>
      <c r="D264" s="61"/>
      <c r="E264" s="61"/>
      <c r="F264" s="61"/>
      <c r="G264" s="61"/>
      <c r="H264" s="7"/>
    </row>
    <row r="265" spans="1:8" ht="20.25" x14ac:dyDescent="0.25">
      <c r="A265" s="11"/>
      <c r="B265" s="61"/>
      <c r="C265" s="61"/>
      <c r="D265" s="61"/>
      <c r="E265" s="61"/>
      <c r="F265" s="61"/>
      <c r="G265" s="61"/>
      <c r="H265" s="7"/>
    </row>
    <row r="266" spans="1:8" ht="20.25" x14ac:dyDescent="0.25">
      <c r="A266" s="11"/>
      <c r="B266" s="61"/>
      <c r="C266" s="61"/>
      <c r="D266" s="61"/>
      <c r="E266" s="61"/>
      <c r="F266" s="61"/>
      <c r="G266" s="61"/>
      <c r="H266" s="7"/>
    </row>
    <row r="267" spans="1:8" ht="20.25" x14ac:dyDescent="0.25">
      <c r="A267" s="11"/>
      <c r="B267" s="61"/>
      <c r="C267" s="61"/>
      <c r="D267" s="61"/>
      <c r="E267" s="61"/>
      <c r="F267" s="61"/>
      <c r="G267" s="61"/>
      <c r="H267" s="7"/>
    </row>
    <row r="268" spans="1:8" ht="20.25" x14ac:dyDescent="0.25">
      <c r="A268" s="11"/>
      <c r="B268" s="61"/>
      <c r="C268" s="61"/>
      <c r="D268" s="61"/>
      <c r="E268" s="61"/>
      <c r="F268" s="61"/>
      <c r="G268" s="61"/>
      <c r="H268" s="7"/>
    </row>
    <row r="269" spans="1:8" ht="20.25" x14ac:dyDescent="0.25">
      <c r="A269" s="11"/>
      <c r="B269" s="61"/>
      <c r="C269" s="61"/>
      <c r="D269" s="61"/>
      <c r="E269" s="61"/>
      <c r="F269" s="61"/>
      <c r="G269" s="61"/>
      <c r="H269" s="7"/>
    </row>
    <row r="270" spans="1:8" ht="20.25" x14ac:dyDescent="0.25">
      <c r="A270" s="11"/>
      <c r="B270" s="61"/>
      <c r="C270" s="61"/>
      <c r="D270" s="61"/>
      <c r="E270" s="61"/>
      <c r="F270" s="61"/>
      <c r="G270" s="61"/>
      <c r="H270" s="7"/>
    </row>
    <row r="271" spans="1:8" ht="20.25" x14ac:dyDescent="0.25">
      <c r="A271" s="11"/>
      <c r="B271" s="61"/>
      <c r="C271" s="61"/>
      <c r="D271" s="61"/>
      <c r="E271" s="61"/>
      <c r="F271" s="61"/>
      <c r="G271" s="61"/>
      <c r="H271" s="7"/>
    </row>
    <row r="272" spans="1:8" ht="20.25" x14ac:dyDescent="0.25">
      <c r="A272" s="11"/>
      <c r="B272" s="61"/>
      <c r="C272" s="61"/>
      <c r="D272" s="61"/>
      <c r="E272" s="61"/>
      <c r="F272" s="61"/>
      <c r="G272" s="61"/>
      <c r="H272" s="7"/>
    </row>
    <row r="273" spans="1:8" ht="20.25" x14ac:dyDescent="0.25">
      <c r="A273" s="11"/>
      <c r="B273" s="61"/>
      <c r="C273" s="61"/>
      <c r="D273" s="61"/>
      <c r="E273" s="61"/>
      <c r="F273" s="61"/>
      <c r="G273" s="61"/>
      <c r="H273" s="7"/>
    </row>
    <row r="274" spans="1:8" ht="20.25" x14ac:dyDescent="0.25">
      <c r="A274" s="11"/>
      <c r="B274" s="61"/>
      <c r="C274" s="61"/>
      <c r="D274" s="61"/>
      <c r="E274" s="61"/>
      <c r="F274" s="61"/>
      <c r="G274" s="61"/>
      <c r="H274" s="7"/>
    </row>
    <row r="275" spans="1:8" ht="20.25" x14ac:dyDescent="0.25">
      <c r="A275" s="11"/>
      <c r="B275" s="61"/>
      <c r="C275" s="61"/>
      <c r="D275" s="61"/>
      <c r="E275" s="61"/>
      <c r="F275" s="61"/>
      <c r="G275" s="61"/>
      <c r="H275" s="7"/>
    </row>
    <row r="276" spans="1:8" ht="20.25" x14ac:dyDescent="0.25">
      <c r="A276" s="11"/>
      <c r="B276" s="61"/>
      <c r="C276" s="61"/>
      <c r="D276" s="61"/>
      <c r="E276" s="61"/>
      <c r="F276" s="61"/>
      <c r="G276" s="61"/>
      <c r="H276" s="7"/>
    </row>
    <row r="277" spans="1:8" ht="20.25" x14ac:dyDescent="0.25">
      <c r="A277" s="11"/>
      <c r="B277" s="61"/>
      <c r="C277" s="61"/>
      <c r="D277" s="61"/>
      <c r="E277" s="61"/>
      <c r="F277" s="61"/>
      <c r="G277" s="61"/>
      <c r="H277" s="7"/>
    </row>
    <row r="278" spans="1:8" ht="20.25" x14ac:dyDescent="0.25">
      <c r="A278" s="11"/>
      <c r="B278" s="61"/>
      <c r="C278" s="61"/>
      <c r="D278" s="61"/>
      <c r="E278" s="61"/>
      <c r="F278" s="61"/>
      <c r="G278" s="61"/>
      <c r="H278" s="7"/>
    </row>
    <row r="279" spans="1:8" ht="20.25" x14ac:dyDescent="0.25">
      <c r="A279" s="11"/>
      <c r="B279" s="61"/>
      <c r="C279" s="61"/>
      <c r="D279" s="61"/>
      <c r="E279" s="61"/>
      <c r="F279" s="61"/>
      <c r="G279" s="61"/>
      <c r="H279" s="7"/>
    </row>
    <row r="280" spans="1:8" ht="20.25" x14ac:dyDescent="0.25">
      <c r="A280" s="11"/>
      <c r="B280" s="61"/>
      <c r="C280" s="61"/>
      <c r="D280" s="61"/>
      <c r="E280" s="61"/>
      <c r="F280" s="61"/>
      <c r="G280" s="61"/>
      <c r="H280" s="7"/>
    </row>
    <row r="281" spans="1:8" ht="20.25" x14ac:dyDescent="0.25">
      <c r="A281" s="11"/>
      <c r="B281" s="61"/>
      <c r="C281" s="61"/>
      <c r="D281" s="61"/>
      <c r="E281" s="61"/>
      <c r="F281" s="61"/>
      <c r="G281" s="61"/>
      <c r="H281" s="7"/>
    </row>
    <row r="282" spans="1:8" ht="20.25" x14ac:dyDescent="0.25">
      <c r="A282" s="11"/>
      <c r="B282" s="61"/>
      <c r="C282" s="61"/>
      <c r="D282" s="61"/>
      <c r="E282" s="61"/>
      <c r="F282" s="61"/>
      <c r="G282" s="61"/>
      <c r="H282" s="7"/>
    </row>
    <row r="283" spans="1:8" ht="20.25" x14ac:dyDescent="0.25">
      <c r="A283" s="11"/>
      <c r="B283" s="61"/>
      <c r="C283" s="61"/>
      <c r="D283" s="61"/>
      <c r="E283" s="61"/>
      <c r="F283" s="61"/>
      <c r="G283" s="61"/>
      <c r="H283" s="7"/>
    </row>
    <row r="284" spans="1:8" ht="20.25" x14ac:dyDescent="0.25">
      <c r="A284" s="11"/>
      <c r="B284" s="61"/>
      <c r="C284" s="61"/>
      <c r="D284" s="61"/>
      <c r="E284" s="61"/>
      <c r="F284" s="61"/>
      <c r="G284" s="61"/>
      <c r="H284" s="7"/>
    </row>
    <row r="285" spans="1:8" ht="20.25" x14ac:dyDescent="0.25">
      <c r="A285" s="11"/>
      <c r="B285" s="61"/>
      <c r="C285" s="61"/>
      <c r="D285" s="61"/>
      <c r="E285" s="61"/>
      <c r="F285" s="61"/>
      <c r="G285" s="61"/>
      <c r="H285" s="7"/>
    </row>
    <row r="286" spans="1:8" ht="20.25" x14ac:dyDescent="0.25">
      <c r="A286" s="11"/>
      <c r="B286" s="61"/>
      <c r="C286" s="61"/>
      <c r="D286" s="61"/>
      <c r="E286" s="61"/>
      <c r="F286" s="61"/>
      <c r="G286" s="61"/>
      <c r="H286" s="7"/>
    </row>
    <row r="287" spans="1:8" ht="20.25" x14ac:dyDescent="0.25">
      <c r="A287" s="11"/>
      <c r="B287" s="61"/>
      <c r="C287" s="61"/>
      <c r="D287" s="61"/>
      <c r="E287" s="61"/>
      <c r="F287" s="61"/>
      <c r="G287" s="61"/>
      <c r="H287" s="7"/>
    </row>
    <row r="288" spans="1:8" ht="20.25" x14ac:dyDescent="0.25">
      <c r="A288" s="11"/>
      <c r="B288" s="61"/>
      <c r="C288" s="61"/>
      <c r="D288" s="61"/>
      <c r="E288" s="61"/>
      <c r="F288" s="61"/>
      <c r="G288" s="61"/>
      <c r="H288" s="7"/>
    </row>
    <row r="289" spans="1:8" ht="20.25" x14ac:dyDescent="0.25">
      <c r="A289" s="11"/>
      <c r="B289" s="61"/>
      <c r="C289" s="61"/>
      <c r="D289" s="61"/>
      <c r="E289" s="61"/>
      <c r="F289" s="61"/>
      <c r="G289" s="61"/>
      <c r="H289" s="7"/>
    </row>
    <row r="290" spans="1:8" ht="20.25" x14ac:dyDescent="0.25">
      <c r="A290" s="11"/>
      <c r="B290" s="61"/>
      <c r="C290" s="61"/>
      <c r="D290" s="61"/>
      <c r="E290" s="61"/>
      <c r="F290" s="61"/>
      <c r="G290" s="61"/>
      <c r="H290" s="7"/>
    </row>
    <row r="291" spans="1:8" ht="20.25" x14ac:dyDescent="0.25">
      <c r="A291" s="11"/>
      <c r="B291" s="61"/>
      <c r="C291" s="61"/>
      <c r="D291" s="61"/>
      <c r="E291" s="61"/>
      <c r="F291" s="61"/>
      <c r="G291" s="61"/>
      <c r="H291" s="7"/>
    </row>
    <row r="292" spans="1:8" ht="20.25" x14ac:dyDescent="0.25">
      <c r="A292" s="11"/>
      <c r="B292" s="61"/>
      <c r="C292" s="61"/>
      <c r="D292" s="61"/>
      <c r="E292" s="61"/>
      <c r="F292" s="61"/>
      <c r="G292" s="61"/>
      <c r="H292" s="7"/>
    </row>
    <row r="293" spans="1:8" ht="20.25" x14ac:dyDescent="0.25">
      <c r="A293" s="11"/>
      <c r="B293" s="61"/>
      <c r="C293" s="61"/>
      <c r="D293" s="61"/>
      <c r="E293" s="61"/>
      <c r="F293" s="61"/>
      <c r="G293" s="61"/>
      <c r="H293" s="7"/>
    </row>
    <row r="294" spans="1:8" ht="20.25" x14ac:dyDescent="0.25">
      <c r="A294" s="11"/>
      <c r="B294" s="61"/>
      <c r="C294" s="61"/>
      <c r="D294" s="61"/>
      <c r="E294" s="61"/>
      <c r="F294" s="61"/>
      <c r="G294" s="61"/>
      <c r="H294" s="7"/>
    </row>
    <row r="295" spans="1:8" ht="20.25" x14ac:dyDescent="0.25">
      <c r="A295" s="11"/>
      <c r="B295" s="61"/>
      <c r="C295" s="61"/>
      <c r="D295" s="61"/>
      <c r="E295" s="61"/>
      <c r="F295" s="61"/>
      <c r="G295" s="61"/>
      <c r="H295" s="7"/>
    </row>
    <row r="296" spans="1:8" ht="20.25" x14ac:dyDescent="0.25">
      <c r="A296" s="11"/>
      <c r="B296" s="61"/>
      <c r="C296" s="61"/>
      <c r="D296" s="61"/>
      <c r="E296" s="61"/>
      <c r="F296" s="61"/>
      <c r="G296" s="61"/>
      <c r="H296" s="7"/>
    </row>
    <row r="297" spans="1:8" ht="20.25" x14ac:dyDescent="0.25">
      <c r="A297" s="13"/>
      <c r="B297" s="14"/>
      <c r="C297" s="14"/>
      <c r="D297" s="14"/>
      <c r="E297" s="14"/>
      <c r="F297" s="14"/>
      <c r="G297" s="14"/>
      <c r="H297" s="8"/>
    </row>
    <row r="298" spans="1:8" ht="20.25" x14ac:dyDescent="0.25">
      <c r="A298" s="111" t="s">
        <v>75</v>
      </c>
      <c r="B298" s="112"/>
      <c r="C298" s="112"/>
      <c r="D298" s="112"/>
      <c r="E298" s="112"/>
      <c r="F298" s="112"/>
      <c r="G298" s="112"/>
      <c r="H298" s="113"/>
    </row>
    <row r="299" spans="1:8" ht="20.25" x14ac:dyDescent="0.25">
      <c r="A299" s="9"/>
      <c r="B299" s="10"/>
      <c r="C299" s="10"/>
      <c r="D299" s="10"/>
      <c r="E299" s="10"/>
      <c r="F299" s="10"/>
      <c r="G299" s="10"/>
      <c r="H299" s="6"/>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1"/>
      <c r="B326" s="12"/>
      <c r="C326" s="12"/>
      <c r="D326" s="12"/>
      <c r="E326" s="12"/>
      <c r="F326" s="12"/>
      <c r="G326" s="12"/>
      <c r="H326" s="7"/>
    </row>
    <row r="327" spans="1:8" ht="20.25" x14ac:dyDescent="0.25">
      <c r="A327" s="11"/>
      <c r="B327" s="12"/>
      <c r="C327" s="12"/>
      <c r="D327" s="12"/>
      <c r="E327" s="12"/>
      <c r="F327" s="12"/>
      <c r="G327" s="12"/>
      <c r="H327" s="7"/>
    </row>
    <row r="328" spans="1:8" ht="20.25" x14ac:dyDescent="0.25">
      <c r="A328" s="11"/>
      <c r="B328" s="12"/>
      <c r="C328" s="12"/>
      <c r="D328" s="12"/>
      <c r="E328" s="12"/>
      <c r="F328" s="12"/>
      <c r="G328" s="12"/>
      <c r="H328" s="7"/>
    </row>
    <row r="329" spans="1:8" ht="20.25" x14ac:dyDescent="0.25">
      <c r="A329" s="139" t="s">
        <v>24</v>
      </c>
      <c r="B329" s="139"/>
      <c r="C329" s="139"/>
      <c r="D329" s="139"/>
      <c r="E329" s="139"/>
      <c r="F329" s="139"/>
      <c r="G329" s="139"/>
      <c r="H329" s="139"/>
    </row>
    <row r="330" spans="1:8" ht="20.25" x14ac:dyDescent="0.25">
      <c r="A330" s="98" t="s">
        <v>76</v>
      </c>
      <c r="B330" s="153"/>
      <c r="C330" s="153"/>
      <c r="D330" s="153"/>
      <c r="E330" s="153"/>
      <c r="F330" s="153"/>
      <c r="G330" s="153"/>
      <c r="H330" s="99"/>
    </row>
    <row r="331" spans="1:8" ht="20.25" x14ac:dyDescent="0.25">
      <c r="A331" s="154" t="s">
        <v>77</v>
      </c>
      <c r="B331" s="155"/>
      <c r="C331" s="155"/>
      <c r="D331" s="155"/>
      <c r="E331" s="155"/>
      <c r="F331" s="155"/>
      <c r="G331" s="155"/>
      <c r="H331" s="156"/>
    </row>
    <row r="332" spans="1:8" ht="45" customHeight="1" x14ac:dyDescent="0.25">
      <c r="A332" s="154" t="s">
        <v>78</v>
      </c>
      <c r="B332" s="155"/>
      <c r="C332" s="155"/>
      <c r="D332" s="155"/>
      <c r="E332" s="155"/>
      <c r="F332" s="155"/>
      <c r="G332" s="155"/>
      <c r="H332" s="156"/>
    </row>
    <row r="333" spans="1:8" ht="42.75" customHeight="1" x14ac:dyDescent="0.25">
      <c r="A333" s="154" t="s">
        <v>79</v>
      </c>
      <c r="B333" s="155"/>
      <c r="C333" s="155"/>
      <c r="D333" s="155"/>
      <c r="E333" s="155"/>
      <c r="F333" s="155"/>
      <c r="G333" s="155"/>
      <c r="H333" s="156"/>
    </row>
    <row r="334" spans="1:8" ht="20.25" x14ac:dyDescent="0.25">
      <c r="A334" s="154" t="s">
        <v>80</v>
      </c>
      <c r="B334" s="155"/>
      <c r="C334" s="155"/>
      <c r="D334" s="155"/>
      <c r="E334" s="155"/>
      <c r="F334" s="155"/>
      <c r="G334" s="155"/>
      <c r="H334" s="156"/>
    </row>
    <row r="335" spans="1:8" ht="20.25" x14ac:dyDescent="0.25">
      <c r="A335" s="154" t="s">
        <v>81</v>
      </c>
      <c r="B335" s="155"/>
      <c r="C335" s="155"/>
      <c r="D335" s="155"/>
      <c r="E335" s="155"/>
      <c r="F335" s="155"/>
      <c r="G335" s="155"/>
      <c r="H335" s="156"/>
    </row>
    <row r="336" spans="1:8" ht="45" customHeight="1" x14ac:dyDescent="0.25">
      <c r="A336" s="154" t="s">
        <v>82</v>
      </c>
      <c r="B336" s="155"/>
      <c r="C336" s="155"/>
      <c r="D336" s="155"/>
      <c r="E336" s="155"/>
      <c r="F336" s="155"/>
      <c r="G336" s="155"/>
      <c r="H336" s="156"/>
    </row>
    <row r="337" spans="1:8" ht="45" customHeight="1" x14ac:dyDescent="0.25">
      <c r="A337" s="154" t="s">
        <v>83</v>
      </c>
      <c r="B337" s="155"/>
      <c r="C337" s="155"/>
      <c r="D337" s="155"/>
      <c r="E337" s="155"/>
      <c r="F337" s="155"/>
      <c r="G337" s="155"/>
      <c r="H337" s="156"/>
    </row>
    <row r="338" spans="1:8" ht="20.25" x14ac:dyDescent="0.25">
      <c r="A338" s="100" t="s">
        <v>84</v>
      </c>
      <c r="B338" s="157"/>
      <c r="C338" s="157"/>
      <c r="D338" s="157"/>
      <c r="E338" s="157"/>
      <c r="F338" s="157"/>
      <c r="G338" s="157"/>
      <c r="H338" s="101"/>
    </row>
    <row r="339" spans="1:8" ht="72" customHeight="1" x14ac:dyDescent="0.25">
      <c r="A339" s="159" t="s">
        <v>30</v>
      </c>
      <c r="B339" s="160"/>
      <c r="C339" s="161" t="s">
        <v>366</v>
      </c>
      <c r="D339" s="162"/>
      <c r="E339" s="159" t="s">
        <v>9</v>
      </c>
      <c r="F339" s="160"/>
      <c r="G339" s="125"/>
      <c r="H339" s="125"/>
    </row>
  </sheetData>
  <mergeCells count="384">
    <mergeCell ref="I4:J4"/>
    <mergeCell ref="A184:B184"/>
    <mergeCell ref="A185:B185"/>
    <mergeCell ref="A186:B186"/>
    <mergeCell ref="A187:H187"/>
    <mergeCell ref="A188:B188"/>
    <mergeCell ref="A189:B189"/>
    <mergeCell ref="A190:B190"/>
    <mergeCell ref="A191:B191"/>
    <mergeCell ref="A192:B192"/>
    <mergeCell ref="C192:H192"/>
    <mergeCell ref="D191:H191"/>
    <mergeCell ref="A176:B176"/>
    <mergeCell ref="A177:B177"/>
    <mergeCell ref="A178:B178"/>
    <mergeCell ref="A179:B179"/>
    <mergeCell ref="A180:B180"/>
    <mergeCell ref="A181:H181"/>
    <mergeCell ref="A182:B182"/>
    <mergeCell ref="A183:B183"/>
    <mergeCell ref="C179:H180"/>
    <mergeCell ref="A153:B153"/>
    <mergeCell ref="A154:B154"/>
    <mergeCell ref="A155:B155"/>
    <mergeCell ref="A156:B156"/>
    <mergeCell ref="A157:H157"/>
    <mergeCell ref="A158:B158"/>
    <mergeCell ref="A159:B159"/>
    <mergeCell ref="A161:B161"/>
    <mergeCell ref="A162:B162"/>
    <mergeCell ref="A145:B145"/>
    <mergeCell ref="A146:B146"/>
    <mergeCell ref="A147:B147"/>
    <mergeCell ref="A148:B148"/>
    <mergeCell ref="A141:H141"/>
    <mergeCell ref="A149:H149"/>
    <mergeCell ref="A150:B150"/>
    <mergeCell ref="A151:B151"/>
    <mergeCell ref="A152:B152"/>
    <mergeCell ref="A135:B135"/>
    <mergeCell ref="A136:H136"/>
    <mergeCell ref="A137:B137"/>
    <mergeCell ref="A138:B138"/>
    <mergeCell ref="A139:B139"/>
    <mergeCell ref="A140:B140"/>
    <mergeCell ref="A142:B142"/>
    <mergeCell ref="A143:B143"/>
    <mergeCell ref="A144:B144"/>
    <mergeCell ref="A127:B127"/>
    <mergeCell ref="A128:B128"/>
    <mergeCell ref="A129:B129"/>
    <mergeCell ref="A130:B130"/>
    <mergeCell ref="C128:H128"/>
    <mergeCell ref="A131:H131"/>
    <mergeCell ref="A132:B132"/>
    <mergeCell ref="A133:B133"/>
    <mergeCell ref="A134:B134"/>
    <mergeCell ref="A122:B122"/>
    <mergeCell ref="A123:B123"/>
    <mergeCell ref="A125:B125"/>
    <mergeCell ref="A126:H126"/>
    <mergeCell ref="A92:B92"/>
    <mergeCell ref="C92:D92"/>
    <mergeCell ref="E92:F92"/>
    <mergeCell ref="G92:H92"/>
    <mergeCell ref="A89:H89"/>
    <mergeCell ref="A90:B90"/>
    <mergeCell ref="C90:D90"/>
    <mergeCell ref="E90:F90"/>
    <mergeCell ref="G90:H90"/>
    <mergeCell ref="A91:B91"/>
    <mergeCell ref="C91:D91"/>
    <mergeCell ref="E91:F91"/>
    <mergeCell ref="G91:H91"/>
    <mergeCell ref="G96:H96"/>
    <mergeCell ref="A97:B97"/>
    <mergeCell ref="A95:B95"/>
    <mergeCell ref="G95:H95"/>
    <mergeCell ref="A121:H121"/>
    <mergeCell ref="A61:C62"/>
    <mergeCell ref="A70:B70"/>
    <mergeCell ref="A68:B68"/>
    <mergeCell ref="A71:B71"/>
    <mergeCell ref="G97:H97"/>
    <mergeCell ref="C115:H115"/>
    <mergeCell ref="A109:B109"/>
    <mergeCell ref="A66:B66"/>
    <mergeCell ref="A67:B67"/>
    <mergeCell ref="A69:B69"/>
    <mergeCell ref="A5:H5"/>
    <mergeCell ref="G30:H30"/>
    <mergeCell ref="G29:H29"/>
    <mergeCell ref="A13:H13"/>
    <mergeCell ref="A46:B46"/>
    <mergeCell ref="D46:F46"/>
    <mergeCell ref="D45:F45"/>
    <mergeCell ref="A76:F76"/>
    <mergeCell ref="A99:H99"/>
    <mergeCell ref="E86:F86"/>
    <mergeCell ref="E87:F87"/>
    <mergeCell ref="E88:F88"/>
    <mergeCell ref="A86:B86"/>
    <mergeCell ref="A87:B87"/>
    <mergeCell ref="C86:D86"/>
    <mergeCell ref="A88:B88"/>
    <mergeCell ref="C87:D87"/>
    <mergeCell ref="G86:H86"/>
    <mergeCell ref="G87:H87"/>
    <mergeCell ref="G88:H88"/>
    <mergeCell ref="C88:D88"/>
    <mergeCell ref="G94:H94"/>
    <mergeCell ref="A93:H93"/>
    <mergeCell ref="C96:D96"/>
    <mergeCell ref="A63:B63"/>
    <mergeCell ref="A64:B64"/>
    <mergeCell ref="E63:F63"/>
    <mergeCell ref="E61:F61"/>
    <mergeCell ref="E62:F62"/>
    <mergeCell ref="G27:H27"/>
    <mergeCell ref="A1:H1"/>
    <mergeCell ref="G17:H17"/>
    <mergeCell ref="G15:H15"/>
    <mergeCell ref="G18:H18"/>
    <mergeCell ref="G19:H19"/>
    <mergeCell ref="G46:H46"/>
    <mergeCell ref="G31:H31"/>
    <mergeCell ref="G22:H22"/>
    <mergeCell ref="G36:H36"/>
    <mergeCell ref="G35:H35"/>
    <mergeCell ref="E3:F3"/>
    <mergeCell ref="E4:F4"/>
    <mergeCell ref="C27:D27"/>
    <mergeCell ref="G7:H7"/>
    <mergeCell ref="G45:H45"/>
    <mergeCell ref="A25:H25"/>
    <mergeCell ref="G26:H26"/>
    <mergeCell ref="G20:H20"/>
    <mergeCell ref="C98:D98"/>
    <mergeCell ref="A113:B113"/>
    <mergeCell ref="A115:B115"/>
    <mergeCell ref="A111:B111"/>
    <mergeCell ref="G79:H79"/>
    <mergeCell ref="E64:F75"/>
    <mergeCell ref="A105:B105"/>
    <mergeCell ref="A107:B107"/>
    <mergeCell ref="A101:H101"/>
    <mergeCell ref="A102:H102"/>
    <mergeCell ref="A104:H104"/>
    <mergeCell ref="A106:H106"/>
    <mergeCell ref="A74:B74"/>
    <mergeCell ref="E98:F98"/>
    <mergeCell ref="C97:D97"/>
    <mergeCell ref="A77:H77"/>
    <mergeCell ref="G78:H78"/>
    <mergeCell ref="G64:H75"/>
    <mergeCell ref="A96:B96"/>
    <mergeCell ref="A94:B94"/>
    <mergeCell ref="E94:F94"/>
    <mergeCell ref="A73:B73"/>
    <mergeCell ref="A37:H37"/>
    <mergeCell ref="A44:H44"/>
    <mergeCell ref="A47:H47"/>
    <mergeCell ref="A85:H85"/>
    <mergeCell ref="G83:H83"/>
    <mergeCell ref="A124:B124"/>
    <mergeCell ref="A65:B65"/>
    <mergeCell ref="A72:B72"/>
    <mergeCell ref="A116:H116"/>
    <mergeCell ref="A117:B117"/>
    <mergeCell ref="A108:H108"/>
    <mergeCell ref="C54:F54"/>
    <mergeCell ref="C55:F55"/>
    <mergeCell ref="C57:F57"/>
    <mergeCell ref="C58:F58"/>
    <mergeCell ref="G76:H76"/>
    <mergeCell ref="A118:B118"/>
    <mergeCell ref="A119:B119"/>
    <mergeCell ref="G82:H82"/>
    <mergeCell ref="A98:B98"/>
    <mergeCell ref="G98:H98"/>
    <mergeCell ref="A75:B75"/>
    <mergeCell ref="A110:B110"/>
    <mergeCell ref="A103:B103"/>
    <mergeCell ref="G339:H339"/>
    <mergeCell ref="A200:H200"/>
    <mergeCell ref="D202:H202"/>
    <mergeCell ref="A330:H330"/>
    <mergeCell ref="A336:H336"/>
    <mergeCell ref="A337:H337"/>
    <mergeCell ref="A338:H338"/>
    <mergeCell ref="A331:H331"/>
    <mergeCell ref="A332:H332"/>
    <mergeCell ref="A333:H333"/>
    <mergeCell ref="A334:H334"/>
    <mergeCell ref="A202:C202"/>
    <mergeCell ref="A329:H329"/>
    <mergeCell ref="A335:H335"/>
    <mergeCell ref="A298:H298"/>
    <mergeCell ref="D201:H201"/>
    <mergeCell ref="A203:C203"/>
    <mergeCell ref="D203:H203"/>
    <mergeCell ref="A248:H248"/>
    <mergeCell ref="E339:F339"/>
    <mergeCell ref="A339:B339"/>
    <mergeCell ref="C339:D339"/>
    <mergeCell ref="A201:C201"/>
    <mergeCell ref="B195:H195"/>
    <mergeCell ref="B194:H194"/>
    <mergeCell ref="B198:H198"/>
    <mergeCell ref="B197:H197"/>
    <mergeCell ref="B196:H196"/>
    <mergeCell ref="B199:H199"/>
    <mergeCell ref="A160:B160"/>
    <mergeCell ref="A193:H193"/>
    <mergeCell ref="A163:B163"/>
    <mergeCell ref="A164:B164"/>
    <mergeCell ref="A165:H165"/>
    <mergeCell ref="A166:B166"/>
    <mergeCell ref="A167:B167"/>
    <mergeCell ref="A168:B168"/>
    <mergeCell ref="A169:B169"/>
    <mergeCell ref="A170:B170"/>
    <mergeCell ref="A171:B171"/>
    <mergeCell ref="A172:B172"/>
    <mergeCell ref="A173:H173"/>
    <mergeCell ref="A174:B174"/>
    <mergeCell ref="A175:B175"/>
    <mergeCell ref="C171:H172"/>
    <mergeCell ref="D169:H169"/>
    <mergeCell ref="D170:H170"/>
    <mergeCell ref="G6:H6"/>
    <mergeCell ref="C16:D16"/>
    <mergeCell ref="C17:D17"/>
    <mergeCell ref="A14:B14"/>
    <mergeCell ref="A15:B15"/>
    <mergeCell ref="A16:B16"/>
    <mergeCell ref="A17:B17"/>
    <mergeCell ref="A18:B18"/>
    <mergeCell ref="A19:B19"/>
    <mergeCell ref="E14:F14"/>
    <mergeCell ref="E15:F15"/>
    <mergeCell ref="E16:F16"/>
    <mergeCell ref="E17:F17"/>
    <mergeCell ref="E18:F18"/>
    <mergeCell ref="E19:F19"/>
    <mergeCell ref="C18:D18"/>
    <mergeCell ref="C19:D19"/>
    <mergeCell ref="C14:D14"/>
    <mergeCell ref="C15:D15"/>
    <mergeCell ref="G14:H14"/>
    <mergeCell ref="G16:H16"/>
    <mergeCell ref="A9:A11"/>
    <mergeCell ref="C22:D22"/>
    <mergeCell ref="C24:H24"/>
    <mergeCell ref="A33:H33"/>
    <mergeCell ref="C26:D26"/>
    <mergeCell ref="A23:B23"/>
    <mergeCell ref="A24:B24"/>
    <mergeCell ref="E20:F20"/>
    <mergeCell ref="E21:F21"/>
    <mergeCell ref="E22:F22"/>
    <mergeCell ref="C23:H23"/>
    <mergeCell ref="G28:H28"/>
    <mergeCell ref="G21:H21"/>
    <mergeCell ref="G34:H34"/>
    <mergeCell ref="A31:B31"/>
    <mergeCell ref="A32:B32"/>
    <mergeCell ref="E26:F26"/>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C32:H32"/>
    <mergeCell ref="A28:B28"/>
    <mergeCell ref="A29:B29"/>
    <mergeCell ref="A30:B30"/>
    <mergeCell ref="A26:B26"/>
    <mergeCell ref="A27:B27"/>
    <mergeCell ref="E27:F27"/>
    <mergeCell ref="E28:F28"/>
    <mergeCell ref="E29:F29"/>
    <mergeCell ref="E30:F30"/>
    <mergeCell ref="E31:F31"/>
    <mergeCell ref="C28:D28"/>
    <mergeCell ref="C29:D29"/>
    <mergeCell ref="C30:D30"/>
    <mergeCell ref="C31:D31"/>
    <mergeCell ref="A20:B20"/>
    <mergeCell ref="A21:B21"/>
    <mergeCell ref="A22:B22"/>
    <mergeCell ref="C20:D20"/>
    <mergeCell ref="C21:D21"/>
    <mergeCell ref="E34:F34"/>
    <mergeCell ref="E35:F35"/>
    <mergeCell ref="E36:F36"/>
    <mergeCell ref="A34:B34"/>
    <mergeCell ref="A35:B35"/>
    <mergeCell ref="A36:B36"/>
    <mergeCell ref="C34:D34"/>
    <mergeCell ref="C35:D35"/>
    <mergeCell ref="C36:D36"/>
    <mergeCell ref="A56:B57"/>
    <mergeCell ref="A41:B41"/>
    <mergeCell ref="A39:B39"/>
    <mergeCell ref="A40:B40"/>
    <mergeCell ref="A43:B43"/>
    <mergeCell ref="A38:B38"/>
    <mergeCell ref="A42:B42"/>
    <mergeCell ref="A45:B45"/>
    <mergeCell ref="A48:B48"/>
    <mergeCell ref="A50:B50"/>
    <mergeCell ref="A54:B54"/>
    <mergeCell ref="A55:B55"/>
    <mergeCell ref="A49:B49"/>
    <mergeCell ref="A51:B52"/>
    <mergeCell ref="A53:B53"/>
    <mergeCell ref="C94:D94"/>
    <mergeCell ref="E96:F96"/>
    <mergeCell ref="J38:K38"/>
    <mergeCell ref="M38:N38"/>
    <mergeCell ref="C38:E38"/>
    <mergeCell ref="F38:H38"/>
    <mergeCell ref="C39:E39"/>
    <mergeCell ref="F39:H39"/>
    <mergeCell ref="F40:H40"/>
    <mergeCell ref="C40:E40"/>
    <mergeCell ref="C41:E41"/>
    <mergeCell ref="F41:H41"/>
    <mergeCell ref="C42:E42"/>
    <mergeCell ref="F42:H42"/>
    <mergeCell ref="C43:H43"/>
    <mergeCell ref="C48:H48"/>
    <mergeCell ref="C49:F49"/>
    <mergeCell ref="C50:F50"/>
    <mergeCell ref="C51:F51"/>
    <mergeCell ref="C52:H52"/>
    <mergeCell ref="C53:F53"/>
    <mergeCell ref="C56:F56"/>
    <mergeCell ref="C95:D95"/>
    <mergeCell ref="A60:H60"/>
    <mergeCell ref="A58:B59"/>
    <mergeCell ref="C59:H59"/>
    <mergeCell ref="D167:H167"/>
    <mergeCell ref="D168:H168"/>
    <mergeCell ref="G80:H80"/>
    <mergeCell ref="G84:H84"/>
    <mergeCell ref="A81:H81"/>
    <mergeCell ref="E78:F78"/>
    <mergeCell ref="A80:B80"/>
    <mergeCell ref="E79:F79"/>
    <mergeCell ref="A78:B78"/>
    <mergeCell ref="C78:D78"/>
    <mergeCell ref="C79:D79"/>
    <mergeCell ref="C80:D80"/>
    <mergeCell ref="E80:F80"/>
    <mergeCell ref="A82:F82"/>
    <mergeCell ref="A83:F83"/>
    <mergeCell ref="A84:F84"/>
    <mergeCell ref="A79:B79"/>
    <mergeCell ref="A120:B120"/>
    <mergeCell ref="A114:B114"/>
    <mergeCell ref="A112:B112"/>
    <mergeCell ref="E97:F97"/>
    <mergeCell ref="E95:F95"/>
  </mergeCells>
  <dataValidations disablePrompts="1" count="7">
    <dataValidation type="list" allowBlank="1" showInputMessage="1" showErrorMessage="1" sqref="G6:H6" xr:uid="{00000000-0002-0000-0000-000000000000}">
      <formula1>"Mr. Suraj Khare,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80" xr:uid="{00000000-0002-0000-0000-000002000000}">
      <formula1>"300000,350000,400000,500000,600000,700000,800000,900000,1000000,1200000,1400000,1500000,1600000"</formula1>
    </dataValidation>
    <dataValidation type="list" allowBlank="1" showInputMessage="1" showErrorMessage="1" sqref="F100"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100" xr:uid="{00000000-0002-0000-0000-000006000000}">
      <formula1>"Sale /         Rehab /           PTC,Sale / Mhada,Sale / Landowner"</formula1>
    </dataValidation>
  </dataValidations>
  <hyperlinks>
    <hyperlink ref="C23" r:id="rId1" xr:uid="{00000000-0004-0000-0000-000000000000}"/>
    <hyperlink ref="I46" r:id="rId2" xr:uid="{00000000-0004-0000-0000-000001000000}"/>
    <hyperlink ref="I24" r:id="rId3" xr:uid="{00000000-0004-0000-0000-000002000000}"/>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4" manualBreakCount="4">
    <brk id="192" max="16383" man="1"/>
    <brk id="199" max="8" man="1"/>
    <brk id="247" max="16383" man="1"/>
    <brk id="297"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9" t="s">
        <v>67</v>
      </c>
      <c r="B3" s="139"/>
      <c r="C3" s="139"/>
      <c r="D3" s="139"/>
      <c r="E3" s="139"/>
      <c r="F3" s="139"/>
      <c r="G3" s="139"/>
      <c r="H3" s="139"/>
      <c r="I3" s="139"/>
    </row>
    <row r="4" spans="1:11" s="1" customFormat="1" ht="20.25" customHeight="1" x14ac:dyDescent="0.3">
      <c r="A4" s="191">
        <v>1</v>
      </c>
      <c r="B4" s="191"/>
      <c r="C4" s="191"/>
      <c r="D4" s="192" t="s">
        <v>4</v>
      </c>
      <c r="E4" s="32" t="s">
        <v>115</v>
      </c>
      <c r="F4" s="182" t="s">
        <v>102</v>
      </c>
      <c r="G4" s="182"/>
      <c r="H4" s="32" t="s">
        <v>116</v>
      </c>
      <c r="I4" s="32" t="s">
        <v>117</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1"/>
      <c r="B5" s="191"/>
      <c r="C5" s="191"/>
      <c r="D5" s="192"/>
      <c r="E5" s="32">
        <v>3</v>
      </c>
      <c r="F5" s="182">
        <v>1</v>
      </c>
      <c r="G5" s="182"/>
      <c r="H5" s="32">
        <v>0</v>
      </c>
      <c r="I5" s="32">
        <f ca="1">--TRIM(RIGHT(SUBSTITUTE(LEFT(A4,_xlfn.AGGREGATE(16,6,FIND({0,1,2,3,4,5,6,7,8,9},A4,ROW(INDIRECT("1:"&amp;LEN(A4)))),1))," ",REPT(" ",LEN(A4))),LEN(A4)))</f>
        <v>1</v>
      </c>
      <c r="J5" s="16" t="s">
        <v>121</v>
      </c>
      <c r="K5" s="17"/>
    </row>
    <row r="6" spans="1:11" s="1" customFormat="1" ht="20.25" customHeight="1" x14ac:dyDescent="0.3">
      <c r="A6" s="181" t="s">
        <v>119</v>
      </c>
      <c r="B6" s="181"/>
      <c r="C6" s="181" t="s">
        <v>129</v>
      </c>
      <c r="D6" s="181"/>
      <c r="E6" s="33" t="s">
        <v>130</v>
      </c>
      <c r="F6" s="181" t="s">
        <v>120</v>
      </c>
      <c r="G6" s="181"/>
      <c r="H6" s="28" t="s">
        <v>118</v>
      </c>
      <c r="I6" s="28"/>
      <c r="J6" s="19" t="s">
        <v>131</v>
      </c>
      <c r="K6" s="18">
        <f ca="1">I5*25%</f>
        <v>0.25</v>
      </c>
    </row>
    <row r="7" spans="1:11" s="1" customFormat="1" ht="20.25" customHeight="1" x14ac:dyDescent="0.3">
      <c r="A7" s="166" t="s">
        <v>132</v>
      </c>
      <c r="B7" s="166"/>
      <c r="C7" s="182">
        <f ca="1">K8</f>
        <v>1</v>
      </c>
      <c r="D7" s="182"/>
      <c r="E7" s="31">
        <f ca="1">((100/I5)*C7)/100</f>
        <v>1</v>
      </c>
      <c r="F7" s="166">
        <f ca="1">(((C7/I5*5)+(C8/I5*20)+(25/(F5+H5+I5)*C9)+(5/(I5)*C10)+(2.5/(I5)*C11)+(2.5/(I5)*C12)+(5/I5*C13)+(10/I5*C14)+(2.5/I5*C15)+(2.5/I5*C16)+(10/I5*C17)+(10/I5*C18))/100)</f>
        <v>0.25</v>
      </c>
      <c r="G7" s="166"/>
      <c r="H7" s="166" t="str">
        <f ca="1">J4</f>
        <v>Excavation work Completed. Plinth work completed</v>
      </c>
      <c r="I7" s="166"/>
      <c r="J7" s="19" t="s">
        <v>122</v>
      </c>
      <c r="K7" s="23">
        <f ca="1">I5*50%</f>
        <v>0.5</v>
      </c>
    </row>
    <row r="8" spans="1:11" s="1" customFormat="1" ht="20.25" x14ac:dyDescent="0.3">
      <c r="A8" s="166" t="s">
        <v>103</v>
      </c>
      <c r="B8" s="166"/>
      <c r="C8" s="193">
        <f ca="1">K16</f>
        <v>1</v>
      </c>
      <c r="D8" s="182"/>
      <c r="E8" s="31">
        <f ca="1">((100/I5)*C8)/100</f>
        <v>1</v>
      </c>
      <c r="F8" s="166"/>
      <c r="G8" s="166"/>
      <c r="H8" s="166"/>
      <c r="I8" s="166"/>
      <c r="J8" s="19" t="s">
        <v>123</v>
      </c>
      <c r="K8" s="23">
        <f ca="1">I5</f>
        <v>1</v>
      </c>
    </row>
    <row r="9" spans="1:11" s="1" customFormat="1" ht="21" customHeight="1" x14ac:dyDescent="0.35">
      <c r="A9" s="166" t="s">
        <v>133</v>
      </c>
      <c r="B9" s="166"/>
      <c r="C9" s="182">
        <v>0</v>
      </c>
      <c r="D9" s="182"/>
      <c r="E9" s="31">
        <f ca="1">((100/(F5+H5+I5))*C9)/100</f>
        <v>0</v>
      </c>
      <c r="F9" s="166"/>
      <c r="G9" s="166"/>
      <c r="H9" s="166"/>
      <c r="I9" s="166"/>
      <c r="J9" s="19" t="s">
        <v>124</v>
      </c>
      <c r="K9" s="24">
        <f ca="1">(IF(E5&gt;1,(I5/(E5+2)),I5*0.2))</f>
        <v>0.2</v>
      </c>
    </row>
    <row r="10" spans="1:11" s="1" customFormat="1" ht="21" customHeight="1" x14ac:dyDescent="0.35">
      <c r="A10" s="166" t="s">
        <v>134</v>
      </c>
      <c r="B10" s="166"/>
      <c r="C10" s="182">
        <v>0</v>
      </c>
      <c r="D10" s="182"/>
      <c r="E10" s="31">
        <f ca="1">((100/I5)*C10)/100</f>
        <v>0</v>
      </c>
      <c r="F10" s="166"/>
      <c r="G10" s="166"/>
      <c r="H10" s="166"/>
      <c r="I10" s="166"/>
      <c r="J10" s="19" t="s">
        <v>125</v>
      </c>
      <c r="K10" s="24">
        <f ca="1">(IF(E5&gt;1,(I5/(E5+2)+K9),I5*0.2+K9))</f>
        <v>0.4</v>
      </c>
    </row>
    <row r="11" spans="1:11" s="1" customFormat="1" ht="21" customHeight="1" x14ac:dyDescent="0.35">
      <c r="A11" s="189" t="s">
        <v>135</v>
      </c>
      <c r="B11" s="190"/>
      <c r="C11" s="182">
        <v>0</v>
      </c>
      <c r="D11" s="182"/>
      <c r="E11" s="31">
        <f ca="1">((100/I5)*C11)/100</f>
        <v>0</v>
      </c>
      <c r="F11" s="166"/>
      <c r="G11" s="166"/>
      <c r="H11" s="166"/>
      <c r="I11" s="166"/>
      <c r="J11" s="19" t="s">
        <v>136</v>
      </c>
      <c r="K11" s="24">
        <f ca="1">(IF(E5&gt;1,(I5/(E5+2)+K10),0))</f>
        <v>0.60000000000000009</v>
      </c>
    </row>
    <row r="12" spans="1:11" s="1" customFormat="1" ht="21" customHeight="1" x14ac:dyDescent="0.35">
      <c r="A12" s="189" t="s">
        <v>166</v>
      </c>
      <c r="B12" s="190"/>
      <c r="C12" s="182">
        <v>0</v>
      </c>
      <c r="D12" s="182"/>
      <c r="E12" s="31">
        <f ca="1">((100/I5)*C12)/100</f>
        <v>0</v>
      </c>
      <c r="F12" s="166"/>
      <c r="G12" s="166"/>
      <c r="H12" s="166"/>
      <c r="I12" s="166"/>
      <c r="J12" s="19" t="s">
        <v>137</v>
      </c>
      <c r="K12" s="24">
        <f ca="1">(IF(E5&gt;2,(I5/(E5+2)+K11),0))</f>
        <v>0.8</v>
      </c>
    </row>
    <row r="13" spans="1:11" s="1" customFormat="1" ht="57.75" customHeight="1" x14ac:dyDescent="0.35">
      <c r="A13" s="189" t="s">
        <v>163</v>
      </c>
      <c r="B13" s="190"/>
      <c r="C13" s="182">
        <v>0</v>
      </c>
      <c r="D13" s="182"/>
      <c r="E13" s="31">
        <f ca="1">((100/(I5))*C13)/100</f>
        <v>0</v>
      </c>
      <c r="F13" s="166"/>
      <c r="G13" s="166"/>
      <c r="H13" s="166"/>
      <c r="I13" s="166"/>
      <c r="J13" s="19" t="s">
        <v>139</v>
      </c>
      <c r="K13" s="25">
        <f>(IF(E5&gt;3,(I5/(E5+2)+K12),0))</f>
        <v>0</v>
      </c>
    </row>
    <row r="14" spans="1:11" s="1" customFormat="1" ht="21" x14ac:dyDescent="0.35">
      <c r="A14" s="166" t="s">
        <v>138</v>
      </c>
      <c r="B14" s="166"/>
      <c r="C14" s="182">
        <v>0</v>
      </c>
      <c r="D14" s="182"/>
      <c r="E14" s="31">
        <f ca="1">((100/(I5))*C14)/100</f>
        <v>0</v>
      </c>
      <c r="F14" s="166"/>
      <c r="G14" s="166"/>
      <c r="H14" s="166"/>
      <c r="I14" s="166"/>
      <c r="J14" s="19" t="s">
        <v>140</v>
      </c>
      <c r="K14" s="24">
        <f>(IF(E5&gt;4,(I5/(E5+2)+K13),0))</f>
        <v>0</v>
      </c>
    </row>
    <row r="15" spans="1:11" s="1" customFormat="1" ht="21" customHeight="1" x14ac:dyDescent="0.35">
      <c r="A15" s="166" t="s">
        <v>165</v>
      </c>
      <c r="B15" s="166"/>
      <c r="C15" s="182">
        <v>0</v>
      </c>
      <c r="D15" s="182"/>
      <c r="E15" s="31">
        <f ca="1">((100/I5)*C15)/100</f>
        <v>0</v>
      </c>
      <c r="F15" s="166"/>
      <c r="G15" s="166"/>
      <c r="H15" s="166"/>
      <c r="I15" s="166"/>
      <c r="J15" s="19" t="s">
        <v>126</v>
      </c>
      <c r="K15" s="24">
        <f>(IF(E5=1,(I5/(E5+3)+K10),IF(E5=0,(I5*0.3+K10),IF(E5&gt;1,0))))</f>
        <v>0</v>
      </c>
    </row>
    <row r="16" spans="1:11" s="1" customFormat="1" ht="21.75" thickBot="1" x14ac:dyDescent="0.4">
      <c r="A16" s="166" t="s">
        <v>164</v>
      </c>
      <c r="B16" s="166"/>
      <c r="C16" s="182">
        <v>0</v>
      </c>
      <c r="D16" s="182"/>
      <c r="E16" s="31">
        <f ca="1">((100/I5)*C16)/100</f>
        <v>0</v>
      </c>
      <c r="F16" s="166"/>
      <c r="G16" s="166"/>
      <c r="H16" s="166"/>
      <c r="I16" s="166"/>
      <c r="J16" s="21" t="s">
        <v>127</v>
      </c>
      <c r="K16" s="26">
        <f ca="1">(IF(E5&gt;1.5,(I5/(E5+2)+K10+MAX(0,K11-K10)+MAX(0,K12-K11)+MAX(0,K13-K12)+MAX(0,K14-K13)+MAX(0,K15-K14)),IF(E5=1,(I5/(E5+3)+K15),IF(E5=0,I5*0.3+K15))))</f>
        <v>1</v>
      </c>
    </row>
    <row r="17" spans="1:9" s="1" customFormat="1" ht="20.25" x14ac:dyDescent="0.25">
      <c r="A17" s="166" t="s">
        <v>141</v>
      </c>
      <c r="B17" s="166"/>
      <c r="C17" s="182">
        <v>0</v>
      </c>
      <c r="D17" s="182"/>
      <c r="E17" s="31">
        <f ca="1">((100/(I5))*C17)/100</f>
        <v>0</v>
      </c>
      <c r="F17" s="166"/>
      <c r="G17" s="166"/>
      <c r="H17" s="166"/>
      <c r="I17" s="166"/>
    </row>
    <row r="18" spans="1:9" s="1" customFormat="1" ht="20.25" x14ac:dyDescent="0.25">
      <c r="A18" s="166" t="s">
        <v>142</v>
      </c>
      <c r="B18" s="166"/>
      <c r="C18" s="182">
        <v>0</v>
      </c>
      <c r="D18" s="182"/>
      <c r="E18" s="31">
        <f ca="1">((100/(I5))*C18)/100</f>
        <v>0</v>
      </c>
      <c r="F18" s="166"/>
      <c r="G18" s="166"/>
      <c r="H18" s="166"/>
      <c r="I18" s="166"/>
    </row>
    <row r="23" spans="1:9" x14ac:dyDescent="0.25">
      <c r="B23" s="194" t="s">
        <v>167</v>
      </c>
      <c r="C23" s="194"/>
      <c r="D23" s="194"/>
      <c r="E23" s="194"/>
      <c r="F23" s="194"/>
      <c r="G23" s="194"/>
    </row>
    <row r="24" spans="1:9" ht="14.45" customHeight="1" x14ac:dyDescent="0.25">
      <c r="B24" s="197" t="s">
        <v>168</v>
      </c>
      <c r="C24" s="197" t="s">
        <v>169</v>
      </c>
      <c r="D24" s="200" t="s">
        <v>170</v>
      </c>
      <c r="E24" s="201" t="s">
        <v>171</v>
      </c>
      <c r="F24" s="198" t="s">
        <v>172</v>
      </c>
      <c r="G24" s="197" t="s">
        <v>173</v>
      </c>
    </row>
    <row r="25" spans="1:9" x14ac:dyDescent="0.25">
      <c r="B25" s="197"/>
      <c r="C25" s="197"/>
      <c r="D25" s="200"/>
      <c r="E25" s="201"/>
      <c r="F25" s="198"/>
      <c r="G25" s="197"/>
    </row>
    <row r="26" spans="1:9" x14ac:dyDescent="0.25">
      <c r="B26" s="44" t="s">
        <v>174</v>
      </c>
      <c r="C26" s="45">
        <v>10</v>
      </c>
      <c r="D26" s="45">
        <v>1</v>
      </c>
      <c r="E26" s="46"/>
      <c r="F26" s="47">
        <f>((E26/D26)*0.05)*100</f>
        <v>0</v>
      </c>
      <c r="G26" s="47">
        <f t="shared" ref="G26:G37" si="0">((E26/D26)*(C26/100))*100</f>
        <v>0</v>
      </c>
    </row>
    <row r="27" spans="1:9" x14ac:dyDescent="0.25">
      <c r="B27" s="44" t="s">
        <v>175</v>
      </c>
      <c r="C27" s="46">
        <v>10</v>
      </c>
      <c r="D27" s="46">
        <v>1</v>
      </c>
      <c r="E27" s="46"/>
      <c r="F27" s="47">
        <f>((E27/D27)*0.05)*100</f>
        <v>0</v>
      </c>
      <c r="G27" s="47">
        <f t="shared" si="0"/>
        <v>0</v>
      </c>
    </row>
    <row r="28" spans="1:9" x14ac:dyDescent="0.25">
      <c r="B28" s="44" t="s">
        <v>176</v>
      </c>
      <c r="C28" s="46">
        <v>15</v>
      </c>
      <c r="D28" s="46">
        <v>1</v>
      </c>
      <c r="E28" s="46"/>
      <c r="F28" s="47">
        <f>((E28/D28)*0.15)*100</f>
        <v>0</v>
      </c>
      <c r="G28" s="47">
        <f t="shared" si="0"/>
        <v>0</v>
      </c>
    </row>
    <row r="29" spans="1:9" x14ac:dyDescent="0.25">
      <c r="B29" s="48" t="s">
        <v>177</v>
      </c>
      <c r="C29" s="46">
        <v>25</v>
      </c>
      <c r="D29" s="46">
        <v>40</v>
      </c>
      <c r="E29" s="46"/>
      <c r="F29" s="47">
        <f>((E29/D29)*0.25)*100</f>
        <v>0</v>
      </c>
      <c r="G29" s="47">
        <f t="shared" si="0"/>
        <v>0</v>
      </c>
    </row>
    <row r="30" spans="1:9" x14ac:dyDescent="0.25">
      <c r="B30" s="48" t="s">
        <v>178</v>
      </c>
      <c r="C30" s="46">
        <v>5</v>
      </c>
      <c r="D30" s="46">
        <v>39</v>
      </c>
      <c r="E30" s="46"/>
      <c r="F30" s="47">
        <f>((E30/D30)*0.05)*100</f>
        <v>0</v>
      </c>
      <c r="G30" s="47">
        <f t="shared" si="0"/>
        <v>0</v>
      </c>
    </row>
    <row r="31" spans="1:9" ht="30" x14ac:dyDescent="0.25">
      <c r="B31" s="48" t="s">
        <v>179</v>
      </c>
      <c r="C31" s="46">
        <v>2.5</v>
      </c>
      <c r="D31" s="46">
        <v>39</v>
      </c>
      <c r="E31" s="46"/>
      <c r="F31" s="47">
        <f>((E31/D31)*0.025)*100</f>
        <v>0</v>
      </c>
      <c r="G31" s="47">
        <f t="shared" si="0"/>
        <v>0</v>
      </c>
    </row>
    <row r="32" spans="1:9" ht="30" x14ac:dyDescent="0.25">
      <c r="B32" s="48" t="s">
        <v>180</v>
      </c>
      <c r="C32" s="46">
        <v>2.5</v>
      </c>
      <c r="D32" s="46">
        <v>39</v>
      </c>
      <c r="E32" s="46"/>
      <c r="F32" s="47">
        <f>((E32/D32)*0.025)*100</f>
        <v>0</v>
      </c>
      <c r="G32" s="47">
        <f t="shared" si="0"/>
        <v>0</v>
      </c>
    </row>
    <row r="33" spans="1:7" ht="45" x14ac:dyDescent="0.25">
      <c r="B33" s="49" t="s">
        <v>181</v>
      </c>
      <c r="C33" s="46">
        <v>5</v>
      </c>
      <c r="D33" s="46">
        <v>39</v>
      </c>
      <c r="E33" s="46"/>
      <c r="F33" s="47">
        <f>((E33/D33)*0.05)*100</f>
        <v>0</v>
      </c>
      <c r="G33" s="47">
        <f t="shared" si="0"/>
        <v>0</v>
      </c>
    </row>
    <row r="34" spans="1:7" ht="30" x14ac:dyDescent="0.25">
      <c r="B34" s="49" t="s">
        <v>182</v>
      </c>
      <c r="C34" s="46">
        <v>5</v>
      </c>
      <c r="D34" s="46">
        <v>39</v>
      </c>
      <c r="E34" s="46"/>
      <c r="F34" s="47">
        <f>((E34/D34)*0.1)*100</f>
        <v>0</v>
      </c>
      <c r="G34" s="47">
        <f t="shared" si="0"/>
        <v>0</v>
      </c>
    </row>
    <row r="35" spans="1:7" ht="30" x14ac:dyDescent="0.25">
      <c r="B35" s="49" t="s">
        <v>183</v>
      </c>
      <c r="C35" s="46">
        <v>5</v>
      </c>
      <c r="D35" s="46">
        <v>39</v>
      </c>
      <c r="E35" s="46"/>
      <c r="F35" s="47">
        <f>((E35/D35)*0.05)*100</f>
        <v>0</v>
      </c>
      <c r="G35" s="47">
        <f t="shared" si="0"/>
        <v>0</v>
      </c>
    </row>
    <row r="36" spans="1:7" ht="60" x14ac:dyDescent="0.25">
      <c r="B36" s="49" t="s">
        <v>184</v>
      </c>
      <c r="C36" s="46">
        <v>10</v>
      </c>
      <c r="D36" s="46">
        <v>39</v>
      </c>
      <c r="E36" s="46"/>
      <c r="F36" s="47">
        <f>((E36/D36)*0.1)*100</f>
        <v>0</v>
      </c>
      <c r="G36" s="47">
        <f t="shared" si="0"/>
        <v>0</v>
      </c>
    </row>
    <row r="37" spans="1:7" ht="45" x14ac:dyDescent="0.25">
      <c r="B37" s="49" t="s">
        <v>185</v>
      </c>
      <c r="C37" s="46">
        <v>5</v>
      </c>
      <c r="D37" s="46">
        <v>39</v>
      </c>
      <c r="E37" s="46"/>
      <c r="F37" s="47">
        <f>((E37/D37)*0.1)*100</f>
        <v>0</v>
      </c>
      <c r="G37" s="47">
        <f t="shared" si="0"/>
        <v>0</v>
      </c>
    </row>
    <row r="38" spans="1:7" ht="15.75" x14ac:dyDescent="0.25">
      <c r="B38" s="50" t="s">
        <v>186</v>
      </c>
      <c r="C38" s="51">
        <f>SUM(C26:C37)</f>
        <v>100</v>
      </c>
      <c r="D38" s="50"/>
      <c r="E38" s="50"/>
      <c r="F38" s="51">
        <f>SUM(F26:F37)</f>
        <v>0</v>
      </c>
      <c r="G38" s="51">
        <f>SUM(G26:G37)</f>
        <v>0</v>
      </c>
    </row>
    <row r="39" spans="1:7" x14ac:dyDescent="0.25">
      <c r="B39" s="198" t="s">
        <v>187</v>
      </c>
      <c r="C39" s="198"/>
      <c r="D39" s="198"/>
      <c r="E39" s="198"/>
      <c r="F39" s="198"/>
      <c r="G39" s="198"/>
    </row>
    <row r="40" spans="1:7" x14ac:dyDescent="0.25">
      <c r="B40" s="199" t="s">
        <v>188</v>
      </c>
      <c r="C40" s="199"/>
      <c r="D40" s="199"/>
      <c r="E40" s="199" t="s">
        <v>189</v>
      </c>
      <c r="F40" s="199"/>
      <c r="G40" s="199"/>
    </row>
    <row r="41" spans="1:7" x14ac:dyDescent="0.25">
      <c r="B41" s="195" t="s">
        <v>190</v>
      </c>
      <c r="C41" s="195"/>
      <c r="D41" s="195"/>
      <c r="E41" s="195" t="s">
        <v>191</v>
      </c>
      <c r="F41" s="195"/>
      <c r="G41" s="195"/>
    </row>
    <row r="42" spans="1:7" x14ac:dyDescent="0.25">
      <c r="B42" s="195" t="s">
        <v>192</v>
      </c>
      <c r="C42" s="195"/>
      <c r="D42" s="195"/>
      <c r="E42" s="195" t="s">
        <v>193</v>
      </c>
      <c r="F42" s="195"/>
      <c r="G42" s="195"/>
    </row>
    <row r="43" spans="1:7" x14ac:dyDescent="0.25">
      <c r="B43" s="196" t="s">
        <v>194</v>
      </c>
      <c r="C43" s="196"/>
      <c r="D43" s="196"/>
      <c r="E43" s="196" t="s">
        <v>195</v>
      </c>
      <c r="F43" s="196"/>
      <c r="G43" s="196"/>
    </row>
    <row r="45" spans="1:7" ht="15.75" thickBot="1" x14ac:dyDescent="0.3"/>
    <row r="46" spans="1:7" ht="17.25" thickTop="1" thickBot="1" x14ac:dyDescent="0.3">
      <c r="A46" s="52" t="s">
        <v>196</v>
      </c>
      <c r="B46" s="52" t="s">
        <v>168</v>
      </c>
      <c r="C46" s="53" t="s">
        <v>197</v>
      </c>
      <c r="D46" s="53" t="s">
        <v>198</v>
      </c>
      <c r="E46" s="53" t="s">
        <v>199</v>
      </c>
    </row>
    <row r="47" spans="1:7" ht="31.5" thickTop="1" thickBot="1" x14ac:dyDescent="0.3">
      <c r="A47" s="54">
        <v>1</v>
      </c>
      <c r="B47" s="55" t="s">
        <v>200</v>
      </c>
      <c r="C47" s="56">
        <v>0</v>
      </c>
      <c r="D47" s="57">
        <v>0.1</v>
      </c>
      <c r="E47" s="56">
        <v>0.1</v>
      </c>
    </row>
    <row r="48" spans="1:7" ht="31.5" thickTop="1" thickBot="1" x14ac:dyDescent="0.3">
      <c r="A48" s="54">
        <v>2</v>
      </c>
      <c r="B48" s="55" t="s">
        <v>201</v>
      </c>
      <c r="C48" s="56" t="s">
        <v>202</v>
      </c>
      <c r="D48" s="57" t="s">
        <v>203</v>
      </c>
      <c r="E48" s="56">
        <v>0.3</v>
      </c>
    </row>
    <row r="49" spans="1:5" ht="61.5" thickTop="1" thickBot="1" x14ac:dyDescent="0.3">
      <c r="A49" s="54">
        <v>3</v>
      </c>
      <c r="B49" s="55" t="s">
        <v>204</v>
      </c>
      <c r="C49" s="56" t="s">
        <v>205</v>
      </c>
      <c r="D49" s="57" t="s">
        <v>206</v>
      </c>
      <c r="E49" s="56">
        <v>0.45</v>
      </c>
    </row>
    <row r="50" spans="1:5" ht="76.5" thickTop="1" thickBot="1" x14ac:dyDescent="0.3">
      <c r="A50" s="54">
        <v>4</v>
      </c>
      <c r="B50" s="55" t="s">
        <v>207</v>
      </c>
      <c r="C50" s="56" t="s">
        <v>208</v>
      </c>
      <c r="D50" s="57" t="s">
        <v>209</v>
      </c>
      <c r="E50" s="56">
        <v>0.7</v>
      </c>
    </row>
    <row r="51" spans="1:5" ht="76.5" thickTop="1" thickBot="1" x14ac:dyDescent="0.3">
      <c r="A51" s="54">
        <v>5</v>
      </c>
      <c r="B51" s="55" t="s">
        <v>210</v>
      </c>
      <c r="C51" s="56" t="s">
        <v>211</v>
      </c>
      <c r="D51" s="57" t="s">
        <v>212</v>
      </c>
      <c r="E51" s="56">
        <v>0.75</v>
      </c>
    </row>
    <row r="52" spans="1:5" ht="76.5" thickTop="1" thickBot="1" x14ac:dyDescent="0.3">
      <c r="A52" s="54">
        <v>6</v>
      </c>
      <c r="B52" s="55" t="s">
        <v>213</v>
      </c>
      <c r="C52" s="56" t="s">
        <v>214</v>
      </c>
      <c r="D52" s="57" t="s">
        <v>215</v>
      </c>
      <c r="E52" s="56">
        <v>0.8</v>
      </c>
    </row>
    <row r="53" spans="1:5" ht="121.5" thickTop="1" thickBot="1" x14ac:dyDescent="0.3">
      <c r="A53" s="54">
        <v>7</v>
      </c>
      <c r="B53" s="55" t="s">
        <v>216</v>
      </c>
      <c r="C53" s="56" t="s">
        <v>217</v>
      </c>
      <c r="D53" s="57" t="s">
        <v>218</v>
      </c>
      <c r="E53" s="56">
        <v>0.85</v>
      </c>
    </row>
    <row r="54" spans="1:5" ht="211.5" thickTop="1" thickBot="1" x14ac:dyDescent="0.3">
      <c r="A54" s="54">
        <v>8</v>
      </c>
      <c r="B54" s="55" t="s">
        <v>219</v>
      </c>
      <c r="C54" s="56" t="s">
        <v>220</v>
      </c>
      <c r="D54" s="57" t="s">
        <v>221</v>
      </c>
      <c r="E54" s="56">
        <v>0.95</v>
      </c>
    </row>
    <row r="55" spans="1:5" ht="91.5" thickTop="1" thickBot="1" x14ac:dyDescent="0.3">
      <c r="A55" s="54">
        <v>9</v>
      </c>
      <c r="B55" s="55" t="s">
        <v>222</v>
      </c>
      <c r="C55" s="56" t="s">
        <v>223</v>
      </c>
      <c r="D55" s="57" t="s">
        <v>224</v>
      </c>
      <c r="E55" s="56">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6">
        <v>1</v>
      </c>
      <c r="C2" s="64" t="s">
        <v>240</v>
      </c>
    </row>
    <row r="3" spans="2:3" x14ac:dyDescent="0.25">
      <c r="B3" s="46">
        <v>2</v>
      </c>
      <c r="C3" s="65" t="s">
        <v>241</v>
      </c>
    </row>
    <row r="4" spans="2:3" x14ac:dyDescent="0.25">
      <c r="B4" s="46">
        <v>3</v>
      </c>
      <c r="C4" s="66" t="s">
        <v>242</v>
      </c>
    </row>
    <row r="5" spans="2:3" x14ac:dyDescent="0.25">
      <c r="B5" s="46">
        <v>4</v>
      </c>
      <c r="C5" s="65" t="s">
        <v>243</v>
      </c>
    </row>
    <row r="6" spans="2:3" x14ac:dyDescent="0.25">
      <c r="B6" s="46">
        <v>5</v>
      </c>
      <c r="C6" s="66" t="s">
        <v>244</v>
      </c>
    </row>
    <row r="7" spans="2:3" ht="30" x14ac:dyDescent="0.25">
      <c r="B7" s="46">
        <v>6</v>
      </c>
      <c r="C7" s="65" t="s">
        <v>245</v>
      </c>
    </row>
    <row r="8" spans="2:3" ht="75" x14ac:dyDescent="0.25">
      <c r="B8" s="46">
        <v>7</v>
      </c>
      <c r="C8" s="65" t="s">
        <v>246</v>
      </c>
    </row>
    <row r="9" spans="2:3" x14ac:dyDescent="0.25">
      <c r="B9" s="46">
        <v>8</v>
      </c>
      <c r="C9" s="66" t="s">
        <v>247</v>
      </c>
    </row>
    <row r="10" spans="2:3" x14ac:dyDescent="0.25">
      <c r="B10" s="46">
        <v>9</v>
      </c>
      <c r="C10" s="66" t="s">
        <v>248</v>
      </c>
    </row>
    <row r="11" spans="2:3" x14ac:dyDescent="0.25">
      <c r="B11" s="46">
        <v>10</v>
      </c>
      <c r="C11" s="66" t="s">
        <v>249</v>
      </c>
    </row>
    <row r="12" spans="2:3" x14ac:dyDescent="0.25">
      <c r="B12" s="46">
        <v>11</v>
      </c>
      <c r="C12" s="66" t="s">
        <v>250</v>
      </c>
    </row>
    <row r="13" spans="2:3" x14ac:dyDescent="0.25">
      <c r="B13" s="46">
        <v>12</v>
      </c>
      <c r="C13" s="66" t="s">
        <v>251</v>
      </c>
    </row>
    <row r="14" spans="2:3" x14ac:dyDescent="0.25">
      <c r="B14" s="46">
        <v>13</v>
      </c>
      <c r="C14" s="66" t="s">
        <v>252</v>
      </c>
    </row>
    <row r="15" spans="2:3" x14ac:dyDescent="0.25">
      <c r="B15" s="46">
        <v>14</v>
      </c>
      <c r="C15" s="66" t="s">
        <v>242</v>
      </c>
    </row>
    <row r="16" spans="2:3" x14ac:dyDescent="0.25">
      <c r="B16" s="46">
        <v>15</v>
      </c>
      <c r="C16" s="66" t="s">
        <v>236</v>
      </c>
    </row>
    <row r="17" spans="2:3" x14ac:dyDescent="0.25">
      <c r="B17" s="67">
        <v>16</v>
      </c>
      <c r="C17" s="68" t="s">
        <v>253</v>
      </c>
    </row>
    <row r="18" spans="2:3" x14ac:dyDescent="0.25">
      <c r="B18" s="69">
        <v>17</v>
      </c>
      <c r="C18" s="68" t="s">
        <v>254</v>
      </c>
    </row>
    <row r="19" spans="2:3" x14ac:dyDescent="0.25">
      <c r="B19" s="70">
        <v>18</v>
      </c>
      <c r="C19" s="46" t="s">
        <v>255</v>
      </c>
    </row>
    <row r="20" spans="2:3" x14ac:dyDescent="0.25">
      <c r="B20" s="69">
        <v>19</v>
      </c>
      <c r="C20" s="46" t="s">
        <v>256</v>
      </c>
    </row>
    <row r="21" spans="2:3" x14ac:dyDescent="0.25">
      <c r="B21" s="71">
        <v>20</v>
      </c>
      <c r="C21" s="46" t="s">
        <v>257</v>
      </c>
    </row>
    <row r="22" spans="2:3" x14ac:dyDescent="0.25">
      <c r="B22" s="69">
        <v>21</v>
      </c>
      <c r="C22" s="46" t="s">
        <v>255</v>
      </c>
    </row>
    <row r="23" spans="2:3" s="73" customFormat="1" ht="30" x14ac:dyDescent="0.25">
      <c r="B23" s="72">
        <v>22</v>
      </c>
      <c r="C23" s="64" t="s">
        <v>258</v>
      </c>
    </row>
    <row r="24" spans="2:3" s="73" customFormat="1" ht="30" x14ac:dyDescent="0.25">
      <c r="B24" s="74">
        <v>23</v>
      </c>
      <c r="C24" s="64" t="s">
        <v>259</v>
      </c>
    </row>
    <row r="25" spans="2:3" x14ac:dyDescent="0.25">
      <c r="B25" s="71">
        <v>24</v>
      </c>
      <c r="C25" s="46" t="s">
        <v>260</v>
      </c>
    </row>
    <row r="26" spans="2:3" x14ac:dyDescent="0.25">
      <c r="B26" s="69">
        <v>25</v>
      </c>
      <c r="C26" s="46" t="s">
        <v>261</v>
      </c>
    </row>
    <row r="27" spans="2:3" x14ac:dyDescent="0.25">
      <c r="B27" s="74">
        <v>26</v>
      </c>
      <c r="C27" s="71" t="s">
        <v>262</v>
      </c>
    </row>
    <row r="28" spans="2:3" x14ac:dyDescent="0.25">
      <c r="B28" s="75">
        <v>27</v>
      </c>
      <c r="C28" s="46" t="s">
        <v>263</v>
      </c>
    </row>
    <row r="29" spans="2:3" ht="60" x14ac:dyDescent="0.25">
      <c r="B29" s="76">
        <v>28</v>
      </c>
      <c r="C29" s="65" t="s">
        <v>264</v>
      </c>
    </row>
    <row r="30" spans="2:3" x14ac:dyDescent="0.25">
      <c r="B30" s="74">
        <v>29</v>
      </c>
      <c r="C30" s="46" t="s">
        <v>265</v>
      </c>
    </row>
    <row r="31" spans="2:3" ht="30" x14ac:dyDescent="0.25">
      <c r="B31" s="77">
        <v>30</v>
      </c>
      <c r="C31" s="65" t="s">
        <v>293</v>
      </c>
    </row>
    <row r="32" spans="2:3" x14ac:dyDescent="0.25">
      <c r="B32" s="74">
        <v>31</v>
      </c>
      <c r="C32" s="46" t="s">
        <v>294</v>
      </c>
    </row>
    <row r="33" spans="2:3" x14ac:dyDescent="0.25">
      <c r="B33" s="74">
        <v>32</v>
      </c>
      <c r="C33" s="46" t="s">
        <v>295</v>
      </c>
    </row>
    <row r="34" spans="2:3" ht="30" x14ac:dyDescent="0.25">
      <c r="B34" s="77">
        <v>33</v>
      </c>
      <c r="C34" s="68" t="s">
        <v>296</v>
      </c>
    </row>
    <row r="35" spans="2:3" x14ac:dyDescent="0.25">
      <c r="B35" s="74">
        <v>34</v>
      </c>
      <c r="C35" s="46"/>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78"/>
    <col min="2" max="2" width="12.28515625" style="78" customWidth="1"/>
    <col min="3" max="16384" width="9.140625" style="78"/>
  </cols>
  <sheetData>
    <row r="2" spans="1:12" x14ac:dyDescent="0.25">
      <c r="B2" s="79" t="s">
        <v>266</v>
      </c>
      <c r="C2" s="202"/>
      <c r="D2" s="202"/>
    </row>
    <row r="3" spans="1:12" x14ac:dyDescent="0.25">
      <c r="D3" s="80"/>
      <c r="E3" s="80"/>
      <c r="F3" s="80"/>
      <c r="G3" s="80"/>
      <c r="H3" s="80"/>
      <c r="I3" s="80"/>
    </row>
    <row r="4" spans="1:12" x14ac:dyDescent="0.25">
      <c r="A4" s="79" t="s">
        <v>267</v>
      </c>
      <c r="B4" s="63" t="s">
        <v>268</v>
      </c>
      <c r="C4" s="203" t="s">
        <v>269</v>
      </c>
      <c r="D4" s="203"/>
      <c r="E4" s="203"/>
      <c r="F4" s="63"/>
      <c r="G4" s="204" t="s">
        <v>270</v>
      </c>
      <c r="H4" s="204"/>
      <c r="I4" s="204"/>
      <c r="J4" s="205" t="s">
        <v>271</v>
      </c>
      <c r="K4" s="205"/>
      <c r="L4" s="205"/>
    </row>
    <row r="5" spans="1:12" x14ac:dyDescent="0.25">
      <c r="A5" s="79"/>
      <c r="B5" s="63"/>
      <c r="C5" s="63" t="s">
        <v>272</v>
      </c>
      <c r="D5" s="63" t="s">
        <v>273</v>
      </c>
      <c r="E5" s="63" t="s">
        <v>274</v>
      </c>
      <c r="F5" s="63"/>
      <c r="G5" s="63" t="s">
        <v>272</v>
      </c>
      <c r="H5" s="63" t="s">
        <v>273</v>
      </c>
      <c r="I5" s="63" t="s">
        <v>274</v>
      </c>
      <c r="J5" s="63" t="s">
        <v>272</v>
      </c>
      <c r="K5" s="63" t="s">
        <v>273</v>
      </c>
      <c r="L5" s="63" t="s">
        <v>274</v>
      </c>
    </row>
    <row r="6" spans="1:12" x14ac:dyDescent="0.25">
      <c r="B6" s="62" t="s">
        <v>275</v>
      </c>
      <c r="C6" s="62"/>
      <c r="D6" s="62"/>
      <c r="E6" s="62">
        <f>C6*D6</f>
        <v>0</v>
      </c>
      <c r="F6" s="62" t="s">
        <v>276</v>
      </c>
      <c r="G6" s="62"/>
      <c r="H6" s="62"/>
      <c r="I6" s="62">
        <f>G6*H6</f>
        <v>0</v>
      </c>
      <c r="J6" s="62"/>
      <c r="K6" s="62"/>
      <c r="L6" s="62">
        <f>J6*K6</f>
        <v>0</v>
      </c>
    </row>
    <row r="7" spans="1:12" x14ac:dyDescent="0.25">
      <c r="B7" s="62"/>
      <c r="C7" s="62"/>
      <c r="D7" s="62"/>
      <c r="E7" s="62">
        <f t="shared" ref="E7:E41" si="0">C7*D7</f>
        <v>0</v>
      </c>
      <c r="F7" s="62" t="s">
        <v>276</v>
      </c>
      <c r="G7" s="62"/>
      <c r="H7" s="62"/>
      <c r="I7" s="62">
        <f t="shared" ref="I7:I35" si="1">G7*H7</f>
        <v>0</v>
      </c>
      <c r="J7" s="62"/>
      <c r="K7" s="62"/>
      <c r="L7" s="62">
        <f t="shared" ref="L7:L35" si="2">J7*K7</f>
        <v>0</v>
      </c>
    </row>
    <row r="8" spans="1:12" x14ac:dyDescent="0.25">
      <c r="B8" s="62"/>
      <c r="C8" s="62"/>
      <c r="D8" s="62"/>
      <c r="E8" s="62">
        <f t="shared" si="0"/>
        <v>0</v>
      </c>
      <c r="F8" s="62"/>
      <c r="G8" s="62"/>
      <c r="H8" s="62"/>
      <c r="I8" s="62">
        <f t="shared" si="1"/>
        <v>0</v>
      </c>
      <c r="J8" s="62"/>
      <c r="K8" s="62"/>
      <c r="L8" s="62">
        <f t="shared" si="2"/>
        <v>0</v>
      </c>
    </row>
    <row r="9" spans="1:12" x14ac:dyDescent="0.25">
      <c r="B9" s="62"/>
      <c r="C9" s="62"/>
      <c r="D9" s="62"/>
      <c r="E9" s="62">
        <f t="shared" si="0"/>
        <v>0</v>
      </c>
      <c r="F9" s="62" t="s">
        <v>277</v>
      </c>
      <c r="G9" s="62"/>
      <c r="H9" s="62"/>
      <c r="I9" s="62">
        <f t="shared" si="1"/>
        <v>0</v>
      </c>
      <c r="J9" s="62"/>
      <c r="K9" s="62"/>
      <c r="L9" s="62">
        <f t="shared" si="2"/>
        <v>0</v>
      </c>
    </row>
    <row r="10" spans="1:12" x14ac:dyDescent="0.25">
      <c r="B10" s="62" t="s">
        <v>278</v>
      </c>
      <c r="C10" s="62"/>
      <c r="D10" s="62"/>
      <c r="E10" s="62">
        <f t="shared" si="0"/>
        <v>0</v>
      </c>
      <c r="F10" s="62" t="s">
        <v>277</v>
      </c>
      <c r="G10" s="62"/>
      <c r="H10" s="62"/>
      <c r="I10" s="62">
        <f t="shared" si="1"/>
        <v>0</v>
      </c>
      <c r="J10" s="62"/>
      <c r="K10" s="62"/>
      <c r="L10" s="62">
        <f t="shared" si="2"/>
        <v>0</v>
      </c>
    </row>
    <row r="11" spans="1:12" x14ac:dyDescent="0.25">
      <c r="B11" s="62"/>
      <c r="C11" s="62"/>
      <c r="D11" s="62"/>
      <c r="E11" s="62">
        <f t="shared" si="0"/>
        <v>0</v>
      </c>
      <c r="F11" s="62" t="s">
        <v>279</v>
      </c>
      <c r="G11" s="62"/>
      <c r="H11" s="62"/>
      <c r="I11" s="62">
        <f t="shared" si="1"/>
        <v>0</v>
      </c>
      <c r="J11" s="62"/>
      <c r="K11" s="62"/>
      <c r="L11" s="62">
        <f t="shared" si="2"/>
        <v>0</v>
      </c>
    </row>
    <row r="12" spans="1:12" x14ac:dyDescent="0.25">
      <c r="B12" s="62"/>
      <c r="C12" s="62"/>
      <c r="D12" s="62"/>
      <c r="E12" s="62">
        <f t="shared" si="0"/>
        <v>0</v>
      </c>
      <c r="F12" s="62"/>
      <c r="G12" s="62"/>
      <c r="H12" s="62"/>
      <c r="I12" s="62">
        <f t="shared" si="1"/>
        <v>0</v>
      </c>
      <c r="J12" s="62"/>
      <c r="K12" s="62"/>
      <c r="L12" s="62">
        <f t="shared" si="2"/>
        <v>0</v>
      </c>
    </row>
    <row r="13" spans="1:12" x14ac:dyDescent="0.25">
      <c r="B13" s="62"/>
      <c r="C13" s="62"/>
      <c r="D13" s="62"/>
      <c r="E13" s="62">
        <f t="shared" si="0"/>
        <v>0</v>
      </c>
      <c r="F13" s="62"/>
      <c r="G13" s="62"/>
      <c r="H13" s="62"/>
      <c r="I13" s="62">
        <f t="shared" si="1"/>
        <v>0</v>
      </c>
      <c r="J13" s="62"/>
      <c r="K13" s="62"/>
      <c r="L13" s="62">
        <f t="shared" si="2"/>
        <v>0</v>
      </c>
    </row>
    <row r="14" spans="1:12" x14ac:dyDescent="0.25">
      <c r="B14" s="62" t="s">
        <v>280</v>
      </c>
      <c r="C14" s="62"/>
      <c r="D14" s="62"/>
      <c r="E14" s="62">
        <f t="shared" si="0"/>
        <v>0</v>
      </c>
      <c r="F14" s="62" t="s">
        <v>277</v>
      </c>
      <c r="G14" s="62"/>
      <c r="H14" s="62"/>
      <c r="I14" s="62">
        <f t="shared" si="1"/>
        <v>0</v>
      </c>
      <c r="J14" s="62"/>
      <c r="K14" s="62"/>
      <c r="L14" s="62">
        <f t="shared" si="2"/>
        <v>0</v>
      </c>
    </row>
    <row r="15" spans="1:12" x14ac:dyDescent="0.25">
      <c r="B15" s="62"/>
      <c r="C15" s="62"/>
      <c r="D15" s="62"/>
      <c r="E15" s="62">
        <f t="shared" si="0"/>
        <v>0</v>
      </c>
      <c r="F15" s="62" t="s">
        <v>279</v>
      </c>
      <c r="G15" s="62"/>
      <c r="H15" s="62"/>
      <c r="I15" s="62">
        <f t="shared" si="1"/>
        <v>0</v>
      </c>
      <c r="J15" s="62"/>
      <c r="K15" s="62"/>
      <c r="L15" s="62">
        <f t="shared" si="2"/>
        <v>0</v>
      </c>
    </row>
    <row r="16" spans="1:12" x14ac:dyDescent="0.25">
      <c r="B16" s="62"/>
      <c r="C16" s="62"/>
      <c r="D16" s="62"/>
      <c r="E16" s="62">
        <f t="shared" si="0"/>
        <v>0</v>
      </c>
      <c r="F16" s="62"/>
      <c r="G16" s="62"/>
      <c r="H16" s="62"/>
      <c r="I16" s="62">
        <f t="shared" si="1"/>
        <v>0</v>
      </c>
      <c r="J16" s="62"/>
      <c r="K16" s="62"/>
      <c r="L16" s="62">
        <f t="shared" si="2"/>
        <v>0</v>
      </c>
    </row>
    <row r="17" spans="2:12" x14ac:dyDescent="0.25">
      <c r="B17" s="62"/>
      <c r="C17" s="62"/>
      <c r="D17" s="62"/>
      <c r="E17" s="62">
        <f t="shared" si="0"/>
        <v>0</v>
      </c>
      <c r="F17" s="62"/>
      <c r="G17" s="62"/>
      <c r="H17" s="62"/>
      <c r="I17" s="62">
        <f t="shared" si="1"/>
        <v>0</v>
      </c>
      <c r="J17" s="62"/>
      <c r="K17" s="62"/>
      <c r="L17" s="62">
        <f t="shared" si="2"/>
        <v>0</v>
      </c>
    </row>
    <row r="18" spans="2:12" x14ac:dyDescent="0.25">
      <c r="B18" s="62" t="s">
        <v>281</v>
      </c>
      <c r="C18" s="62"/>
      <c r="D18" s="62"/>
      <c r="E18" s="62">
        <f t="shared" si="0"/>
        <v>0</v>
      </c>
      <c r="F18" s="62" t="s">
        <v>277</v>
      </c>
      <c r="G18" s="62"/>
      <c r="H18" s="62"/>
      <c r="I18" s="62">
        <f t="shared" si="1"/>
        <v>0</v>
      </c>
      <c r="J18" s="62"/>
      <c r="K18" s="62"/>
      <c r="L18" s="62">
        <f t="shared" si="2"/>
        <v>0</v>
      </c>
    </row>
    <row r="19" spans="2:12" x14ac:dyDescent="0.25">
      <c r="B19" s="62"/>
      <c r="C19" s="62"/>
      <c r="D19" s="62"/>
      <c r="E19" s="62">
        <f t="shared" si="0"/>
        <v>0</v>
      </c>
      <c r="F19" s="62" t="s">
        <v>279</v>
      </c>
      <c r="G19" s="62"/>
      <c r="H19" s="62"/>
      <c r="I19" s="62">
        <f t="shared" si="1"/>
        <v>0</v>
      </c>
      <c r="J19" s="62"/>
      <c r="K19" s="62"/>
      <c r="L19" s="62">
        <f t="shared" si="2"/>
        <v>0</v>
      </c>
    </row>
    <row r="20" spans="2:12" x14ac:dyDescent="0.25">
      <c r="B20" s="62"/>
      <c r="C20" s="62"/>
      <c r="D20" s="62"/>
      <c r="E20" s="62">
        <f t="shared" si="0"/>
        <v>0</v>
      </c>
      <c r="F20" s="62"/>
      <c r="G20" s="62"/>
      <c r="H20" s="62"/>
      <c r="I20" s="62">
        <f t="shared" si="1"/>
        <v>0</v>
      </c>
      <c r="J20" s="62"/>
      <c r="K20" s="62"/>
      <c r="L20" s="62">
        <f t="shared" si="2"/>
        <v>0</v>
      </c>
    </row>
    <row r="21" spans="2:12" x14ac:dyDescent="0.25">
      <c r="B21" s="62" t="s">
        <v>282</v>
      </c>
      <c r="C21" s="62"/>
      <c r="D21" s="62"/>
      <c r="E21" s="62">
        <f t="shared" si="0"/>
        <v>0</v>
      </c>
      <c r="F21" s="62" t="s">
        <v>277</v>
      </c>
      <c r="G21" s="62"/>
      <c r="H21" s="62"/>
      <c r="I21" s="62">
        <f t="shared" si="1"/>
        <v>0</v>
      </c>
      <c r="J21" s="62"/>
      <c r="K21" s="62"/>
      <c r="L21" s="62">
        <f t="shared" si="2"/>
        <v>0</v>
      </c>
    </row>
    <row r="22" spans="2:12" x14ac:dyDescent="0.25">
      <c r="B22" s="62"/>
      <c r="C22" s="62"/>
      <c r="D22" s="62"/>
      <c r="E22" s="62">
        <f t="shared" si="0"/>
        <v>0</v>
      </c>
      <c r="F22" s="62" t="s">
        <v>279</v>
      </c>
      <c r="G22" s="62"/>
      <c r="H22" s="62"/>
      <c r="I22" s="62">
        <f t="shared" si="1"/>
        <v>0</v>
      </c>
      <c r="J22" s="62"/>
      <c r="K22" s="62"/>
      <c r="L22" s="62">
        <f t="shared" si="2"/>
        <v>0</v>
      </c>
    </row>
    <row r="23" spans="2:12" x14ac:dyDescent="0.25">
      <c r="B23" s="62"/>
      <c r="C23" s="62"/>
      <c r="D23" s="62"/>
      <c r="E23" s="62">
        <f t="shared" si="0"/>
        <v>0</v>
      </c>
      <c r="F23" s="62"/>
      <c r="G23" s="62"/>
      <c r="H23" s="62"/>
      <c r="I23" s="62">
        <f t="shared" si="1"/>
        <v>0</v>
      </c>
      <c r="J23" s="62"/>
      <c r="K23" s="62"/>
      <c r="L23" s="62">
        <f t="shared" si="2"/>
        <v>0</v>
      </c>
    </row>
    <row r="24" spans="2:12" x14ac:dyDescent="0.25">
      <c r="B24" s="62" t="s">
        <v>283</v>
      </c>
      <c r="C24" s="62"/>
      <c r="D24" s="62"/>
      <c r="E24" s="62">
        <f t="shared" si="0"/>
        <v>0</v>
      </c>
      <c r="F24" s="62" t="s">
        <v>284</v>
      </c>
      <c r="G24" s="62"/>
      <c r="H24" s="62"/>
      <c r="I24" s="62">
        <f t="shared" si="1"/>
        <v>0</v>
      </c>
      <c r="J24" s="62"/>
      <c r="K24" s="62"/>
      <c r="L24" s="62">
        <f t="shared" si="2"/>
        <v>0</v>
      </c>
    </row>
    <row r="25" spans="2:12" x14ac:dyDescent="0.25">
      <c r="B25" s="62"/>
      <c r="C25" s="62"/>
      <c r="D25" s="62"/>
      <c r="E25" s="62">
        <f t="shared" si="0"/>
        <v>0</v>
      </c>
      <c r="F25" s="62" t="s">
        <v>284</v>
      </c>
      <c r="G25" s="62"/>
      <c r="H25" s="62"/>
      <c r="I25" s="62">
        <f t="shared" si="1"/>
        <v>0</v>
      </c>
      <c r="J25" s="62"/>
      <c r="K25" s="62"/>
      <c r="L25" s="62">
        <f t="shared" si="2"/>
        <v>0</v>
      </c>
    </row>
    <row r="26" spans="2:12" x14ac:dyDescent="0.25">
      <c r="B26" s="62"/>
      <c r="C26" s="62"/>
      <c r="D26" s="62"/>
      <c r="E26" s="62">
        <f t="shared" si="0"/>
        <v>0</v>
      </c>
      <c r="F26" s="62" t="s">
        <v>284</v>
      </c>
      <c r="G26" s="62"/>
      <c r="H26" s="62"/>
      <c r="I26" s="62">
        <f t="shared" si="1"/>
        <v>0</v>
      </c>
      <c r="J26" s="62"/>
      <c r="K26" s="62"/>
      <c r="L26" s="62">
        <f t="shared" si="2"/>
        <v>0</v>
      </c>
    </row>
    <row r="27" spans="2:12" x14ac:dyDescent="0.25">
      <c r="B27" s="62"/>
      <c r="C27" s="62"/>
      <c r="D27" s="62"/>
      <c r="E27" s="62">
        <f t="shared" si="0"/>
        <v>0</v>
      </c>
      <c r="F27" s="62" t="s">
        <v>284</v>
      </c>
      <c r="G27" s="62"/>
      <c r="H27" s="62"/>
      <c r="I27" s="62">
        <f t="shared" si="1"/>
        <v>0</v>
      </c>
      <c r="J27" s="62"/>
      <c r="K27" s="62"/>
      <c r="L27" s="62">
        <f t="shared" si="2"/>
        <v>0</v>
      </c>
    </row>
    <row r="28" spans="2:12" x14ac:dyDescent="0.25">
      <c r="B28" s="62" t="s">
        <v>285</v>
      </c>
      <c r="C28" s="62"/>
      <c r="D28" s="62"/>
      <c r="E28" s="62">
        <f t="shared" si="0"/>
        <v>0</v>
      </c>
      <c r="F28" s="62" t="s">
        <v>284</v>
      </c>
      <c r="G28" s="62"/>
      <c r="H28" s="62"/>
      <c r="I28" s="62">
        <f t="shared" si="1"/>
        <v>0</v>
      </c>
      <c r="J28" s="62"/>
      <c r="K28" s="62"/>
      <c r="L28" s="62">
        <f t="shared" si="2"/>
        <v>0</v>
      </c>
    </row>
    <row r="29" spans="2:12" x14ac:dyDescent="0.25">
      <c r="B29" s="62" t="s">
        <v>286</v>
      </c>
      <c r="C29" s="62"/>
      <c r="D29" s="62"/>
      <c r="E29" s="62">
        <f t="shared" si="0"/>
        <v>0</v>
      </c>
      <c r="F29" s="62" t="s">
        <v>284</v>
      </c>
      <c r="G29" s="62"/>
      <c r="H29" s="62"/>
      <c r="I29" s="62">
        <f t="shared" si="1"/>
        <v>0</v>
      </c>
      <c r="J29" s="62"/>
      <c r="K29" s="62"/>
      <c r="L29" s="62">
        <f t="shared" si="2"/>
        <v>0</v>
      </c>
    </row>
    <row r="30" spans="2:12" x14ac:dyDescent="0.25">
      <c r="B30" s="62" t="s">
        <v>287</v>
      </c>
      <c r="C30" s="62"/>
      <c r="D30" s="62"/>
      <c r="E30" s="62">
        <f t="shared" si="0"/>
        <v>0</v>
      </c>
      <c r="F30" s="62"/>
      <c r="G30" s="62"/>
      <c r="H30" s="62"/>
      <c r="I30" s="62">
        <f t="shared" si="1"/>
        <v>0</v>
      </c>
      <c r="J30" s="62"/>
      <c r="K30" s="62"/>
      <c r="L30" s="62">
        <f t="shared" si="2"/>
        <v>0</v>
      </c>
    </row>
    <row r="31" spans="2:12" x14ac:dyDescent="0.25">
      <c r="B31" s="62"/>
      <c r="C31" s="62"/>
      <c r="D31" s="62"/>
      <c r="E31" s="62">
        <f t="shared" si="0"/>
        <v>0</v>
      </c>
      <c r="F31" s="62"/>
      <c r="G31" s="62"/>
      <c r="H31" s="62"/>
      <c r="I31" s="62">
        <f t="shared" si="1"/>
        <v>0</v>
      </c>
      <c r="J31" s="62"/>
      <c r="K31" s="62"/>
      <c r="L31" s="62">
        <f t="shared" si="2"/>
        <v>0</v>
      </c>
    </row>
    <row r="32" spans="2:12" x14ac:dyDescent="0.25">
      <c r="B32" s="62"/>
      <c r="C32" s="62"/>
      <c r="D32" s="62"/>
      <c r="E32" s="62">
        <f t="shared" si="0"/>
        <v>0</v>
      </c>
      <c r="F32" s="62"/>
      <c r="G32" s="62"/>
      <c r="H32" s="62"/>
      <c r="I32" s="62">
        <f t="shared" si="1"/>
        <v>0</v>
      </c>
      <c r="J32" s="62"/>
      <c r="K32" s="62"/>
      <c r="L32" s="62">
        <f t="shared" si="2"/>
        <v>0</v>
      </c>
    </row>
    <row r="33" spans="2:12" x14ac:dyDescent="0.25">
      <c r="B33" s="62" t="s">
        <v>288</v>
      </c>
      <c r="C33" s="62"/>
      <c r="D33" s="62"/>
      <c r="E33" s="62">
        <f t="shared" si="0"/>
        <v>0</v>
      </c>
      <c r="F33" s="62"/>
      <c r="G33" s="62"/>
      <c r="H33" s="62"/>
      <c r="I33" s="62">
        <f t="shared" si="1"/>
        <v>0</v>
      </c>
      <c r="J33" s="62"/>
      <c r="K33" s="62"/>
      <c r="L33" s="62">
        <f t="shared" si="2"/>
        <v>0</v>
      </c>
    </row>
    <row r="34" spans="2:12" x14ac:dyDescent="0.25">
      <c r="B34" s="62" t="s">
        <v>289</v>
      </c>
      <c r="C34" s="62"/>
      <c r="D34" s="62"/>
      <c r="E34" s="62">
        <f t="shared" si="0"/>
        <v>0</v>
      </c>
      <c r="F34" s="62"/>
      <c r="G34" s="62"/>
      <c r="H34" s="62"/>
      <c r="I34" s="62">
        <f t="shared" si="1"/>
        <v>0</v>
      </c>
      <c r="J34" s="62"/>
      <c r="K34" s="62"/>
      <c r="L34" s="62">
        <f t="shared" si="2"/>
        <v>0</v>
      </c>
    </row>
    <row r="35" spans="2:12" x14ac:dyDescent="0.25">
      <c r="B35" s="62" t="s">
        <v>290</v>
      </c>
      <c r="C35" s="62"/>
      <c r="D35" s="62"/>
      <c r="E35" s="62">
        <f t="shared" si="0"/>
        <v>0</v>
      </c>
      <c r="F35" s="62"/>
      <c r="G35" s="62"/>
      <c r="H35" s="62"/>
      <c r="I35" s="62">
        <f t="shared" si="1"/>
        <v>0</v>
      </c>
      <c r="J35" s="62"/>
      <c r="K35" s="62"/>
      <c r="L35" s="62">
        <f t="shared" si="2"/>
        <v>0</v>
      </c>
    </row>
    <row r="36" spans="2:12" x14ac:dyDescent="0.25">
      <c r="B36" s="62" t="s">
        <v>291</v>
      </c>
      <c r="C36" s="62"/>
      <c r="D36" s="62"/>
      <c r="E36" s="62">
        <f t="shared" si="0"/>
        <v>0</v>
      </c>
      <c r="F36" s="62"/>
      <c r="G36" s="62"/>
      <c r="H36" s="62"/>
      <c r="I36" s="62">
        <f>G36*H36</f>
        <v>0</v>
      </c>
      <c r="J36" s="62"/>
      <c r="K36" s="62"/>
      <c r="L36" s="62">
        <f>J36*K36</f>
        <v>0</v>
      </c>
    </row>
    <row r="37" spans="2:12" x14ac:dyDescent="0.25">
      <c r="B37" s="62"/>
      <c r="C37" s="62"/>
      <c r="D37" s="62"/>
      <c r="E37" s="62">
        <f t="shared" si="0"/>
        <v>0</v>
      </c>
      <c r="F37" s="62"/>
      <c r="G37" s="62"/>
      <c r="H37" s="62"/>
      <c r="I37" s="62">
        <f t="shared" ref="I37:I38" si="3">G37*H37</f>
        <v>0</v>
      </c>
      <c r="J37" s="62"/>
      <c r="K37" s="62"/>
      <c r="L37" s="62">
        <f t="shared" ref="L37:L38" si="4">J37*K37</f>
        <v>0</v>
      </c>
    </row>
    <row r="38" spans="2:12" x14ac:dyDescent="0.25">
      <c r="B38" s="62" t="s">
        <v>292</v>
      </c>
      <c r="C38" s="62"/>
      <c r="D38" s="62"/>
      <c r="E38" s="62">
        <f t="shared" si="0"/>
        <v>0</v>
      </c>
      <c r="F38" s="62"/>
      <c r="G38" s="62"/>
      <c r="H38" s="62"/>
      <c r="I38" s="62">
        <f t="shared" si="3"/>
        <v>0</v>
      </c>
      <c r="J38" s="62"/>
      <c r="K38" s="62"/>
      <c r="L38" s="62">
        <f t="shared" si="4"/>
        <v>0</v>
      </c>
    </row>
    <row r="39" spans="2:12" x14ac:dyDescent="0.25">
      <c r="B39" s="62"/>
      <c r="C39" s="62"/>
      <c r="D39" s="62"/>
      <c r="E39" s="62">
        <f t="shared" si="0"/>
        <v>0</v>
      </c>
      <c r="F39" s="62"/>
      <c r="G39" s="62"/>
      <c r="H39" s="62"/>
      <c r="I39" s="62">
        <f>G39*H39</f>
        <v>0</v>
      </c>
      <c r="J39" s="62"/>
      <c r="K39" s="62"/>
      <c r="L39" s="62">
        <f>J39*K39</f>
        <v>0</v>
      </c>
    </row>
    <row r="40" spans="2:12" x14ac:dyDescent="0.25">
      <c r="B40" s="62"/>
      <c r="C40" s="62"/>
      <c r="D40" s="62"/>
      <c r="E40" s="62">
        <f t="shared" si="0"/>
        <v>0</v>
      </c>
      <c r="F40" s="62"/>
      <c r="G40" s="62"/>
      <c r="H40" s="62"/>
      <c r="I40" s="62">
        <f>G40*H40</f>
        <v>0</v>
      </c>
      <c r="J40" s="62"/>
      <c r="K40" s="62"/>
      <c r="L40" s="62">
        <f>J40*K40</f>
        <v>0</v>
      </c>
    </row>
    <row r="41" spans="2:12" x14ac:dyDescent="0.25">
      <c r="B41" s="62"/>
      <c r="C41" s="62"/>
      <c r="D41" s="62"/>
      <c r="E41" s="62">
        <f t="shared" si="0"/>
        <v>0</v>
      </c>
      <c r="F41" s="62"/>
      <c r="G41" s="62"/>
      <c r="H41" s="62"/>
      <c r="I41" s="62">
        <f>G41*H41</f>
        <v>0</v>
      </c>
      <c r="J41" s="62"/>
      <c r="K41" s="62"/>
      <c r="L41" s="62">
        <f>J41*K41</f>
        <v>0</v>
      </c>
    </row>
    <row r="42" spans="2:12" x14ac:dyDescent="0.25">
      <c r="B42" s="62" t="s">
        <v>152</v>
      </c>
      <c r="C42" s="62"/>
      <c r="D42" s="62">
        <f>E42*10.764</f>
        <v>0</v>
      </c>
      <c r="E42" s="81">
        <f>SUM(E6:E41)</f>
        <v>0</v>
      </c>
      <c r="F42" s="62"/>
      <c r="G42" s="62"/>
      <c r="H42" s="62">
        <f>I42*10.764</f>
        <v>0</v>
      </c>
      <c r="I42" s="82">
        <f>SUM(I6:I41)</f>
        <v>0</v>
      </c>
      <c r="J42" s="62"/>
      <c r="K42" s="62">
        <f>L42*10.764</f>
        <v>0</v>
      </c>
      <c r="L42" s="83">
        <f>SUM(L6:L41)</f>
        <v>0</v>
      </c>
    </row>
    <row r="44" spans="2:12" x14ac:dyDescent="0.25">
      <c r="D44" s="78">
        <f>D42+H42</f>
        <v>0</v>
      </c>
      <c r="E44" s="7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2025-08-08T12:28:41Z</cp:lastPrinted>
  <dcterms:created xsi:type="dcterms:W3CDTF">2010-11-23T11:42:48Z</dcterms:created>
  <dcterms:modified xsi:type="dcterms:W3CDTF">2025-08-08T12:29:59Z</dcterms:modified>
</cp:coreProperties>
</file>