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A94398A4-F07B-46DD-8E76-297830B60F4A}" xr6:coauthVersionLast="36" xr6:coauthVersionMax="47" xr10:uidLastSave="{00000000-0000-0000-0000-000000000000}"/>
  <bookViews>
    <workbookView xWindow="0" yWindow="0" windowWidth="20490" windowHeight="6825"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Report!$A$1:$H$461</definedName>
  </definedNames>
  <calcPr calcId="191029"/>
</workbook>
</file>

<file path=xl/calcChain.xml><?xml version="1.0" encoding="utf-8"?>
<calcChain xmlns="http://schemas.openxmlformats.org/spreadsheetml/2006/main">
  <c r="I3" i="3" l="1"/>
  <c r="A209" i="3" l="1"/>
  <c r="A208" i="3"/>
  <c r="A207" i="3"/>
  <c r="E209" i="3"/>
  <c r="E208" i="3"/>
  <c r="E207" i="3"/>
  <c r="E206" i="3"/>
  <c r="J221" i="3"/>
  <c r="I196" i="3"/>
  <c r="F301" i="3"/>
  <c r="H301" i="3" s="1"/>
  <c r="E301" i="3"/>
  <c r="F300" i="3"/>
  <c r="E300" i="3"/>
  <c r="H300" i="3" s="1"/>
  <c r="F299" i="3"/>
  <c r="E299" i="3"/>
  <c r="H299" i="3" s="1"/>
  <c r="F297" i="3"/>
  <c r="E297" i="3"/>
  <c r="H297" i="3" s="1"/>
  <c r="F296" i="3"/>
  <c r="E296" i="3"/>
  <c r="F295" i="3"/>
  <c r="E295" i="3"/>
  <c r="F294" i="3"/>
  <c r="E294" i="3"/>
  <c r="F292" i="3"/>
  <c r="E292" i="3"/>
  <c r="H292" i="3" s="1"/>
  <c r="F291" i="3"/>
  <c r="E291" i="3"/>
  <c r="F290" i="3"/>
  <c r="E290" i="3"/>
  <c r="F289" i="3"/>
  <c r="E289" i="3"/>
  <c r="F288" i="3"/>
  <c r="E288" i="3"/>
  <c r="F287" i="3"/>
  <c r="E287" i="3"/>
  <c r="F286" i="3"/>
  <c r="E286" i="3"/>
  <c r="F285" i="3"/>
  <c r="E285" i="3"/>
  <c r="F329" i="3"/>
  <c r="E329" i="3"/>
  <c r="F328" i="3"/>
  <c r="E328" i="3"/>
  <c r="F327" i="3"/>
  <c r="E327" i="3"/>
  <c r="F325" i="3"/>
  <c r="E325" i="3"/>
  <c r="F324" i="3"/>
  <c r="E324" i="3"/>
  <c r="F323" i="3"/>
  <c r="E323" i="3"/>
  <c r="F322" i="3"/>
  <c r="E322" i="3"/>
  <c r="F320" i="3"/>
  <c r="E320" i="3"/>
  <c r="F319" i="3"/>
  <c r="E319" i="3"/>
  <c r="F318" i="3"/>
  <c r="E318" i="3"/>
  <c r="F317" i="3"/>
  <c r="E317" i="3"/>
  <c r="F316" i="3"/>
  <c r="E316" i="3"/>
  <c r="F315" i="3"/>
  <c r="E315" i="3"/>
  <c r="H315" i="3" s="1"/>
  <c r="F314" i="3"/>
  <c r="E314" i="3"/>
  <c r="F313" i="3"/>
  <c r="E313" i="3"/>
  <c r="F311" i="3"/>
  <c r="E311" i="3"/>
  <c r="F310" i="3"/>
  <c r="E310" i="3"/>
  <c r="F309" i="3"/>
  <c r="E309" i="3"/>
  <c r="F308" i="3"/>
  <c r="E308" i="3"/>
  <c r="F264" i="3"/>
  <c r="E264" i="3"/>
  <c r="F263" i="3"/>
  <c r="E263" i="3"/>
  <c r="H263" i="3" s="1"/>
  <c r="F262" i="3"/>
  <c r="E262" i="3"/>
  <c r="F260" i="3"/>
  <c r="E260" i="3"/>
  <c r="F259" i="3"/>
  <c r="E259" i="3"/>
  <c r="F258" i="3"/>
  <c r="E258" i="3"/>
  <c r="H258" i="3" s="1"/>
  <c r="F257" i="3"/>
  <c r="E257" i="3"/>
  <c r="F255" i="3"/>
  <c r="E255" i="3"/>
  <c r="F254" i="3"/>
  <c r="E254" i="3"/>
  <c r="F253" i="3"/>
  <c r="E253" i="3"/>
  <c r="H253" i="3" s="1"/>
  <c r="F252" i="3"/>
  <c r="E252" i="3"/>
  <c r="F251" i="3"/>
  <c r="E251" i="3"/>
  <c r="F250" i="3"/>
  <c r="E250" i="3"/>
  <c r="F249" i="3"/>
  <c r="E249" i="3"/>
  <c r="F248" i="3"/>
  <c r="H248" i="3" s="1"/>
  <c r="E248" i="3"/>
  <c r="F246" i="3"/>
  <c r="E246" i="3"/>
  <c r="F245" i="3"/>
  <c r="E245" i="3"/>
  <c r="F244" i="3"/>
  <c r="E244" i="3"/>
  <c r="H244" i="3" s="1"/>
  <c r="F243" i="3"/>
  <c r="E243" i="3"/>
  <c r="F227" i="3"/>
  <c r="E227" i="3"/>
  <c r="F226" i="3"/>
  <c r="E226" i="3"/>
  <c r="F225" i="3"/>
  <c r="E225" i="3"/>
  <c r="F224" i="3"/>
  <c r="E224" i="3"/>
  <c r="F223" i="3"/>
  <c r="E223" i="3"/>
  <c r="E222" i="3"/>
  <c r="F221" i="3"/>
  <c r="E221" i="3"/>
  <c r="F220" i="3"/>
  <c r="E220" i="3"/>
  <c r="F218" i="3"/>
  <c r="E218" i="3"/>
  <c r="E215" i="3"/>
  <c r="F202" i="3"/>
  <c r="E202" i="3"/>
  <c r="F201" i="3"/>
  <c r="E201" i="3"/>
  <c r="F200" i="3"/>
  <c r="E200" i="3"/>
  <c r="F199" i="3"/>
  <c r="E199" i="3"/>
  <c r="F198" i="3"/>
  <c r="E198" i="3"/>
  <c r="F197" i="3"/>
  <c r="E197" i="3"/>
  <c r="F193" i="3"/>
  <c r="E193" i="3"/>
  <c r="F192" i="3"/>
  <c r="E192" i="3"/>
  <c r="F191" i="3"/>
  <c r="E191" i="3"/>
  <c r="F190" i="3"/>
  <c r="E190" i="3"/>
  <c r="E186" i="3"/>
  <c r="E185" i="3"/>
  <c r="F185" i="3"/>
  <c r="E183" i="3"/>
  <c r="I19" i="3"/>
  <c r="E168" i="3"/>
  <c r="E169" i="3"/>
  <c r="E170" i="3"/>
  <c r="E171" i="3"/>
  <c r="E172" i="3"/>
  <c r="E173" i="3"/>
  <c r="E174" i="3"/>
  <c r="E175" i="3"/>
  <c r="E176" i="3"/>
  <c r="E177" i="3"/>
  <c r="E178" i="3"/>
  <c r="E179" i="3"/>
  <c r="I21" i="3"/>
  <c r="J21" i="3"/>
  <c r="F236" i="3"/>
  <c r="E236" i="3"/>
  <c r="F235" i="3"/>
  <c r="E235" i="3"/>
  <c r="F234" i="3"/>
  <c r="E234" i="3"/>
  <c r="F232" i="3"/>
  <c r="E232" i="3"/>
  <c r="F231" i="3"/>
  <c r="E231" i="3"/>
  <c r="F230" i="3"/>
  <c r="E230" i="3"/>
  <c r="F229" i="3"/>
  <c r="E229" i="3"/>
  <c r="F222" i="3"/>
  <c r="F275" i="3"/>
  <c r="E275" i="3"/>
  <c r="F274" i="3"/>
  <c r="E274" i="3"/>
  <c r="F273" i="3"/>
  <c r="E273" i="3"/>
  <c r="F272" i="3"/>
  <c r="E272" i="3"/>
  <c r="F283" i="3"/>
  <c r="E283" i="3"/>
  <c r="F282" i="3"/>
  <c r="E282" i="3"/>
  <c r="F281" i="3"/>
  <c r="E281" i="3"/>
  <c r="F280" i="3"/>
  <c r="E280" i="3"/>
  <c r="F217" i="3"/>
  <c r="F216" i="3"/>
  <c r="F215" i="3"/>
  <c r="F209" i="3"/>
  <c r="F208" i="3"/>
  <c r="F207" i="3"/>
  <c r="F206" i="3"/>
  <c r="F204" i="3"/>
  <c r="E204" i="3"/>
  <c r="F186" i="3"/>
  <c r="F184" i="3"/>
  <c r="F183" i="3"/>
  <c r="H325" i="3" l="1"/>
  <c r="H323" i="3"/>
  <c r="H309" i="3"/>
  <c r="H245" i="3"/>
  <c r="H250" i="3"/>
  <c r="H254" i="3"/>
  <c r="H259" i="3"/>
  <c r="H264" i="3"/>
  <c r="H311" i="3"/>
  <c r="H316" i="3"/>
  <c r="H327" i="3"/>
  <c r="H286" i="3"/>
  <c r="H290" i="3"/>
  <c r="H295" i="3"/>
  <c r="H249" i="3"/>
  <c r="H324" i="3"/>
  <c r="H329" i="3"/>
  <c r="H288" i="3"/>
  <c r="H246" i="3"/>
  <c r="H251" i="3"/>
  <c r="H289" i="3"/>
  <c r="H294" i="3"/>
  <c r="H252" i="3"/>
  <c r="H257" i="3"/>
  <c r="H262" i="3"/>
  <c r="H314" i="3"/>
  <c r="H317" i="3"/>
  <c r="H322" i="3"/>
  <c r="H285" i="3"/>
  <c r="H318" i="3"/>
  <c r="H319" i="3"/>
  <c r="H328" i="3"/>
  <c r="H287" i="3"/>
  <c r="H310" i="3"/>
  <c r="H243" i="3"/>
  <c r="H255" i="3"/>
  <c r="H260" i="3"/>
  <c r="H308" i="3"/>
  <c r="H313" i="3"/>
  <c r="H320" i="3"/>
  <c r="H291" i="3"/>
  <c r="H296" i="3"/>
  <c r="G148" i="3"/>
  <c r="G147" i="3"/>
  <c r="D341" i="3" l="1"/>
  <c r="D339" i="3"/>
  <c r="I321" i="3"/>
  <c r="I312" i="3"/>
  <c r="I304" i="3"/>
  <c r="I276" i="3"/>
  <c r="H283" i="3"/>
  <c r="H282" i="3"/>
  <c r="H281" i="3"/>
  <c r="H280" i="3"/>
  <c r="I268" i="3"/>
  <c r="I293" i="3"/>
  <c r="I284" i="3"/>
  <c r="H275" i="3"/>
  <c r="H274" i="3"/>
  <c r="H273" i="3"/>
  <c r="H272" i="3"/>
  <c r="E159" i="3"/>
  <c r="I256" i="3"/>
  <c r="I247" i="3"/>
  <c r="I239" i="3"/>
  <c r="I228" i="3"/>
  <c r="H236" i="3"/>
  <c r="H235" i="3"/>
  <c r="H234" i="3"/>
  <c r="H232" i="3"/>
  <c r="H231" i="3"/>
  <c r="H230" i="3"/>
  <c r="H229" i="3"/>
  <c r="I219" i="3"/>
  <c r="H227" i="3"/>
  <c r="H226" i="3"/>
  <c r="H225" i="3"/>
  <c r="H224" i="3"/>
  <c r="J224" i="3" s="1"/>
  <c r="H223" i="3"/>
  <c r="H222" i="3"/>
  <c r="H221" i="3"/>
  <c r="H220" i="3"/>
  <c r="H218" i="3"/>
  <c r="E217" i="3"/>
  <c r="H217" i="3" s="1"/>
  <c r="E216" i="3"/>
  <c r="H215" i="3"/>
  <c r="I211" i="3"/>
  <c r="I182" i="3"/>
  <c r="I203" i="3"/>
  <c r="I189" i="3"/>
  <c r="H209" i="3"/>
  <c r="H208" i="3"/>
  <c r="H207" i="3"/>
  <c r="H206" i="3"/>
  <c r="H204" i="3"/>
  <c r="E184" i="3"/>
  <c r="E156" i="3" s="1"/>
  <c r="H179" i="3"/>
  <c r="H178" i="3"/>
  <c r="H177" i="3"/>
  <c r="H176" i="3"/>
  <c r="A126" i="3"/>
  <c r="D127" i="3" s="1"/>
  <c r="A110" i="3"/>
  <c r="D111" i="3" s="1"/>
  <c r="V257" i="3"/>
  <c r="U294" i="3"/>
  <c r="V272" i="3"/>
  <c r="V322" i="3"/>
  <c r="U248" i="3"/>
  <c r="U285" i="3"/>
  <c r="U229" i="3"/>
  <c r="V285" i="3"/>
  <c r="U204" i="3"/>
  <c r="V243" i="3"/>
  <c r="V229" i="3"/>
  <c r="U243" i="3"/>
  <c r="V220" i="3"/>
  <c r="U272" i="3"/>
  <c r="V308" i="3"/>
  <c r="V294" i="3"/>
  <c r="V280" i="3"/>
  <c r="H111" i="3"/>
  <c r="V248" i="3"/>
  <c r="H127" i="3"/>
  <c r="V204" i="3"/>
  <c r="V313" i="3"/>
  <c r="U322" i="3"/>
  <c r="U215" i="3"/>
  <c r="U313" i="3"/>
  <c r="U280" i="3"/>
  <c r="V215" i="3"/>
  <c r="U308" i="3"/>
  <c r="U220" i="3"/>
  <c r="U257" i="3"/>
  <c r="H216" i="3" l="1"/>
  <c r="G157" i="3" s="1"/>
  <c r="E157" i="3"/>
  <c r="E152" i="3"/>
  <c r="E153" i="3" s="1"/>
  <c r="G159" i="3"/>
  <c r="G158" i="3"/>
  <c r="G160" i="3"/>
  <c r="E160" i="3"/>
  <c r="E158" i="3"/>
  <c r="V309" i="3"/>
  <c r="V310" i="3" s="1"/>
  <c r="V311" i="3" s="1"/>
  <c r="V305" i="3" s="1"/>
  <c r="V306" i="3" s="1"/>
  <c r="V307" i="3" s="1"/>
  <c r="U314" i="3"/>
  <c r="T313" i="3"/>
  <c r="V314" i="3"/>
  <c r="V315" i="3" s="1"/>
  <c r="V316" i="3" s="1"/>
  <c r="V317" i="3" s="1"/>
  <c r="V318" i="3" s="1"/>
  <c r="V319" i="3" s="1"/>
  <c r="V320" i="3" s="1"/>
  <c r="U323" i="3"/>
  <c r="T322" i="3"/>
  <c r="T308" i="3"/>
  <c r="U309" i="3"/>
  <c r="V323" i="3"/>
  <c r="V324" i="3" s="1"/>
  <c r="V325" i="3" s="1"/>
  <c r="V326" i="3" s="1"/>
  <c r="V327" i="3" s="1"/>
  <c r="V328" i="3" s="1"/>
  <c r="V329" i="3" s="1"/>
  <c r="U281" i="3"/>
  <c r="T280" i="3"/>
  <c r="V281" i="3"/>
  <c r="V282" i="3" s="1"/>
  <c r="V283" i="3" s="1"/>
  <c r="V277" i="3" s="1"/>
  <c r="V278" i="3" s="1"/>
  <c r="V279" i="3" s="1"/>
  <c r="V286" i="3"/>
  <c r="V287" i="3" s="1"/>
  <c r="V288" i="3" s="1"/>
  <c r="V289" i="3" s="1"/>
  <c r="V290" i="3" s="1"/>
  <c r="V291" i="3" s="1"/>
  <c r="V292" i="3" s="1"/>
  <c r="T294" i="3"/>
  <c r="U295" i="3"/>
  <c r="U273" i="3"/>
  <c r="T272" i="3"/>
  <c r="V295" i="3"/>
  <c r="V296" i="3" s="1"/>
  <c r="V297" i="3" s="1"/>
  <c r="V298" i="3" s="1"/>
  <c r="V299" i="3" s="1"/>
  <c r="V300" i="3" s="1"/>
  <c r="V301" i="3" s="1"/>
  <c r="T285" i="3"/>
  <c r="U286" i="3"/>
  <c r="V273" i="3"/>
  <c r="V274" i="3" s="1"/>
  <c r="V275" i="3" s="1"/>
  <c r="V269" i="3" s="1"/>
  <c r="V270" i="3" s="1"/>
  <c r="V271" i="3" s="1"/>
  <c r="T248" i="3"/>
  <c r="U249" i="3"/>
  <c r="V249" i="3"/>
  <c r="V250" i="3" s="1"/>
  <c r="V251" i="3" s="1"/>
  <c r="V252" i="3" s="1"/>
  <c r="V253" i="3" s="1"/>
  <c r="V254" i="3" s="1"/>
  <c r="V255" i="3" s="1"/>
  <c r="U258" i="3"/>
  <c r="T257" i="3"/>
  <c r="V258" i="3"/>
  <c r="V259" i="3" s="1"/>
  <c r="V260" i="3" s="1"/>
  <c r="V261" i="3" s="1"/>
  <c r="V262" i="3" s="1"/>
  <c r="V263" i="3" s="1"/>
  <c r="V264" i="3" s="1"/>
  <c r="V244" i="3"/>
  <c r="V245" i="3" s="1"/>
  <c r="V246" i="3" s="1"/>
  <c r="V240" i="3" s="1"/>
  <c r="V241" i="3" s="1"/>
  <c r="V242" i="3" s="1"/>
  <c r="T243" i="3"/>
  <c r="U244" i="3"/>
  <c r="V230" i="3"/>
  <c r="V231" i="3" s="1"/>
  <c r="V232" i="3" s="1"/>
  <c r="V233" i="3" s="1"/>
  <c r="V234" i="3" s="1"/>
  <c r="V235" i="3" s="1"/>
  <c r="V236" i="3" s="1"/>
  <c r="T229" i="3"/>
  <c r="U230" i="3"/>
  <c r="U221" i="3"/>
  <c r="T220" i="3"/>
  <c r="V221" i="3"/>
  <c r="V222" i="3" s="1"/>
  <c r="V223" i="3" s="1"/>
  <c r="V224" i="3" s="1"/>
  <c r="V225" i="3" s="1"/>
  <c r="V226" i="3" s="1"/>
  <c r="V227" i="3" s="1"/>
  <c r="V216" i="3"/>
  <c r="V217" i="3" s="1"/>
  <c r="V218" i="3" s="1"/>
  <c r="V212" i="3" s="1"/>
  <c r="V213" i="3" s="1"/>
  <c r="V214" i="3" s="1"/>
  <c r="U216" i="3"/>
  <c r="T215" i="3"/>
  <c r="U205" i="3"/>
  <c r="T204" i="3"/>
  <c r="V205" i="3"/>
  <c r="V206" i="3" s="1"/>
  <c r="V207" i="3" s="1"/>
  <c r="V208" i="3" s="1"/>
  <c r="V209" i="3" s="1"/>
  <c r="D139" i="3"/>
  <c r="D137" i="3"/>
  <c r="D135" i="3"/>
  <c r="D133" i="3"/>
  <c r="D131" i="3"/>
  <c r="J129" i="3"/>
  <c r="J130" i="3"/>
  <c r="C129" i="3" s="1"/>
  <c r="D129" i="3" s="1"/>
  <c r="J128" i="3"/>
  <c r="D138" i="3"/>
  <c r="D136" i="3"/>
  <c r="D134" i="3"/>
  <c r="D132" i="3"/>
  <c r="D140" i="3"/>
  <c r="J131" i="3"/>
  <c r="J132" i="3" s="1"/>
  <c r="J137" i="3" s="1"/>
  <c r="J133" i="3"/>
  <c r="J135" i="3"/>
  <c r="J134" i="3"/>
  <c r="J136" i="3"/>
  <c r="D124" i="3"/>
  <c r="D123" i="3"/>
  <c r="D121" i="3"/>
  <c r="D119" i="3"/>
  <c r="D117" i="3"/>
  <c r="D115" i="3"/>
  <c r="J113" i="3"/>
  <c r="D122" i="3"/>
  <c r="D120" i="3"/>
  <c r="D116" i="3"/>
  <c r="D118" i="3"/>
  <c r="J114" i="3"/>
  <c r="C113" i="3" s="1"/>
  <c r="J112" i="3"/>
  <c r="J119" i="3"/>
  <c r="J117" i="3"/>
  <c r="J115" i="3"/>
  <c r="J116" i="3" s="1"/>
  <c r="J121" i="3" s="1"/>
  <c r="J122" i="3" s="1"/>
  <c r="C114" i="3" s="1"/>
  <c r="D114" i="3" s="1"/>
  <c r="J120" i="3"/>
  <c r="J118" i="3"/>
  <c r="H168" i="3"/>
  <c r="E161" i="3" l="1"/>
  <c r="I161" i="3" s="1"/>
  <c r="T323" i="3"/>
  <c r="U324" i="3"/>
  <c r="T309" i="3"/>
  <c r="U310" i="3"/>
  <c r="U315" i="3"/>
  <c r="T314" i="3"/>
  <c r="T281" i="3"/>
  <c r="U282" i="3"/>
  <c r="U287" i="3"/>
  <c r="T286" i="3"/>
  <c r="T273" i="3"/>
  <c r="U274" i="3"/>
  <c r="U296" i="3"/>
  <c r="T295" i="3"/>
  <c r="U250" i="3"/>
  <c r="T249" i="3"/>
  <c r="U259" i="3"/>
  <c r="T258" i="3"/>
  <c r="T244" i="3"/>
  <c r="U245" i="3"/>
  <c r="T230" i="3"/>
  <c r="U231" i="3"/>
  <c r="U222" i="3"/>
  <c r="T221" i="3"/>
  <c r="U217" i="3"/>
  <c r="T216" i="3"/>
  <c r="U206" i="3"/>
  <c r="T205" i="3"/>
  <c r="J138" i="3"/>
  <c r="C130" i="3" s="1"/>
  <c r="E129" i="3" s="1"/>
  <c r="I126" i="3" s="1"/>
  <c r="G129" i="3" s="1"/>
  <c r="E113" i="3"/>
  <c r="D113"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162" i="3" l="1"/>
  <c r="E42" i="6"/>
  <c r="U311" i="3"/>
  <c r="T310" i="3"/>
  <c r="T324" i="3"/>
  <c r="U325" i="3"/>
  <c r="T315" i="3"/>
  <c r="U316" i="3"/>
  <c r="T282" i="3"/>
  <c r="U283" i="3"/>
  <c r="T296" i="3"/>
  <c r="U297" i="3"/>
  <c r="T274" i="3"/>
  <c r="U275" i="3"/>
  <c r="U288" i="3"/>
  <c r="T287" i="3"/>
  <c r="U251" i="3"/>
  <c r="T250" i="3"/>
  <c r="T259" i="3"/>
  <c r="U260" i="3"/>
  <c r="U246" i="3"/>
  <c r="T245" i="3"/>
  <c r="U232" i="3"/>
  <c r="T231" i="3"/>
  <c r="T222" i="3"/>
  <c r="U223" i="3"/>
  <c r="U218" i="3"/>
  <c r="T217" i="3"/>
  <c r="T206" i="3"/>
  <c r="U207" i="3"/>
  <c r="D130" i="3"/>
  <c r="I110" i="3"/>
  <c r="G113" i="3" s="1"/>
  <c r="L42" i="6"/>
  <c r="K42" i="6" s="1"/>
  <c r="I42" i="6"/>
  <c r="H42" i="6" s="1"/>
  <c r="D42" i="6"/>
  <c r="D44" i="6" l="1"/>
  <c r="E44" i="6"/>
  <c r="U305" i="3"/>
  <c r="T311" i="3"/>
  <c r="U326" i="3"/>
  <c r="T325" i="3"/>
  <c r="T316" i="3"/>
  <c r="U317" i="3"/>
  <c r="U277" i="3"/>
  <c r="T283" i="3"/>
  <c r="U269" i="3"/>
  <c r="T275" i="3"/>
  <c r="U298" i="3"/>
  <c r="T297" i="3"/>
  <c r="T288" i="3"/>
  <c r="U289" i="3"/>
  <c r="T251" i="3"/>
  <c r="U252" i="3"/>
  <c r="U261" i="3"/>
  <c r="T260" i="3"/>
  <c r="U240" i="3"/>
  <c r="T246" i="3"/>
  <c r="U233" i="3"/>
  <c r="T232" i="3"/>
  <c r="U224" i="3"/>
  <c r="T223" i="3"/>
  <c r="T218" i="3"/>
  <c r="U212" i="3"/>
  <c r="T207" i="3"/>
  <c r="U208" i="3"/>
  <c r="C26" i="3"/>
  <c r="C18" i="3"/>
  <c r="H202" i="3"/>
  <c r="H201" i="3"/>
  <c r="H200" i="3"/>
  <c r="H199" i="3"/>
  <c r="H198" i="3"/>
  <c r="H197" i="3"/>
  <c r="H193" i="3"/>
  <c r="H192" i="3"/>
  <c r="H191" i="3"/>
  <c r="H190" i="3"/>
  <c r="H186" i="3"/>
  <c r="H185" i="3"/>
  <c r="H184" i="3"/>
  <c r="H183" i="3"/>
  <c r="H169" i="3"/>
  <c r="H170" i="3"/>
  <c r="H171" i="3"/>
  <c r="H172" i="3"/>
  <c r="H173" i="3"/>
  <c r="H174" i="3"/>
  <c r="H175" i="3"/>
  <c r="G152" i="3" l="1"/>
  <c r="G153" i="3" s="1"/>
  <c r="G156" i="3"/>
  <c r="G161" i="3" s="1"/>
  <c r="T326" i="3"/>
  <c r="U327" i="3"/>
  <c r="T317" i="3"/>
  <c r="U318" i="3"/>
  <c r="T305" i="3"/>
  <c r="U306" i="3"/>
  <c r="U278" i="3"/>
  <c r="T277" i="3"/>
  <c r="T289" i="3"/>
  <c r="U290" i="3"/>
  <c r="U270" i="3"/>
  <c r="T269" i="3"/>
  <c r="U299" i="3"/>
  <c r="T298" i="3"/>
  <c r="T261" i="3"/>
  <c r="U262" i="3"/>
  <c r="T252" i="3"/>
  <c r="U253" i="3"/>
  <c r="U241" i="3"/>
  <c r="T240" i="3"/>
  <c r="T233" i="3"/>
  <c r="U234" i="3"/>
  <c r="U225" i="3"/>
  <c r="T224" i="3"/>
  <c r="T212" i="3"/>
  <c r="U213" i="3"/>
  <c r="U209" i="3"/>
  <c r="T209" i="3" s="1"/>
  <c r="T208" i="3"/>
  <c r="A94" i="3"/>
  <c r="D95" i="3" s="1"/>
  <c r="J104" i="3" s="1"/>
  <c r="A78" i="3"/>
  <c r="D79" i="3" s="1"/>
  <c r="A62" i="3"/>
  <c r="D63" i="3" s="1"/>
  <c r="G162" i="3" l="1"/>
  <c r="U319" i="3"/>
  <c r="T318" i="3"/>
  <c r="U307" i="3"/>
  <c r="T307" i="3" s="1"/>
  <c r="T306" i="3"/>
  <c r="U328" i="3"/>
  <c r="T327" i="3"/>
  <c r="U279" i="3"/>
  <c r="T279" i="3" s="1"/>
  <c r="T278" i="3"/>
  <c r="T290" i="3"/>
  <c r="U291" i="3"/>
  <c r="T299" i="3"/>
  <c r="U300" i="3"/>
  <c r="U271" i="3"/>
  <c r="T271" i="3" s="1"/>
  <c r="T270" i="3"/>
  <c r="T262" i="3"/>
  <c r="U263" i="3"/>
  <c r="U254" i="3"/>
  <c r="T253" i="3"/>
  <c r="U242" i="3"/>
  <c r="T242" i="3" s="1"/>
  <c r="T241" i="3"/>
  <c r="T234" i="3"/>
  <c r="U235" i="3"/>
  <c r="U226" i="3"/>
  <c r="T225" i="3"/>
  <c r="T213" i="3"/>
  <c r="U214" i="3"/>
  <c r="T214" i="3" s="1"/>
  <c r="J103"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79" i="3"/>
  <c r="U329" i="3" l="1"/>
  <c r="T329" i="3" s="1"/>
  <c r="T328" i="3"/>
  <c r="T319" i="3"/>
  <c r="U320" i="3"/>
  <c r="T320" i="3" s="1"/>
  <c r="U301" i="3"/>
  <c r="T301" i="3" s="1"/>
  <c r="T300" i="3"/>
  <c r="U292" i="3"/>
  <c r="T292" i="3" s="1"/>
  <c r="T291" i="3"/>
  <c r="U255" i="3"/>
  <c r="T255" i="3" s="1"/>
  <c r="T254" i="3"/>
  <c r="U264" i="3"/>
  <c r="T264" i="3" s="1"/>
  <c r="T263" i="3"/>
  <c r="U236" i="3"/>
  <c r="T236" i="3" s="1"/>
  <c r="T235" i="3"/>
  <c r="T226" i="3"/>
  <c r="U227" i="3"/>
  <c r="T227" i="3" s="1"/>
  <c r="F38" i="4"/>
  <c r="G38" i="4"/>
  <c r="E18" i="4"/>
  <c r="E15" i="4"/>
  <c r="E17" i="4"/>
  <c r="E11" i="4"/>
  <c r="K6" i="4"/>
  <c r="E9" i="4"/>
  <c r="K8" i="4"/>
  <c r="C7" i="4" s="1"/>
  <c r="E14" i="4"/>
  <c r="E12" i="4"/>
  <c r="E16" i="4"/>
  <c r="E10" i="4"/>
  <c r="K9" i="4"/>
  <c r="K10" i="4" s="1"/>
  <c r="K11" i="4" s="1"/>
  <c r="E13" i="4"/>
  <c r="K7" i="4"/>
  <c r="J88" i="3"/>
  <c r="J87" i="3"/>
  <c r="K12" i="4" l="1"/>
  <c r="K16" i="4" s="1"/>
  <c r="C8" i="4" s="1"/>
  <c r="E8" i="4" s="1"/>
  <c r="E7" i="4"/>
  <c r="A169" i="3"/>
  <c r="A170" i="3" s="1"/>
  <c r="A171" i="3" s="1"/>
  <c r="A172" i="3" s="1"/>
  <c r="A173" i="3" s="1"/>
  <c r="A174" i="3" s="1"/>
  <c r="A175" i="3" s="1"/>
  <c r="A176" i="3" s="1"/>
  <c r="A177" i="3" s="1"/>
  <c r="A178" i="3" s="1"/>
  <c r="A179" i="3" s="1"/>
  <c r="F7" i="4" l="1"/>
  <c r="J4" i="4" s="1"/>
  <c r="H7" i="4" s="1"/>
  <c r="G4" i="3" l="1"/>
  <c r="D340" i="3" l="1"/>
  <c r="G149" i="3"/>
  <c r="J72" i="3"/>
  <c r="J71" i="3"/>
  <c r="H63" i="3"/>
  <c r="J67" i="3" l="1"/>
  <c r="D72" i="3"/>
  <c r="D69" i="3"/>
  <c r="D67" i="3"/>
  <c r="J65" i="3"/>
  <c r="D76" i="3"/>
  <c r="D74" i="3"/>
  <c r="D71" i="3"/>
  <c r="D68" i="3"/>
  <c r="J66" i="3"/>
  <c r="J64" i="3"/>
  <c r="D75" i="3"/>
  <c r="D73" i="3"/>
  <c r="D70" i="3"/>
  <c r="D92" i="3" l="1"/>
  <c r="D84" i="3"/>
  <c r="D87" i="3"/>
  <c r="J81" i="3"/>
  <c r="D91" i="3"/>
  <c r="D85" i="3"/>
  <c r="J80" i="3"/>
  <c r="D90" i="3"/>
  <c r="J83" i="3"/>
  <c r="J84" i="3" s="1"/>
  <c r="D89" i="3"/>
  <c r="D83" i="3"/>
  <c r="J82" i="3"/>
  <c r="C81" i="3" s="1"/>
  <c r="D88" i="3"/>
  <c r="D86" i="3"/>
  <c r="J68" i="3"/>
  <c r="J73" i="3" s="1"/>
  <c r="C65" i="3"/>
  <c r="D81" i="3" l="1"/>
  <c r="J85" i="3"/>
  <c r="J89" i="3"/>
  <c r="J86" i="3"/>
  <c r="D65" i="3"/>
  <c r="J69" i="3"/>
  <c r="H95" i="3"/>
  <c r="J90" i="3" l="1"/>
  <c r="C82" i="3" s="1"/>
  <c r="D108" i="3"/>
  <c r="D107" i="3"/>
  <c r="D101" i="3"/>
  <c r="J98" i="3"/>
  <c r="C97" i="3" s="1"/>
  <c r="D103" i="3"/>
  <c r="D102" i="3"/>
  <c r="J96" i="3"/>
  <c r="D106" i="3"/>
  <c r="D100" i="3"/>
  <c r="J99" i="3"/>
  <c r="J100" i="3" s="1"/>
  <c r="J101" i="3" s="1"/>
  <c r="J102" i="3" s="1"/>
  <c r="D105" i="3"/>
  <c r="D99" i="3"/>
  <c r="J97" i="3"/>
  <c r="D104" i="3"/>
  <c r="J70" i="3"/>
  <c r="D82" i="3" l="1"/>
  <c r="E81" i="3"/>
  <c r="I78" i="3" s="1"/>
  <c r="G81" i="3" s="1"/>
  <c r="J105" i="3"/>
  <c r="J106" i="3" s="1"/>
  <c r="C98" i="3" s="1"/>
  <c r="D98" i="3" s="1"/>
  <c r="D97" i="3"/>
  <c r="J74" i="3"/>
  <c r="V197" i="3"/>
  <c r="V183" i="3"/>
  <c r="U183" i="3"/>
  <c r="U190" i="3"/>
  <c r="U197" i="3"/>
  <c r="V190" i="3"/>
  <c r="E97" i="3" l="1"/>
  <c r="I94" i="3" s="1"/>
  <c r="G97" i="3" s="1"/>
  <c r="C66" i="3"/>
  <c r="E65" i="3" s="1"/>
  <c r="T197" i="3"/>
  <c r="U198" i="3"/>
  <c r="V198" i="3"/>
  <c r="V199" i="3" s="1"/>
  <c r="V200" i="3" s="1"/>
  <c r="V201" i="3" s="1"/>
  <c r="V202" i="3" s="1"/>
  <c r="T190" i="3"/>
  <c r="U191" i="3"/>
  <c r="V191" i="3"/>
  <c r="V192" i="3" s="1"/>
  <c r="V193" i="3" s="1"/>
  <c r="V194" i="3" s="1"/>
  <c r="V195" i="3" s="1"/>
  <c r="V184" i="3"/>
  <c r="V185" i="3" s="1"/>
  <c r="V186" i="3" s="1"/>
  <c r="V187" i="3" s="1"/>
  <c r="V188" i="3" s="1"/>
  <c r="U184" i="3"/>
  <c r="T183" i="3"/>
  <c r="G141" i="3" l="1"/>
  <c r="D66" i="3"/>
  <c r="I62" i="3"/>
  <c r="G65" i="3" s="1"/>
  <c r="T198" i="3"/>
  <c r="U199" i="3"/>
  <c r="T199" i="3" s="1"/>
  <c r="T191" i="3"/>
  <c r="U192" i="3"/>
  <c r="T192" i="3" s="1"/>
  <c r="U185" i="3"/>
  <c r="T184" i="3"/>
  <c r="U200" i="3" l="1"/>
  <c r="T200" i="3" s="1"/>
  <c r="U193" i="3"/>
  <c r="T193" i="3" s="1"/>
  <c r="U186" i="3"/>
  <c r="T185" i="3"/>
  <c r="U201" i="3" l="1"/>
  <c r="T201" i="3" s="1"/>
  <c r="U194" i="3"/>
  <c r="T194" i="3" s="1"/>
  <c r="U187" i="3"/>
  <c r="T186" i="3"/>
  <c r="U202" i="3" l="1"/>
  <c r="T202" i="3" s="1"/>
  <c r="U195" i="3"/>
  <c r="T195" i="3" s="1"/>
  <c r="U188" i="3"/>
  <c r="T187" i="3"/>
  <c r="T18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G17" authorId="0" shapeId="0" xr:uid="{00000000-0006-0000-0000-000004000000}">
      <text>
        <r>
          <rPr>
            <b/>
            <sz val="18"/>
            <color indexed="81"/>
            <rFont val="Tahoma"/>
            <family val="2"/>
          </rPr>
          <t>From Rera</t>
        </r>
      </text>
    </comment>
    <comment ref="G21" authorId="0" shapeId="0" xr:uid="{00000000-0006-0000-0000-000005000000}">
      <text>
        <r>
          <rPr>
            <b/>
            <sz val="16"/>
            <color indexed="81"/>
            <rFont val="Tahoma"/>
            <family val="2"/>
          </rPr>
          <t>From RERA</t>
        </r>
      </text>
    </comment>
    <comment ref="G27" authorId="0" shapeId="0" xr:uid="{00000000-0006-0000-0000-000006000000}">
      <text>
        <r>
          <rPr>
            <b/>
            <sz val="12"/>
            <color indexed="81"/>
            <rFont val="Tahoma"/>
            <family val="2"/>
          </rPr>
          <t>SACHIN:</t>
        </r>
        <r>
          <rPr>
            <sz val="12"/>
            <color indexed="81"/>
            <rFont val="Tahoma"/>
            <family val="2"/>
          </rPr>
          <t xml:space="preserve">
Road size should be in metre</t>
        </r>
      </text>
    </comment>
    <comment ref="G147" authorId="0" shapeId="0" xr:uid="{00000000-0006-0000-0000-000007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<sst xmlns="http://schemas.openxmlformats.org/spreadsheetml/2006/main" count="965" uniqueCount="386">
  <si>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</si>
  <si>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</si>
  <si>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</si>
  <si>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</si>
  <si>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</si>
  <si>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</si>
  <si>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</si>
  <si>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</si>
  <si>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</si>
  <si>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</si>
  <si>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</si>
  <si>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</si>
  <si>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</si>
  <si>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</si>
  <si>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</si>
  <si>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</si>
  <si>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</si>
  <si>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</si>
  <si>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</si>
  <si>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</si>
  <si>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</si>
  <si>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</si>
  <si>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</si>
  <si>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</si>
  <si>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</si>
  <si>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</si>
  <si>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</si>
  <si>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</si>
  <si>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</si>
  <si>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</si>
  <si>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</si>
  <si>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</si>
  <si>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</si>
  <si>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</si>
  <si>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</si>
  <si>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</si>
  <si>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</si>
  <si>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</si>
  <si>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</si>
  <si>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</si>
  <si>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</si>
  <si>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</si>
  <si>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</si>
  <si>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</si>
  <si>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</si>
  <si>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</si>
  <si>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</si>
  <si>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</si>
  <si>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</si>
  <si>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</si>
  <si>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</si>
  <si>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</si>
  <si>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</si>
  <si>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</si>
  <si>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</si>
  <si>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</si>
  <si>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</si>
  <si>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</si>
  <si>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</si>
  <si>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</si>
  <si>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</si>
  <si>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</si>
  <si>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</si>
  <si>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</si>
  <si>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</si>
  <si>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</si>
  <si>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</si>
  <si>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</si>
  <si>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</si>
  <si>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</si>
  <si>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</si>
  <si>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</si>
  <si>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</si>
  <si>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</si>
  <si>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</si>
  <si>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</si>
  <si>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</si>
  <si>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</si>
  <si>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</si>
  <si>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</si>
  <si>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</si>
  <si>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</si>
  <si>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</si>
  <si>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</si>
  <si>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</si>
  <si>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</si>
  <si>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</si>
  <si>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</si>
  <si>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</si>
  <si>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</si>
  <si>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</si>
  <si>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</si>
  <si>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</si>
  <si>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</si>
  <si>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</si>
  <si>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</si>
  <si>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</si>
  <si>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</si>
  <si>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</si>
  <si>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</si>
  <si>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</si>
  <si>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</si>
  <si>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</si>
  <si>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</si>
  <si>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</si>
  <si>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</si>
  <si>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</si>
  <si>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</si>
  <si>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</si>
  <si>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</si>
  <si>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</si>
  <si>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</si>
  <si>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</si>
  <si>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</si>
  <si>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</si>
  <si>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</si>
  <si>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</si>
  <si>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</si>
  <si>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</si>
  <si>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</si>
  <si>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</si>
  <si>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</si>
  <si>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</si>
  <si>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</si>
  <si>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</si>
  <si>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</si>
  <si>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</si>
  <si>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</si>
  <si>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</si>
  <si>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</si>
  <si>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</si>
  <si>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</si>
  <si>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</si>
  <si>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</si>
  <si>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</si>
  <si>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</si>
  <si>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</si>
  <si>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</si>
  <si>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</si>
  <si>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</si>
  <si>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</si>
  <si>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</si>
  <si>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</si>
  <si>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</si>
  <si>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</si>
  <si>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</si>
  <si>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</si>
  <si>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</si>
  <si>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</si>
  <si>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</si>
  <si>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</si>
  <si>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</si>
  <si>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</si>
  <si>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</si>
  <si>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</si>
  <si>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</si>
  <si>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</si>
  <si>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</si>
  <si>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</si>
  <si>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</si>
  <si>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</si>
  <si>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</si>
  <si>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</si>
  <si>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</si>
  <si>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</si>
  <si>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</si>
  <si>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</si>
  <si>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</si>
  <si>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</si>
  <si>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</si>
  <si>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</si>
  <si>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</si>
  <si>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</si>
  <si>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</si>
  <si>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</si>
  <si>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</si>
  <si>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</si>
  <si>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</si>
  <si>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</si>
  <si>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</si>
  <si>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</si>
  <si>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</si>
  <si>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</si>
  <si>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</si>
  <si>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</si>
  <si>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</si>
  <si>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</si>
  <si>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</si>
  <si>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</si>
  <si>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</si>
  <si>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</si>
  <si>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</si>
  <si>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</si>
  <si>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</si>
  <si>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</si>
  <si>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</si>
  <si>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</si>
  <si>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</si>
  <si>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</si>
  <si>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</si>
  <si>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</si>
  <si>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</si>
  <si>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</si>
  <si>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</si>
  <si>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</si>
  <si>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</si>
  <si>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</si>
  <si>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</si>
  <si>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</si>
  <si>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</si>
  <si>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</si>
  <si>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</si>
  <si>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</si>
  <si>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</si>
  <si>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</si>
  <si>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</si>
  <si>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</si>
  <si>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</si>
  <si>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</si>
  <si>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</si>
  <si>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</si>
  <si>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</si>
  <si>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</si>
  <si>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</si>
  <si>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</si>
  <si>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</si>
  <si>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</si>
  <si>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</si>
  <si>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</si>
  <si>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</si>
  <si>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</si>
  <si>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</si>
  <si>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</si>
  <si>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</si>
  <si>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</si>
  <si>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</si>
  <si>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</si>
  <si>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</si>
  <si>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</si>
  <si>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</si>
  <si>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</si>
  <si>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</si>
  <si>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</si>
  <si>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</si>
  <si>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</si>
  <si>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</si>
  <si>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</si>
  <si>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</si>
  <si>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</si>
  <si>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</si>
  <si>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</si>
  <si>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</si>
  <si>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</si>
  <si>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</si>
  <si>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</si>
  <si>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</si>
  <si>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</si>
  <si>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</si>
  <si>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</si>
  <si>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</si>
  <si>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</si>
  <si>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</si>
  <si>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</si>
  <si>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</si>
  <si>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</si>
  <si>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</si>
  <si>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</si>
  <si>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</si>
  <si>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</si>
  <si>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</si>
  <si>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</si>
  <si>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</si>
  <si>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</si>
  <si>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</si>
  <si>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</si>
  <si>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</si>
  <si>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</si>
  <si>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</si>
  <si>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</si>
  <si>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</si>
  <si>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</si>
  <si>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</si>
  <si>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</si>
  <si>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</si>
  <si>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</si>
  <si>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</si>
  <si>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</si>
  <si>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</si>
  <si>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</si>
  <si>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</si>
  <si>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</si>
  <si>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</si>
  <si>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</si>
  <si>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</si>
  <si>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</si>
  <si>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</si>
  <si>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</si>
  <si>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</si>
  <si>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</si>
  <si>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</si>
  <si>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</si>
  <si>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</si>
  <si>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</si>
  <si>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Mahaavir Exotique Phase I &amp; II</t>
  </si>
  <si>
    <t>Godrej One, Mumbai-RO Thane</t>
  </si>
  <si>
    <t>M/s. Mahaavir Superstructures Private Limited</t>
  </si>
  <si>
    <t>Mr. Suraj Khare</t>
  </si>
  <si>
    <t>A-1003 To 1009, 10th Floor, Mahaavir Icon, Plot No 89-90, Near Reliance Fresh, Sector 15, CBD Belapur, Tal. Thane, Dist. Thane 400614</t>
  </si>
  <si>
    <t>Approved Layout &amp; Floor Plans, CC, RERA certificate, EC</t>
  </si>
  <si>
    <t>Panvel Municipal Corporation (PMC)</t>
  </si>
  <si>
    <t>Phase I = P52000031173
Phase II = P52000053208</t>
  </si>
  <si>
    <t>Phase I = 31/12/2026
Phase II = 31/12/2027</t>
  </si>
  <si>
    <t xml:space="preserve">Phase I = 11/10/2021
Phase II = 23/10/2023 </t>
  </si>
  <si>
    <t>Phase I = Oct - 21
Phase II = Oct - 23</t>
  </si>
  <si>
    <t>State Bank Of India</t>
  </si>
  <si>
    <t>Ekvira apartment</t>
  </si>
  <si>
    <t>19.092582,73.080321</t>
  </si>
  <si>
    <t>https://goo.gl/maps/SY5LzJwJ3ZkiAQXM9</t>
  </si>
  <si>
    <t>Club House, Swimming Pool, Banquet Hall, Kids Playing Area, Temple, Garden Court, Multipurpose Court, Party Lawn, Kids Pool, Lap Pool, Outdooor Gym, Senior Citizen Seating Area etc.</t>
  </si>
  <si>
    <t>S. No. 24A/4</t>
  </si>
  <si>
    <t>15.00 M. Wide Road</t>
  </si>
  <si>
    <t>S. No. 25/1</t>
  </si>
  <si>
    <t>S. No. 24A/8</t>
  </si>
  <si>
    <t>Wing A</t>
  </si>
  <si>
    <t>Wing B</t>
  </si>
  <si>
    <t>Wing C</t>
  </si>
  <si>
    <t>Wing D</t>
  </si>
  <si>
    <t>Wing E</t>
  </si>
  <si>
    <t>G + 1st to 29th Floor</t>
  </si>
  <si>
    <t>G + 1st to 22nd Floor</t>
  </si>
  <si>
    <t>PMP/NRV/16030/JK-1906/2021</t>
  </si>
  <si>
    <t>PMC/TP/Rohinjan/19/1,20,24/A/8/B/
16030/1906/2021</t>
  </si>
  <si>
    <t>Building No. A  = G + 1st to 29th Upper Floor
Building No. B, C, D, E  = G + 1st to 22nd Upper Floor</t>
  </si>
  <si>
    <t>Shop Line</t>
  </si>
  <si>
    <t>Ground Floor for Commercial &amp; Parking</t>
  </si>
  <si>
    <t xml:space="preserve"> -</t>
  </si>
  <si>
    <t>Shop</t>
  </si>
  <si>
    <t>1st &amp; 2nd Floor for Residential &amp; Parking</t>
  </si>
  <si>
    <t>2BHK</t>
  </si>
  <si>
    <t>Society Office</t>
  </si>
  <si>
    <t>Parking</t>
  </si>
  <si>
    <t>3rd Floor For Residential, Society Office, Creche &amp; Amenities</t>
  </si>
  <si>
    <t>Creche</t>
  </si>
  <si>
    <t>4th to 7th, 9th to 12th, 14th to 17th, 19th to 22nd, 24th to 27th &amp; 29th Floor</t>
  </si>
  <si>
    <t>8th, 13th, 18th, 23rd &amp; 28th Floor (Part Refuge Area)</t>
  </si>
  <si>
    <t>Refuge Area</t>
  </si>
  <si>
    <t>1st, 2nd &amp; 3rd Floor for Residential &amp; Parking</t>
  </si>
  <si>
    <t>1BHK</t>
  </si>
  <si>
    <t>4th to 7th, 9th to 12th, 14th to 17th &amp; 19th to 22nd Floor</t>
  </si>
  <si>
    <t>8th, 13th &amp; 18th Floor (Part Refuge Area)</t>
  </si>
  <si>
    <t>Ground Floor for Parking</t>
  </si>
  <si>
    <t>Mr. Somnath 9702108280</t>
  </si>
  <si>
    <t>As per RERA Site Flats = 807 &amp; Shop = 12</t>
  </si>
  <si>
    <t>Flats = 807 &amp; 
Shop = 12</t>
  </si>
  <si>
    <t>3.50 KM from Mumbra Highway Bus Stop</t>
  </si>
  <si>
    <t>About 3.80 KM from Rana NX Hospital</t>
  </si>
  <si>
    <t>2.40 KM from Taloja Panchanand Railway Station
7.40 KM from Navade Railway Station</t>
  </si>
  <si>
    <t>Mr. Sunil Peravi</t>
  </si>
  <si>
    <t>Balcony + Chajja Area</t>
  </si>
  <si>
    <t>3rd Floor For Residential, Society Office, Creche &amp; Society Office</t>
  </si>
  <si>
    <t xml:space="preserve">We considered Gross carpet area = Net carpet  + Balcony + Chajja Area.
</t>
  </si>
  <si>
    <t xml:space="preserve">Mahaavir Exotique Phase I &amp; II, Survey No. 19, 29, 24 A 8/B, Rohinjan, Navi Mumbai, Maharashtra 410210. </t>
  </si>
  <si>
    <t>Mahaavir Exotique Phase I &amp; II, Proposed Residential / Commercial Building On S. No. 19/1, 20, 24/A/8/B, Rohinjan, Dist. Raigad</t>
  </si>
  <si>
    <t>Mahaavir Exotique Phase I &amp; II, S. No. 19/1, 20, 24/A/8/B, Near Today Royal Aikyam, Airport Expressway, Navin Vasahat, Rohinjan, Taloja, Navi Mumbai, Panvel, Raigad 410208</t>
  </si>
  <si>
    <t>Phase I</t>
  </si>
  <si>
    <t>Phase II</t>
  </si>
  <si>
    <t>https://www.mahaavirsexotique.com/?utm_source=google&amp;utm_medium=cpc&amp;utm_campaign=Mahaavir+Exotique+NAVI&amp;utm_term=mahaavir%20exotique&amp;utm_Physical_Location=9062232&amp;utm_Targetid=kwd-1462184513981&amp;utm_Target=&amp;utm_Placement=&amp;utm_Adposition=&amp;gad_source=1&amp;gad_campaignid=21846766926&amp;gbraid=0AAAAA-ZZrXyC8pE4_Kjr03HwGzZFSx5vO&amp;gclid=Cj0KCQjwxdXBBhDEARIsAAUkP6gxJuKCBTV9zKxQqQ3LhN1fIpDLjVI-JfNSFEcGLyHs5wU3rVT8VCoaAriiEALw_wcB</t>
  </si>
  <si>
    <t>15M</t>
  </si>
  <si>
    <t>About 0.19KM from Raja Prasenjeet Public School &amp; Junior College</t>
  </si>
  <si>
    <t>1. Approx. 3.90 KM from Taloja Market.</t>
  </si>
  <si>
    <t>Pisarve Road</t>
  </si>
  <si>
    <t>Buildings</t>
  </si>
  <si>
    <t>Today Royal Aikyam</t>
  </si>
  <si>
    <t>Open plot</t>
  </si>
  <si>
    <t>Phse I Wing A</t>
  </si>
  <si>
    <t>Phse I Wing B</t>
  </si>
  <si>
    <t>Phse I Wing C</t>
  </si>
  <si>
    <t>Phse II Wing D</t>
  </si>
  <si>
    <t>Phse II Wing E</t>
  </si>
  <si>
    <t>SIA/MH/MIS/213444/2021
Proposed Builtup Area = 92561.00 Sq. M
05 Buildings = Gr + 3P + 19 Floors
01 Building = Gr + 3P + 26 Floors</t>
  </si>
  <si>
    <t>Ground Florr For Entrance Lobby &amp; Parking</t>
  </si>
  <si>
    <t>12000 to 13000</t>
  </si>
  <si>
    <t xml:space="preserve">Please check for Fire NOC.
</t>
  </si>
  <si>
    <t>2.5BHK</t>
  </si>
  <si>
    <t>06/08/2025 at 01:36PM</t>
  </si>
  <si>
    <t>Phase I (Wing A &amp; B) = Construction work is in process at the time of Visit (Internal Visit not allowed).
Phase I (Wing C) &amp; Phase II (Wing D) = Construction work is in process at the time of Visit (Internal Visit not allowed). (Slow speed).
Phase II (Wing E) = Construction work same as last visit dtd. 24/05/2025 but work is in process. (Slow 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</si>
</sst>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2"/>
      <color theme="10"/>
      <name val="Calibri"/>
      <family val="2"/>
    </font>
    <font>
      <sz val="12"/>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89">
    <xf numFmtId="0" fontId="0" fillId="0" borderId="0" xfId="0"/>
    <xf numFmtId="0" fontId="3" fillId="0" borderId="0" xfId="0" applyFont="1" applyAlignment="1">
      <alignment vertical="top"/>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6" fillId="4" borderId="2" xfId="1" applyNumberFormat="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0" fontId="25" fillId="0" borderId="0" xfId="2" applyAlignment="1">
      <alignment vertical="top"/>
    </xf>
    <xf numFmtId="14" fontId="4" fillId="4" borderId="1" xfId="0" applyNumberFormat="1" applyFont="1" applyFill="1" applyBorder="1" applyAlignment="1">
      <alignment horizontal="left" vertical="top" wrapText="1"/>
    </xf>
    <xf numFmtId="0" fontId="9" fillId="0" borderId="0" xfId="0" applyFont="1" applyAlignment="1">
      <alignment vertical="top"/>
    </xf>
    <xf numFmtId="2" fontId="3" fillId="0" borderId="0" xfId="0" applyNumberFormat="1" applyFont="1" applyAlignment="1">
      <alignment vertical="top"/>
    </xf>
    <xf numFmtId="1" fontId="4" fillId="4" borderId="1" xfId="1" applyNumberFormat="1" applyFont="1" applyFill="1" applyBorder="1" applyAlignment="1">
      <alignment horizontal="center" vertical="center" wrapText="1"/>
    </xf>
    <xf numFmtId="0" fontId="3" fillId="0" borderId="0" xfId="0" applyFont="1" applyAlignment="1">
      <alignment horizontal="left" vertical="top"/>
    </xf>
    <xf numFmtId="1" fontId="3" fillId="0" borderId="0" xfId="0" applyNumberFormat="1" applyFont="1" applyAlignment="1">
      <alignment vertical="top"/>
    </xf>
    <xf numFmtId="14" fontId="3" fillId="0" borderId="0" xfId="0" applyNumberFormat="1" applyFont="1" applyAlignment="1">
      <alignmen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9" fillId="4" borderId="2" xfId="0" applyFont="1" applyFill="1" applyBorder="1" applyAlignment="1">
      <alignment horizontal="left" vertical="top" wrapText="1"/>
    </xf>
    <xf numFmtId="0" fontId="2" fillId="2" borderId="1" xfId="0" applyFont="1" applyFill="1" applyBorder="1" applyAlignment="1">
      <alignment horizontal="center" vertical="top"/>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3"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center" wrapText="1"/>
    </xf>
    <xf numFmtId="0" fontId="4" fillId="0" borderId="1"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2"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2" borderId="1"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0" borderId="6"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6" fillId="4" borderId="1" xfId="2" applyFont="1" applyFill="1" applyBorder="1" applyAlignment="1">
      <alignment horizontal="left" vertical="top" wrapText="1"/>
    </xf>
    <xf numFmtId="0" fontId="27" fillId="4" borderId="1" xfId="0" applyFont="1" applyFill="1" applyBorder="1" applyAlignment="1">
      <alignment horizontal="left" vertical="top"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8</xdr:col>
      <xdr:colOff>291353</xdr:colOff>
      <xdr:row>8</xdr:row>
      <xdr:rowOff>246529</xdr:rowOff>
    </xdr:from>
    <xdr:to>
      <xdr:col>11</xdr:col>
      <xdr:colOff>47759</xdr:colOff>
      <xdr:row>9</xdr:row>
      <xdr:rowOff>440858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4294" y="4347882"/>
          <a:ext cx="3409524" cy="752381"/>
        </a:xfrm>
        <a:prstGeom prst="rect">
          <a:avLst/>
        </a:prstGeom>
      </xdr:spPr>
    </xdr:pic>
    <xdr:clientData/>
  </xdr:twoCellAnchor>
  <xdr:twoCellAnchor>
    <xdr:from>
      <xdr:col>0</xdr:col>
      <xdr:colOff>156882</xdr:colOff>
      <xdr:row>382</xdr:row>
      <xdr:rowOff>22412</xdr:rowOff>
    </xdr:from>
    <xdr:to>
      <xdr:col>7</xdr:col>
      <xdr:colOff>920558</xdr:colOff>
      <xdr:row>423</xdr:row>
      <xdr:rowOff>255266</xdr:rowOff>
    </xdr:to>
    <xdr:grpSp>
      <xdr:nvGrpSpPr>
        <xdr:cNvPr id="51" name="Group 50">
          <a:extLst>
            <a:ext uri="{FF2B5EF4-FFF2-40B4-BE49-F238E27FC236}">
              <a16:creationId xmlns:a16="http://schemas.microsoft.com/office/drawing/2014/main" id="{00000000-0008-0000-0000-000033000000}"/>
            </a:ext>
          </a:extLst>
        </xdr:cNvPr>
        <xdr:cNvGrpSpPr/>
      </xdr:nvGrpSpPr>
      <xdr:grpSpPr>
        <a:xfrm>
          <a:off x="156882" y="116205000"/>
          <a:ext cx="9000000" cy="10800001"/>
          <a:chOff x="0" y="0"/>
          <a:chExt cx="6120000" cy="7123857"/>
        </a:xfrm>
      </xdr:grpSpPr>
      <xdr:grpSp>
        <xdr:nvGrpSpPr>
          <xdr:cNvPr id="52" name="Group 51">
            <a:extLst>
              <a:ext uri="{FF2B5EF4-FFF2-40B4-BE49-F238E27FC236}">
                <a16:creationId xmlns:a16="http://schemas.microsoft.com/office/drawing/2014/main" id="{00000000-0008-0000-0000-000034000000}"/>
              </a:ext>
            </a:extLst>
          </xdr:cNvPr>
          <xdr:cNvGrpSpPr/>
        </xdr:nvGrpSpPr>
        <xdr:grpSpPr>
          <a:xfrm>
            <a:off x="0" y="0"/>
            <a:ext cx="6120000" cy="4225714"/>
            <a:chOff x="0" y="0"/>
            <a:chExt cx="6120000" cy="4225714"/>
          </a:xfrm>
        </xdr:grpSpPr>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
            <a:stretch>
              <a:fillRect/>
            </a:stretch>
          </xdr:blipFill>
          <xdr:spPr>
            <a:xfrm>
              <a:off x="0" y="0"/>
              <a:ext cx="6120000" cy="4225714"/>
            </a:xfrm>
            <a:prstGeom prst="rect">
              <a:avLst/>
            </a:prstGeom>
            <a:ln>
              <a:solidFill>
                <a:schemeClr val="tx1"/>
              </a:solidFill>
            </a:ln>
          </xdr:spPr>
        </xdr:pic>
        <xdr:sp macro="" textlink="">
          <xdr:nvSpPr>
            <xdr:cNvPr id="55" name="Rectangle 54">
              <a:extLst>
                <a:ext uri="{FF2B5EF4-FFF2-40B4-BE49-F238E27FC236}">
                  <a16:creationId xmlns:a16="http://schemas.microsoft.com/office/drawing/2014/main" id="{00000000-0008-0000-0000-000037000000}"/>
                </a:ext>
              </a:extLst>
            </xdr:cNvPr>
            <xdr:cNvSpPr/>
          </xdr:nvSpPr>
          <xdr:spPr>
            <a:xfrm>
              <a:off x="3902411" y="685783"/>
              <a:ext cx="830580" cy="8382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6" name="Rectangle 55">
              <a:extLst>
                <a:ext uri="{FF2B5EF4-FFF2-40B4-BE49-F238E27FC236}">
                  <a16:creationId xmlns:a16="http://schemas.microsoft.com/office/drawing/2014/main" id="{00000000-0008-0000-0000-000038000000}"/>
                </a:ext>
              </a:extLst>
            </xdr:cNvPr>
            <xdr:cNvSpPr/>
          </xdr:nvSpPr>
          <xdr:spPr>
            <a:xfrm>
              <a:off x="4418705" y="2019283"/>
              <a:ext cx="832445" cy="609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7" name="Rectangle 56">
              <a:extLst>
                <a:ext uri="{FF2B5EF4-FFF2-40B4-BE49-F238E27FC236}">
                  <a16:creationId xmlns:a16="http://schemas.microsoft.com/office/drawing/2014/main" id="{00000000-0008-0000-0000-000039000000}"/>
                </a:ext>
              </a:extLst>
            </xdr:cNvPr>
            <xdr:cNvSpPr/>
          </xdr:nvSpPr>
          <xdr:spPr>
            <a:xfrm>
              <a:off x="3572718" y="2019283"/>
              <a:ext cx="832443" cy="609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8" name="Rectangle 57">
              <a:extLst>
                <a:ext uri="{FF2B5EF4-FFF2-40B4-BE49-F238E27FC236}">
                  <a16:creationId xmlns:a16="http://schemas.microsoft.com/office/drawing/2014/main" id="{00000000-0008-0000-0000-00003A000000}"/>
                </a:ext>
              </a:extLst>
            </xdr:cNvPr>
            <xdr:cNvSpPr/>
          </xdr:nvSpPr>
          <xdr:spPr>
            <a:xfrm>
              <a:off x="2774651" y="2019283"/>
              <a:ext cx="784522" cy="609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9" name="Rectangle 58">
              <a:extLst>
                <a:ext uri="{FF2B5EF4-FFF2-40B4-BE49-F238E27FC236}">
                  <a16:creationId xmlns:a16="http://schemas.microsoft.com/office/drawing/2014/main" id="{00000000-0008-0000-0000-00003B000000}"/>
                </a:ext>
              </a:extLst>
            </xdr:cNvPr>
            <xdr:cNvSpPr/>
          </xdr:nvSpPr>
          <xdr:spPr>
            <a:xfrm>
              <a:off x="1919348" y="2019283"/>
              <a:ext cx="841757" cy="609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0" name="Rectangle 59">
              <a:extLst>
                <a:ext uri="{FF2B5EF4-FFF2-40B4-BE49-F238E27FC236}">
                  <a16:creationId xmlns:a16="http://schemas.microsoft.com/office/drawing/2014/main" id="{00000000-0008-0000-0000-00003C000000}"/>
                </a:ext>
              </a:extLst>
            </xdr:cNvPr>
            <xdr:cNvSpPr/>
          </xdr:nvSpPr>
          <xdr:spPr>
            <a:xfrm>
              <a:off x="1059982" y="2019283"/>
              <a:ext cx="845820" cy="609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1" name="TextBox 8">
              <a:extLst>
                <a:ext uri="{FF2B5EF4-FFF2-40B4-BE49-F238E27FC236}">
                  <a16:creationId xmlns:a16="http://schemas.microsoft.com/office/drawing/2014/main" id="{00000000-0008-0000-0000-00003D000000}"/>
                </a:ext>
              </a:extLst>
            </xdr:cNvPr>
            <xdr:cNvSpPr txBox="1"/>
          </xdr:nvSpPr>
          <xdr:spPr>
            <a:xfrm>
              <a:off x="3955214" y="378006"/>
              <a:ext cx="77777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A</a:t>
              </a:r>
              <a:endParaRPr lang="en-IN" sz="1400" b="1">
                <a:solidFill>
                  <a:srgbClr val="FF0000"/>
                </a:solidFill>
              </a:endParaRPr>
            </a:p>
          </xdr:txBody>
        </xdr:sp>
        <xdr:sp macro="" textlink="">
          <xdr:nvSpPr>
            <xdr:cNvPr id="62" name="TextBox 9">
              <a:extLst>
                <a:ext uri="{FF2B5EF4-FFF2-40B4-BE49-F238E27FC236}">
                  <a16:creationId xmlns:a16="http://schemas.microsoft.com/office/drawing/2014/main" id="{00000000-0008-0000-0000-00003E000000}"/>
                </a:ext>
              </a:extLst>
            </xdr:cNvPr>
            <xdr:cNvSpPr txBox="1"/>
          </xdr:nvSpPr>
          <xdr:spPr>
            <a:xfrm>
              <a:off x="1094003" y="2646325"/>
              <a:ext cx="75052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F</a:t>
              </a:r>
              <a:endParaRPr lang="en-IN" sz="1400" b="1">
                <a:solidFill>
                  <a:srgbClr val="FF0000"/>
                </a:solidFill>
              </a:endParaRPr>
            </a:p>
          </xdr:txBody>
        </xdr:sp>
        <xdr:sp macro="" textlink="">
          <xdr:nvSpPr>
            <xdr:cNvPr id="63" name="TextBox 10">
              <a:extLst>
                <a:ext uri="{FF2B5EF4-FFF2-40B4-BE49-F238E27FC236}">
                  <a16:creationId xmlns:a16="http://schemas.microsoft.com/office/drawing/2014/main" id="{00000000-0008-0000-0000-00003F000000}"/>
                </a:ext>
              </a:extLst>
            </xdr:cNvPr>
            <xdr:cNvSpPr txBox="1"/>
          </xdr:nvSpPr>
          <xdr:spPr>
            <a:xfrm>
              <a:off x="1950285" y="1728870"/>
              <a:ext cx="75693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E</a:t>
              </a:r>
              <a:endParaRPr lang="en-IN" sz="1400" b="1">
                <a:solidFill>
                  <a:srgbClr val="FF0000"/>
                </a:solidFill>
              </a:endParaRPr>
            </a:p>
          </xdr:txBody>
        </xdr:sp>
        <xdr:sp macro="" textlink="">
          <xdr:nvSpPr>
            <xdr:cNvPr id="64" name="TextBox 11">
              <a:extLst>
                <a:ext uri="{FF2B5EF4-FFF2-40B4-BE49-F238E27FC236}">
                  <a16:creationId xmlns:a16="http://schemas.microsoft.com/office/drawing/2014/main" id="{00000000-0008-0000-0000-000040000000}"/>
                </a:ext>
              </a:extLst>
            </xdr:cNvPr>
            <xdr:cNvSpPr txBox="1"/>
          </xdr:nvSpPr>
          <xdr:spPr>
            <a:xfrm>
              <a:off x="2801744" y="2646325"/>
              <a:ext cx="78258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D</a:t>
              </a:r>
              <a:endParaRPr lang="en-IN" sz="1400" b="1">
                <a:solidFill>
                  <a:srgbClr val="FF0000"/>
                </a:solidFill>
              </a:endParaRPr>
            </a:p>
          </xdr:txBody>
        </xdr:sp>
        <xdr:sp macro="" textlink="">
          <xdr:nvSpPr>
            <xdr:cNvPr id="65" name="TextBox 12">
              <a:extLst>
                <a:ext uri="{FF2B5EF4-FFF2-40B4-BE49-F238E27FC236}">
                  <a16:creationId xmlns:a16="http://schemas.microsoft.com/office/drawing/2014/main" id="{00000000-0008-0000-0000-000041000000}"/>
                </a:ext>
              </a:extLst>
            </xdr:cNvPr>
            <xdr:cNvSpPr txBox="1"/>
          </xdr:nvSpPr>
          <xdr:spPr>
            <a:xfrm>
              <a:off x="3610608" y="1728871"/>
              <a:ext cx="763351"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C</a:t>
              </a:r>
              <a:endParaRPr lang="en-IN" sz="1400" b="1">
                <a:solidFill>
                  <a:srgbClr val="FF0000"/>
                </a:solidFill>
              </a:endParaRPr>
            </a:p>
          </xdr:txBody>
        </xdr:sp>
        <xdr:sp macro="" textlink="">
          <xdr:nvSpPr>
            <xdr:cNvPr id="66" name="TextBox 13">
              <a:extLst>
                <a:ext uri="{FF2B5EF4-FFF2-40B4-BE49-F238E27FC236}">
                  <a16:creationId xmlns:a16="http://schemas.microsoft.com/office/drawing/2014/main" id="{00000000-0008-0000-0000-000042000000}"/>
                </a:ext>
              </a:extLst>
            </xdr:cNvPr>
            <xdr:cNvSpPr txBox="1"/>
          </xdr:nvSpPr>
          <xdr:spPr>
            <a:xfrm>
              <a:off x="4509485" y="2646325"/>
              <a:ext cx="769763"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B</a:t>
              </a:r>
              <a:endParaRPr lang="en-IN" sz="1400" b="1">
                <a:solidFill>
                  <a:srgbClr val="FF0000"/>
                </a:solidFill>
              </a:endParaRPr>
            </a:p>
          </xdr:txBody>
        </xdr:sp>
      </xdr:grpSp>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3"/>
          <a:stretch>
            <a:fillRect/>
          </a:stretch>
        </xdr:blipFill>
        <xdr:spPr>
          <a:xfrm>
            <a:off x="1440000" y="4372776"/>
            <a:ext cx="3240000" cy="2751081"/>
          </a:xfrm>
          <a:prstGeom prst="rect">
            <a:avLst/>
          </a:prstGeom>
          <a:ln>
            <a:solidFill>
              <a:schemeClr val="tx1"/>
            </a:solidFill>
          </a:ln>
        </xdr:spPr>
      </xdr:pic>
    </xdr:grpSp>
    <xdr:clientData/>
  </xdr:twoCellAnchor>
  <xdr:twoCellAnchor>
    <xdr:from>
      <xdr:col>1</xdr:col>
      <xdr:colOff>1048869</xdr:colOff>
      <xdr:row>426</xdr:row>
      <xdr:rowOff>143433</xdr:rowOff>
    </xdr:from>
    <xdr:to>
      <xdr:col>6</xdr:col>
      <xdr:colOff>439657</xdr:colOff>
      <xdr:row>448</xdr:row>
      <xdr:rowOff>147916</xdr:rowOff>
    </xdr:to>
    <xdr:grpSp>
      <xdr:nvGrpSpPr>
        <xdr:cNvPr id="73" name="Group 72">
          <a:extLst>
            <a:ext uri="{FF2B5EF4-FFF2-40B4-BE49-F238E27FC236}">
              <a16:creationId xmlns:a16="http://schemas.microsoft.com/office/drawing/2014/main" id="{00000000-0008-0000-0000-000049000000}"/>
            </a:ext>
          </a:extLst>
        </xdr:cNvPr>
        <xdr:cNvGrpSpPr/>
      </xdr:nvGrpSpPr>
      <xdr:grpSpPr>
        <a:xfrm>
          <a:off x="2225487" y="127666374"/>
          <a:ext cx="5273876" cy="5674660"/>
          <a:chOff x="435722" y="744044"/>
          <a:chExt cx="6289991" cy="7655912"/>
        </a:xfrm>
      </xdr:grpSpPr>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17893" y="744044"/>
            <a:ext cx="4622213" cy="3541939"/>
          </a:xfrm>
          <a:prstGeom prst="rect">
            <a:avLst/>
          </a:prstGeom>
          <a:ln>
            <a:solidFill>
              <a:schemeClr val="tx1"/>
            </a:solidFill>
          </a:ln>
        </xdr:spPr>
      </xdr:pic>
      <xdr:grpSp>
        <xdr:nvGrpSpPr>
          <xdr:cNvPr id="75" name="Group 74">
            <a:extLst>
              <a:ext uri="{FF2B5EF4-FFF2-40B4-BE49-F238E27FC236}">
                <a16:creationId xmlns:a16="http://schemas.microsoft.com/office/drawing/2014/main" id="{00000000-0008-0000-0000-00004B000000}"/>
              </a:ext>
            </a:extLst>
          </xdr:cNvPr>
          <xdr:cNvGrpSpPr/>
        </xdr:nvGrpSpPr>
        <xdr:grpSpPr>
          <a:xfrm>
            <a:off x="435722" y="4442144"/>
            <a:ext cx="6289991" cy="3957812"/>
            <a:chOff x="435722" y="4442144"/>
            <a:chExt cx="6289991" cy="3957812"/>
          </a:xfrm>
        </xdr:grpSpPr>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35722" y="4442144"/>
              <a:ext cx="5986556" cy="3957812"/>
            </a:xfrm>
            <a:prstGeom prst="rect">
              <a:avLst/>
            </a:prstGeom>
            <a:ln>
              <a:solidFill>
                <a:schemeClr val="tx1"/>
              </a:solidFill>
            </a:ln>
          </xdr:spPr>
        </xdr:pic>
        <xdr:sp macro="" textlink="">
          <xdr:nvSpPr>
            <xdr:cNvPr id="77" name="Rectangle 76">
              <a:extLst>
                <a:ext uri="{FF2B5EF4-FFF2-40B4-BE49-F238E27FC236}">
                  <a16:creationId xmlns:a16="http://schemas.microsoft.com/office/drawing/2014/main" id="{00000000-0008-0000-0000-00004D000000}"/>
                </a:ext>
              </a:extLst>
            </xdr:cNvPr>
            <xdr:cNvSpPr/>
          </xdr:nvSpPr>
          <xdr:spPr>
            <a:xfrm rot="1672584">
              <a:off x="1964427" y="5557121"/>
              <a:ext cx="2929143" cy="1727859"/>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8" name="TextBox 22">
              <a:extLst>
                <a:ext uri="{FF2B5EF4-FFF2-40B4-BE49-F238E27FC236}">
                  <a16:creationId xmlns:a16="http://schemas.microsoft.com/office/drawing/2014/main" id="{00000000-0008-0000-0000-00004E000000}"/>
                </a:ext>
              </a:extLst>
            </xdr:cNvPr>
            <xdr:cNvSpPr txBox="1"/>
          </xdr:nvSpPr>
          <xdr:spPr>
            <a:xfrm>
              <a:off x="3619350" y="4722590"/>
              <a:ext cx="3106363" cy="8481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FF00"/>
                  </a:solidFill>
                </a:rPr>
                <a:t>Mahaavir Exotique </a:t>
              </a:r>
            </a:p>
            <a:p>
              <a:r>
                <a:rPr lang="en-IN" b="1">
                  <a:solidFill>
                    <a:srgbClr val="FFFF00"/>
                  </a:solidFill>
                </a:rPr>
                <a:t>Phase I &amp; II</a:t>
              </a:r>
            </a:p>
          </xdr:txBody>
        </xdr:sp>
      </xdr:grpSp>
    </xdr:grpSp>
    <xdr:clientData/>
  </xdr:twoCellAnchor>
  <xdr:twoCellAnchor editAs="oneCell">
    <xdr:from>
      <xdr:col>9</xdr:col>
      <xdr:colOff>109818</xdr:colOff>
      <xdr:row>144</xdr:row>
      <xdr:rowOff>219636</xdr:rowOff>
    </xdr:from>
    <xdr:to>
      <xdr:col>26</xdr:col>
      <xdr:colOff>577654</xdr:colOff>
      <xdr:row>163</xdr:row>
      <xdr:rowOff>17896</xdr:rowOff>
    </xdr:to>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
        <a:stretch>
          <a:fillRect/>
        </a:stretch>
      </xdr:blipFill>
      <xdr:spPr>
        <a:xfrm>
          <a:off x="12041842" y="53658248"/>
          <a:ext cx="9360824" cy="4854354"/>
        </a:xfrm>
        <a:prstGeom prst="rect">
          <a:avLst/>
        </a:prstGeom>
      </xdr:spPr>
    </xdr:pic>
    <xdr:clientData/>
  </xdr:twoCellAnchor>
  <xdr:twoCellAnchor>
    <xdr:from>
      <xdr:col>8</xdr:col>
      <xdr:colOff>291352</xdr:colOff>
      <xdr:row>342</xdr:row>
      <xdr:rowOff>103092</xdr:rowOff>
    </xdr:from>
    <xdr:to>
      <xdr:col>22</xdr:col>
      <xdr:colOff>152401</xdr:colOff>
      <xdr:row>377</xdr:row>
      <xdr:rowOff>233082</xdr:rowOff>
    </xdr:to>
    <xdr:grpSp>
      <xdr:nvGrpSpPr>
        <xdr:cNvPr id="80" name="Group 79">
          <a:extLst>
            <a:ext uri="{FF2B5EF4-FFF2-40B4-BE49-F238E27FC236}">
              <a16:creationId xmlns:a16="http://schemas.microsoft.com/office/drawing/2014/main" id="{00000000-0008-0000-0000-000050000000}"/>
            </a:ext>
          </a:extLst>
        </xdr:cNvPr>
        <xdr:cNvGrpSpPr/>
      </xdr:nvGrpSpPr>
      <xdr:grpSpPr>
        <a:xfrm>
          <a:off x="9704293" y="105976268"/>
          <a:ext cx="8355108" cy="9150726"/>
          <a:chOff x="347665" y="106860"/>
          <a:chExt cx="6380883" cy="8079688"/>
        </a:xfrm>
      </xdr:grpSpPr>
      <xdr:grpSp>
        <xdr:nvGrpSpPr>
          <xdr:cNvPr id="81" name="Group 80">
            <a:extLst>
              <a:ext uri="{FF2B5EF4-FFF2-40B4-BE49-F238E27FC236}">
                <a16:creationId xmlns:a16="http://schemas.microsoft.com/office/drawing/2014/main" id="{00000000-0008-0000-0000-000051000000}"/>
              </a:ext>
            </a:extLst>
          </xdr:cNvPr>
          <xdr:cNvGrpSpPr/>
        </xdr:nvGrpSpPr>
        <xdr:grpSpPr>
          <a:xfrm>
            <a:off x="347665" y="106860"/>
            <a:ext cx="6380883" cy="2827816"/>
            <a:chOff x="7884659" y="-2941012"/>
            <a:chExt cx="6380883" cy="2827816"/>
          </a:xfrm>
        </xdr:grpSpPr>
        <xdr:grpSp>
          <xdr:nvGrpSpPr>
            <xdr:cNvPr id="94" name="Group 93">
              <a:extLst>
                <a:ext uri="{FF2B5EF4-FFF2-40B4-BE49-F238E27FC236}">
                  <a16:creationId xmlns:a16="http://schemas.microsoft.com/office/drawing/2014/main" id="{00000000-0008-0000-0000-00005E000000}"/>
                </a:ext>
              </a:extLst>
            </xdr:cNvPr>
            <xdr:cNvGrpSpPr/>
          </xdr:nvGrpSpPr>
          <xdr:grpSpPr>
            <a:xfrm>
              <a:off x="7884659" y="-2892396"/>
              <a:ext cx="1962000" cy="2779200"/>
              <a:chOff x="-1" y="0"/>
              <a:chExt cx="1888031" cy="2520000"/>
            </a:xfrm>
          </xdr:grpSpPr>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 y="0"/>
                <a:ext cx="1888031" cy="2520000"/>
              </a:xfrm>
              <a:prstGeom prst="rect">
                <a:avLst/>
              </a:prstGeom>
              <a:ln>
                <a:solidFill>
                  <a:schemeClr val="tx1"/>
                </a:solidFill>
              </a:ln>
            </xdr:spPr>
          </xdr:pic>
          <xdr:sp macro="" textlink="">
            <xdr:nvSpPr>
              <xdr:cNvPr id="102" name="TextBox 46">
                <a:extLst>
                  <a:ext uri="{FF2B5EF4-FFF2-40B4-BE49-F238E27FC236}">
                    <a16:creationId xmlns:a16="http://schemas.microsoft.com/office/drawing/2014/main" id="{00000000-0008-0000-0000-000066000000}"/>
                  </a:ext>
                </a:extLst>
              </xdr:cNvPr>
              <xdr:cNvSpPr txBox="1"/>
            </xdr:nvSpPr>
            <xdr:spPr>
              <a:xfrm>
                <a:off x="1012469" y="0"/>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grpSp>
        <xdr:grpSp>
          <xdr:nvGrpSpPr>
            <xdr:cNvPr id="95" name="Group 94">
              <a:extLst>
                <a:ext uri="{FF2B5EF4-FFF2-40B4-BE49-F238E27FC236}">
                  <a16:creationId xmlns:a16="http://schemas.microsoft.com/office/drawing/2014/main" id="{00000000-0008-0000-0000-00005F000000}"/>
                </a:ext>
              </a:extLst>
            </xdr:cNvPr>
            <xdr:cNvGrpSpPr/>
          </xdr:nvGrpSpPr>
          <xdr:grpSpPr>
            <a:xfrm>
              <a:off x="9989892" y="-2894999"/>
              <a:ext cx="2167305" cy="2779200"/>
              <a:chOff x="2039817" y="0"/>
              <a:chExt cx="2085596" cy="2520000"/>
            </a:xfrm>
          </xdr:grpSpPr>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039817" y="0"/>
                <a:ext cx="1888032" cy="2520000"/>
              </a:xfrm>
              <a:prstGeom prst="rect">
                <a:avLst/>
              </a:prstGeom>
              <a:ln>
                <a:solidFill>
                  <a:schemeClr val="tx1"/>
                </a:solidFill>
              </a:ln>
            </xdr:spPr>
          </xdr:pic>
          <xdr:sp macro="" textlink="">
            <xdr:nvSpPr>
              <xdr:cNvPr id="100" name="TextBox 47">
                <a:extLst>
                  <a:ext uri="{FF2B5EF4-FFF2-40B4-BE49-F238E27FC236}">
                    <a16:creationId xmlns:a16="http://schemas.microsoft.com/office/drawing/2014/main" id="{00000000-0008-0000-0000-000064000000}"/>
                  </a:ext>
                </a:extLst>
              </xdr:cNvPr>
              <xdr:cNvSpPr txBox="1"/>
            </xdr:nvSpPr>
            <xdr:spPr>
              <a:xfrm>
                <a:off x="3249852" y="0"/>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B</a:t>
                </a:r>
                <a:endParaRPr lang="en-IN" b="1"/>
              </a:p>
            </xdr:txBody>
          </xdr:sp>
        </xdr:grpSp>
        <xdr:grpSp>
          <xdr:nvGrpSpPr>
            <xdr:cNvPr id="96" name="Group 95">
              <a:extLst>
                <a:ext uri="{FF2B5EF4-FFF2-40B4-BE49-F238E27FC236}">
                  <a16:creationId xmlns:a16="http://schemas.microsoft.com/office/drawing/2014/main" id="{00000000-0008-0000-0000-000060000000}"/>
                </a:ext>
              </a:extLst>
            </xdr:cNvPr>
            <xdr:cNvGrpSpPr/>
          </xdr:nvGrpSpPr>
          <xdr:grpSpPr>
            <a:xfrm>
              <a:off x="12098239" y="-2941012"/>
              <a:ext cx="2167303" cy="2825212"/>
              <a:chOff x="0" y="4833584"/>
              <a:chExt cx="2085594" cy="2561721"/>
            </a:xfrm>
          </xdr:grpSpPr>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0" y="4875305"/>
                <a:ext cx="1888031" cy="2520000"/>
              </a:xfrm>
              <a:prstGeom prst="rect">
                <a:avLst/>
              </a:prstGeom>
              <a:ln>
                <a:solidFill>
                  <a:schemeClr val="tx1"/>
                </a:solidFill>
              </a:ln>
            </xdr:spPr>
          </xdr:pic>
          <xdr:sp macro="" textlink="">
            <xdr:nvSpPr>
              <xdr:cNvPr id="98" name="TextBox 49">
                <a:extLst>
                  <a:ext uri="{FF2B5EF4-FFF2-40B4-BE49-F238E27FC236}">
                    <a16:creationId xmlns:a16="http://schemas.microsoft.com/office/drawing/2014/main" id="{00000000-0008-0000-0000-000062000000}"/>
                  </a:ext>
                </a:extLst>
              </xdr:cNvPr>
              <xdr:cNvSpPr txBox="1"/>
            </xdr:nvSpPr>
            <xdr:spPr>
              <a:xfrm>
                <a:off x="1210033" y="4833584"/>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C</a:t>
                </a:r>
                <a:endParaRPr lang="en-IN" b="1"/>
              </a:p>
            </xdr:txBody>
          </xdr:sp>
        </xdr:grpSp>
      </xdr:grpSp>
      <xdr:grpSp>
        <xdr:nvGrpSpPr>
          <xdr:cNvPr id="82" name="Group 81">
            <a:extLst>
              <a:ext uri="{FF2B5EF4-FFF2-40B4-BE49-F238E27FC236}">
                <a16:creationId xmlns:a16="http://schemas.microsoft.com/office/drawing/2014/main" id="{00000000-0008-0000-0000-000052000000}"/>
              </a:ext>
            </a:extLst>
          </xdr:cNvPr>
          <xdr:cNvGrpSpPr/>
        </xdr:nvGrpSpPr>
        <xdr:grpSpPr>
          <a:xfrm>
            <a:off x="710835" y="3077061"/>
            <a:ext cx="5455681" cy="2801944"/>
            <a:chOff x="8284194" y="-48152"/>
            <a:chExt cx="5455681" cy="2801944"/>
          </a:xfrm>
        </xdr:grpSpPr>
        <xdr:grpSp>
          <xdr:nvGrpSpPr>
            <xdr:cNvPr id="88" name="Group 87">
              <a:extLst>
                <a:ext uri="{FF2B5EF4-FFF2-40B4-BE49-F238E27FC236}">
                  <a16:creationId xmlns:a16="http://schemas.microsoft.com/office/drawing/2014/main" id="{00000000-0008-0000-0000-000058000000}"/>
                </a:ext>
              </a:extLst>
            </xdr:cNvPr>
            <xdr:cNvGrpSpPr/>
          </xdr:nvGrpSpPr>
          <xdr:grpSpPr>
            <a:xfrm>
              <a:off x="8284194" y="-48152"/>
              <a:ext cx="1955561" cy="2801944"/>
              <a:chOff x="4296199" y="791635"/>
              <a:chExt cx="1888031" cy="2540623"/>
            </a:xfrm>
          </xdr:grpSpPr>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296199" y="812258"/>
                <a:ext cx="1888031" cy="2520000"/>
              </a:xfrm>
              <a:prstGeom prst="rect">
                <a:avLst/>
              </a:prstGeom>
              <a:ln>
                <a:solidFill>
                  <a:schemeClr val="tx1"/>
                </a:solidFill>
              </a:ln>
            </xdr:spPr>
          </xdr:pic>
          <xdr:sp macro="" textlink="">
            <xdr:nvSpPr>
              <xdr:cNvPr id="93" name="TextBox 48">
                <a:extLst>
                  <a:ext uri="{FF2B5EF4-FFF2-40B4-BE49-F238E27FC236}">
                    <a16:creationId xmlns:a16="http://schemas.microsoft.com/office/drawing/2014/main" id="{00000000-0008-0000-0000-00005D000000}"/>
                  </a:ext>
                </a:extLst>
              </xdr:cNvPr>
              <xdr:cNvSpPr txBox="1"/>
            </xdr:nvSpPr>
            <xdr:spPr>
              <a:xfrm>
                <a:off x="4555508" y="791635"/>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D</a:t>
                </a:r>
                <a:endParaRPr lang="en-IN" b="1"/>
              </a:p>
            </xdr:txBody>
          </xdr:sp>
        </xdr:grpSp>
        <xdr:grpSp>
          <xdr:nvGrpSpPr>
            <xdr:cNvPr id="89" name="Group 88">
              <a:extLst>
                <a:ext uri="{FF2B5EF4-FFF2-40B4-BE49-F238E27FC236}">
                  <a16:creationId xmlns:a16="http://schemas.microsoft.com/office/drawing/2014/main" id="{00000000-0008-0000-0000-000059000000}"/>
                </a:ext>
              </a:extLst>
            </xdr:cNvPr>
            <xdr:cNvGrpSpPr/>
          </xdr:nvGrpSpPr>
          <xdr:grpSpPr>
            <a:xfrm>
              <a:off x="10382986" y="-25409"/>
              <a:ext cx="3356889" cy="2779200"/>
              <a:chOff x="3893896" y="4604928"/>
              <a:chExt cx="3356889" cy="2520000"/>
            </a:xfrm>
          </xdr:grpSpPr>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893896" y="4604928"/>
                <a:ext cx="3356889" cy="2520000"/>
              </a:xfrm>
              <a:prstGeom prst="rect">
                <a:avLst/>
              </a:prstGeom>
              <a:ln>
                <a:solidFill>
                  <a:schemeClr val="tx1"/>
                </a:solidFill>
              </a:ln>
            </xdr:spPr>
          </xdr:pic>
          <xdr:sp macro="" textlink="">
            <xdr:nvSpPr>
              <xdr:cNvPr id="91" name="TextBox 50">
                <a:extLst>
                  <a:ext uri="{FF2B5EF4-FFF2-40B4-BE49-F238E27FC236}">
                    <a16:creationId xmlns:a16="http://schemas.microsoft.com/office/drawing/2014/main" id="{00000000-0008-0000-0000-00005B000000}"/>
                  </a:ext>
                </a:extLst>
              </xdr:cNvPr>
              <xdr:cNvSpPr txBox="1"/>
            </xdr:nvSpPr>
            <xdr:spPr>
              <a:xfrm>
                <a:off x="3902074" y="6614469"/>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E</a:t>
                </a:r>
                <a:endParaRPr lang="en-IN" b="1"/>
              </a:p>
            </xdr:txBody>
          </xdr:sp>
        </xdr:grpSp>
      </xdr:grpSp>
      <xdr:grpSp>
        <xdr:nvGrpSpPr>
          <xdr:cNvPr id="83" name="Group 82">
            <a:extLst>
              <a:ext uri="{FF2B5EF4-FFF2-40B4-BE49-F238E27FC236}">
                <a16:creationId xmlns:a16="http://schemas.microsoft.com/office/drawing/2014/main" id="{00000000-0008-0000-0000-000053000000}"/>
              </a:ext>
            </a:extLst>
          </xdr:cNvPr>
          <xdr:cNvGrpSpPr/>
        </xdr:nvGrpSpPr>
        <xdr:grpSpPr>
          <a:xfrm>
            <a:off x="563920" y="6026548"/>
            <a:ext cx="5743070" cy="2160000"/>
            <a:chOff x="1114930" y="6984000"/>
            <a:chExt cx="5743070" cy="2160000"/>
          </a:xfrm>
        </xdr:grpSpPr>
        <xdr:grpSp>
          <xdr:nvGrpSpPr>
            <xdr:cNvPr id="84" name="Group 83">
              <a:extLst>
                <a:ext uri="{FF2B5EF4-FFF2-40B4-BE49-F238E27FC236}">
                  <a16:creationId xmlns:a16="http://schemas.microsoft.com/office/drawing/2014/main" id="{00000000-0008-0000-0000-000054000000}"/>
                </a:ext>
              </a:extLst>
            </xdr:cNvPr>
            <xdr:cNvGrpSpPr/>
          </xdr:nvGrpSpPr>
          <xdr:grpSpPr>
            <a:xfrm>
              <a:off x="4076538" y="6984000"/>
              <a:ext cx="2781462" cy="2160000"/>
              <a:chOff x="4076538" y="7344000"/>
              <a:chExt cx="2781462" cy="1800000"/>
            </a:xfrm>
          </xdr:grpSpPr>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509406" y="7344000"/>
                <a:ext cx="1348594" cy="1800000"/>
              </a:xfrm>
              <a:prstGeom prst="rect">
                <a:avLst/>
              </a:prstGeom>
              <a:ln>
                <a:solidFill>
                  <a:schemeClr val="tx1"/>
                </a:solidFill>
              </a:ln>
            </xdr:spPr>
          </xdr:pic>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076538" y="7344000"/>
                <a:ext cx="1348594" cy="1800000"/>
              </a:xfrm>
              <a:prstGeom prst="rect">
                <a:avLst/>
              </a:prstGeom>
              <a:ln>
                <a:solidFill>
                  <a:schemeClr val="tx1"/>
                </a:solidFill>
              </a:ln>
            </xdr:spPr>
          </xdr:pic>
        </xdr:grpSp>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114930" y="6984000"/>
              <a:ext cx="2877334" cy="2160000"/>
            </a:xfrm>
            <a:prstGeom prst="rect">
              <a:avLst/>
            </a:prstGeom>
            <a:ln>
              <a:solidFill>
                <a:schemeClr val="tx1"/>
              </a:solidFill>
            </a:ln>
          </xdr:spPr>
        </xdr:pic>
      </xdr:grpSp>
    </xdr:grpSp>
    <xdr:clientData/>
  </xdr:twoCellAnchor>
  <xdr:twoCellAnchor>
    <xdr:from>
      <xdr:col>0</xdr:col>
      <xdr:colOff>459441</xdr:colOff>
      <xdr:row>342</xdr:row>
      <xdr:rowOff>67235</xdr:rowOff>
    </xdr:from>
    <xdr:to>
      <xdr:col>7</xdr:col>
      <xdr:colOff>699428</xdr:colOff>
      <xdr:row>375</xdr:row>
      <xdr:rowOff>150494</xdr:rowOff>
    </xdr:to>
    <xdr:grpSp>
      <xdr:nvGrpSpPr>
        <xdr:cNvPr id="49" name="Group 48">
          <a:extLst>
            <a:ext uri="{FF2B5EF4-FFF2-40B4-BE49-F238E27FC236}">
              <a16:creationId xmlns:a16="http://schemas.microsoft.com/office/drawing/2014/main" id="{5F0A8D21-B604-4AEF-95CD-6D63E115B490}"/>
            </a:ext>
          </a:extLst>
        </xdr:cNvPr>
        <xdr:cNvGrpSpPr/>
      </xdr:nvGrpSpPr>
      <xdr:grpSpPr>
        <a:xfrm>
          <a:off x="459441" y="105940411"/>
          <a:ext cx="8476311" cy="8588524"/>
          <a:chOff x="-1080562" y="-440370"/>
          <a:chExt cx="8476311" cy="8588524"/>
        </a:xfrm>
      </xdr:grpSpPr>
      <xdr:grpSp>
        <xdr:nvGrpSpPr>
          <xdr:cNvPr id="50" name="Group 49">
            <a:extLst>
              <a:ext uri="{FF2B5EF4-FFF2-40B4-BE49-F238E27FC236}">
                <a16:creationId xmlns:a16="http://schemas.microsoft.com/office/drawing/2014/main" id="{FBA43AA1-AC19-4BA0-8712-F26E267E7CEF}"/>
              </a:ext>
            </a:extLst>
          </xdr:cNvPr>
          <xdr:cNvGrpSpPr/>
        </xdr:nvGrpSpPr>
        <xdr:grpSpPr>
          <a:xfrm>
            <a:off x="-1080562" y="-440370"/>
            <a:ext cx="8476311" cy="8588524"/>
            <a:chOff x="-1080562" y="-440370"/>
            <a:chExt cx="8476311" cy="8588524"/>
          </a:xfrm>
        </xdr:grpSpPr>
        <xdr:pic>
          <xdr:nvPicPr>
            <xdr:cNvPr id="103" name="Picture 102">
              <a:extLst>
                <a:ext uri="{FF2B5EF4-FFF2-40B4-BE49-F238E27FC236}">
                  <a16:creationId xmlns:a16="http://schemas.microsoft.com/office/drawing/2014/main" id="{279387CF-DEE7-4623-9F15-8BA3D8A0BFA3}"/>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80562" y="-440370"/>
              <a:ext cx="2697188" cy="3600000"/>
            </a:xfrm>
            <a:prstGeom prst="rect">
              <a:avLst/>
            </a:prstGeom>
            <a:ln>
              <a:solidFill>
                <a:schemeClr val="tx1"/>
              </a:solidFill>
            </a:ln>
          </xdr:spPr>
        </xdr:pic>
        <xdr:pic>
          <xdr:nvPicPr>
            <xdr:cNvPr id="104" name="Picture 103">
              <a:extLst>
                <a:ext uri="{FF2B5EF4-FFF2-40B4-BE49-F238E27FC236}">
                  <a16:creationId xmlns:a16="http://schemas.microsoft.com/office/drawing/2014/main" id="{9B11C03F-0F47-47D5-962F-AE5A002B4BE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809000" y="-440370"/>
              <a:ext cx="2697188" cy="3600000"/>
            </a:xfrm>
            <a:prstGeom prst="rect">
              <a:avLst/>
            </a:prstGeom>
            <a:ln>
              <a:solidFill>
                <a:schemeClr val="tx1"/>
              </a:solidFill>
            </a:ln>
          </xdr:spPr>
        </xdr:pic>
        <xdr:pic>
          <xdr:nvPicPr>
            <xdr:cNvPr id="105" name="Picture 104">
              <a:extLst>
                <a:ext uri="{FF2B5EF4-FFF2-40B4-BE49-F238E27FC236}">
                  <a16:creationId xmlns:a16="http://schemas.microsoft.com/office/drawing/2014/main" id="{3328F520-71CC-4D97-8B7F-2ECD85B0EF07}"/>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345939" y="3313892"/>
              <a:ext cx="2022890" cy="2700000"/>
            </a:xfrm>
            <a:prstGeom prst="rect">
              <a:avLst/>
            </a:prstGeom>
            <a:ln>
              <a:solidFill>
                <a:schemeClr val="tx1"/>
              </a:solidFill>
            </a:ln>
          </xdr:spPr>
        </xdr:pic>
        <xdr:pic>
          <xdr:nvPicPr>
            <xdr:cNvPr id="106" name="Picture 105">
              <a:extLst>
                <a:ext uri="{FF2B5EF4-FFF2-40B4-BE49-F238E27FC236}">
                  <a16:creationId xmlns:a16="http://schemas.microsoft.com/office/drawing/2014/main" id="{E7017C61-EDBD-4038-A281-DCD867386F75}"/>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698562" y="-440370"/>
              <a:ext cx="2697187" cy="3600000"/>
            </a:xfrm>
            <a:prstGeom prst="rect">
              <a:avLst/>
            </a:prstGeom>
            <a:ln>
              <a:solidFill>
                <a:schemeClr val="tx1"/>
              </a:solidFill>
            </a:ln>
          </xdr:spPr>
        </xdr:pic>
        <xdr:pic>
          <xdr:nvPicPr>
            <xdr:cNvPr id="107" name="Picture 106">
              <a:extLst>
                <a:ext uri="{FF2B5EF4-FFF2-40B4-BE49-F238E27FC236}">
                  <a16:creationId xmlns:a16="http://schemas.microsoft.com/office/drawing/2014/main" id="{B4F79CB0-8006-4253-B2FB-63391C8C9D9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562350" y="3341521"/>
              <a:ext cx="3596667" cy="2700000"/>
            </a:xfrm>
            <a:prstGeom prst="rect">
              <a:avLst/>
            </a:prstGeom>
            <a:ln>
              <a:solidFill>
                <a:schemeClr val="tx1"/>
              </a:solidFill>
            </a:ln>
          </xdr:spPr>
        </xdr:pic>
        <xdr:pic>
          <xdr:nvPicPr>
            <xdr:cNvPr id="108" name="Picture 107">
              <a:extLst>
                <a:ext uri="{FF2B5EF4-FFF2-40B4-BE49-F238E27FC236}">
                  <a16:creationId xmlns:a16="http://schemas.microsoft.com/office/drawing/2014/main" id="{93EE47B1-EDED-4218-B624-BA7B10814848}"/>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870473" y="3313892"/>
              <a:ext cx="2022891" cy="2700000"/>
            </a:xfrm>
            <a:prstGeom prst="rect">
              <a:avLst/>
            </a:prstGeom>
            <a:ln>
              <a:solidFill>
                <a:schemeClr val="tx1"/>
              </a:solidFill>
            </a:ln>
          </xdr:spPr>
        </xdr:pic>
        <xdr:pic>
          <xdr:nvPicPr>
            <xdr:cNvPr id="109" name="Picture 108">
              <a:extLst>
                <a:ext uri="{FF2B5EF4-FFF2-40B4-BE49-F238E27FC236}">
                  <a16:creationId xmlns:a16="http://schemas.microsoft.com/office/drawing/2014/main" id="{8DC23675-95AF-494B-BAF9-2A4D5F4EF3C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345939" y="6168154"/>
              <a:ext cx="1483453" cy="1980000"/>
            </a:xfrm>
            <a:prstGeom prst="rect">
              <a:avLst/>
            </a:prstGeom>
            <a:ln>
              <a:solidFill>
                <a:schemeClr val="tx1"/>
              </a:solidFill>
            </a:ln>
          </xdr:spPr>
        </xdr:pic>
        <xdr:pic>
          <xdr:nvPicPr>
            <xdr:cNvPr id="110" name="Picture 109">
              <a:extLst>
                <a:ext uri="{FF2B5EF4-FFF2-40B4-BE49-F238E27FC236}">
                  <a16:creationId xmlns:a16="http://schemas.microsoft.com/office/drawing/2014/main" id="{A259541F-8F43-4067-96F0-D38E3C42DB8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022735" y="6168154"/>
              <a:ext cx="1483453" cy="1980000"/>
            </a:xfrm>
            <a:prstGeom prst="rect">
              <a:avLst/>
            </a:prstGeom>
            <a:ln>
              <a:solidFill>
                <a:schemeClr val="tx1"/>
              </a:solidFill>
            </a:ln>
          </xdr:spPr>
        </xdr:pic>
      </xdr:grpSp>
      <xdr:sp macro="" textlink="">
        <xdr:nvSpPr>
          <xdr:cNvPr id="67" name="TextBox 64">
            <a:extLst>
              <a:ext uri="{FF2B5EF4-FFF2-40B4-BE49-F238E27FC236}">
                <a16:creationId xmlns:a16="http://schemas.microsoft.com/office/drawing/2014/main" id="{969E1644-FBBC-4B38-A4C8-42438BC4F6D4}"/>
              </a:ext>
            </a:extLst>
          </xdr:cNvPr>
          <xdr:cNvSpPr txBox="1"/>
        </xdr:nvSpPr>
        <xdr:spPr>
          <a:xfrm>
            <a:off x="-1080562" y="-369332"/>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68" name="TextBox 65">
            <a:extLst>
              <a:ext uri="{FF2B5EF4-FFF2-40B4-BE49-F238E27FC236}">
                <a16:creationId xmlns:a16="http://schemas.microsoft.com/office/drawing/2014/main" id="{C87D5357-31EA-46BD-B6AE-3CEA3C484739}"/>
              </a:ext>
            </a:extLst>
          </xdr:cNvPr>
          <xdr:cNvSpPr txBox="1"/>
        </xdr:nvSpPr>
        <xdr:spPr>
          <a:xfrm>
            <a:off x="3391269" y="-369332"/>
            <a:ext cx="86594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69" name="TextBox 66">
            <a:extLst>
              <a:ext uri="{FF2B5EF4-FFF2-40B4-BE49-F238E27FC236}">
                <a16:creationId xmlns:a16="http://schemas.microsoft.com/office/drawing/2014/main" id="{6FD9008D-C07B-4891-8668-8173D163A6AD}"/>
              </a:ext>
            </a:extLst>
          </xdr:cNvPr>
          <xdr:cNvSpPr txBox="1"/>
        </xdr:nvSpPr>
        <xdr:spPr>
          <a:xfrm>
            <a:off x="6090316" y="2431018"/>
            <a:ext cx="8579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sp macro="" textlink="">
        <xdr:nvSpPr>
          <xdr:cNvPr id="70" name="TextBox 67">
            <a:extLst>
              <a:ext uri="{FF2B5EF4-FFF2-40B4-BE49-F238E27FC236}">
                <a16:creationId xmlns:a16="http://schemas.microsoft.com/office/drawing/2014/main" id="{0E67070D-9C76-4AA9-93A0-F6C2DE947546}"/>
              </a:ext>
            </a:extLst>
          </xdr:cNvPr>
          <xdr:cNvSpPr txBox="1"/>
        </xdr:nvSpPr>
        <xdr:spPr>
          <a:xfrm>
            <a:off x="-37712" y="3313892"/>
            <a:ext cx="8579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sp macro="" textlink="">
        <xdr:nvSpPr>
          <xdr:cNvPr id="71" name="TextBox 68">
            <a:extLst>
              <a:ext uri="{FF2B5EF4-FFF2-40B4-BE49-F238E27FC236}">
                <a16:creationId xmlns:a16="http://schemas.microsoft.com/office/drawing/2014/main" id="{74347904-BF2E-44B7-9ADC-C54296FB1701}"/>
              </a:ext>
            </a:extLst>
          </xdr:cNvPr>
          <xdr:cNvSpPr txBox="1"/>
        </xdr:nvSpPr>
        <xdr:spPr>
          <a:xfrm>
            <a:off x="2029452" y="4895042"/>
            <a:ext cx="88197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sp macro="" textlink="">
        <xdr:nvSpPr>
          <xdr:cNvPr id="72" name="TextBox 69">
            <a:extLst>
              <a:ext uri="{FF2B5EF4-FFF2-40B4-BE49-F238E27FC236}">
                <a16:creationId xmlns:a16="http://schemas.microsoft.com/office/drawing/2014/main" id="{792BC7C3-47EE-4EF3-B387-40FFF26822C5}"/>
              </a:ext>
            </a:extLst>
          </xdr:cNvPr>
          <xdr:cNvSpPr txBox="1"/>
        </xdr:nvSpPr>
        <xdr:spPr>
          <a:xfrm>
            <a:off x="4387083" y="3683224"/>
            <a:ext cx="8579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a:t>
            </a:r>
            <a:endParaRPr lang="en-IN" b="1">
              <a:solidFill>
                <a:srgbClr val="FF0000"/>
              </a:solidFill>
            </a:endParaRPr>
          </a:p>
        </xdr:txBody>
      </xdr:sp>
    </xdr:grpSp>
    <xdr:clientData/>
  </xdr:twoCellAnchor>
  <xdr:twoCellAnchor editAs="oneCell">
    <xdr:from>
      <xdr:col>8</xdr:col>
      <xdr:colOff>750795</xdr:colOff>
      <xdr:row>334</xdr:row>
      <xdr:rowOff>246529</xdr:rowOff>
    </xdr:from>
    <xdr:to>
      <xdr:col>17</xdr:col>
      <xdr:colOff>324971</xdr:colOff>
      <xdr:row>354</xdr:row>
      <xdr:rowOff>240090</xdr:rowOff>
    </xdr:to>
    <xdr:pic>
      <xdr:nvPicPr>
        <xdr:cNvPr id="111" name="Picture 110">
          <a:extLst>
            <a:ext uri="{FF2B5EF4-FFF2-40B4-BE49-F238E27FC236}">
              <a16:creationId xmlns:a16="http://schemas.microsoft.com/office/drawing/2014/main" id="{9182FF77-0874-4B1B-A2F0-3248D7C74467}"/>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163736" y="104304353"/>
          <a:ext cx="6858000" cy="5148267"/>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mahaavirsexotique.com/?utm_source=google&amp;utm_medium=cpc&amp;utm_campaign=Mahaavir+Exotique+NAVI&amp;utm_term=mahaavir%20exotique&amp;utm_Physical_Location=9062232&amp;utm_Targetid=kwd-1462184513981&amp;utm_Target=&amp;utm_Placement=&amp;utm_Adposition=&amp;gad_source=1&amp;gad_campaignid=21846766926&amp;gbraid=0AAAAA-ZZrXyC8pE4_Kjr03HwGzZFSx5vO&amp;gclid=Cj0KCQjwxdXBBhDEARIsAAUkP6gxJuKCBTV9zKxQqQ3LhN1fIpDLjVI-JfNSFEcGLyHs5wU3rVT8VCoaAriiEALw_wcB" TargetMode="External"/><Relationship Id="rId1" Type="http://schemas.openxmlformats.org/officeDocument/2006/relationships/hyperlink" Target="https://goo.gl/maps/SY5LzJwJ3ZkiAQXM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61"/>
  <sheetViews>
    <sheetView tabSelected="1" view="pageBreakPreview" topLeftCell="A328" zoomScale="85" zoomScaleNormal="85" zoomScaleSheetLayoutView="85" zoomScalePageLayoutView="70" workbookViewId="0">
      <selection activeCell="I331" sqref="I331"/>
    </sheetView>
  </sheetViews>
  <sheetFormatPr defaultColWidth="9.140625" defaultRowHeight="17.100000000000001" customHeight="1" x14ac:dyDescent="0.25"/>
  <cols>
    <col min="1" max="7" width="17.5703125" style="1" customWidth="1"/>
    <col min="8" max="8" width="17.5703125" style="3"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24" t="s">
        <v>38</v>
      </c>
      <c r="B1" s="125"/>
      <c r="C1" s="125"/>
      <c r="D1" s="125"/>
      <c r="E1" s="125"/>
      <c r="F1" s="125"/>
      <c r="G1" s="125"/>
      <c r="H1" s="126"/>
    </row>
    <row r="2" spans="1:11" ht="42" customHeight="1" x14ac:dyDescent="0.25">
      <c r="A2" s="134" t="s">
        <v>10</v>
      </c>
      <c r="B2" s="134"/>
      <c r="C2" s="129" t="s">
        <v>87</v>
      </c>
      <c r="D2" s="129"/>
      <c r="E2" s="134" t="s">
        <v>12</v>
      </c>
      <c r="F2" s="134"/>
      <c r="G2" s="141">
        <v>45874</v>
      </c>
      <c r="H2" s="141"/>
      <c r="I2" s="80">
        <v>45875</v>
      </c>
      <c r="J2" s="141">
        <v>45800</v>
      </c>
      <c r="K2" s="141"/>
    </row>
    <row r="3" spans="1:11" ht="42.75" customHeight="1" x14ac:dyDescent="0.25">
      <c r="A3" s="134" t="s">
        <v>39</v>
      </c>
      <c r="B3" s="134"/>
      <c r="C3" s="140" t="s">
        <v>303</v>
      </c>
      <c r="D3" s="140"/>
      <c r="E3" s="134" t="s">
        <v>157</v>
      </c>
      <c r="F3" s="134"/>
      <c r="G3" s="141" t="s">
        <v>384</v>
      </c>
      <c r="H3" s="129"/>
      <c r="I3" s="1">
        <f>I2-J2</f>
        <v>75</v>
      </c>
    </row>
    <row r="4" spans="1:11" ht="43.5" customHeight="1" x14ac:dyDescent="0.25">
      <c r="A4" s="134" t="s">
        <v>36</v>
      </c>
      <c r="B4" s="134"/>
      <c r="C4" s="129" t="s">
        <v>351</v>
      </c>
      <c r="D4" s="129"/>
      <c r="E4" s="134" t="s">
        <v>33</v>
      </c>
      <c r="F4" s="134"/>
      <c r="G4" s="129" t="str">
        <f ca="1">TEXT(TODAY(),"DD/MM/YYYY")</f>
        <v>06/08/2025</v>
      </c>
      <c r="H4" s="129"/>
    </row>
    <row r="5" spans="1:11" ht="20.25" x14ac:dyDescent="0.25">
      <c r="A5" s="92" t="s">
        <v>40</v>
      </c>
      <c r="B5" s="92"/>
      <c r="C5" s="92"/>
      <c r="D5" s="92"/>
      <c r="E5" s="92"/>
      <c r="F5" s="92"/>
      <c r="G5" s="92"/>
      <c r="H5" s="92"/>
    </row>
    <row r="6" spans="1:11" ht="43.5" customHeight="1" x14ac:dyDescent="0.25">
      <c r="A6" s="134" t="s">
        <v>29</v>
      </c>
      <c r="B6" s="134"/>
      <c r="C6" s="129" t="s">
        <v>304</v>
      </c>
      <c r="D6" s="129"/>
      <c r="E6" s="134" t="s">
        <v>35</v>
      </c>
      <c r="F6" s="134"/>
      <c r="G6" s="129" t="s">
        <v>306</v>
      </c>
      <c r="H6" s="129"/>
    </row>
    <row r="7" spans="1:11" ht="63" customHeight="1" x14ac:dyDescent="0.25">
      <c r="A7" s="134" t="s">
        <v>42</v>
      </c>
      <c r="B7" s="134"/>
      <c r="C7" s="129" t="s">
        <v>305</v>
      </c>
      <c r="D7" s="129"/>
      <c r="E7" s="134" t="s">
        <v>43</v>
      </c>
      <c r="F7" s="134"/>
      <c r="G7" s="129" t="s">
        <v>305</v>
      </c>
      <c r="H7" s="129"/>
    </row>
    <row r="8" spans="1:11" ht="48.75" customHeight="1" x14ac:dyDescent="0.25">
      <c r="A8" s="134" t="s">
        <v>44</v>
      </c>
      <c r="B8" s="134"/>
      <c r="C8" s="129" t="s">
        <v>307</v>
      </c>
      <c r="D8" s="129"/>
      <c r="E8" s="129"/>
      <c r="F8" s="129"/>
      <c r="G8" s="129"/>
      <c r="H8" s="129"/>
    </row>
    <row r="9" spans="1:11" ht="44.45" customHeight="1" x14ac:dyDescent="0.25">
      <c r="A9" s="139" t="s">
        <v>148</v>
      </c>
      <c r="B9" s="33" t="s">
        <v>41</v>
      </c>
      <c r="C9" s="142" t="s">
        <v>361</v>
      </c>
      <c r="D9" s="142"/>
      <c r="E9" s="142"/>
      <c r="F9" s="142"/>
      <c r="G9" s="142"/>
      <c r="H9" s="142"/>
    </row>
    <row r="10" spans="1:11" ht="44.25" customHeight="1" x14ac:dyDescent="0.25">
      <c r="A10" s="139"/>
      <c r="B10" s="33" t="s">
        <v>11</v>
      </c>
      <c r="C10" s="129" t="s">
        <v>362</v>
      </c>
      <c r="D10" s="129"/>
      <c r="E10" s="129"/>
      <c r="F10" s="129"/>
      <c r="G10" s="129"/>
      <c r="H10" s="129"/>
    </row>
    <row r="11" spans="1:11" ht="65.45" customHeight="1" x14ac:dyDescent="0.25">
      <c r="A11" s="139"/>
      <c r="B11" s="33" t="s">
        <v>5</v>
      </c>
      <c r="C11" s="129" t="s">
        <v>363</v>
      </c>
      <c r="D11" s="129"/>
      <c r="E11" s="129"/>
      <c r="F11" s="129"/>
      <c r="G11" s="129"/>
      <c r="H11" s="129"/>
    </row>
    <row r="12" spans="1:11" ht="40.5" customHeight="1" x14ac:dyDescent="0.25">
      <c r="A12" s="134" t="s">
        <v>34</v>
      </c>
      <c r="B12" s="134"/>
      <c r="C12" s="129" t="s">
        <v>308</v>
      </c>
      <c r="D12" s="129"/>
      <c r="E12" s="129"/>
      <c r="F12" s="129"/>
      <c r="G12" s="129"/>
      <c r="H12" s="129"/>
    </row>
    <row r="13" spans="1:11" ht="20.100000000000001" customHeight="1" x14ac:dyDescent="0.25">
      <c r="A13" s="92" t="s">
        <v>45</v>
      </c>
      <c r="B13" s="92"/>
      <c r="C13" s="92"/>
      <c r="D13" s="92"/>
      <c r="E13" s="92"/>
      <c r="F13" s="92"/>
      <c r="G13" s="92"/>
      <c r="H13" s="92"/>
    </row>
    <row r="14" spans="1:11" ht="41.25" customHeight="1" x14ac:dyDescent="0.25">
      <c r="A14" s="134" t="s">
        <v>27</v>
      </c>
      <c r="B14" s="134" t="s">
        <v>4</v>
      </c>
      <c r="C14" s="129" t="s">
        <v>88</v>
      </c>
      <c r="D14" s="129"/>
      <c r="E14" s="134" t="s">
        <v>46</v>
      </c>
      <c r="F14" s="134" t="s">
        <v>4</v>
      </c>
      <c r="G14" s="129" t="s">
        <v>309</v>
      </c>
      <c r="H14" s="129"/>
    </row>
    <row r="15" spans="1:11" ht="41.25" customHeight="1" x14ac:dyDescent="0.25">
      <c r="A15" s="134" t="s">
        <v>47</v>
      </c>
      <c r="B15" s="134" t="s">
        <v>4</v>
      </c>
      <c r="C15" s="129" t="s">
        <v>310</v>
      </c>
      <c r="D15" s="129"/>
      <c r="E15" s="134" t="s">
        <v>48</v>
      </c>
      <c r="F15" s="134" t="s">
        <v>4</v>
      </c>
      <c r="G15" s="129" t="s">
        <v>311</v>
      </c>
      <c r="H15" s="129"/>
    </row>
    <row r="16" spans="1:11" ht="41.25" customHeight="1" x14ac:dyDescent="0.25">
      <c r="A16" s="134" t="s">
        <v>49</v>
      </c>
      <c r="B16" s="134" t="s">
        <v>4</v>
      </c>
      <c r="C16" s="129" t="s">
        <v>312</v>
      </c>
      <c r="D16" s="129"/>
      <c r="E16" s="134" t="s">
        <v>50</v>
      </c>
      <c r="F16" s="134" t="s">
        <v>4</v>
      </c>
      <c r="G16" s="129" t="s">
        <v>313</v>
      </c>
      <c r="H16" s="129"/>
    </row>
    <row r="17" spans="1:13" ht="41.25" customHeight="1" x14ac:dyDescent="0.25">
      <c r="A17" s="134" t="s">
        <v>51</v>
      </c>
      <c r="B17" s="134" t="s">
        <v>4</v>
      </c>
      <c r="C17" s="129" t="s">
        <v>311</v>
      </c>
      <c r="D17" s="129"/>
      <c r="E17" s="134" t="s">
        <v>52</v>
      </c>
      <c r="F17" s="134" t="s">
        <v>4</v>
      </c>
      <c r="G17" s="129" t="s">
        <v>314</v>
      </c>
      <c r="H17" s="129"/>
    </row>
    <row r="18" spans="1:13" ht="41.25" customHeight="1" x14ac:dyDescent="0.25">
      <c r="A18" s="134" t="s">
        <v>53</v>
      </c>
      <c r="B18" s="134" t="s">
        <v>4</v>
      </c>
      <c r="C18" s="129"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9"/>
      <c r="E18" s="134" t="s">
        <v>95</v>
      </c>
      <c r="F18" s="134" t="s">
        <v>4</v>
      </c>
      <c r="G18" s="128">
        <v>24055</v>
      </c>
      <c r="H18" s="128"/>
      <c r="M18" s="1">
        <v>968</v>
      </c>
    </row>
    <row r="19" spans="1:13" ht="41.25" customHeight="1" x14ac:dyDescent="0.25">
      <c r="A19" s="134" t="s">
        <v>54</v>
      </c>
      <c r="B19" s="134" t="s">
        <v>4</v>
      </c>
      <c r="C19" s="128">
        <v>2.7</v>
      </c>
      <c r="D19" s="128"/>
      <c r="E19" s="134" t="s">
        <v>242</v>
      </c>
      <c r="F19" s="134" t="s">
        <v>4</v>
      </c>
      <c r="G19" s="128">
        <v>21592</v>
      </c>
      <c r="H19" s="128"/>
      <c r="I19" s="76">
        <f>25460.5/G19</f>
        <v>1.1791635791033717</v>
      </c>
      <c r="M19" s="1">
        <v>12</v>
      </c>
    </row>
    <row r="20" spans="1:13" ht="41.25" customHeight="1" x14ac:dyDescent="0.25">
      <c r="A20" s="134" t="s">
        <v>93</v>
      </c>
      <c r="B20" s="134" t="s">
        <v>4</v>
      </c>
      <c r="C20" s="129">
        <v>64953.5</v>
      </c>
      <c r="D20" s="129"/>
      <c r="E20" s="134" t="s">
        <v>94</v>
      </c>
      <c r="F20" s="134" t="s">
        <v>4</v>
      </c>
      <c r="G20" s="129">
        <v>64948.75</v>
      </c>
      <c r="H20" s="129"/>
    </row>
    <row r="21" spans="1:13" ht="41.25" customHeight="1" x14ac:dyDescent="0.25">
      <c r="A21" s="134" t="s">
        <v>56</v>
      </c>
      <c r="B21" s="134" t="s">
        <v>4</v>
      </c>
      <c r="C21" s="129" t="s">
        <v>353</v>
      </c>
      <c r="D21" s="129"/>
      <c r="E21" s="134" t="s">
        <v>55</v>
      </c>
      <c r="F21" s="134" t="s">
        <v>4</v>
      </c>
      <c r="G21" s="129" t="s">
        <v>352</v>
      </c>
      <c r="H21" s="129"/>
      <c r="I21" s="1">
        <f>53+110+38+79+44+79+44+38</f>
        <v>485</v>
      </c>
      <c r="J21" s="1">
        <f>79+44+38+79+44+38</f>
        <v>322</v>
      </c>
    </row>
    <row r="22" spans="1:13" ht="41.25" customHeight="1" x14ac:dyDescent="0.25">
      <c r="A22" s="134" t="s">
        <v>161</v>
      </c>
      <c r="B22" s="134" t="s">
        <v>4</v>
      </c>
      <c r="C22" s="129" t="s">
        <v>316</v>
      </c>
      <c r="D22" s="129"/>
      <c r="E22" s="134" t="s">
        <v>162</v>
      </c>
      <c r="F22" s="134" t="s">
        <v>4</v>
      </c>
      <c r="G22" s="129" t="s">
        <v>315</v>
      </c>
      <c r="H22" s="129"/>
    </row>
    <row r="23" spans="1:13" ht="20.25" x14ac:dyDescent="0.25">
      <c r="A23" s="134" t="s">
        <v>159</v>
      </c>
      <c r="B23" s="134" t="s">
        <v>4</v>
      </c>
      <c r="C23" s="172" t="s">
        <v>317</v>
      </c>
      <c r="D23" s="173"/>
      <c r="E23" s="173"/>
      <c r="F23" s="173"/>
      <c r="G23" s="173"/>
      <c r="H23" s="173"/>
    </row>
    <row r="24" spans="1:13" ht="63" customHeight="1" x14ac:dyDescent="0.25">
      <c r="A24" s="134" t="s">
        <v>25</v>
      </c>
      <c r="B24" s="134" t="s">
        <v>4</v>
      </c>
      <c r="C24" s="129" t="s">
        <v>318</v>
      </c>
      <c r="D24" s="129"/>
      <c r="E24" s="129"/>
      <c r="F24" s="129"/>
      <c r="G24" s="129"/>
      <c r="H24" s="129"/>
      <c r="I24" s="73" t="s">
        <v>366</v>
      </c>
    </row>
    <row r="25" spans="1:13" ht="24" customHeight="1" x14ac:dyDescent="0.25">
      <c r="A25" s="92" t="s">
        <v>20</v>
      </c>
      <c r="B25" s="92"/>
      <c r="C25" s="92"/>
      <c r="D25" s="92"/>
      <c r="E25" s="92"/>
      <c r="F25" s="92"/>
      <c r="G25" s="92"/>
      <c r="H25" s="92"/>
    </row>
    <row r="26" spans="1:13" ht="43.5" customHeight="1" x14ac:dyDescent="0.25">
      <c r="A26" s="134" t="s">
        <v>26</v>
      </c>
      <c r="B26" s="134" t="s">
        <v>4</v>
      </c>
      <c r="C26" s="129" t="str">
        <f>IF(AND(G26="Upper"),"Developed","Developing")</f>
        <v>Developing</v>
      </c>
      <c r="D26" s="129"/>
      <c r="E26" s="134" t="s">
        <v>13</v>
      </c>
      <c r="F26" s="134" t="s">
        <v>4</v>
      </c>
      <c r="G26" s="129" t="s">
        <v>163</v>
      </c>
      <c r="H26" s="129"/>
    </row>
    <row r="27" spans="1:13" ht="43.5" customHeight="1" x14ac:dyDescent="0.25">
      <c r="A27" s="134" t="s">
        <v>14</v>
      </c>
      <c r="B27" s="134" t="s">
        <v>4</v>
      </c>
      <c r="C27" s="129" t="s">
        <v>98</v>
      </c>
      <c r="D27" s="129"/>
      <c r="E27" s="134" t="s">
        <v>149</v>
      </c>
      <c r="F27" s="134" t="s">
        <v>4</v>
      </c>
      <c r="G27" s="129" t="s">
        <v>367</v>
      </c>
      <c r="H27" s="129"/>
    </row>
    <row r="28" spans="1:13" ht="43.5" customHeight="1" x14ac:dyDescent="0.25">
      <c r="A28" s="134" t="s">
        <v>23</v>
      </c>
      <c r="B28" s="134" t="s">
        <v>4</v>
      </c>
      <c r="C28" s="129" t="s">
        <v>97</v>
      </c>
      <c r="D28" s="129"/>
      <c r="E28" s="134" t="s">
        <v>16</v>
      </c>
      <c r="F28" s="134" t="s">
        <v>4</v>
      </c>
      <c r="G28" s="129" t="s">
        <v>354</v>
      </c>
      <c r="H28" s="129"/>
    </row>
    <row r="29" spans="1:13" ht="67.900000000000006" customHeight="1" x14ac:dyDescent="0.25">
      <c r="A29" s="134" t="s">
        <v>107</v>
      </c>
      <c r="B29" s="134" t="s">
        <v>4</v>
      </c>
      <c r="C29" s="129" t="s">
        <v>368</v>
      </c>
      <c r="D29" s="129"/>
      <c r="E29" s="134" t="s">
        <v>108</v>
      </c>
      <c r="F29" s="134" t="s">
        <v>4</v>
      </c>
      <c r="G29" s="129" t="s">
        <v>355</v>
      </c>
      <c r="H29" s="129"/>
    </row>
    <row r="30" spans="1:13" ht="108" customHeight="1" x14ac:dyDescent="0.25">
      <c r="A30" s="134" t="s">
        <v>17</v>
      </c>
      <c r="B30" s="134" t="s">
        <v>4</v>
      </c>
      <c r="C30" s="129" t="s">
        <v>369</v>
      </c>
      <c r="D30" s="129"/>
      <c r="E30" s="134" t="s">
        <v>15</v>
      </c>
      <c r="F30" s="134" t="s">
        <v>4</v>
      </c>
      <c r="G30" s="129" t="s">
        <v>356</v>
      </c>
      <c r="H30" s="129"/>
    </row>
    <row r="31" spans="1:13" ht="20.25" x14ac:dyDescent="0.25">
      <c r="A31" s="134" t="s">
        <v>113</v>
      </c>
      <c r="B31" s="134" t="s">
        <v>4</v>
      </c>
      <c r="C31" s="129" t="s">
        <v>114</v>
      </c>
      <c r="D31" s="129"/>
      <c r="E31" s="134" t="s">
        <v>115</v>
      </c>
      <c r="F31" s="134" t="s">
        <v>4</v>
      </c>
      <c r="G31" s="129" t="s">
        <v>114</v>
      </c>
      <c r="H31" s="129"/>
    </row>
    <row r="32" spans="1:13" ht="21.75" customHeight="1" x14ac:dyDescent="0.25">
      <c r="A32" s="134" t="s">
        <v>116</v>
      </c>
      <c r="B32" s="134" t="s">
        <v>4</v>
      </c>
      <c r="C32" s="129" t="s">
        <v>114</v>
      </c>
      <c r="D32" s="129"/>
      <c r="E32" s="129"/>
      <c r="F32" s="129"/>
      <c r="G32" s="129"/>
      <c r="H32" s="129"/>
    </row>
    <row r="33" spans="1:15" ht="20.25" x14ac:dyDescent="0.25">
      <c r="A33" s="159" t="s">
        <v>37</v>
      </c>
      <c r="B33" s="159"/>
      <c r="C33" s="159"/>
      <c r="D33" s="159"/>
      <c r="E33" s="159"/>
      <c r="F33" s="159"/>
      <c r="G33" s="159"/>
      <c r="H33" s="159"/>
    </row>
    <row r="34" spans="1:15" ht="43.5" customHeight="1" x14ac:dyDescent="0.25">
      <c r="A34" s="134" t="s">
        <v>18</v>
      </c>
      <c r="B34" s="134"/>
      <c r="C34" s="129" t="s">
        <v>99</v>
      </c>
      <c r="D34" s="129"/>
      <c r="E34" s="134" t="s">
        <v>19</v>
      </c>
      <c r="F34" s="134" t="s">
        <v>4</v>
      </c>
      <c r="G34" s="129" t="s">
        <v>100</v>
      </c>
      <c r="H34" s="129"/>
    </row>
    <row r="35" spans="1:15" ht="43.5" customHeight="1" x14ac:dyDescent="0.25">
      <c r="A35" s="134" t="s">
        <v>22</v>
      </c>
      <c r="B35" s="134"/>
      <c r="C35" s="129" t="s">
        <v>100</v>
      </c>
      <c r="D35" s="129"/>
      <c r="E35" s="134" t="s">
        <v>32</v>
      </c>
      <c r="F35" s="134" t="s">
        <v>4</v>
      </c>
      <c r="G35" s="129" t="s">
        <v>100</v>
      </c>
      <c r="H35" s="129"/>
    </row>
    <row r="36" spans="1:15" ht="20.25" x14ac:dyDescent="0.25">
      <c r="A36" s="134" t="s">
        <v>31</v>
      </c>
      <c r="B36" s="134"/>
      <c r="C36" s="129" t="s">
        <v>101</v>
      </c>
      <c r="D36" s="129"/>
      <c r="E36" s="134" t="s">
        <v>21</v>
      </c>
      <c r="F36" s="134" t="s">
        <v>4</v>
      </c>
      <c r="G36" s="129" t="s">
        <v>102</v>
      </c>
      <c r="H36" s="129"/>
    </row>
    <row r="37" spans="1:15" ht="20.25" x14ac:dyDescent="0.25">
      <c r="A37" s="92" t="s">
        <v>0</v>
      </c>
      <c r="B37" s="92"/>
      <c r="C37" s="92"/>
      <c r="D37" s="92"/>
      <c r="E37" s="92"/>
      <c r="F37" s="92"/>
      <c r="G37" s="92"/>
      <c r="H37" s="92"/>
    </row>
    <row r="38" spans="1:15" ht="20.25" x14ac:dyDescent="0.25">
      <c r="A38" s="137" t="s">
        <v>0</v>
      </c>
      <c r="B38" s="137"/>
      <c r="C38" s="137" t="s">
        <v>228</v>
      </c>
      <c r="D38" s="137"/>
      <c r="E38" s="137"/>
      <c r="F38" s="137" t="s">
        <v>7</v>
      </c>
      <c r="G38" s="137"/>
      <c r="H38" s="137"/>
      <c r="J38" s="135" t="s">
        <v>1</v>
      </c>
      <c r="K38" s="136"/>
      <c r="L38" s="35" t="s">
        <v>6</v>
      </c>
      <c r="M38" s="135" t="s">
        <v>2</v>
      </c>
      <c r="N38" s="136"/>
      <c r="O38" s="35" t="s">
        <v>3</v>
      </c>
    </row>
    <row r="39" spans="1:15" ht="20.25" x14ac:dyDescent="0.25">
      <c r="A39" s="139" t="s">
        <v>2</v>
      </c>
      <c r="B39" s="139"/>
      <c r="C39" s="138" t="s">
        <v>321</v>
      </c>
      <c r="D39" s="138"/>
      <c r="E39" s="138"/>
      <c r="F39" s="138" t="s">
        <v>372</v>
      </c>
      <c r="G39" s="138"/>
      <c r="H39" s="138"/>
    </row>
    <row r="40" spans="1:15" ht="20.25" x14ac:dyDescent="0.25">
      <c r="A40" s="139" t="s">
        <v>3</v>
      </c>
      <c r="B40" s="139"/>
      <c r="C40" s="138" t="s">
        <v>322</v>
      </c>
      <c r="D40" s="138"/>
      <c r="E40" s="138"/>
      <c r="F40" s="138" t="s">
        <v>373</v>
      </c>
      <c r="G40" s="138"/>
      <c r="H40" s="138"/>
    </row>
    <row r="41" spans="1:15" ht="20.25" x14ac:dyDescent="0.25">
      <c r="A41" s="139" t="s">
        <v>1</v>
      </c>
      <c r="B41" s="139"/>
      <c r="C41" s="138" t="s">
        <v>319</v>
      </c>
      <c r="D41" s="138"/>
      <c r="E41" s="138"/>
      <c r="F41" s="138" t="s">
        <v>371</v>
      </c>
      <c r="G41" s="138"/>
      <c r="H41" s="138"/>
    </row>
    <row r="42" spans="1:15" ht="20.25" x14ac:dyDescent="0.25">
      <c r="A42" s="139" t="s">
        <v>6</v>
      </c>
      <c r="B42" s="139"/>
      <c r="C42" s="138" t="s">
        <v>320</v>
      </c>
      <c r="D42" s="138"/>
      <c r="E42" s="138"/>
      <c r="F42" s="138" t="s">
        <v>370</v>
      </c>
      <c r="G42" s="138"/>
      <c r="H42" s="138"/>
    </row>
    <row r="43" spans="1:15" ht="51" customHeight="1" x14ac:dyDescent="0.25">
      <c r="A43" s="134" t="s">
        <v>229</v>
      </c>
      <c r="B43" s="134"/>
      <c r="C43" s="129" t="s">
        <v>97</v>
      </c>
      <c r="D43" s="129"/>
      <c r="E43" s="129"/>
      <c r="F43" s="129"/>
      <c r="G43" s="129"/>
      <c r="H43" s="129"/>
    </row>
    <row r="44" spans="1:15" ht="20.25" x14ac:dyDescent="0.25">
      <c r="A44" s="92" t="s">
        <v>57</v>
      </c>
      <c r="B44" s="92"/>
      <c r="C44" s="92"/>
      <c r="D44" s="92"/>
      <c r="E44" s="92"/>
      <c r="F44" s="92"/>
      <c r="G44" s="92"/>
      <c r="H44" s="92"/>
    </row>
    <row r="45" spans="1:15" ht="21" customHeight="1" x14ac:dyDescent="0.25">
      <c r="A45" s="137" t="s">
        <v>58</v>
      </c>
      <c r="B45" s="137"/>
      <c r="C45" s="35" t="s">
        <v>59</v>
      </c>
      <c r="D45" s="137" t="s">
        <v>147</v>
      </c>
      <c r="E45" s="137"/>
      <c r="F45" s="137"/>
      <c r="G45" s="137" t="s">
        <v>60</v>
      </c>
      <c r="H45" s="137"/>
    </row>
    <row r="46" spans="1:15" ht="20.25" x14ac:dyDescent="0.25">
      <c r="A46" s="132" t="s">
        <v>374</v>
      </c>
      <c r="B46" s="132"/>
      <c r="C46" s="32" t="s">
        <v>89</v>
      </c>
      <c r="D46" s="133" t="s">
        <v>328</v>
      </c>
      <c r="E46" s="133"/>
      <c r="F46" s="133"/>
      <c r="G46" s="129" t="s">
        <v>328</v>
      </c>
      <c r="H46" s="129"/>
    </row>
    <row r="47" spans="1:15" ht="20.25" x14ac:dyDescent="0.25">
      <c r="A47" s="132" t="s">
        <v>375</v>
      </c>
      <c r="B47" s="132"/>
      <c r="C47" s="32" t="s">
        <v>89</v>
      </c>
      <c r="D47" s="133" t="s">
        <v>329</v>
      </c>
      <c r="E47" s="133"/>
      <c r="F47" s="133"/>
      <c r="G47" s="129" t="s">
        <v>329</v>
      </c>
      <c r="H47" s="129"/>
    </row>
    <row r="48" spans="1:15" ht="20.25" x14ac:dyDescent="0.25">
      <c r="A48" s="132" t="s">
        <v>376</v>
      </c>
      <c r="B48" s="132"/>
      <c r="C48" s="32" t="s">
        <v>89</v>
      </c>
      <c r="D48" s="133" t="s">
        <v>329</v>
      </c>
      <c r="E48" s="133"/>
      <c r="F48" s="133"/>
      <c r="G48" s="129" t="s">
        <v>329</v>
      </c>
      <c r="H48" s="129"/>
    </row>
    <row r="49" spans="1:10" ht="20.25" x14ac:dyDescent="0.25">
      <c r="A49" s="132" t="s">
        <v>377</v>
      </c>
      <c r="B49" s="132"/>
      <c r="C49" s="32" t="s">
        <v>89</v>
      </c>
      <c r="D49" s="133" t="s">
        <v>329</v>
      </c>
      <c r="E49" s="133"/>
      <c r="F49" s="133"/>
      <c r="G49" s="129" t="s">
        <v>329</v>
      </c>
      <c r="H49" s="129"/>
    </row>
    <row r="50" spans="1:10" ht="20.25" x14ac:dyDescent="0.25">
      <c r="A50" s="132" t="s">
        <v>378</v>
      </c>
      <c r="B50" s="132"/>
      <c r="C50" s="32" t="s">
        <v>89</v>
      </c>
      <c r="D50" s="133" t="s">
        <v>329</v>
      </c>
      <c r="E50" s="133"/>
      <c r="F50" s="133"/>
      <c r="G50" s="129" t="s">
        <v>329</v>
      </c>
      <c r="H50" s="129"/>
    </row>
    <row r="51" spans="1:10" ht="20.25" x14ac:dyDescent="0.25">
      <c r="A51" s="92" t="s">
        <v>61</v>
      </c>
      <c r="B51" s="92"/>
      <c r="C51" s="92"/>
      <c r="D51" s="92"/>
      <c r="E51" s="92"/>
      <c r="F51" s="92"/>
      <c r="G51" s="92"/>
      <c r="H51" s="92"/>
    </row>
    <row r="52" spans="1:10" ht="42.75" customHeight="1" x14ac:dyDescent="0.25">
      <c r="A52" s="134" t="s">
        <v>62</v>
      </c>
      <c r="B52" s="134" t="s">
        <v>4</v>
      </c>
      <c r="C52" s="129" t="s">
        <v>97</v>
      </c>
      <c r="D52" s="129"/>
      <c r="E52" s="129"/>
      <c r="F52" s="129"/>
      <c r="G52" s="129"/>
      <c r="H52" s="129"/>
    </row>
    <row r="53" spans="1:10" ht="44.25" customHeight="1" x14ac:dyDescent="0.25">
      <c r="A53" s="134" t="s">
        <v>63</v>
      </c>
      <c r="B53" s="134" t="s">
        <v>4</v>
      </c>
      <c r="C53" s="129" t="s">
        <v>330</v>
      </c>
      <c r="D53" s="129"/>
      <c r="E53" s="129"/>
      <c r="F53" s="129"/>
      <c r="G53" s="50" t="s">
        <v>230</v>
      </c>
      <c r="H53" s="74">
        <v>44456</v>
      </c>
    </row>
    <row r="54" spans="1:10" ht="44.25" customHeight="1" x14ac:dyDescent="0.25">
      <c r="A54" s="134" t="s">
        <v>64</v>
      </c>
      <c r="B54" s="134" t="s">
        <v>4</v>
      </c>
      <c r="C54" s="129" t="s">
        <v>330</v>
      </c>
      <c r="D54" s="129"/>
      <c r="E54" s="129"/>
      <c r="F54" s="129"/>
      <c r="G54" s="50" t="s">
        <v>230</v>
      </c>
      <c r="H54" s="74">
        <v>44456</v>
      </c>
    </row>
    <row r="55" spans="1:10" ht="44.25" customHeight="1" x14ac:dyDescent="0.25">
      <c r="A55" s="134" t="s">
        <v>243</v>
      </c>
      <c r="B55" s="134"/>
      <c r="C55" s="129" t="s">
        <v>331</v>
      </c>
      <c r="D55" s="129"/>
      <c r="E55" s="129"/>
      <c r="F55" s="129"/>
      <c r="G55" s="50" t="s">
        <v>230</v>
      </c>
      <c r="H55" s="74">
        <v>44456</v>
      </c>
    </row>
    <row r="56" spans="1:10" ht="43.5" customHeight="1" x14ac:dyDescent="0.25">
      <c r="A56" s="134"/>
      <c r="B56" s="134"/>
      <c r="C56" s="81" t="s">
        <v>332</v>
      </c>
      <c r="D56" s="82"/>
      <c r="E56" s="82"/>
      <c r="F56" s="82"/>
      <c r="G56" s="82"/>
      <c r="H56" s="83"/>
    </row>
    <row r="57" spans="1:10" ht="95.45" customHeight="1" x14ac:dyDescent="0.25">
      <c r="A57" s="134" t="s">
        <v>65</v>
      </c>
      <c r="B57" s="134" t="s">
        <v>4</v>
      </c>
      <c r="C57" s="129" t="s">
        <v>379</v>
      </c>
      <c r="D57" s="129"/>
      <c r="E57" s="129"/>
      <c r="F57" s="129"/>
      <c r="G57" s="50" t="s">
        <v>231</v>
      </c>
      <c r="H57" s="74">
        <v>44551</v>
      </c>
    </row>
    <row r="58" spans="1:10" ht="45" hidden="1" customHeight="1" x14ac:dyDescent="0.25">
      <c r="A58" s="134" t="s">
        <v>67</v>
      </c>
      <c r="B58" s="134" t="s">
        <v>4</v>
      </c>
      <c r="C58" s="129"/>
      <c r="D58" s="129"/>
      <c r="E58" s="129"/>
      <c r="F58" s="129"/>
      <c r="G58" s="50" t="s">
        <v>231</v>
      </c>
      <c r="H58" s="34"/>
    </row>
    <row r="59" spans="1:10" ht="46.5" hidden="1" customHeight="1" x14ac:dyDescent="0.25">
      <c r="A59" s="134" t="s">
        <v>66</v>
      </c>
      <c r="B59" s="134" t="s">
        <v>4</v>
      </c>
      <c r="C59" s="129"/>
      <c r="D59" s="129"/>
      <c r="E59" s="129"/>
      <c r="F59" s="129"/>
      <c r="G59" s="50" t="s">
        <v>231</v>
      </c>
      <c r="H59" s="34"/>
    </row>
    <row r="60" spans="1:10" ht="45" hidden="1" customHeight="1" x14ac:dyDescent="0.25">
      <c r="A60" s="134" t="s">
        <v>68</v>
      </c>
      <c r="B60" s="134" t="s">
        <v>4</v>
      </c>
      <c r="C60" s="129"/>
      <c r="D60" s="129"/>
      <c r="E60" s="129"/>
      <c r="F60" s="129"/>
      <c r="G60" s="50" t="s">
        <v>231</v>
      </c>
      <c r="H60" s="34"/>
    </row>
    <row r="61" spans="1:10" ht="21" thickBot="1" x14ac:dyDescent="0.3">
      <c r="A61" s="92" t="s">
        <v>69</v>
      </c>
      <c r="B61" s="92"/>
      <c r="C61" s="92"/>
      <c r="D61" s="92"/>
      <c r="E61" s="92"/>
      <c r="F61" s="92"/>
      <c r="G61" s="92"/>
      <c r="H61" s="92"/>
    </row>
    <row r="62" spans="1:10" ht="20.25" customHeight="1" x14ac:dyDescent="0.3">
      <c r="A62" s="107" t="str">
        <f>CONCATENATE((IF(OR(A46="",A46="NA"),"",A46)),"= ",(IF(OR(D46="",D46="NA"),"",D46)),".")</f>
        <v>Phse I Wing A= G + 1st to 29th Floor.</v>
      </c>
      <c r="B62" s="107"/>
      <c r="C62" s="107"/>
      <c r="D62" s="29" t="s">
        <v>117</v>
      </c>
      <c r="E62" s="108" t="s">
        <v>104</v>
      </c>
      <c r="F62" s="108"/>
      <c r="G62" s="29" t="s">
        <v>118</v>
      </c>
      <c r="H62" s="29" t="s">
        <v>119</v>
      </c>
      <c r="I62" s="15" t="str">
        <f ca="1">(IF(E65&gt;99%,"All work completed. Please provide OC.",IF(E65&gt;89.8%,"Plinth, RCC, Brick, Plaster, Flooring, Wooden, Plumbing, Electrification, etc.,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completed","0")))))))))))&amp;(IF(C67=(E63+G63+H63),", RCC Slab",IF(C67&gt;0,", RCC upto "&amp;C67&amp;" Slab",""))&amp;(IF(C68=H63,", Brickwork",IF(C68&gt;0,", Brickwork upto "&amp;C68&amp;" Floor",""))&amp;(IF(C69=H63,", Internal Plaster",IF(C69&gt;0,", Internal Plaster upto "&amp;C69&amp;" Floor",""))&amp;(IF(C70=H63,", External Plaster",IF(C70&gt;0,", External Plaster upto "&amp;C70&amp;" Floor",""))&amp;(IF(C71=H63,", External Plumbing, Elevation and Waterproofing",IF(C71&gt;0,", External Plumbing, Elevation and Waterproofing upto "&amp;C71&amp;" Floor",""))&amp;(IF(C72=H63,", Flooring &amp; Fitting",IF(C72&gt;0,", Flooring &amp; Fitting upto "&amp;C72&amp;" Floor",""))&amp;(IF(C73=H63,", Wooden Work",IF(C73&gt;0,", Wooden Work upto "&amp;C73&amp;" Floor",""))&amp;(IF(C74=H63,", Electrical &amp; Sanitary fittings",IF(C74&gt;0,", Electrical &amp; Sanitary fittings upto "&amp;C74&amp;" Floor",""))&amp;(IF(C75&gt;0,", Finishing upto "&amp;C75&amp;" Floor","")&amp;(IF(C67&gt;0.5," Completed",""))))))))))))))))</f>
        <v>Excavation work Completed. Plinth work completed, RCC Slab, Brickwork, Internal Plaster, External Plaster, External Plumbing, Elevation and Waterproofing, Flooring &amp; Fitting, Wooden Work upto 25 Floor, Electrical &amp; Sanitary fittings upto 15 Floor, Finishing upto 15 Floor Completed</v>
      </c>
      <c r="J62" s="17"/>
    </row>
    <row r="63" spans="1:10" ht="20.25" x14ac:dyDescent="0.3">
      <c r="A63" s="107"/>
      <c r="B63" s="107"/>
      <c r="C63" s="107"/>
      <c r="D63" s="29">
        <f>IF(AND(ISNUMBER(SEARCH("1B",A62))),1,IF(AND(ISNUMBER(SEARCH("2B",A62))),2,IF(AND(ISNUMBER(SEARCH("3B",A62))),3,IF(AND(ISNUMBER(SEARCH("4B",A62))),4,IF(ISNUMBER(SEARCH("5B",A62)),5,0)))))</f>
        <v>0</v>
      </c>
      <c r="E63" s="108">
        <v>1</v>
      </c>
      <c r="F63" s="108"/>
      <c r="G63" s="29">
        <v>0</v>
      </c>
      <c r="H63" s="29">
        <f ca="1">--TRIM(RIGHT(SUBSTITUTE(LEFT(A62,_xlfn.AGGREGATE(16,6,FIND({0,1,2,3,4,5,6,7,8,9},A62,ROW(INDIRECT("1:"&amp;LEN(A62)))),1))," ",REPT(" ",LEN(A62))),LEN(A62)))</f>
        <v>29</v>
      </c>
      <c r="I63" s="16" t="s">
        <v>123</v>
      </c>
      <c r="J63" s="17"/>
    </row>
    <row r="64" spans="1:10" ht="20.25" customHeight="1" x14ac:dyDescent="0.3">
      <c r="A64" s="109" t="s">
        <v>121</v>
      </c>
      <c r="B64" s="109"/>
      <c r="C64" s="27" t="s">
        <v>131</v>
      </c>
      <c r="D64" s="27" t="s">
        <v>132</v>
      </c>
      <c r="E64" s="109" t="s">
        <v>122</v>
      </c>
      <c r="F64" s="109"/>
      <c r="G64" s="28" t="s">
        <v>120</v>
      </c>
      <c r="H64" s="28"/>
      <c r="I64" s="19" t="s">
        <v>133</v>
      </c>
      <c r="J64" s="18">
        <f ca="1">H63*25%</f>
        <v>7.25</v>
      </c>
    </row>
    <row r="65" spans="1:10" ht="20.25" customHeight="1" x14ac:dyDescent="0.3">
      <c r="A65" s="110" t="s">
        <v>134</v>
      </c>
      <c r="B65" s="110"/>
      <c r="C65" s="29">
        <f ca="1">J66</f>
        <v>29</v>
      </c>
      <c r="D65" s="4">
        <f ca="1">((100/H63)*C65)/100</f>
        <v>1</v>
      </c>
      <c r="E65" s="111">
        <f ca="1">(((C65/H63*10)+(C66/H63*15)+(25/(E63+G63+H63)*C67)+(5/(H63)*C68)+(2.5/(H63)*C69)+(2.5/(H63)*C70)+(5/H63*C71)+(10/H63*C72)+(2.5/H63*C73)+(2.5/H63*C74)+(10/H63*C75)+(10/H63*C76))/100)</f>
        <v>0.83620689655172409</v>
      </c>
      <c r="F65" s="112"/>
      <c r="G65" s="110" t="str">
        <f ca="1">I62</f>
        <v>Excavation work Completed. Plinth work completed, RCC Slab, Brickwork, Internal Plaster, External Plaster, External Plumbing, Elevation and Waterproofing, Flooring &amp; Fitting, Wooden Work upto 25 Floor, Electrical &amp; Sanitary fittings upto 15 Floor, Finishing upto 15 Floor Completed</v>
      </c>
      <c r="H65" s="110"/>
      <c r="I65" s="19" t="s">
        <v>124</v>
      </c>
      <c r="J65" s="23">
        <f ca="1">H63*50%</f>
        <v>14.5</v>
      </c>
    </row>
    <row r="66" spans="1:10" ht="20.25" x14ac:dyDescent="0.3">
      <c r="A66" s="110" t="s">
        <v>105</v>
      </c>
      <c r="B66" s="110"/>
      <c r="C66" s="72">
        <f ca="1">J74</f>
        <v>29</v>
      </c>
      <c r="D66" s="4">
        <f ca="1">((100/H63)*C66)/100</f>
        <v>1</v>
      </c>
      <c r="E66" s="113"/>
      <c r="F66" s="114"/>
      <c r="G66" s="110"/>
      <c r="H66" s="110"/>
      <c r="I66" s="19" t="s">
        <v>125</v>
      </c>
      <c r="J66" s="23">
        <f ca="1">H63</f>
        <v>29</v>
      </c>
    </row>
    <row r="67" spans="1:10" ht="21" customHeight="1" x14ac:dyDescent="0.35">
      <c r="A67" s="110" t="s">
        <v>135</v>
      </c>
      <c r="B67" s="110"/>
      <c r="C67" s="29">
        <v>30</v>
      </c>
      <c r="D67" s="4">
        <f ca="1">((100/(E63+G63+H63))*C67)/100</f>
        <v>1</v>
      </c>
      <c r="E67" s="113"/>
      <c r="F67" s="114"/>
      <c r="G67" s="110"/>
      <c r="H67" s="110"/>
      <c r="I67" s="19" t="s">
        <v>126</v>
      </c>
      <c r="J67" s="24">
        <f ca="1">(IF(D63&gt;1,(H63/(D63+2)),H63*0.2))</f>
        <v>5.8000000000000007</v>
      </c>
    </row>
    <row r="68" spans="1:10" ht="21" customHeight="1" x14ac:dyDescent="0.35">
      <c r="A68" s="110" t="s">
        <v>136</v>
      </c>
      <c r="B68" s="110"/>
      <c r="C68" s="29">
        <v>29</v>
      </c>
      <c r="D68" s="4">
        <f ca="1">((100/H63)*C68)/100</f>
        <v>1</v>
      </c>
      <c r="E68" s="113"/>
      <c r="F68" s="114"/>
      <c r="G68" s="110"/>
      <c r="H68" s="110"/>
      <c r="I68" s="19" t="s">
        <v>127</v>
      </c>
      <c r="J68" s="24">
        <f ca="1">(IF(D63&gt;1,(H63/(D63+2)+J67),H63*0.2+J67))</f>
        <v>11.600000000000001</v>
      </c>
    </row>
    <row r="69" spans="1:10" ht="21" customHeight="1" x14ac:dyDescent="0.35">
      <c r="A69" s="117" t="s">
        <v>137</v>
      </c>
      <c r="B69" s="118"/>
      <c r="C69" s="29">
        <v>29</v>
      </c>
      <c r="D69" s="4">
        <f ca="1">((100/H63)*C69)/100</f>
        <v>1</v>
      </c>
      <c r="E69" s="113"/>
      <c r="F69" s="114"/>
      <c r="G69" s="110"/>
      <c r="H69" s="110"/>
      <c r="I69" s="19" t="s">
        <v>138</v>
      </c>
      <c r="J69" s="24">
        <f>(IF(D63&gt;1,(H63/(D63+2)+J68),0))</f>
        <v>0</v>
      </c>
    </row>
    <row r="70" spans="1:10" ht="21" customHeight="1" x14ac:dyDescent="0.35">
      <c r="A70" s="117" t="s">
        <v>169</v>
      </c>
      <c r="B70" s="118"/>
      <c r="C70" s="29">
        <v>29</v>
      </c>
      <c r="D70" s="4">
        <f ca="1">((100/H63)*C70)/100</f>
        <v>1</v>
      </c>
      <c r="E70" s="113"/>
      <c r="F70" s="114"/>
      <c r="G70" s="110"/>
      <c r="H70" s="110"/>
      <c r="I70" s="19" t="s">
        <v>139</v>
      </c>
      <c r="J70" s="24">
        <f>(IF(D63&gt;2,(H63/(D63+2)+J69),0))</f>
        <v>0</v>
      </c>
    </row>
    <row r="71" spans="1:10" ht="70.900000000000006" customHeight="1" x14ac:dyDescent="0.35">
      <c r="A71" s="117" t="s">
        <v>166</v>
      </c>
      <c r="B71" s="118"/>
      <c r="C71" s="29">
        <v>29</v>
      </c>
      <c r="D71" s="4">
        <f ca="1">((100/(H63))*C71)/100</f>
        <v>1</v>
      </c>
      <c r="E71" s="113"/>
      <c r="F71" s="114"/>
      <c r="G71" s="110"/>
      <c r="H71" s="110"/>
      <c r="I71" s="19" t="s">
        <v>141</v>
      </c>
      <c r="J71" s="25">
        <f>(IF(D63&gt;3,(H63/(D63+2)+J70),0))</f>
        <v>0</v>
      </c>
    </row>
    <row r="72" spans="1:10" ht="21" x14ac:dyDescent="0.35">
      <c r="A72" s="110" t="s">
        <v>140</v>
      </c>
      <c r="B72" s="110"/>
      <c r="C72" s="29">
        <v>29</v>
      </c>
      <c r="D72" s="4">
        <f ca="1">((100/(H63))*C72)/100</f>
        <v>1</v>
      </c>
      <c r="E72" s="113"/>
      <c r="F72" s="114"/>
      <c r="G72" s="110"/>
      <c r="H72" s="110"/>
      <c r="I72" s="19" t="s">
        <v>142</v>
      </c>
      <c r="J72" s="24">
        <f>(IF(D63&gt;4,(H63/(D63+2)+J71),0))</f>
        <v>0</v>
      </c>
    </row>
    <row r="73" spans="1:10" ht="21" customHeight="1" x14ac:dyDescent="0.35">
      <c r="A73" s="110" t="s">
        <v>168</v>
      </c>
      <c r="B73" s="110"/>
      <c r="C73" s="29">
        <v>25</v>
      </c>
      <c r="D73" s="4">
        <f ca="1">((100/H63)*C73)/100</f>
        <v>0.86206896551724133</v>
      </c>
      <c r="E73" s="113"/>
      <c r="F73" s="114"/>
      <c r="G73" s="110"/>
      <c r="H73" s="110"/>
      <c r="I73" s="19" t="s">
        <v>128</v>
      </c>
      <c r="J73" s="24">
        <f ca="1">(IF(D63=1,(H63/(D63+3)+J68),IF(D63=0,(H63*0.3+J68),IF(D63&gt;1,0))))</f>
        <v>20.3</v>
      </c>
    </row>
    <row r="74" spans="1:10" ht="21.75" thickBot="1" x14ac:dyDescent="0.4">
      <c r="A74" s="110" t="s">
        <v>167</v>
      </c>
      <c r="B74" s="110"/>
      <c r="C74" s="29">
        <v>15</v>
      </c>
      <c r="D74" s="4">
        <f ca="1">((100/H63)*C74)/100</f>
        <v>0.51724137931034475</v>
      </c>
      <c r="E74" s="113"/>
      <c r="F74" s="114"/>
      <c r="G74" s="110"/>
      <c r="H74" s="110"/>
      <c r="I74" s="21" t="s">
        <v>129</v>
      </c>
      <c r="J74" s="26">
        <f ca="1">(IF(D63&gt;1.5,(H63/(D63+2)+J68+MAX(0,J69-J68)+MAX(0,J70-J69)+MAX(0,J71-J70)+MAX(0,J72-J71)+MAX(0,J73-J72)),IF(D63=1,(H63/(D63+3)+J73),IF(D63=0,H63*0.3+J73))))</f>
        <v>29</v>
      </c>
    </row>
    <row r="75" spans="1:10" ht="20.25" x14ac:dyDescent="0.25">
      <c r="A75" s="110" t="s">
        <v>143</v>
      </c>
      <c r="B75" s="110"/>
      <c r="C75" s="29">
        <v>15</v>
      </c>
      <c r="D75" s="4">
        <f ca="1">((100/(H63))*C75)/100</f>
        <v>0.51724137931034475</v>
      </c>
      <c r="E75" s="113"/>
      <c r="F75" s="114"/>
      <c r="G75" s="110"/>
      <c r="H75" s="110"/>
    </row>
    <row r="76" spans="1:10" ht="41.25" customHeight="1" x14ac:dyDescent="0.25">
      <c r="A76" s="110" t="s">
        <v>144</v>
      </c>
      <c r="B76" s="110"/>
      <c r="C76" s="29">
        <v>0</v>
      </c>
      <c r="D76" s="4">
        <f ca="1">((100/(H63))*C76)/100</f>
        <v>0</v>
      </c>
      <c r="E76" s="115"/>
      <c r="F76" s="116"/>
      <c r="G76" s="110"/>
      <c r="H76" s="110"/>
    </row>
    <row r="77" spans="1:10" ht="21" thickBot="1" x14ac:dyDescent="0.3">
      <c r="A77" s="92" t="s">
        <v>69</v>
      </c>
      <c r="B77" s="92"/>
      <c r="C77" s="92"/>
      <c r="D77" s="92"/>
      <c r="E77" s="92"/>
      <c r="F77" s="92"/>
      <c r="G77" s="92"/>
      <c r="H77" s="92"/>
    </row>
    <row r="78" spans="1:10" ht="20.25" customHeight="1" x14ac:dyDescent="0.3">
      <c r="A78" s="107" t="str">
        <f>CONCATENATE((IF(OR(A47="",A47="NA"),"",A47)),"= ",(IF(OR(D47="",D47="NA"),"",D47)),".")</f>
        <v>Phse I Wing B= G + 1st to 22nd Floor.</v>
      </c>
      <c r="B78" s="107"/>
      <c r="C78" s="107"/>
      <c r="D78" s="29" t="s">
        <v>117</v>
      </c>
      <c r="E78" s="108" t="s">
        <v>104</v>
      </c>
      <c r="F78" s="108"/>
      <c r="G78" s="29" t="s">
        <v>118</v>
      </c>
      <c r="H78" s="29" t="s">
        <v>119</v>
      </c>
      <c r="I78" s="15" t="str">
        <f ca="1">(IF(E81&gt;99%,"All work completed. Please provide OC.",IF(E81&gt;89.8%,"Plinth, RCC, Brick, Plaster, Flooring, Wooden, Plumbing, Electrification, etc.,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completed","0")))))))))))&amp;(IF(C83=(E79+G79+H79),", RCC Slab",IF(C83&gt;0,", RCC upto "&amp;C83&amp;" Slab",""))&amp;(IF(C84=H79,", Brickwork",IF(C84&gt;0,", Brickwork upto "&amp;C84&amp;" Floor",""))&amp;(IF(C85=H79,", Internal Plaster",IF(C85&gt;0,", Internal Plaster upto "&amp;C85&amp;" Floor",""))&amp;(IF(C86=H79,", External Plaster",IF(C86&gt;0,", External Plaster upto "&amp;C86&amp;" Floor",""))&amp;(IF(C87=H79,", External Plumbing, Elevation and Waterproofing",IF(C87&gt;0,", External Plumbing, Elevation and Waterproofing upto "&amp;C87&amp;" Floor",""))&amp;(IF(C88=H79,", Flooring &amp; Fitting",IF(C88&gt;0,", Flooring &amp; Fitting upto "&amp;C88&amp;" Floor",""))&amp;(IF(C89=H79,", Wooden Work",IF(C89&gt;0,", Wooden Work upto "&amp;C89&amp;" Floor",""))&amp;(IF(C90=H79,", Electrical &amp; Sanitary fittings",IF(C90&gt;0,", Electrical &amp; Sanitary fittings upto "&amp;C90&amp;" Floor",""))&amp;(IF(C91&gt;0,", Finishing upto "&amp;C91&amp;" Floor","")&amp;(IF(C83&gt;0.5," Completed",""))))))))))))))))</f>
        <v>Excavation work Completed. Plinth work completed, RCC Slab, Brickwork, Internal Plaster, External Plaster, External Plumbing, Elevation and Waterproofing, Flooring &amp; Fitting, Wooden Work upto 18 Floor, Electrical &amp; Sanitary fittings upto 14 Floor, Finishing upto 14 Floor Completed</v>
      </c>
      <c r="J78" s="17"/>
    </row>
    <row r="79" spans="1:10" ht="20.25" x14ac:dyDescent="0.3">
      <c r="A79" s="107"/>
      <c r="B79" s="107"/>
      <c r="C79" s="107"/>
      <c r="D79" s="29">
        <f>IF(AND(ISNUMBER(SEARCH("1B",A78))),1,IF(AND(ISNUMBER(SEARCH("2B",A78))),2,IF(AND(ISNUMBER(SEARCH("3B",A78))),3,IF(AND(ISNUMBER(SEARCH("4B",A78))),4,IF(ISNUMBER(SEARCH("5B",A78)),5,0)))))</f>
        <v>0</v>
      </c>
      <c r="E79" s="108">
        <v>1</v>
      </c>
      <c r="F79" s="108"/>
      <c r="G79" s="29">
        <v>0</v>
      </c>
      <c r="H79" s="29">
        <f ca="1">--TRIM(RIGHT(SUBSTITUTE(LEFT(A78,_xlfn.AGGREGATE(16,6,FIND({0,1,2,3,4,5,6,7,8,9},A78,ROW(INDIRECT("1:"&amp;LEN(A78)))),1))," ",REPT(" ",LEN(A78))),LEN(A78)))</f>
        <v>22</v>
      </c>
      <c r="I79" s="16" t="s">
        <v>123</v>
      </c>
      <c r="J79" s="17"/>
    </row>
    <row r="80" spans="1:10" ht="20.25" customHeight="1" x14ac:dyDescent="0.3">
      <c r="A80" s="109" t="s">
        <v>121</v>
      </c>
      <c r="B80" s="109"/>
      <c r="C80" s="27" t="s">
        <v>131</v>
      </c>
      <c r="D80" s="27" t="s">
        <v>132</v>
      </c>
      <c r="E80" s="109" t="s">
        <v>122</v>
      </c>
      <c r="F80" s="109"/>
      <c r="G80" s="28" t="s">
        <v>120</v>
      </c>
      <c r="H80" s="28"/>
      <c r="I80" s="19" t="s">
        <v>133</v>
      </c>
      <c r="J80" s="18">
        <f ca="1">H79*25%</f>
        <v>5.5</v>
      </c>
    </row>
    <row r="81" spans="1:10" ht="20.25" customHeight="1" x14ac:dyDescent="0.3">
      <c r="A81" s="110" t="s">
        <v>134</v>
      </c>
      <c r="B81" s="110"/>
      <c r="C81" s="29">
        <f ca="1">J82</f>
        <v>22</v>
      </c>
      <c r="D81" s="4">
        <f ca="1">((100/H79)*C81)/100</f>
        <v>1.0000000000000002</v>
      </c>
      <c r="E81" s="111">
        <f ca="1">(((C81/H79*10)+(C82/H79*15)+(25/(E79+G79+H79)*C83)+(5/(H79)*C84)+(2.5/(H79)*C85)+(2.5/(H79)*C86)+(5/H79*C87)+(10/H79*C88)+(2.5/H79*C89)+(2.5/H79*C90)+(10/H79*C91)+(10/H79*C92))/100)</f>
        <v>0.85</v>
      </c>
      <c r="F81" s="112"/>
      <c r="G81" s="110" t="str">
        <f ca="1">I78</f>
        <v>Excavation work Completed. Plinth work completed, RCC Slab, Brickwork, Internal Plaster, External Plaster, External Plumbing, Elevation and Waterproofing, Flooring &amp; Fitting, Wooden Work upto 18 Floor, Electrical &amp; Sanitary fittings upto 14 Floor, Finishing upto 14 Floor Completed</v>
      </c>
      <c r="H81" s="110"/>
      <c r="I81" s="19" t="s">
        <v>124</v>
      </c>
      <c r="J81" s="23">
        <f ca="1">H79*50%</f>
        <v>11</v>
      </c>
    </row>
    <row r="82" spans="1:10" ht="20.25" x14ac:dyDescent="0.3">
      <c r="A82" s="110" t="s">
        <v>105</v>
      </c>
      <c r="B82" s="110"/>
      <c r="C82" s="72">
        <f ca="1">J90</f>
        <v>22</v>
      </c>
      <c r="D82" s="4">
        <f ca="1">((100/H79)*C82)/100</f>
        <v>1.0000000000000002</v>
      </c>
      <c r="E82" s="113"/>
      <c r="F82" s="114"/>
      <c r="G82" s="110"/>
      <c r="H82" s="110"/>
      <c r="I82" s="19" t="s">
        <v>125</v>
      </c>
      <c r="J82" s="23">
        <f ca="1">H79</f>
        <v>22</v>
      </c>
    </row>
    <row r="83" spans="1:10" ht="21" customHeight="1" x14ac:dyDescent="0.35">
      <c r="A83" s="110" t="s">
        <v>135</v>
      </c>
      <c r="B83" s="110"/>
      <c r="C83" s="29">
        <v>23</v>
      </c>
      <c r="D83" s="4">
        <f ca="1">((100/(E79+G79+H79))*C83)/100</f>
        <v>1</v>
      </c>
      <c r="E83" s="113"/>
      <c r="F83" s="114"/>
      <c r="G83" s="110"/>
      <c r="H83" s="110"/>
      <c r="I83" s="19" t="s">
        <v>126</v>
      </c>
      <c r="J83" s="24">
        <f ca="1">(IF(D79&gt;1,(H79/(D79+2)),H79*0.2))</f>
        <v>4.4000000000000004</v>
      </c>
    </row>
    <row r="84" spans="1:10" ht="21" customHeight="1" x14ac:dyDescent="0.35">
      <c r="A84" s="110" t="s">
        <v>136</v>
      </c>
      <c r="B84" s="110"/>
      <c r="C84" s="29">
        <v>22</v>
      </c>
      <c r="D84" s="4">
        <f ca="1">((100/H79)*C84)/100</f>
        <v>1.0000000000000002</v>
      </c>
      <c r="E84" s="113"/>
      <c r="F84" s="114"/>
      <c r="G84" s="110"/>
      <c r="H84" s="110"/>
      <c r="I84" s="19" t="s">
        <v>127</v>
      </c>
      <c r="J84" s="24">
        <f ca="1">(IF(D79&gt;1,(H79/(D79+2)+J83),H79*0.2+J83))</f>
        <v>8.8000000000000007</v>
      </c>
    </row>
    <row r="85" spans="1:10" ht="21" customHeight="1" x14ac:dyDescent="0.35">
      <c r="A85" s="117" t="s">
        <v>137</v>
      </c>
      <c r="B85" s="118"/>
      <c r="C85" s="29">
        <v>22</v>
      </c>
      <c r="D85" s="4">
        <f ca="1">((100/H79)*C85)/100</f>
        <v>1.0000000000000002</v>
      </c>
      <c r="E85" s="113"/>
      <c r="F85" s="114"/>
      <c r="G85" s="110"/>
      <c r="H85" s="110"/>
      <c r="I85" s="19" t="s">
        <v>138</v>
      </c>
      <c r="J85" s="24">
        <f>(IF(D79&gt;1,(H79/(D79+2)+J84),0))</f>
        <v>0</v>
      </c>
    </row>
    <row r="86" spans="1:10" ht="21" customHeight="1" x14ac:dyDescent="0.35">
      <c r="A86" s="117" t="s">
        <v>169</v>
      </c>
      <c r="B86" s="118"/>
      <c r="C86" s="29">
        <v>22</v>
      </c>
      <c r="D86" s="4">
        <f ca="1">((100/H79)*C86)/100</f>
        <v>1.0000000000000002</v>
      </c>
      <c r="E86" s="113"/>
      <c r="F86" s="114"/>
      <c r="G86" s="110"/>
      <c r="H86" s="110"/>
      <c r="I86" s="19" t="s">
        <v>139</v>
      </c>
      <c r="J86" s="24">
        <f>(IF(D79&gt;2,(H79/(D79+2)+J85),0))</f>
        <v>0</v>
      </c>
    </row>
    <row r="87" spans="1:10" ht="63" customHeight="1" x14ac:dyDescent="0.35">
      <c r="A87" s="117" t="s">
        <v>166</v>
      </c>
      <c r="B87" s="118"/>
      <c r="C87" s="29">
        <v>22</v>
      </c>
      <c r="D87" s="4">
        <f ca="1">((100/(H79))*C87)/100</f>
        <v>1.0000000000000002</v>
      </c>
      <c r="E87" s="113"/>
      <c r="F87" s="114"/>
      <c r="G87" s="110"/>
      <c r="H87" s="110"/>
      <c r="I87" s="19" t="s">
        <v>141</v>
      </c>
      <c r="J87" s="25">
        <f>(IF(D79&gt;3,(H79/(D79+2)+J86),0))</f>
        <v>0</v>
      </c>
    </row>
    <row r="88" spans="1:10" ht="21" x14ac:dyDescent="0.35">
      <c r="A88" s="110" t="s">
        <v>140</v>
      </c>
      <c r="B88" s="110"/>
      <c r="C88" s="29">
        <v>22</v>
      </c>
      <c r="D88" s="4">
        <f ca="1">((100/(H79))*C88)/100</f>
        <v>1.0000000000000002</v>
      </c>
      <c r="E88" s="113"/>
      <c r="F88" s="114"/>
      <c r="G88" s="110"/>
      <c r="H88" s="110"/>
      <c r="I88" s="19" t="s">
        <v>142</v>
      </c>
      <c r="J88" s="24">
        <f>(IF(D79&gt;4,(H79/(D79+2)+J87),0))</f>
        <v>0</v>
      </c>
    </row>
    <row r="89" spans="1:10" ht="21" customHeight="1" x14ac:dyDescent="0.35">
      <c r="A89" s="110" t="s">
        <v>168</v>
      </c>
      <c r="B89" s="110"/>
      <c r="C89" s="29">
        <v>18</v>
      </c>
      <c r="D89" s="4">
        <f ca="1">((100/H79)*C89)/100</f>
        <v>0.81818181818181823</v>
      </c>
      <c r="E89" s="113"/>
      <c r="F89" s="114"/>
      <c r="G89" s="110"/>
      <c r="H89" s="110"/>
      <c r="I89" s="19" t="s">
        <v>128</v>
      </c>
      <c r="J89" s="24">
        <f ca="1">(IF(D79=1,(H79/(D79+3)+J84),IF(D79=0,(H79*0.3+J84),IF(D79&gt;1,0))))</f>
        <v>15.4</v>
      </c>
    </row>
    <row r="90" spans="1:10" ht="21.75" thickBot="1" x14ac:dyDescent="0.4">
      <c r="A90" s="110" t="s">
        <v>167</v>
      </c>
      <c r="B90" s="110"/>
      <c r="C90" s="29">
        <v>14</v>
      </c>
      <c r="D90" s="4">
        <f ca="1">((100/H79)*C90)/100</f>
        <v>0.63636363636363635</v>
      </c>
      <c r="E90" s="113"/>
      <c r="F90" s="114"/>
      <c r="G90" s="110"/>
      <c r="H90" s="110"/>
      <c r="I90" s="21" t="s">
        <v>129</v>
      </c>
      <c r="J90" s="26">
        <f ca="1">(IF(D79&gt;1.5,(H79/(D79+2)+J84+MAX(0,J85-J84)+MAX(0,J86-J85)+MAX(0,J87-J86)+MAX(0,J88-J87)+MAX(0,J89-J88)),IF(D79=1,(H79/(D79+3)+J89),IF(D79=0,H79*0.3+J89))))</f>
        <v>22</v>
      </c>
    </row>
    <row r="91" spans="1:10" ht="20.25" x14ac:dyDescent="0.25">
      <c r="A91" s="110" t="s">
        <v>143</v>
      </c>
      <c r="B91" s="110"/>
      <c r="C91" s="29">
        <v>14</v>
      </c>
      <c r="D91" s="4">
        <f ca="1">((100/(H79))*C91)/100</f>
        <v>0.63636363636363635</v>
      </c>
      <c r="E91" s="113"/>
      <c r="F91" s="114"/>
      <c r="G91" s="110"/>
      <c r="H91" s="110"/>
    </row>
    <row r="92" spans="1:10" ht="20.25" x14ac:dyDescent="0.25">
      <c r="A92" s="110" t="s">
        <v>144</v>
      </c>
      <c r="B92" s="110"/>
      <c r="C92" s="29">
        <v>0</v>
      </c>
      <c r="D92" s="4">
        <f ca="1">((100/(H79))*C92)/100</f>
        <v>0</v>
      </c>
      <c r="E92" s="115"/>
      <c r="F92" s="116"/>
      <c r="G92" s="110"/>
      <c r="H92" s="110"/>
    </row>
    <row r="93" spans="1:10" ht="21" thickBot="1" x14ac:dyDescent="0.3">
      <c r="A93" s="92" t="s">
        <v>69</v>
      </c>
      <c r="B93" s="92"/>
      <c r="C93" s="92"/>
      <c r="D93" s="92"/>
      <c r="E93" s="92"/>
      <c r="F93" s="92"/>
      <c r="G93" s="92"/>
      <c r="H93" s="92"/>
    </row>
    <row r="94" spans="1:10" ht="20.25" customHeight="1" x14ac:dyDescent="0.3">
      <c r="A94" s="107" t="str">
        <f>CONCATENATE((IF(OR(A48="",A48="NA"),"",A48)),"= ",(IF(OR(D48="",D48="NA"),"",D48)),".")</f>
        <v>Phse I Wing C= G + 1st to 22nd Floor.</v>
      </c>
      <c r="B94" s="107"/>
      <c r="C94" s="107"/>
      <c r="D94" s="29" t="s">
        <v>117</v>
      </c>
      <c r="E94" s="108" t="s">
        <v>104</v>
      </c>
      <c r="F94" s="108"/>
      <c r="G94" s="29" t="s">
        <v>118</v>
      </c>
      <c r="H94" s="29" t="s">
        <v>119</v>
      </c>
      <c r="I94" s="15" t="str">
        <f ca="1">(IF(E97&gt;99%,"All work completed. Please provide OC.",IF(E97&gt;89.8%,"Plinth, RCC, Brick, Plaster, Flooring, Wooden, Plumbing, Electrification, etc.,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completed","0")))))))))))&amp;(IF(C99=(E95+G95+H95),", RCC Slab",IF(C99&gt;0,", RCC upto "&amp;C99&amp;" Slab",""))&amp;(IF(C100=H95,", Brickwork",IF(C100&gt;0,", Brickwork upto "&amp;C100&amp;" Floor",""))&amp;(IF(C101=H95,", Internal Plaster",IF(C101&gt;0,", Internal Plaster upto "&amp;C101&amp;" Floor",""))&amp;(IF(C102=H95,", External Plaster",IF(C102&gt;0,", External Plaster upto "&amp;C102&amp;" Floor",""))&amp;(IF(C103=H95,", External Plumbing, Elevation and Waterproofing",IF(C103&gt;0,", External Plumbing, Elevation and Waterproofing upto "&amp;C103&amp;" Floor",""))&amp;(IF(C104=H95,", Flooring &amp; Fitting",IF(C104&gt;0,", Flooring &amp; Fitting upto "&amp;C104&amp;" Floor",""))&amp;(IF(C105=H95,", Wooden Work",IF(C105&gt;0,", Wooden Work upto "&amp;C105&amp;" Floor",""))&amp;(IF(C106=H95,", Electrical &amp; Sanitary fittings",IF(C106&gt;0,", Electrical &amp; Sanitary fittings upto "&amp;C106&amp;" Floor",""))&amp;(IF(C107&gt;0,", Finishing upto "&amp;C107&amp;" Floor","")&amp;(IF(C99&gt;0.5," Completed",""))))))))))))))))</f>
        <v>Excavation work Completed. Plinth work completed, RCC Slab, Brickwork, Internal Plaster upto 20 Floor, External Plaster upto 20 Floor, External Plumbing, Elevation and Waterproofing upto 20 Floor, Flooring &amp; Fitting upto 12 Floor Completed</v>
      </c>
      <c r="J94" s="17"/>
    </row>
    <row r="95" spans="1:10" ht="20.25" x14ac:dyDescent="0.3">
      <c r="A95" s="107"/>
      <c r="B95" s="107"/>
      <c r="C95" s="107"/>
      <c r="D95" s="29">
        <f>IF(AND(ISNUMBER(SEARCH("1B",A94))),1,IF(AND(ISNUMBER(SEARCH("2B",A94))),2,IF(AND(ISNUMBER(SEARCH("3B",A94))),3,IF(AND(ISNUMBER(SEARCH("4B",A94))),4,IF(ISNUMBER(SEARCH("5B",A94)),5,0)))))</f>
        <v>0</v>
      </c>
      <c r="E95" s="108">
        <v>1</v>
      </c>
      <c r="F95" s="108"/>
      <c r="G95" s="29">
        <v>0</v>
      </c>
      <c r="H95" s="29">
        <f ca="1">--TRIM(RIGHT(SUBSTITUTE(LEFT(A94,_xlfn.AGGREGATE(16,6,FIND({0,1,2,3,4,5,6,7,8,9},A94,ROW(INDIRECT("1:"&amp;LEN(A94)))),1))," ",REPT(" ",LEN(A94))),LEN(A94)))</f>
        <v>22</v>
      </c>
      <c r="I95" s="16" t="s">
        <v>123</v>
      </c>
      <c r="J95" s="17"/>
    </row>
    <row r="96" spans="1:10" ht="20.25" customHeight="1" x14ac:dyDescent="0.3">
      <c r="A96" s="109" t="s">
        <v>121</v>
      </c>
      <c r="B96" s="109"/>
      <c r="C96" s="27" t="s">
        <v>131</v>
      </c>
      <c r="D96" s="27" t="s">
        <v>132</v>
      </c>
      <c r="E96" s="109" t="s">
        <v>122</v>
      </c>
      <c r="F96" s="109"/>
      <c r="G96" s="28" t="s">
        <v>120</v>
      </c>
      <c r="H96" s="28"/>
      <c r="I96" s="19" t="s">
        <v>133</v>
      </c>
      <c r="J96" s="18">
        <f ca="1">H95*25%</f>
        <v>5.5</v>
      </c>
    </row>
    <row r="97" spans="1:10" ht="20.25" customHeight="1" x14ac:dyDescent="0.3">
      <c r="A97" s="110" t="s">
        <v>134</v>
      </c>
      <c r="B97" s="110"/>
      <c r="C97" s="29">
        <f ca="1">J98</f>
        <v>22</v>
      </c>
      <c r="D97" s="4">
        <f ca="1">((100/H95)*C97)/100</f>
        <v>1.0000000000000002</v>
      </c>
      <c r="E97" s="111">
        <f ca="1">(((C97/H95*10)+(C98/H95*15)+(25/(E95+G95+H95)*C99)+(5/(H95)*C100)+(2.5/(H95)*C101)+(2.5/(H95)*C102)+(5/H95*C103)+(10/H95*C104)+(2.5/H95*C105)+(2.5/H95*C106)+(10/H95*C107)+(10/H95*C108))/100)</f>
        <v>0.69545454545454544</v>
      </c>
      <c r="F97" s="112"/>
      <c r="G97" s="110" t="str">
        <f ca="1">I94</f>
        <v>Excavation work Completed. Plinth work completed, RCC Slab, Brickwork, Internal Plaster upto 20 Floor, External Plaster upto 20 Floor, External Plumbing, Elevation and Waterproofing upto 20 Floor, Flooring &amp; Fitting upto 12 Floor Completed</v>
      </c>
      <c r="H97" s="110"/>
      <c r="I97" s="19" t="s">
        <v>124</v>
      </c>
      <c r="J97" s="23">
        <f ca="1">H95*50%</f>
        <v>11</v>
      </c>
    </row>
    <row r="98" spans="1:10" ht="20.25" x14ac:dyDescent="0.3">
      <c r="A98" s="110" t="s">
        <v>105</v>
      </c>
      <c r="B98" s="110"/>
      <c r="C98" s="72">
        <f ca="1">J106</f>
        <v>22</v>
      </c>
      <c r="D98" s="4">
        <f ca="1">((100/H95)*C98)/100</f>
        <v>1.0000000000000002</v>
      </c>
      <c r="E98" s="113"/>
      <c r="F98" s="114"/>
      <c r="G98" s="110"/>
      <c r="H98" s="110"/>
      <c r="I98" s="19" t="s">
        <v>125</v>
      </c>
      <c r="J98" s="23">
        <f ca="1">H95</f>
        <v>22</v>
      </c>
    </row>
    <row r="99" spans="1:10" ht="21" customHeight="1" x14ac:dyDescent="0.35">
      <c r="A99" s="110" t="s">
        <v>135</v>
      </c>
      <c r="B99" s="110"/>
      <c r="C99" s="29">
        <v>23</v>
      </c>
      <c r="D99" s="4">
        <f ca="1">((100/(E95+G95+H95))*C99)/100</f>
        <v>1</v>
      </c>
      <c r="E99" s="113"/>
      <c r="F99" s="114"/>
      <c r="G99" s="110"/>
      <c r="H99" s="110"/>
      <c r="I99" s="19" t="s">
        <v>126</v>
      </c>
      <c r="J99" s="24">
        <f ca="1">(IF(D95&gt;1,(H95/(D95+2)),H95*0.2))</f>
        <v>4.4000000000000004</v>
      </c>
    </row>
    <row r="100" spans="1:10" ht="21" customHeight="1" x14ac:dyDescent="0.35">
      <c r="A100" s="110" t="s">
        <v>136</v>
      </c>
      <c r="B100" s="110"/>
      <c r="C100" s="29">
        <v>22</v>
      </c>
      <c r="D100" s="4">
        <f ca="1">((100/H95)*C100)/100</f>
        <v>1.0000000000000002</v>
      </c>
      <c r="E100" s="113"/>
      <c r="F100" s="114"/>
      <c r="G100" s="110"/>
      <c r="H100" s="110"/>
      <c r="I100" s="19" t="s">
        <v>127</v>
      </c>
      <c r="J100" s="24">
        <f ca="1">(IF(D95&gt;1,(H95/(D95+2)+J99),H95*0.2+J99))</f>
        <v>8.8000000000000007</v>
      </c>
    </row>
    <row r="101" spans="1:10" ht="21" customHeight="1" x14ac:dyDescent="0.35">
      <c r="A101" s="117" t="s">
        <v>137</v>
      </c>
      <c r="B101" s="118"/>
      <c r="C101" s="29">
        <v>20</v>
      </c>
      <c r="D101" s="4">
        <f ca="1">((100/H95)*C101)/100</f>
        <v>0.90909090909090917</v>
      </c>
      <c r="E101" s="113"/>
      <c r="F101" s="114"/>
      <c r="G101" s="110"/>
      <c r="H101" s="110"/>
      <c r="I101" s="19" t="s">
        <v>138</v>
      </c>
      <c r="J101" s="24">
        <f>(IF(D95&gt;1,(H95/(D95+2)+J100),0))</f>
        <v>0</v>
      </c>
    </row>
    <row r="102" spans="1:10" ht="21" customHeight="1" x14ac:dyDescent="0.35">
      <c r="A102" s="117" t="s">
        <v>169</v>
      </c>
      <c r="B102" s="118"/>
      <c r="C102" s="29">
        <v>20</v>
      </c>
      <c r="D102" s="4">
        <f ca="1">((100/H95)*C102)/100</f>
        <v>0.90909090909090917</v>
      </c>
      <c r="E102" s="113"/>
      <c r="F102" s="114"/>
      <c r="G102" s="110"/>
      <c r="H102" s="110"/>
      <c r="I102" s="19" t="s">
        <v>139</v>
      </c>
      <c r="J102" s="24">
        <f>(IF(D95&gt;2,(H95/(D95+2)+J101),0))</f>
        <v>0</v>
      </c>
    </row>
    <row r="103" spans="1:10" ht="57.75" customHeight="1" x14ac:dyDescent="0.35">
      <c r="A103" s="117" t="s">
        <v>166</v>
      </c>
      <c r="B103" s="118"/>
      <c r="C103" s="29">
        <v>20</v>
      </c>
      <c r="D103" s="4">
        <f ca="1">((100/(H95))*C103)/100</f>
        <v>0.90909090909090917</v>
      </c>
      <c r="E103" s="113"/>
      <c r="F103" s="114"/>
      <c r="G103" s="110"/>
      <c r="H103" s="110"/>
      <c r="I103" s="19" t="s">
        <v>141</v>
      </c>
      <c r="J103" s="25">
        <f>(IF(D95&gt;3,(H95/(D95+2)+J102),0))</f>
        <v>0</v>
      </c>
    </row>
    <row r="104" spans="1:10" ht="21" x14ac:dyDescent="0.35">
      <c r="A104" s="110" t="s">
        <v>140</v>
      </c>
      <c r="B104" s="110"/>
      <c r="C104" s="29">
        <v>12</v>
      </c>
      <c r="D104" s="4">
        <f ca="1">((100/(H95))*C104)/100</f>
        <v>0.54545454545454541</v>
      </c>
      <c r="E104" s="113"/>
      <c r="F104" s="114"/>
      <c r="G104" s="110"/>
      <c r="H104" s="110"/>
      <c r="I104" s="19" t="s">
        <v>142</v>
      </c>
      <c r="J104" s="24">
        <f>(IF(D95&gt;4,(H95/(D95+2)+J103),0))</f>
        <v>0</v>
      </c>
    </row>
    <row r="105" spans="1:10" ht="21" customHeight="1" x14ac:dyDescent="0.35">
      <c r="A105" s="110" t="s">
        <v>168</v>
      </c>
      <c r="B105" s="110"/>
      <c r="C105" s="29">
        <v>0</v>
      </c>
      <c r="D105" s="4">
        <f ca="1">((100/H95)*C105)/100</f>
        <v>0</v>
      </c>
      <c r="E105" s="113"/>
      <c r="F105" s="114"/>
      <c r="G105" s="110"/>
      <c r="H105" s="110"/>
      <c r="I105" s="19" t="s">
        <v>128</v>
      </c>
      <c r="J105" s="24">
        <f ca="1">(IF(D95=1,(H95/(D95+3)+J100),IF(D95=0,(H95*0.3+J100),IF(D95&gt;1,0))))</f>
        <v>15.4</v>
      </c>
    </row>
    <row r="106" spans="1:10" ht="21.75" thickBot="1" x14ac:dyDescent="0.4">
      <c r="A106" s="110" t="s">
        <v>167</v>
      </c>
      <c r="B106" s="110"/>
      <c r="C106" s="29">
        <v>0</v>
      </c>
      <c r="D106" s="4">
        <f ca="1">((100/H95)*C106)/100</f>
        <v>0</v>
      </c>
      <c r="E106" s="113"/>
      <c r="F106" s="114"/>
      <c r="G106" s="110"/>
      <c r="H106" s="110"/>
      <c r="I106" s="21" t="s">
        <v>129</v>
      </c>
      <c r="J106" s="26">
        <f ca="1">(IF(D95&gt;1.5,(H95/(D95+2)+J100+MAX(0,J101-J100)+MAX(0,J102-J101)+MAX(0,J103-J102)+MAX(0,J104-J103)+MAX(0,J105-J104)),IF(D95=1,(H95/(D95+3)+J105),IF(D95=0,H95*0.3+J105))))</f>
        <v>22</v>
      </c>
    </row>
    <row r="107" spans="1:10" ht="20.25" x14ac:dyDescent="0.25">
      <c r="A107" s="110" t="s">
        <v>143</v>
      </c>
      <c r="B107" s="110"/>
      <c r="C107" s="29">
        <v>0</v>
      </c>
      <c r="D107" s="4">
        <f ca="1">((100/(H95))*C107)/100</f>
        <v>0</v>
      </c>
      <c r="E107" s="113"/>
      <c r="F107" s="114"/>
      <c r="G107" s="110"/>
      <c r="H107" s="110"/>
    </row>
    <row r="108" spans="1:10" ht="20.25" x14ac:dyDescent="0.25">
      <c r="A108" s="110" t="s">
        <v>144</v>
      </c>
      <c r="B108" s="110"/>
      <c r="C108" s="29">
        <v>0</v>
      </c>
      <c r="D108" s="4">
        <f ca="1">((100/(H95))*C108)/100</f>
        <v>0</v>
      </c>
      <c r="E108" s="115"/>
      <c r="F108" s="116"/>
      <c r="G108" s="110"/>
      <c r="H108" s="110"/>
    </row>
    <row r="109" spans="1:10" ht="21" thickBot="1" x14ac:dyDescent="0.3">
      <c r="A109" s="92" t="s">
        <v>69</v>
      </c>
      <c r="B109" s="92"/>
      <c r="C109" s="92"/>
      <c r="D109" s="92"/>
      <c r="E109" s="92"/>
      <c r="F109" s="92"/>
      <c r="G109" s="92"/>
      <c r="H109" s="92"/>
    </row>
    <row r="110" spans="1:10" ht="20.25" customHeight="1" x14ac:dyDescent="0.3">
      <c r="A110" s="107" t="str">
        <f>CONCATENATE((IF(OR(A49="",A49="NA"),"",A49)),"= ",(IF(OR(D49="",D49="NA"),"",D49)),".")</f>
        <v>Phse II Wing D= G + 1st to 22nd Floor.</v>
      </c>
      <c r="B110" s="107"/>
      <c r="C110" s="107"/>
      <c r="D110" s="29" t="s">
        <v>117</v>
      </c>
      <c r="E110" s="108" t="s">
        <v>104</v>
      </c>
      <c r="F110" s="108"/>
      <c r="G110" s="29" t="s">
        <v>118</v>
      </c>
      <c r="H110" s="29" t="s">
        <v>119</v>
      </c>
      <c r="I110" s="15" t="str">
        <f ca="1">(IF(E113&gt;99%,"All work completed. Please provide OC.",IF(E113&gt;89.8%,"Plinth, RCC, Brick, Plaster, Flooring, Wooden, Plumbing, Electrification, etc., work Completed. Finishing work is in process.",IF(E113&lt;94%,(IF(C113=0,"Work not yet Started.",IF(D113=25%,"Piling work in process",IF(D113=50%,"Excavation work in process",IF(D113=100%,"Excavation work Completed. ","0")))&amp;(IF(C114=0%,"",IF(C114=J115,"Footing work is process",IF(C114=J116,"Footing work Completed",IF(C114=J117,"1st Basement Completed",IF(C114=J118,"1st &amp; 2nd Basement Completed",IF(C114=J119,"1st to 3rd Basement Completed",IF(C114=J120,"1st to 4th Basement Completed",IF(C114=J121,"Plinth work is process",IF(C114=J122,"Plinth work completed","0")))))))))))&amp;(IF(C115=(E111+G111+H111),", RCC Slab",IF(C115&gt;0,", RCC upto "&amp;C115&amp;" Slab",""))&amp;(IF(C116=H111,", Brickwork",IF(C116&gt;0,", Brickwork upto "&amp;C116&amp;" Floor",""))&amp;(IF(C117=H111,", Internal Plaster",IF(C117&gt;0,", Internal Plaster upto "&amp;C117&amp;" Floor",""))&amp;(IF(C118=H111,", External Plaster",IF(C118&gt;0,", External Plaster upto "&amp;C118&amp;" Floor",""))&amp;(IF(C119=H111,", External Plumbing, Elevation and Waterproofing",IF(C119&gt;0,", External Plumbing, Elevation and Waterproofing upto "&amp;C119&amp;" Floor",""))&amp;(IF(C120=H111,", Flooring &amp; Fitting",IF(C120&gt;0,", Flooring &amp; Fitting upto "&amp;C120&amp;" Floor",""))&amp;(IF(C121=H111,", Wooden Work",IF(C121&gt;0,", Wooden Work upto "&amp;C121&amp;" Floor",""))&amp;(IF(C122=H111,", Electrical &amp; Sanitary fittings",IF(C122&gt;0,", Electrical &amp; Sanitary fittings upto "&amp;C122&amp;" Floor",""))&amp;(IF(C123&gt;0,", Finishing upto "&amp;C123&amp;" Floor","")&amp;(IF(C115&gt;0.5," Completed",""))))))))))))))))</f>
        <v>Excavation work Completed. Plinth work completed, RCC Slab, Brickwork, Internal Plaster upto 17 Floor, External Plaster upto 17 Floor, External Plumbing, Elevation and Waterproofing upto 8 Floor Completed</v>
      </c>
      <c r="J110" s="17"/>
    </row>
    <row r="111" spans="1:10" ht="20.25" x14ac:dyDescent="0.3">
      <c r="A111" s="107"/>
      <c r="B111" s="107"/>
      <c r="C111" s="107"/>
      <c r="D111" s="29">
        <f>IF(AND(ISNUMBER(SEARCH("1B",A110))),1,IF(AND(ISNUMBER(SEARCH("2B",A110))),2,IF(AND(ISNUMBER(SEARCH("3B",A110))),3,IF(AND(ISNUMBER(SEARCH("4B",A110))),4,IF(ISNUMBER(SEARCH("5B",A110)),5,0)))))</f>
        <v>0</v>
      </c>
      <c r="E111" s="108">
        <v>1</v>
      </c>
      <c r="F111" s="108"/>
      <c r="G111" s="29">
        <v>0</v>
      </c>
      <c r="H111" s="29">
        <f ca="1">--TRIM(RIGHT(SUBSTITUTE(LEFT(A110,_xlfn.AGGREGATE(16,6,FIND({0,1,2,3,4,5,6,7,8,9},A110,ROW(INDIRECT("1:"&amp;LEN(A110)))),1))," ",REPT(" ",LEN(A110))),LEN(A110)))</f>
        <v>22</v>
      </c>
      <c r="I111" s="16" t="s">
        <v>123</v>
      </c>
      <c r="J111" s="17"/>
    </row>
    <row r="112" spans="1:10" ht="20.25" customHeight="1" x14ac:dyDescent="0.3">
      <c r="A112" s="109" t="s">
        <v>121</v>
      </c>
      <c r="B112" s="109"/>
      <c r="C112" s="27" t="s">
        <v>131</v>
      </c>
      <c r="D112" s="27" t="s">
        <v>132</v>
      </c>
      <c r="E112" s="109" t="s">
        <v>122</v>
      </c>
      <c r="F112" s="109"/>
      <c r="G112" s="28" t="s">
        <v>120</v>
      </c>
      <c r="H112" s="28"/>
      <c r="I112" s="19" t="s">
        <v>133</v>
      </c>
      <c r="J112" s="18">
        <f ca="1">H111*25%</f>
        <v>5.5</v>
      </c>
    </row>
    <row r="113" spans="1:10" ht="20.25" customHeight="1" x14ac:dyDescent="0.3">
      <c r="A113" s="110" t="s">
        <v>134</v>
      </c>
      <c r="B113" s="110"/>
      <c r="C113" s="29">
        <f ca="1">J114</f>
        <v>22</v>
      </c>
      <c r="D113" s="4">
        <f ca="1">((100/H111)*C113)/100</f>
        <v>1.0000000000000002</v>
      </c>
      <c r="E113" s="111">
        <f ca="1">(((C113/H111*10)+(C114/H111*15)+(25/(E111+G111+H111)*C115)+(5/(H111)*C116)+(2.5/(H111)*C117)+(2.5/(H111)*C118)+(5/H111*C119)+(10/H111*C120)+(2.5/H111*C121)+(2.5/H111*C122)+(10/H111*C123)+(10/H111*C124))/100)</f>
        <v>0.60681818181818181</v>
      </c>
      <c r="F113" s="112"/>
      <c r="G113" s="110" t="str">
        <f ca="1">I110</f>
        <v>Excavation work Completed. Plinth work completed, RCC Slab, Brickwork, Internal Plaster upto 17 Floor, External Plaster upto 17 Floor, External Plumbing, Elevation and Waterproofing upto 8 Floor Completed</v>
      </c>
      <c r="H113" s="110"/>
      <c r="I113" s="19" t="s">
        <v>124</v>
      </c>
      <c r="J113" s="23">
        <f ca="1">H111*50%</f>
        <v>11</v>
      </c>
    </row>
    <row r="114" spans="1:10" ht="20.25" x14ac:dyDescent="0.3">
      <c r="A114" s="110" t="s">
        <v>105</v>
      </c>
      <c r="B114" s="110"/>
      <c r="C114" s="72">
        <f ca="1">J122</f>
        <v>22</v>
      </c>
      <c r="D114" s="4">
        <f ca="1">((100/H111)*C114)/100</f>
        <v>1.0000000000000002</v>
      </c>
      <c r="E114" s="113"/>
      <c r="F114" s="114"/>
      <c r="G114" s="110"/>
      <c r="H114" s="110"/>
      <c r="I114" s="19" t="s">
        <v>125</v>
      </c>
      <c r="J114" s="23">
        <f ca="1">H111</f>
        <v>22</v>
      </c>
    </row>
    <row r="115" spans="1:10" ht="21" customHeight="1" x14ac:dyDescent="0.35">
      <c r="A115" s="110" t="s">
        <v>135</v>
      </c>
      <c r="B115" s="110"/>
      <c r="C115" s="29">
        <v>23</v>
      </c>
      <c r="D115" s="4">
        <f ca="1">((100/(E111+G111+H111))*C115)/100</f>
        <v>1</v>
      </c>
      <c r="E115" s="113"/>
      <c r="F115" s="114"/>
      <c r="G115" s="110"/>
      <c r="H115" s="110"/>
      <c r="I115" s="19" t="s">
        <v>126</v>
      </c>
      <c r="J115" s="24">
        <f ca="1">(IF(D111&gt;1,(H111/(D111+2)),H111*0.2))</f>
        <v>4.4000000000000004</v>
      </c>
    </row>
    <row r="116" spans="1:10" ht="21" customHeight="1" x14ac:dyDescent="0.35">
      <c r="A116" s="110" t="s">
        <v>136</v>
      </c>
      <c r="B116" s="110"/>
      <c r="C116" s="29">
        <v>22</v>
      </c>
      <c r="D116" s="4">
        <f ca="1">((100/H111)*C116)/100</f>
        <v>1.0000000000000002</v>
      </c>
      <c r="E116" s="113"/>
      <c r="F116" s="114"/>
      <c r="G116" s="110"/>
      <c r="H116" s="110"/>
      <c r="I116" s="19" t="s">
        <v>127</v>
      </c>
      <c r="J116" s="24">
        <f ca="1">(IF(D111&gt;1,(H111/(D111+2)+J115),H111*0.2+J115))</f>
        <v>8.8000000000000007</v>
      </c>
    </row>
    <row r="117" spans="1:10" ht="21" customHeight="1" x14ac:dyDescent="0.35">
      <c r="A117" s="117" t="s">
        <v>137</v>
      </c>
      <c r="B117" s="118"/>
      <c r="C117" s="29">
        <v>17</v>
      </c>
      <c r="D117" s="4">
        <f ca="1">((100/H111)*C117)/100</f>
        <v>0.77272727272727282</v>
      </c>
      <c r="E117" s="113"/>
      <c r="F117" s="114"/>
      <c r="G117" s="110"/>
      <c r="H117" s="110"/>
      <c r="I117" s="19" t="s">
        <v>138</v>
      </c>
      <c r="J117" s="24">
        <f>(IF(D111&gt;1,(H111/(D111+2)+J116),0))</f>
        <v>0</v>
      </c>
    </row>
    <row r="118" spans="1:10" ht="21" customHeight="1" x14ac:dyDescent="0.35">
      <c r="A118" s="117" t="s">
        <v>169</v>
      </c>
      <c r="B118" s="118"/>
      <c r="C118" s="29">
        <v>17</v>
      </c>
      <c r="D118" s="4">
        <f ca="1">((100/H111)*C118)/100</f>
        <v>0.77272727272727282</v>
      </c>
      <c r="E118" s="113"/>
      <c r="F118" s="114"/>
      <c r="G118" s="110"/>
      <c r="H118" s="110"/>
      <c r="I118" s="19" t="s">
        <v>139</v>
      </c>
      <c r="J118" s="24">
        <f>(IF(D111&gt;2,(H111/(D111+2)+J117),0))</f>
        <v>0</v>
      </c>
    </row>
    <row r="119" spans="1:10" ht="57.75" customHeight="1" x14ac:dyDescent="0.35">
      <c r="A119" s="117" t="s">
        <v>166</v>
      </c>
      <c r="B119" s="118"/>
      <c r="C119" s="29">
        <v>8</v>
      </c>
      <c r="D119" s="4">
        <f ca="1">((100/(H111))*C119)/100</f>
        <v>0.36363636363636365</v>
      </c>
      <c r="E119" s="113"/>
      <c r="F119" s="114"/>
      <c r="G119" s="110"/>
      <c r="H119" s="110"/>
      <c r="I119" s="19" t="s">
        <v>141</v>
      </c>
      <c r="J119" s="25">
        <f>(IF(D111&gt;3,(H111/(D111+2)+J118),0))</f>
        <v>0</v>
      </c>
    </row>
    <row r="120" spans="1:10" ht="21" x14ac:dyDescent="0.35">
      <c r="A120" s="110" t="s">
        <v>140</v>
      </c>
      <c r="B120" s="110"/>
      <c r="C120" s="29">
        <v>0</v>
      </c>
      <c r="D120" s="4">
        <f ca="1">((100/(H111))*C120)/100</f>
        <v>0</v>
      </c>
      <c r="E120" s="113"/>
      <c r="F120" s="114"/>
      <c r="G120" s="110"/>
      <c r="H120" s="110"/>
      <c r="I120" s="19" t="s">
        <v>142</v>
      </c>
      <c r="J120" s="24">
        <f>(IF(D111&gt;4,(H111/(D111+2)+J119),0))</f>
        <v>0</v>
      </c>
    </row>
    <row r="121" spans="1:10" ht="21" customHeight="1" x14ac:dyDescent="0.35">
      <c r="A121" s="110" t="s">
        <v>168</v>
      </c>
      <c r="B121" s="110"/>
      <c r="C121" s="29">
        <v>0</v>
      </c>
      <c r="D121" s="4">
        <f ca="1">((100/H111)*C121)/100</f>
        <v>0</v>
      </c>
      <c r="E121" s="113"/>
      <c r="F121" s="114"/>
      <c r="G121" s="110"/>
      <c r="H121" s="110"/>
      <c r="I121" s="19" t="s">
        <v>128</v>
      </c>
      <c r="J121" s="24">
        <f ca="1">(IF(D111=1,(H111/(D111+3)+J116),IF(D111=0,(H111*0.3+J116),IF(D111&gt;1,0))))</f>
        <v>15.4</v>
      </c>
    </row>
    <row r="122" spans="1:10" ht="21.75" thickBot="1" x14ac:dyDescent="0.4">
      <c r="A122" s="110" t="s">
        <v>167</v>
      </c>
      <c r="B122" s="110"/>
      <c r="C122" s="29">
        <v>0</v>
      </c>
      <c r="D122" s="4">
        <f ca="1">((100/H111)*C122)/100</f>
        <v>0</v>
      </c>
      <c r="E122" s="113"/>
      <c r="F122" s="114"/>
      <c r="G122" s="110"/>
      <c r="H122" s="110"/>
      <c r="I122" s="21" t="s">
        <v>129</v>
      </c>
      <c r="J122" s="26">
        <f ca="1">(IF(D111&gt;1.5,(H111/(D111+2)+J116+MAX(0,J117-J116)+MAX(0,J118-J117)+MAX(0,J119-J118)+MAX(0,J120-J119)+MAX(0,J121-J120)),IF(D111=1,(H111/(D111+3)+J121),IF(D111=0,H111*0.3+J121))))</f>
        <v>22</v>
      </c>
    </row>
    <row r="123" spans="1:10" ht="20.25" x14ac:dyDescent="0.25">
      <c r="A123" s="110" t="s">
        <v>143</v>
      </c>
      <c r="B123" s="110"/>
      <c r="C123" s="29">
        <v>0</v>
      </c>
      <c r="D123" s="4">
        <f ca="1">((100/(H111))*C123)/100</f>
        <v>0</v>
      </c>
      <c r="E123" s="113"/>
      <c r="F123" s="114"/>
      <c r="G123" s="110"/>
      <c r="H123" s="110"/>
    </row>
    <row r="124" spans="1:10" ht="20.25" x14ac:dyDescent="0.25">
      <c r="A124" s="110" t="s">
        <v>144</v>
      </c>
      <c r="B124" s="110"/>
      <c r="C124" s="29">
        <v>0</v>
      </c>
      <c r="D124" s="4">
        <f ca="1">((100/(H111))*C124)/100</f>
        <v>0</v>
      </c>
      <c r="E124" s="115"/>
      <c r="F124" s="116"/>
      <c r="G124" s="110"/>
      <c r="H124" s="110"/>
    </row>
    <row r="125" spans="1:10" ht="21" thickBot="1" x14ac:dyDescent="0.3">
      <c r="A125" s="92" t="s">
        <v>69</v>
      </c>
      <c r="B125" s="92"/>
      <c r="C125" s="92"/>
      <c r="D125" s="92"/>
      <c r="E125" s="92"/>
      <c r="F125" s="92"/>
      <c r="G125" s="92"/>
      <c r="H125" s="92"/>
    </row>
    <row r="126" spans="1:10" ht="20.25" customHeight="1" x14ac:dyDescent="0.3">
      <c r="A126" s="107" t="str">
        <f>CONCATENATE((IF(OR(A50="",A50="NA"),"",A50)),"= ",(IF(OR(D50="",D50="NA"),"",D50)),".")</f>
        <v>Phse II Wing E= G + 1st to 22nd Floor.</v>
      </c>
      <c r="B126" s="107"/>
      <c r="C126" s="107"/>
      <c r="D126" s="29" t="s">
        <v>117</v>
      </c>
      <c r="E126" s="108" t="s">
        <v>104</v>
      </c>
      <c r="F126" s="108"/>
      <c r="G126" s="29" t="s">
        <v>118</v>
      </c>
      <c r="H126" s="29" t="s">
        <v>119</v>
      </c>
      <c r="I126" s="15" t="str">
        <f ca="1">(IF(E129&gt;99%,"All work completed. Please provide OC.",IF(E129&gt;89.8%,"Plinth, RCC, Brick, Plaster, Flooring, Wooden, Plumbing, Electrification, etc., work Completed. Finishing work is in process.",IF(E129&lt;94%,(IF(C129=0,"Work not yet Started.",IF(D129=25%,"Piling work in process",IF(D129=50%,"Excavation work in process",IF(D129=100%,"Excavation work Completed. ","0")))&amp;(IF(C130=0%,"",IF(C130=J131,"Footing work is process",IF(C130=J132,"Footing work Completed",IF(C130=J133,"1st Basement Completed",IF(C130=J134,"1st &amp; 2nd Basement Completed",IF(C130=J135,"1st to 3rd Basement Completed",IF(C130=J136,"1st to 4th Basement Completed",IF(C130=J137,"Plinth work is process",IF(C130=J138,"Plinth work completed","0")))))))))))&amp;(IF(C131=(E127+G127+H127),", RCC Slab",IF(C131&gt;0,", RCC upto "&amp;C131&amp;" Slab",""))&amp;(IF(C132=H127,", Brickwork",IF(C132&gt;0,", Brickwork upto "&amp;C132&amp;" Floor",""))&amp;(IF(C133=H127,", Internal Plaster",IF(C133&gt;0,", Internal Plaster upto "&amp;C133&amp;" Floor",""))&amp;(IF(C134=H127,", External Plaster",IF(C134&gt;0,", External Plaster upto "&amp;C134&amp;" Floor",""))&amp;(IF(C135=H127,", External Plumbing, Elevation and Waterproofing",IF(C135&gt;0,", External Plumbing, Elevation and Waterproofing upto "&amp;C135&amp;" Floor",""))&amp;(IF(C136=H127,", Flooring &amp; Fitting",IF(C136&gt;0,", Flooring &amp; Fitting upto "&amp;C136&amp;" Floor",""))&amp;(IF(C137=H127,", Wooden Work",IF(C137&gt;0,", Wooden Work upto "&amp;C137&amp;" Floor",""))&amp;(IF(C138=H127,", Electrical &amp; Sanitary fittings",IF(C138&gt;0,", Electrical &amp; Sanitary fittings upto "&amp;C138&amp;" Floor",""))&amp;(IF(C139&gt;0,", Finishing upto "&amp;C139&amp;" Floor","")&amp;(IF(C131&gt;0.5," Completed",""))))))))))))))))</f>
        <v>Excavation work Completed. Plinth work completed</v>
      </c>
      <c r="J126" s="17"/>
    </row>
    <row r="127" spans="1:10" ht="20.25" x14ac:dyDescent="0.3">
      <c r="A127" s="107"/>
      <c r="B127" s="107"/>
      <c r="C127" s="107"/>
      <c r="D127" s="29">
        <f>IF(AND(ISNUMBER(SEARCH("1B",A126))),1,IF(AND(ISNUMBER(SEARCH("2B",A126))),2,IF(AND(ISNUMBER(SEARCH("3B",A126))),3,IF(AND(ISNUMBER(SEARCH("4B",A126))),4,IF(ISNUMBER(SEARCH("5B",A126)),5,0)))))</f>
        <v>0</v>
      </c>
      <c r="E127" s="108">
        <v>1</v>
      </c>
      <c r="F127" s="108"/>
      <c r="G127" s="29">
        <v>0</v>
      </c>
      <c r="H127" s="29">
        <f ca="1">--TRIM(RIGHT(SUBSTITUTE(LEFT(A126,_xlfn.AGGREGATE(16,6,FIND({0,1,2,3,4,5,6,7,8,9},A126,ROW(INDIRECT("1:"&amp;LEN(A126)))),1))," ",REPT(" ",LEN(A126))),LEN(A126)))</f>
        <v>22</v>
      </c>
      <c r="I127" s="16" t="s">
        <v>123</v>
      </c>
      <c r="J127" s="17"/>
    </row>
    <row r="128" spans="1:10" ht="20.25" customHeight="1" x14ac:dyDescent="0.3">
      <c r="A128" s="109" t="s">
        <v>121</v>
      </c>
      <c r="B128" s="109"/>
      <c r="C128" s="27" t="s">
        <v>131</v>
      </c>
      <c r="D128" s="27" t="s">
        <v>132</v>
      </c>
      <c r="E128" s="109" t="s">
        <v>122</v>
      </c>
      <c r="F128" s="109"/>
      <c r="G128" s="28" t="s">
        <v>120</v>
      </c>
      <c r="H128" s="28"/>
      <c r="I128" s="19" t="s">
        <v>133</v>
      </c>
      <c r="J128" s="18">
        <f ca="1">H127*25%</f>
        <v>5.5</v>
      </c>
    </row>
    <row r="129" spans="1:11" ht="20.25" customHeight="1" x14ac:dyDescent="0.3">
      <c r="A129" s="110" t="s">
        <v>134</v>
      </c>
      <c r="B129" s="110"/>
      <c r="C129" s="29">
        <f ca="1">J130</f>
        <v>22</v>
      </c>
      <c r="D129" s="4">
        <f ca="1">((100/H127)*C129)/100</f>
        <v>1.0000000000000002</v>
      </c>
      <c r="E129" s="111">
        <f ca="1">(((C129/H127*10)+(C130/H127*15)+(25/(E127+G127+H127)*C131)+(5/(H127)*C132)+(2.5/(H127)*C133)+(2.5/(H127)*C134)+(5/H127*C135)+(10/H127*C136)+(2.5/H127*C137)+(2.5/H127*C138)+(10/H127*C139)+(10/H127*C140))/100)</f>
        <v>0.25</v>
      </c>
      <c r="F129" s="112"/>
      <c r="G129" s="110" t="str">
        <f ca="1">I126</f>
        <v>Excavation work Completed. Plinth work completed</v>
      </c>
      <c r="H129" s="110"/>
      <c r="I129" s="19" t="s">
        <v>124</v>
      </c>
      <c r="J129" s="23">
        <f ca="1">H127*50%</f>
        <v>11</v>
      </c>
    </row>
    <row r="130" spans="1:11" ht="20.25" x14ac:dyDescent="0.3">
      <c r="A130" s="110" t="s">
        <v>105</v>
      </c>
      <c r="B130" s="110"/>
      <c r="C130" s="72">
        <f ca="1">J138</f>
        <v>22</v>
      </c>
      <c r="D130" s="4">
        <f ca="1">((100/H127)*C130)/100</f>
        <v>1.0000000000000002</v>
      </c>
      <c r="E130" s="113"/>
      <c r="F130" s="114"/>
      <c r="G130" s="110"/>
      <c r="H130" s="110"/>
      <c r="I130" s="19" t="s">
        <v>125</v>
      </c>
      <c r="J130" s="23">
        <f ca="1">H127</f>
        <v>22</v>
      </c>
    </row>
    <row r="131" spans="1:11" ht="21" customHeight="1" x14ac:dyDescent="0.35">
      <c r="A131" s="110" t="s">
        <v>135</v>
      </c>
      <c r="B131" s="110"/>
      <c r="C131" s="29">
        <v>0</v>
      </c>
      <c r="D131" s="4">
        <f ca="1">((100/(E127+G127+H127))*C131)/100</f>
        <v>0</v>
      </c>
      <c r="E131" s="113"/>
      <c r="F131" s="114"/>
      <c r="G131" s="110"/>
      <c r="H131" s="110"/>
      <c r="I131" s="19" t="s">
        <v>126</v>
      </c>
      <c r="J131" s="24">
        <f ca="1">(IF(D127&gt;1,(H127/(D127+2)),H127*0.2))</f>
        <v>4.4000000000000004</v>
      </c>
    </row>
    <row r="132" spans="1:11" ht="21" customHeight="1" x14ac:dyDescent="0.35">
      <c r="A132" s="110" t="s">
        <v>136</v>
      </c>
      <c r="B132" s="110"/>
      <c r="C132" s="29">
        <v>0</v>
      </c>
      <c r="D132" s="4">
        <f ca="1">((100/H127)*C132)/100</f>
        <v>0</v>
      </c>
      <c r="E132" s="113"/>
      <c r="F132" s="114"/>
      <c r="G132" s="110"/>
      <c r="H132" s="110"/>
      <c r="I132" s="19" t="s">
        <v>127</v>
      </c>
      <c r="J132" s="24">
        <f ca="1">(IF(D127&gt;1,(H127/(D127+2)+J131),H127*0.2+J131))</f>
        <v>8.8000000000000007</v>
      </c>
    </row>
    <row r="133" spans="1:11" ht="21" customHeight="1" x14ac:dyDescent="0.35">
      <c r="A133" s="117" t="s">
        <v>137</v>
      </c>
      <c r="B133" s="118"/>
      <c r="C133" s="29">
        <v>0</v>
      </c>
      <c r="D133" s="4">
        <f ca="1">((100/H127)*C133)/100</f>
        <v>0</v>
      </c>
      <c r="E133" s="113"/>
      <c r="F133" s="114"/>
      <c r="G133" s="110"/>
      <c r="H133" s="110"/>
      <c r="I133" s="19" t="s">
        <v>138</v>
      </c>
      <c r="J133" s="24">
        <f>(IF(D127&gt;1,(H127/(D127+2)+J132),0))</f>
        <v>0</v>
      </c>
    </row>
    <row r="134" spans="1:11" ht="21" customHeight="1" x14ac:dyDescent="0.35">
      <c r="A134" s="117" t="s">
        <v>169</v>
      </c>
      <c r="B134" s="118"/>
      <c r="C134" s="29">
        <v>0</v>
      </c>
      <c r="D134" s="4">
        <f ca="1">((100/H127)*C134)/100</f>
        <v>0</v>
      </c>
      <c r="E134" s="113"/>
      <c r="F134" s="114"/>
      <c r="G134" s="110"/>
      <c r="H134" s="110"/>
      <c r="I134" s="19" t="s">
        <v>139</v>
      </c>
      <c r="J134" s="24">
        <f>(IF(D127&gt;2,(H127/(D127+2)+J133),0))</f>
        <v>0</v>
      </c>
    </row>
    <row r="135" spans="1:11" ht="57.75" customHeight="1" x14ac:dyDescent="0.35">
      <c r="A135" s="117" t="s">
        <v>166</v>
      </c>
      <c r="B135" s="118"/>
      <c r="C135" s="29">
        <v>0</v>
      </c>
      <c r="D135" s="4">
        <f ca="1">((100/(H127))*C135)/100</f>
        <v>0</v>
      </c>
      <c r="E135" s="113"/>
      <c r="F135" s="114"/>
      <c r="G135" s="110"/>
      <c r="H135" s="110"/>
      <c r="I135" s="19" t="s">
        <v>141</v>
      </c>
      <c r="J135" s="25">
        <f>(IF(D127&gt;3,(H127/(D127+2)+J134),0))</f>
        <v>0</v>
      </c>
    </row>
    <row r="136" spans="1:11" ht="21" x14ac:dyDescent="0.35">
      <c r="A136" s="110" t="s">
        <v>140</v>
      </c>
      <c r="B136" s="110"/>
      <c r="C136" s="29">
        <v>0</v>
      </c>
      <c r="D136" s="4">
        <f ca="1">((100/(H127))*C136)/100</f>
        <v>0</v>
      </c>
      <c r="E136" s="113"/>
      <c r="F136" s="114"/>
      <c r="G136" s="110"/>
      <c r="H136" s="110"/>
      <c r="I136" s="19" t="s">
        <v>142</v>
      </c>
      <c r="J136" s="24">
        <f>(IF(D127&gt;4,(H127/(D127+2)+J135),0))</f>
        <v>0</v>
      </c>
    </row>
    <row r="137" spans="1:11" ht="21" customHeight="1" x14ac:dyDescent="0.35">
      <c r="A137" s="110" t="s">
        <v>168</v>
      </c>
      <c r="B137" s="110"/>
      <c r="C137" s="29">
        <v>0</v>
      </c>
      <c r="D137" s="4">
        <f ca="1">((100/H127)*C137)/100</f>
        <v>0</v>
      </c>
      <c r="E137" s="113"/>
      <c r="F137" s="114"/>
      <c r="G137" s="110"/>
      <c r="H137" s="110"/>
      <c r="I137" s="19" t="s">
        <v>128</v>
      </c>
      <c r="J137" s="24">
        <f ca="1">(IF(D127=1,(H127/(D127+3)+J132),IF(D127=0,(H127*0.3+J132),IF(D127&gt;1,0))))</f>
        <v>15.4</v>
      </c>
    </row>
    <row r="138" spans="1:11" ht="21.75" thickBot="1" x14ac:dyDescent="0.4">
      <c r="A138" s="110" t="s">
        <v>167</v>
      </c>
      <c r="B138" s="110"/>
      <c r="C138" s="29">
        <v>0</v>
      </c>
      <c r="D138" s="4">
        <f ca="1">((100/H127)*C138)/100</f>
        <v>0</v>
      </c>
      <c r="E138" s="113"/>
      <c r="F138" s="114"/>
      <c r="G138" s="110"/>
      <c r="H138" s="110"/>
      <c r="I138" s="21" t="s">
        <v>129</v>
      </c>
      <c r="J138" s="26">
        <f ca="1">(IF(D127&gt;1.5,(H127/(D127+2)+J132+MAX(0,J133-J132)+MAX(0,J134-J133)+MAX(0,J135-J134)+MAX(0,J136-J135)+MAX(0,J137-J136)),IF(D127=1,(H127/(D127+3)+J137),IF(D127=0,H127*0.3+J137))))</f>
        <v>22</v>
      </c>
    </row>
    <row r="139" spans="1:11" ht="20.25" x14ac:dyDescent="0.25">
      <c r="A139" s="110" t="s">
        <v>143</v>
      </c>
      <c r="B139" s="110"/>
      <c r="C139" s="29">
        <v>0</v>
      </c>
      <c r="D139" s="4">
        <f ca="1">((100/(H127))*C139)/100</f>
        <v>0</v>
      </c>
      <c r="E139" s="113"/>
      <c r="F139" s="114"/>
      <c r="G139" s="110"/>
      <c r="H139" s="110"/>
    </row>
    <row r="140" spans="1:11" ht="20.25" x14ac:dyDescent="0.25">
      <c r="A140" s="110" t="s">
        <v>144</v>
      </c>
      <c r="B140" s="110"/>
      <c r="C140" s="29">
        <v>0</v>
      </c>
      <c r="D140" s="4">
        <f ca="1">((100/(H127))*C140)/100</f>
        <v>0</v>
      </c>
      <c r="E140" s="115"/>
      <c r="F140" s="116"/>
      <c r="G140" s="110"/>
      <c r="H140" s="110"/>
    </row>
    <row r="141" spans="1:11" ht="36.75" customHeight="1" x14ac:dyDescent="0.3">
      <c r="A141" s="130" t="s">
        <v>130</v>
      </c>
      <c r="B141" s="131"/>
      <c r="C141" s="131"/>
      <c r="D141" s="131"/>
      <c r="E141" s="131"/>
      <c r="F141" s="131"/>
      <c r="G141" s="170">
        <f ca="1">AVERAGE(E65,E81,E97,E113,E129)</f>
        <v>0.64769592476489035</v>
      </c>
      <c r="H141" s="171"/>
      <c r="I141" s="19"/>
      <c r="J141" s="20"/>
      <c r="K141" s="20"/>
    </row>
    <row r="142" spans="1:11" ht="20.25" x14ac:dyDescent="0.25">
      <c r="A142" s="124" t="s">
        <v>73</v>
      </c>
      <c r="B142" s="125"/>
      <c r="C142" s="125"/>
      <c r="D142" s="125"/>
      <c r="E142" s="125"/>
      <c r="F142" s="125"/>
      <c r="G142" s="125"/>
      <c r="H142" s="126"/>
    </row>
    <row r="143" spans="1:11" ht="54.75" customHeight="1" x14ac:dyDescent="0.25">
      <c r="A143" s="119" t="s">
        <v>74</v>
      </c>
      <c r="B143" s="120"/>
      <c r="C143" s="121" t="s">
        <v>109</v>
      </c>
      <c r="D143" s="122"/>
      <c r="E143" s="119" t="s">
        <v>145</v>
      </c>
      <c r="F143" s="120" t="s">
        <v>4</v>
      </c>
      <c r="G143" s="127" t="s">
        <v>158</v>
      </c>
      <c r="H143" s="127"/>
    </row>
    <row r="144" spans="1:11" ht="44.25" customHeight="1" x14ac:dyDescent="0.25">
      <c r="A144" s="119" t="s">
        <v>155</v>
      </c>
      <c r="B144" s="120"/>
      <c r="C144" s="121" t="s">
        <v>381</v>
      </c>
      <c r="D144" s="122"/>
      <c r="E144" s="119" t="s">
        <v>156</v>
      </c>
      <c r="F144" s="120" t="s">
        <v>4</v>
      </c>
      <c r="G144" s="129" t="s">
        <v>146</v>
      </c>
      <c r="H144" s="129"/>
    </row>
    <row r="145" spans="1:150 16226:16383" ht="20.25" x14ac:dyDescent="0.25">
      <c r="A145" s="119" t="s">
        <v>75</v>
      </c>
      <c r="B145" s="120"/>
      <c r="C145" s="81">
        <v>400000</v>
      </c>
      <c r="D145" s="83"/>
      <c r="E145" s="119" t="s">
        <v>103</v>
      </c>
      <c r="F145" s="120" t="s">
        <v>4</v>
      </c>
      <c r="G145" s="121" t="s">
        <v>110</v>
      </c>
      <c r="H145" s="122"/>
    </row>
    <row r="146" spans="1:150 16226:16383" ht="20.25" x14ac:dyDescent="0.25">
      <c r="A146" s="124" t="s">
        <v>72</v>
      </c>
      <c r="B146" s="125"/>
      <c r="C146" s="125"/>
      <c r="D146" s="125"/>
      <c r="E146" s="125"/>
      <c r="F146" s="125"/>
      <c r="G146" s="125"/>
      <c r="H146" s="126"/>
    </row>
    <row r="147" spans="1:150 16226:16383" ht="20.25" customHeight="1" x14ac:dyDescent="0.25">
      <c r="A147" s="119" t="s">
        <v>8</v>
      </c>
      <c r="B147" s="123"/>
      <c r="C147" s="123"/>
      <c r="D147" s="123"/>
      <c r="E147" s="123"/>
      <c r="F147" s="120"/>
      <c r="G147" s="165">
        <f>6500/10.764</f>
        <v>603.86473429951695</v>
      </c>
      <c r="H147" s="166"/>
    </row>
    <row r="148" spans="1:150 16226:16383" ht="20.25" customHeight="1" x14ac:dyDescent="0.25">
      <c r="A148" s="119" t="s">
        <v>28</v>
      </c>
      <c r="B148" s="123"/>
      <c r="C148" s="123"/>
      <c r="D148" s="123"/>
      <c r="E148" s="123"/>
      <c r="F148" s="120" t="s">
        <v>4</v>
      </c>
      <c r="G148" s="128">
        <f>58800/10.764</f>
        <v>5462.6532887402454</v>
      </c>
      <c r="H148" s="128"/>
    </row>
    <row r="149" spans="1:150 16226:16383" ht="20.25" customHeight="1" x14ac:dyDescent="0.25">
      <c r="A149" s="119" t="s">
        <v>111</v>
      </c>
      <c r="B149" s="123"/>
      <c r="C149" s="123"/>
      <c r="D149" s="123"/>
      <c r="E149" s="123"/>
      <c r="F149" s="120" t="s">
        <v>4</v>
      </c>
      <c r="G149" s="128">
        <f>G147*0.8</f>
        <v>483.0917874396136</v>
      </c>
      <c r="H149" s="128"/>
    </row>
    <row r="150" spans="1:150 16226:16383" ht="20.25" x14ac:dyDescent="0.25">
      <c r="A150" s="160" t="s">
        <v>244</v>
      </c>
      <c r="B150" s="161"/>
      <c r="C150" s="161"/>
      <c r="D150" s="161"/>
      <c r="E150" s="161"/>
      <c r="F150" s="161"/>
      <c r="G150" s="161"/>
      <c r="H150" s="104"/>
    </row>
    <row r="151" spans="1:150 16226:16383" s="2" customFormat="1" ht="20.25" x14ac:dyDescent="0.25">
      <c r="A151" s="143" t="s">
        <v>152</v>
      </c>
      <c r="B151" s="144"/>
      <c r="C151" s="143" t="s">
        <v>153</v>
      </c>
      <c r="D151" s="144"/>
      <c r="E151" s="143" t="s">
        <v>151</v>
      </c>
      <c r="F151" s="144"/>
      <c r="G151" s="143" t="s">
        <v>164</v>
      </c>
      <c r="H151" s="14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2" customFormat="1" ht="20.25" x14ac:dyDescent="0.25">
      <c r="A152" s="105" t="s">
        <v>333</v>
      </c>
      <c r="B152" s="106"/>
      <c r="C152" s="105" t="s">
        <v>89</v>
      </c>
      <c r="D152" s="106"/>
      <c r="E152" s="105">
        <f>COUNT(E168:E179)</f>
        <v>12</v>
      </c>
      <c r="F152" s="106"/>
      <c r="G152" s="105">
        <f>SUM(H168:H179)</f>
        <v>3880.5296399999993</v>
      </c>
      <c r="H152" s="106"/>
      <c r="I152" s="75"/>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2" customFormat="1" ht="20.25" x14ac:dyDescent="0.25">
      <c r="A153" s="143" t="s">
        <v>154</v>
      </c>
      <c r="B153" s="144"/>
      <c r="C153" s="143" t="s">
        <v>96</v>
      </c>
      <c r="D153" s="144"/>
      <c r="E153" s="143">
        <f>SUM(E152)</f>
        <v>12</v>
      </c>
      <c r="F153" s="144"/>
      <c r="G153" s="143">
        <f>SUM(G152)</f>
        <v>3880.5296399999993</v>
      </c>
      <c r="H153" s="14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ht="20.25" x14ac:dyDescent="0.25">
      <c r="A154" s="160" t="s">
        <v>232</v>
      </c>
      <c r="B154" s="161"/>
      <c r="C154" s="161"/>
      <c r="D154" s="161"/>
      <c r="E154" s="161"/>
      <c r="F154" s="161"/>
      <c r="G154" s="161"/>
      <c r="H154" s="104"/>
    </row>
    <row r="155" spans="1:150 16226:16383" s="2" customFormat="1" ht="20.25" x14ac:dyDescent="0.25">
      <c r="A155" s="143" t="s">
        <v>152</v>
      </c>
      <c r="B155" s="144"/>
      <c r="C155" s="143" t="s">
        <v>153</v>
      </c>
      <c r="D155" s="144"/>
      <c r="E155" s="143" t="s">
        <v>151</v>
      </c>
      <c r="F155" s="144"/>
      <c r="G155" s="143" t="s">
        <v>164</v>
      </c>
      <c r="H155" s="14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2" customFormat="1" ht="20.25" x14ac:dyDescent="0.25">
      <c r="A156" s="105" t="s">
        <v>323</v>
      </c>
      <c r="B156" s="106"/>
      <c r="C156" s="105" t="s">
        <v>89</v>
      </c>
      <c r="D156" s="106"/>
      <c r="E156" s="105">
        <f>COUNT(E183:E186)*2+COUNT(E190:E193)+COUNT(E197:E202)*21+COUNT(E204,E206:E209)*5</f>
        <v>163</v>
      </c>
      <c r="F156" s="106"/>
      <c r="G156" s="105">
        <f>SUM(H183:H186)*2+SUM(H190:H193)+SUM(H197:H202)*21+SUM(H204,H206:H209)*5</f>
        <v>114829.22177999999</v>
      </c>
      <c r="H156" s="106"/>
      <c r="I156" s="75"/>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2" customFormat="1" ht="20.25" x14ac:dyDescent="0.25">
      <c r="A157" s="105" t="s">
        <v>324</v>
      </c>
      <c r="B157" s="106"/>
      <c r="C157" s="105" t="s">
        <v>89</v>
      </c>
      <c r="D157" s="106"/>
      <c r="E157" s="105">
        <f>COUNT(E215:E218)*3+COUNT(E220:E227)*16+COUNT(E229:E232,E234:E236)*3</f>
        <v>161</v>
      </c>
      <c r="F157" s="106"/>
      <c r="G157" s="105">
        <f>SUM(H215:H218)*3+SUM(H220:H227)*16+SUM(H229:H232,H234:H236)*3</f>
        <v>89746.453836000001</v>
      </c>
      <c r="H157" s="106"/>
      <c r="I157" s="75"/>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2" customFormat="1" ht="20.25" x14ac:dyDescent="0.25">
      <c r="A158" s="105" t="s">
        <v>325</v>
      </c>
      <c r="B158" s="106"/>
      <c r="C158" s="105" t="s">
        <v>89</v>
      </c>
      <c r="D158" s="106"/>
      <c r="E158" s="105">
        <f>COUNT(E243:E246)*3+COUNT(E248:E255)*16+COUNT(E257:E260,E262:E264)*3</f>
        <v>161</v>
      </c>
      <c r="F158" s="106"/>
      <c r="G158" s="105">
        <f>SUM(H243:H246)*3+SUM(H248:H255)*16+SUM(H257:H260,H262:H264)*3</f>
        <v>89746.453836000001</v>
      </c>
      <c r="H158" s="106"/>
      <c r="I158" s="75"/>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2" customFormat="1" ht="20.25" x14ac:dyDescent="0.25">
      <c r="A159" s="105" t="s">
        <v>326</v>
      </c>
      <c r="B159" s="106"/>
      <c r="C159" s="105" t="s">
        <v>89</v>
      </c>
      <c r="D159" s="106"/>
      <c r="E159" s="105">
        <f>COUNT(E272:E275)*2+COUNT(E280:E283)+COUNT(E285:E292)*16+COUNT(E294:E297,E299:E301)*3</f>
        <v>161</v>
      </c>
      <c r="F159" s="106"/>
      <c r="G159" s="105">
        <f>SUM(H272:H275)*2+SUM(H280:H283)+SUM(H285:H292)*16+SUM(H294:H297,H299:H301)*3</f>
        <v>89630.202636000002</v>
      </c>
      <c r="H159" s="106"/>
      <c r="I159" s="75"/>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2" customFormat="1" ht="20.25" x14ac:dyDescent="0.25">
      <c r="A160" s="105" t="s">
        <v>327</v>
      </c>
      <c r="B160" s="106"/>
      <c r="C160" s="105" t="s">
        <v>89</v>
      </c>
      <c r="D160" s="106"/>
      <c r="E160" s="105">
        <f>COUNT(E308:E311)*3+COUNT(E313:E320)*16+COUNT(E322:E325,E327:E329)*3</f>
        <v>161</v>
      </c>
      <c r="F160" s="106"/>
      <c r="G160" s="105">
        <f>SUM(H308:H311)*3+SUM(H313:H320)*16+SUM(H322:H325,H327:H329)*3</f>
        <v>89746.453836000001</v>
      </c>
      <c r="H160" s="106"/>
      <c r="I160" s="75"/>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2" customFormat="1" ht="20.25" x14ac:dyDescent="0.25">
      <c r="A161" s="143" t="s">
        <v>154</v>
      </c>
      <c r="B161" s="144"/>
      <c r="C161" s="143" t="s">
        <v>96</v>
      </c>
      <c r="D161" s="144"/>
      <c r="E161" s="143">
        <f>SUM(E156:E160)</f>
        <v>807</v>
      </c>
      <c r="F161" s="144"/>
      <c r="G161" s="143">
        <f>SUM(G156:G160)</f>
        <v>473698.78592400003</v>
      </c>
      <c r="H161" s="144"/>
      <c r="I161" s="79">
        <f>E161+161</f>
        <v>968</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2" customFormat="1" ht="20.25" x14ac:dyDescent="0.25">
      <c r="A162" s="143" t="s">
        <v>245</v>
      </c>
      <c r="B162" s="144"/>
      <c r="C162" s="143" t="s">
        <v>96</v>
      </c>
      <c r="D162" s="144"/>
      <c r="E162" s="143">
        <f>SUM(E153,E161)</f>
        <v>819</v>
      </c>
      <c r="F162" s="144"/>
      <c r="G162" s="143">
        <f>SUM(G153,G161)</f>
        <v>477579.31556400005</v>
      </c>
      <c r="H162" s="14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ht="20.25" x14ac:dyDescent="0.25">
      <c r="A163" s="102" t="s">
        <v>150</v>
      </c>
      <c r="B163" s="103"/>
      <c r="C163" s="103"/>
      <c r="D163" s="103"/>
      <c r="E163" s="103"/>
      <c r="F163" s="103"/>
      <c r="G163" s="103"/>
      <c r="H163" s="104"/>
    </row>
    <row r="164" spans="1:150 16226:16383" ht="66" customHeight="1" x14ac:dyDescent="0.25">
      <c r="A164" s="51" t="s">
        <v>233</v>
      </c>
      <c r="B164" s="30" t="s">
        <v>234</v>
      </c>
      <c r="C164" s="31" t="s">
        <v>235</v>
      </c>
      <c r="D164" s="30" t="s">
        <v>90</v>
      </c>
      <c r="E164" s="30" t="s">
        <v>165</v>
      </c>
      <c r="F164" s="31" t="s">
        <v>358</v>
      </c>
      <c r="G164" s="30" t="s">
        <v>92</v>
      </c>
      <c r="H164" s="30" t="s">
        <v>91</v>
      </c>
    </row>
    <row r="165" spans="1:150 16226:16383" s="2" customFormat="1" ht="20.25" x14ac:dyDescent="0.25">
      <c r="A165" s="167" t="s">
        <v>364</v>
      </c>
      <c r="B165" s="168"/>
      <c r="C165" s="168"/>
      <c r="D165" s="168"/>
      <c r="E165" s="168"/>
      <c r="F165" s="168"/>
      <c r="G165" s="168"/>
      <c r="H165" s="16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2" customFormat="1" ht="20.25" x14ac:dyDescent="0.25">
      <c r="A166" s="167" t="s">
        <v>333</v>
      </c>
      <c r="B166" s="168"/>
      <c r="C166" s="168"/>
      <c r="D166" s="168"/>
      <c r="E166" s="168"/>
      <c r="F166" s="168"/>
      <c r="G166" s="168"/>
      <c r="H166" s="16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2" customFormat="1" ht="20.25" x14ac:dyDescent="0.25">
      <c r="A167" s="167" t="s">
        <v>334</v>
      </c>
      <c r="B167" s="168"/>
      <c r="C167" s="168"/>
      <c r="D167" s="168"/>
      <c r="E167" s="168"/>
      <c r="F167" s="168"/>
      <c r="G167" s="168"/>
      <c r="H167" s="16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2" customFormat="1" ht="20.25" x14ac:dyDescent="0.25">
      <c r="A168" s="84">
        <v>1</v>
      </c>
      <c r="B168" s="84"/>
      <c r="C168" s="52" t="s">
        <v>89</v>
      </c>
      <c r="D168" s="5" t="s">
        <v>336</v>
      </c>
      <c r="E168" s="5">
        <f>(3.05*9.85)*10.764</f>
        <v>323.37746999999996</v>
      </c>
      <c r="F168" s="5">
        <v>0</v>
      </c>
      <c r="G168" s="5">
        <v>0</v>
      </c>
      <c r="H168" s="5">
        <f>E168+F168+(IF(G168&lt;101,G168,IF(G168&lt;201,G168/2,IF(G168&lt;=301,G168/3,G168/4))))</f>
        <v>323.37746999999996</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2" customFormat="1" ht="20.25" x14ac:dyDescent="0.25">
      <c r="A169" s="162">
        <f>A168+1</f>
        <v>2</v>
      </c>
      <c r="B169" s="163"/>
      <c r="C169" s="52" t="s">
        <v>89</v>
      </c>
      <c r="D169" s="5" t="s">
        <v>336</v>
      </c>
      <c r="E169" s="5">
        <f t="shared" ref="E169:E179" si="0">(3.05*9.85)*10.764</f>
        <v>323.37746999999996</v>
      </c>
      <c r="F169" s="5">
        <v>0</v>
      </c>
      <c r="G169" s="5">
        <v>0</v>
      </c>
      <c r="H169" s="5">
        <f t="shared" ref="H169:H175" si="1">E169+F169+(IF(G169&lt;101,G169,IF(G169&lt;201,G169/2,IF(G169&lt;=301,G169/3,G169/4))))</f>
        <v>323.37746999999996</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2" customFormat="1" ht="20.25" x14ac:dyDescent="0.25">
      <c r="A170" s="162">
        <f t="shared" ref="A170:A179" si="2">A169+1</f>
        <v>3</v>
      </c>
      <c r="B170" s="163"/>
      <c r="C170" s="52" t="s">
        <v>89</v>
      </c>
      <c r="D170" s="5" t="s">
        <v>336</v>
      </c>
      <c r="E170" s="5">
        <f t="shared" si="0"/>
        <v>323.37746999999996</v>
      </c>
      <c r="F170" s="5">
        <v>0</v>
      </c>
      <c r="G170" s="5">
        <v>0</v>
      </c>
      <c r="H170" s="5">
        <f t="shared" si="1"/>
        <v>323.37746999999996</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2" customFormat="1" ht="20.25" customHeight="1" x14ac:dyDescent="0.25">
      <c r="A171" s="162">
        <f t="shared" si="2"/>
        <v>4</v>
      </c>
      <c r="B171" s="163"/>
      <c r="C171" s="52" t="s">
        <v>89</v>
      </c>
      <c r="D171" s="5" t="s">
        <v>336</v>
      </c>
      <c r="E171" s="5">
        <f t="shared" si="0"/>
        <v>323.37746999999996</v>
      </c>
      <c r="F171" s="5">
        <v>0</v>
      </c>
      <c r="G171" s="5">
        <v>0</v>
      </c>
      <c r="H171" s="5">
        <f t="shared" si="1"/>
        <v>323.37746999999996</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2" customFormat="1" ht="20.25" customHeight="1" x14ac:dyDescent="0.25">
      <c r="A172" s="162">
        <f t="shared" si="2"/>
        <v>5</v>
      </c>
      <c r="B172" s="163"/>
      <c r="C172" s="52" t="s">
        <v>89</v>
      </c>
      <c r="D172" s="5" t="s">
        <v>336</v>
      </c>
      <c r="E172" s="5">
        <f t="shared" si="0"/>
        <v>323.37746999999996</v>
      </c>
      <c r="F172" s="5">
        <v>0</v>
      </c>
      <c r="G172" s="5">
        <v>0</v>
      </c>
      <c r="H172" s="5">
        <f t="shared" si="1"/>
        <v>323.37746999999996</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2" customFormat="1" ht="20.25" customHeight="1" x14ac:dyDescent="0.25">
      <c r="A173" s="162">
        <f t="shared" si="2"/>
        <v>6</v>
      </c>
      <c r="B173" s="163"/>
      <c r="C173" s="52" t="s">
        <v>89</v>
      </c>
      <c r="D173" s="5" t="s">
        <v>336</v>
      </c>
      <c r="E173" s="5">
        <f t="shared" si="0"/>
        <v>323.37746999999996</v>
      </c>
      <c r="F173" s="5">
        <v>0</v>
      </c>
      <c r="G173" s="5">
        <v>0</v>
      </c>
      <c r="H173" s="5">
        <f t="shared" si="1"/>
        <v>323.37746999999996</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2" customFormat="1" ht="20.25" customHeight="1" x14ac:dyDescent="0.25">
      <c r="A174" s="162">
        <f t="shared" si="2"/>
        <v>7</v>
      </c>
      <c r="B174" s="163"/>
      <c r="C174" s="52" t="s">
        <v>89</v>
      </c>
      <c r="D174" s="5" t="s">
        <v>336</v>
      </c>
      <c r="E174" s="5">
        <f t="shared" si="0"/>
        <v>323.37746999999996</v>
      </c>
      <c r="F174" s="5">
        <v>0</v>
      </c>
      <c r="G174" s="5">
        <v>0</v>
      </c>
      <c r="H174" s="5">
        <f t="shared" si="1"/>
        <v>323.37746999999996</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2" customFormat="1" ht="20.25" customHeight="1" x14ac:dyDescent="0.25">
      <c r="A175" s="162">
        <f t="shared" si="2"/>
        <v>8</v>
      </c>
      <c r="B175" s="163"/>
      <c r="C175" s="52" t="s">
        <v>89</v>
      </c>
      <c r="D175" s="5" t="s">
        <v>336</v>
      </c>
      <c r="E175" s="5">
        <f t="shared" si="0"/>
        <v>323.37746999999996</v>
      </c>
      <c r="F175" s="5">
        <v>0</v>
      </c>
      <c r="G175" s="5">
        <v>0</v>
      </c>
      <c r="H175" s="5">
        <f t="shared" si="1"/>
        <v>323.37746999999996</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2" customFormat="1" ht="20.25" customHeight="1" x14ac:dyDescent="0.25">
      <c r="A176" s="162">
        <f t="shared" si="2"/>
        <v>9</v>
      </c>
      <c r="B176" s="163"/>
      <c r="C176" s="52" t="s">
        <v>89</v>
      </c>
      <c r="D176" s="5" t="s">
        <v>336</v>
      </c>
      <c r="E176" s="5">
        <f t="shared" si="0"/>
        <v>323.37746999999996</v>
      </c>
      <c r="F176" s="5">
        <v>0</v>
      </c>
      <c r="G176" s="5">
        <v>0</v>
      </c>
      <c r="H176" s="5">
        <f t="shared" ref="H176:H179" si="3">E176+F176+(IF(G176&lt;101,G176,IF(G176&lt;201,G176/2,IF(G176&lt;=301,G176/3,G176/4))))</f>
        <v>323.37746999999996</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2" customFormat="1" ht="20.25" customHeight="1" x14ac:dyDescent="0.25">
      <c r="A177" s="162">
        <f t="shared" si="2"/>
        <v>10</v>
      </c>
      <c r="B177" s="163"/>
      <c r="C177" s="52" t="s">
        <v>89</v>
      </c>
      <c r="D177" s="5" t="s">
        <v>336</v>
      </c>
      <c r="E177" s="5">
        <f t="shared" si="0"/>
        <v>323.37746999999996</v>
      </c>
      <c r="F177" s="5">
        <v>0</v>
      </c>
      <c r="G177" s="5">
        <v>0</v>
      </c>
      <c r="H177" s="5">
        <f t="shared" si="3"/>
        <v>323.37746999999996</v>
      </c>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2" customFormat="1" ht="20.25" customHeight="1" x14ac:dyDescent="0.25">
      <c r="A178" s="162">
        <f t="shared" si="2"/>
        <v>11</v>
      </c>
      <c r="B178" s="163"/>
      <c r="C178" s="52" t="s">
        <v>89</v>
      </c>
      <c r="D178" s="5" t="s">
        <v>336</v>
      </c>
      <c r="E178" s="5">
        <f t="shared" si="0"/>
        <v>323.37746999999996</v>
      </c>
      <c r="F178" s="5">
        <v>0</v>
      </c>
      <c r="G178" s="5">
        <v>0</v>
      </c>
      <c r="H178" s="5">
        <f t="shared" si="3"/>
        <v>323.37746999999996</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2" customFormat="1" ht="20.25" customHeight="1" x14ac:dyDescent="0.25">
      <c r="A179" s="162">
        <f t="shared" si="2"/>
        <v>12</v>
      </c>
      <c r="B179" s="163"/>
      <c r="C179" s="52" t="s">
        <v>89</v>
      </c>
      <c r="D179" s="5" t="s">
        <v>336</v>
      </c>
      <c r="E179" s="5">
        <f t="shared" si="0"/>
        <v>323.37746999999996</v>
      </c>
      <c r="F179" s="5">
        <v>0</v>
      </c>
      <c r="G179" s="5">
        <v>0</v>
      </c>
      <c r="H179" s="5">
        <f t="shared" si="3"/>
        <v>323.37746999999996</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2" customFormat="1" ht="20.25" x14ac:dyDescent="0.25">
      <c r="A180" s="85" t="s">
        <v>323</v>
      </c>
      <c r="B180" s="86"/>
      <c r="C180" s="86"/>
      <c r="D180" s="86"/>
      <c r="E180" s="86"/>
      <c r="F180" s="86"/>
      <c r="G180" s="86"/>
      <c r="H180" s="87"/>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2" customFormat="1" ht="20.25" customHeight="1" x14ac:dyDescent="0.25">
      <c r="A181" s="85" t="s">
        <v>380</v>
      </c>
      <c r="B181" s="86"/>
      <c r="C181" s="86"/>
      <c r="D181" s="86"/>
      <c r="E181" s="86"/>
      <c r="F181" s="86"/>
      <c r="G181" s="86"/>
      <c r="H181" s="87"/>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2" customFormat="1" ht="20.25" customHeight="1" x14ac:dyDescent="0.25">
      <c r="A182" s="85" t="s">
        <v>337</v>
      </c>
      <c r="B182" s="86"/>
      <c r="C182" s="86"/>
      <c r="D182" s="86"/>
      <c r="E182" s="86"/>
      <c r="F182" s="86"/>
      <c r="G182" s="86"/>
      <c r="H182" s="87"/>
      <c r="I182" s="78">
        <f>2</f>
        <v>2</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2" customFormat="1" ht="20.25" customHeight="1" x14ac:dyDescent="0.25">
      <c r="A183" s="84">
        <v>1</v>
      </c>
      <c r="B183" s="84"/>
      <c r="C183" s="52" t="s">
        <v>89</v>
      </c>
      <c r="D183" s="5" t="s">
        <v>338</v>
      </c>
      <c r="E183" s="5">
        <f>(4.75*3.1+2.4*1.2+2.1*3.65+2.75*3.65+3.4*3.1+1.2*2.1+2.1*1.2+1.2*0.9+1.1*1.1)*10.764</f>
        <v>572.40260999999998</v>
      </c>
      <c r="F183" s="5">
        <f>0.75*(2.4+2.1+2.75+1.9)*10.764</f>
        <v>73.867950000000008</v>
      </c>
      <c r="G183" s="5">
        <v>0</v>
      </c>
      <c r="H183" s="5">
        <f>E183+F183+(IF(G183&lt;101,G183,IF(G183&lt;201,G183/2,IF(G183&lt;=301,G183/3,G183/4))))</f>
        <v>646.27055999999993</v>
      </c>
      <c r="I183" s="78"/>
      <c r="J183" s="1"/>
      <c r="K183" s="1"/>
      <c r="L183" s="1"/>
      <c r="M183" s="1"/>
      <c r="N183" s="1"/>
      <c r="O183" s="1"/>
      <c r="P183" s="1"/>
      <c r="Q183" s="1"/>
      <c r="R183" s="1"/>
      <c r="S183" s="1"/>
      <c r="T183" s="22" t="str">
        <f t="shared" ref="T183:T188" ca="1" si="4">U183&amp;""&amp;",..,"&amp;""&amp;V183</f>
        <v>101,..,201</v>
      </c>
      <c r="U183" s="22">
        <f ca="1">(SUMPRODUCT(MID(0&amp;(LEFT(A182,SUM(LEN(A182)-LEN(SUBSTITUTE(A182,{"0","1","2","3"},""))))), LARGE(INDEX(ISNUMBER(--MID((LEFT(A182,SUM(LEN(A182)-LEN(SUBSTITUTE(A182,{"0","1","2","3"},""))))), ROW(INDIRECT("1:"&amp;LEN((LEFT(A182,SUM(LEN(A182)-LEN(SUBSTITUTE(A182,{"0","1","2","3"},"")))))))), 1)) * ROW(INDIRECT("1:"&amp;LEN((LEFT(A182,SUM(LEN(A182)-LEN(SUBSTITUTE(A182,{"0","1","2","3"},"")))))))), 0), ROW(INDIRECT("1:"&amp;LEN((LEFT(A182,SUM(LEN(A182)-LEN(SUBSTITUTE(A182,{"0","1","2","3"},"")))))))))+1, 1) * 10^ROW(INDIRECT("1:"&amp;LEN((LEFT(A182,SUM(LEN(A182)-LEN(SUBSTITUTE(A182,{"0","1","2","3"},""))))))))/10))*100+1</f>
        <v>101</v>
      </c>
      <c r="V183" s="22">
        <f ca="1">(SUMPRODUCT(MID(0&amp;(--TRIM(RIGHT(SUBSTITUTE(LEFT(A182,_xlfn.AGGREGATE(16,6,FIND({0,1,2,3,4,5,6,7,8,9},A182,ROW(INDIRECT("1:"&amp;LEN(A182)))),1)),"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",LEN(A182))),LEN(A182)))))))/10))*100+1</f>
        <v>201</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2" customFormat="1" ht="20.25" customHeight="1" x14ac:dyDescent="0.25">
      <c r="A184" s="84">
        <v>2</v>
      </c>
      <c r="B184" s="84"/>
      <c r="C184" s="52" t="s">
        <v>89</v>
      </c>
      <c r="D184" s="5" t="s">
        <v>338</v>
      </c>
      <c r="E184" s="5">
        <f>(4.75*3.1+2.4*1.2+2.1*3.65+2.75*3.65+3.4*3.1+1.2*2.1+2.1*1.2+1.2*0.9+1.1*1.1)*10.764</f>
        <v>572.40260999999998</v>
      </c>
      <c r="F184" s="5">
        <f>0.75*(2.4+2.1+2.75+1.9)*10.764</f>
        <v>73.867950000000008</v>
      </c>
      <c r="G184" s="5">
        <v>0</v>
      </c>
      <c r="H184" s="5">
        <f t="shared" ref="H184:H186" si="5">E184+F184+(IF(G184&lt;101,G184,IF(G184&lt;201,G184/2,IF(G184&lt;=301,G184/3,G184/4))))</f>
        <v>646.27055999999993</v>
      </c>
      <c r="I184" s="78"/>
      <c r="J184" s="1"/>
      <c r="K184" s="1"/>
      <c r="L184" s="1"/>
      <c r="M184" s="1"/>
      <c r="N184" s="1"/>
      <c r="O184" s="1"/>
      <c r="P184" s="1"/>
      <c r="Q184" s="1"/>
      <c r="R184" s="1"/>
      <c r="S184" s="1"/>
      <c r="T184" s="22" t="str">
        <f t="shared" ca="1" si="4"/>
        <v>102,..,202</v>
      </c>
      <c r="U184" s="22">
        <f ca="1">U183+1</f>
        <v>102</v>
      </c>
      <c r="V184" s="22">
        <f ca="1">V183+1</f>
        <v>202</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2" customFormat="1" ht="20.25" customHeight="1" x14ac:dyDescent="0.25">
      <c r="A185" s="84">
        <v>3</v>
      </c>
      <c r="B185" s="84"/>
      <c r="C185" s="52" t="s">
        <v>89</v>
      </c>
      <c r="D185" s="5" t="s">
        <v>383</v>
      </c>
      <c r="E185" s="5">
        <f>(3.1*4.6+2.6*2.1+3.65*2.25+3.65*3+2.75*3.65+2.1*1.2+2.1*1.2+0.9*3)*10.764</f>
        <v>609.88824</v>
      </c>
      <c r="F185" s="5">
        <f>((2.7*1.2+2.05*1.05)+0.75*(2.25+3+2.75))*10.764</f>
        <v>122.62886999999999</v>
      </c>
      <c r="G185" s="5">
        <v>0</v>
      </c>
      <c r="H185" s="5">
        <f t="shared" si="5"/>
        <v>732.51711</v>
      </c>
      <c r="I185" s="78"/>
      <c r="J185" s="1"/>
      <c r="K185" s="1"/>
      <c r="L185" s="1"/>
      <c r="M185" s="1"/>
      <c r="N185" s="1"/>
      <c r="O185" s="1"/>
      <c r="P185" s="1"/>
      <c r="Q185" s="1"/>
      <c r="R185" s="1"/>
      <c r="S185" s="1"/>
      <c r="T185" s="22" t="str">
        <f t="shared" ca="1" si="4"/>
        <v>103,..,203</v>
      </c>
      <c r="U185" s="22">
        <f t="shared" ref="U185:U188" ca="1" si="6">U184+1</f>
        <v>103</v>
      </c>
      <c r="V185" s="22">
        <f t="shared" ref="V185:V188" ca="1" si="7">V184+1</f>
        <v>203</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2" customFormat="1" ht="20.25" customHeight="1" x14ac:dyDescent="0.25">
      <c r="A186" s="84">
        <v>4</v>
      </c>
      <c r="B186" s="84"/>
      <c r="C186" s="52" t="s">
        <v>89</v>
      </c>
      <c r="D186" s="5" t="s">
        <v>383</v>
      </c>
      <c r="E186" s="5">
        <f>(3.1*4.6+2.6*2.1+3.65*2.25+3.65*3+2.75*3.65+2.1*1.2+2.1*1.2+0.9*3)*10.764</f>
        <v>609.88824</v>
      </c>
      <c r="F186" s="5">
        <f>((2.7*1.2+2.05*1.05)+0.75*(2.25+3+2.75))*10.764</f>
        <v>122.62886999999999</v>
      </c>
      <c r="G186" s="5">
        <v>0</v>
      </c>
      <c r="H186" s="5">
        <f t="shared" si="5"/>
        <v>732.51711</v>
      </c>
      <c r="I186" s="78"/>
      <c r="J186" s="1"/>
      <c r="K186" s="1"/>
      <c r="L186" s="1"/>
      <c r="M186" s="1"/>
      <c r="N186" s="1"/>
      <c r="O186" s="1"/>
      <c r="P186" s="1"/>
      <c r="Q186" s="1"/>
      <c r="R186" s="1"/>
      <c r="S186" s="1"/>
      <c r="T186" s="22" t="str">
        <f t="shared" ca="1" si="4"/>
        <v>104,..,204</v>
      </c>
      <c r="U186" s="22">
        <f t="shared" ca="1" si="6"/>
        <v>104</v>
      </c>
      <c r="V186" s="22">
        <f t="shared" ca="1" si="7"/>
        <v>204</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2" customFormat="1" ht="20.25" customHeight="1" x14ac:dyDescent="0.25">
      <c r="A187" s="84">
        <v>5</v>
      </c>
      <c r="B187" s="84"/>
      <c r="C187" s="52" t="s">
        <v>335</v>
      </c>
      <c r="D187" s="93" t="s">
        <v>340</v>
      </c>
      <c r="E187" s="94"/>
      <c r="F187" s="94"/>
      <c r="G187" s="94"/>
      <c r="H187" s="95"/>
      <c r="I187" s="78"/>
      <c r="J187" s="1"/>
      <c r="K187" s="1"/>
      <c r="L187" s="1"/>
      <c r="M187" s="1"/>
      <c r="N187" s="1"/>
      <c r="O187" s="1"/>
      <c r="P187" s="1"/>
      <c r="Q187" s="1"/>
      <c r="R187" s="1"/>
      <c r="S187" s="1"/>
      <c r="T187" s="22" t="str">
        <f t="shared" ca="1" si="4"/>
        <v>105,..,205</v>
      </c>
      <c r="U187" s="22">
        <f t="shared" ca="1" si="6"/>
        <v>105</v>
      </c>
      <c r="V187" s="22">
        <f t="shared" ca="1" si="7"/>
        <v>205</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2" customFormat="1" ht="20.25" customHeight="1" x14ac:dyDescent="0.25">
      <c r="A188" s="84">
        <v>6</v>
      </c>
      <c r="B188" s="84"/>
      <c r="C188" s="52" t="s">
        <v>335</v>
      </c>
      <c r="D188" s="99"/>
      <c r="E188" s="100"/>
      <c r="F188" s="100"/>
      <c r="G188" s="100"/>
      <c r="H188" s="101"/>
      <c r="I188" s="78"/>
      <c r="J188" s="1"/>
      <c r="K188" s="1"/>
      <c r="L188" s="1"/>
      <c r="M188" s="1"/>
      <c r="N188" s="1"/>
      <c r="O188" s="1"/>
      <c r="P188" s="1"/>
      <c r="Q188" s="1"/>
      <c r="R188" s="1"/>
      <c r="S188" s="1"/>
      <c r="T188" s="22" t="str">
        <f t="shared" ca="1" si="4"/>
        <v>106,..,206</v>
      </c>
      <c r="U188" s="22">
        <f t="shared" ca="1" si="6"/>
        <v>106</v>
      </c>
      <c r="V188" s="22">
        <f t="shared" ca="1" si="7"/>
        <v>206</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2" customFormat="1" ht="20.25" customHeight="1" x14ac:dyDescent="0.25">
      <c r="A189" s="85" t="s">
        <v>341</v>
      </c>
      <c r="B189" s="86"/>
      <c r="C189" s="86"/>
      <c r="D189" s="86"/>
      <c r="E189" s="86"/>
      <c r="F189" s="86"/>
      <c r="G189" s="86"/>
      <c r="H189" s="87"/>
      <c r="I189" s="78">
        <f>1</f>
        <v>1</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2" customFormat="1" ht="20.25" customHeight="1" x14ac:dyDescent="0.25">
      <c r="A190" s="84">
        <v>1</v>
      </c>
      <c r="B190" s="84"/>
      <c r="C190" s="52" t="s">
        <v>89</v>
      </c>
      <c r="D190" s="52" t="s">
        <v>338</v>
      </c>
      <c r="E190" s="5">
        <f>(4.75*3.1+2.4*1.2+2.1*3.65+2.75*3.65+3.4*3.1+1.2*2.1+2.1*1.2+1.2*0.9+1.1*1.1)*10.764</f>
        <v>572.40260999999998</v>
      </c>
      <c r="F190" s="5">
        <f>0.75*(2.4+2.1+2.75+1.9)*10.764</f>
        <v>73.867950000000008</v>
      </c>
      <c r="G190" s="5">
        <v>0</v>
      </c>
      <c r="H190" s="5">
        <f>E190+F190+(IF(G190&lt;101,G190,IF(G190&lt;201,G190/2,IF(G190&lt;=301,G190/3,G190/4))))</f>
        <v>646.27055999999993</v>
      </c>
      <c r="I190" s="78"/>
      <c r="J190" s="1"/>
      <c r="K190" s="1"/>
      <c r="L190" s="1"/>
      <c r="M190" s="1"/>
      <c r="N190" s="1"/>
      <c r="O190" s="1"/>
      <c r="P190" s="1"/>
      <c r="Q190" s="1"/>
      <c r="R190" s="1"/>
      <c r="S190" s="1"/>
      <c r="T190" s="22" t="str">
        <f ca="1">U190&amp;""&amp;" to "&amp;""&amp;V190</f>
        <v>301 to 301</v>
      </c>
      <c r="U190" s="22">
        <f ca="1">(SUMPRODUCT(MID(0&amp;(LEFT(A189,SUM(LEN(A189)-LEN(SUBSTITUTE(A189,{"0","1","2","3"},""))))), LARGE(INDEX(ISNUMBER(--MID((LEFT(A189,SUM(LEN(A189)-LEN(SUBSTITUTE(A189,{"0","1","2","3"},""))))), ROW(INDIRECT("1:"&amp;LEN((LEFT(A189,SUM(LEN(A189)-LEN(SUBSTITUTE(A189,{"0","1","2","3"},"")))))))), 1)) * ROW(INDIRECT("1:"&amp;LEN((LEFT(A189,SUM(LEN(A189)-LEN(SUBSTITUTE(A189,{"0","1","2","3"},"")))))))), 0), ROW(INDIRECT("1:"&amp;LEN((LEFT(A189,SUM(LEN(A189)-LEN(SUBSTITUTE(A189,{"0","1","2","3"},"")))))))))+1, 1) * 10^ROW(INDIRECT("1:"&amp;LEN((LEFT(A189,SUM(LEN(A189)-LEN(SUBSTITUTE(A189,{"0","1","2","3"},""))))))))/10))*100+1</f>
        <v>301</v>
      </c>
      <c r="V190" s="22">
        <f ca="1">(SUMPRODUCT(MID(0&amp;(--TRIM(RIGHT(SUBSTITUTE(LEFT(A189,_xlfn.AGGREGATE(16,6,FIND({0,1,2,3,4,5,6,7,8,9},A189,ROW(INDIRECT("1:"&amp;LEN(A189)))),1)),"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",LEN(A189))),LEN(A189)))))))/10))*100+1</f>
        <v>301</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2" customFormat="1" ht="20.25" customHeight="1" x14ac:dyDescent="0.25">
      <c r="A191" s="84">
        <v>2</v>
      </c>
      <c r="B191" s="84"/>
      <c r="C191" s="52" t="s">
        <v>89</v>
      </c>
      <c r="D191" s="52" t="s">
        <v>338</v>
      </c>
      <c r="E191" s="5">
        <f>(4.75*3.1+2.4*1.2+2.1*3.65+2.75*3.65+3.4*3.1+1.2*2.1+2.1*1.2+1.2*0.9+1.1*1.1)*10.764</f>
        <v>572.40260999999998</v>
      </c>
      <c r="F191" s="5">
        <f>0.75*(2.4+2.1+2.75+1.9)*10.764</f>
        <v>73.867950000000008</v>
      </c>
      <c r="G191" s="5">
        <v>0</v>
      </c>
      <c r="H191" s="5">
        <f t="shared" ref="H191:H193" si="8">E191+F191+(IF(G191&lt;101,G191,IF(G191&lt;201,G191/2,IF(G191&lt;=301,G191/3,G191/4))))</f>
        <v>646.27055999999993</v>
      </c>
      <c r="I191" s="78"/>
      <c r="J191" s="1"/>
      <c r="K191" s="1"/>
      <c r="L191" s="1"/>
      <c r="M191" s="1"/>
      <c r="N191" s="1"/>
      <c r="O191" s="1"/>
      <c r="P191" s="1"/>
      <c r="Q191" s="1"/>
      <c r="R191" s="1"/>
      <c r="S191" s="1"/>
      <c r="T191" s="22" t="str">
        <f t="shared" ref="T191:T195" ca="1" si="9">U191&amp;""&amp;" to "&amp;""&amp;V191</f>
        <v>302 to 302</v>
      </c>
      <c r="U191" s="22">
        <f ca="1">U190+1</f>
        <v>302</v>
      </c>
      <c r="V191" s="22">
        <f ca="1">V190+1</f>
        <v>302</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2" customFormat="1" ht="20.25" customHeight="1" x14ac:dyDescent="0.25">
      <c r="A192" s="84">
        <v>3</v>
      </c>
      <c r="B192" s="84"/>
      <c r="C192" s="52" t="s">
        <v>89</v>
      </c>
      <c r="D192" s="5" t="s">
        <v>383</v>
      </c>
      <c r="E192" s="5">
        <f>(3.1*4.6+2.6*2.1+3.65*2.25+3.65*3+2.75*3.65+2.1*1.2+2.1*1.2+0.9*3)*10.764</f>
        <v>609.88824</v>
      </c>
      <c r="F192" s="5">
        <f>((2.7*1.2+2.05*1.05)+0.75*(2.25+3+2.75))*10.764</f>
        <v>122.62886999999999</v>
      </c>
      <c r="G192" s="5">
        <v>0</v>
      </c>
      <c r="H192" s="5">
        <f t="shared" si="8"/>
        <v>732.51711</v>
      </c>
      <c r="I192" s="78"/>
      <c r="J192" s="1"/>
      <c r="K192" s="1"/>
      <c r="L192" s="1"/>
      <c r="M192" s="1"/>
      <c r="N192" s="1"/>
      <c r="O192" s="1"/>
      <c r="P192" s="1"/>
      <c r="Q192" s="1"/>
      <c r="R192" s="1"/>
      <c r="S192" s="1"/>
      <c r="T192" s="22" t="str">
        <f t="shared" ca="1" si="9"/>
        <v>303 to 303</v>
      </c>
      <c r="U192" s="22">
        <f t="shared" ref="U192:U195" ca="1" si="10">U191+1</f>
        <v>303</v>
      </c>
      <c r="V192" s="22">
        <f t="shared" ref="V192:V195" ca="1" si="11">V191+1</f>
        <v>303</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2" customFormat="1" ht="20.25" customHeight="1" x14ac:dyDescent="0.25">
      <c r="A193" s="84">
        <v>4</v>
      </c>
      <c r="B193" s="84"/>
      <c r="C193" s="52" t="s">
        <v>89</v>
      </c>
      <c r="D193" s="5" t="s">
        <v>383</v>
      </c>
      <c r="E193" s="5">
        <f>(3.1*4.6+2.6*2.1+3.65*2.25+3.65*3+2.75*3.65+2.1*1.2+2.1*1.2+0.9*3)*10.764</f>
        <v>609.88824</v>
      </c>
      <c r="F193" s="5">
        <f>((2.7*1.2+2.05*1.05)+0.75*(2.25+3+2.75))*10.764</f>
        <v>122.62886999999999</v>
      </c>
      <c r="G193" s="5">
        <v>0</v>
      </c>
      <c r="H193" s="5">
        <f t="shared" si="8"/>
        <v>732.51711</v>
      </c>
      <c r="I193" s="78"/>
      <c r="J193" s="1"/>
      <c r="K193" s="1"/>
      <c r="L193" s="1"/>
      <c r="M193" s="1"/>
      <c r="N193" s="1"/>
      <c r="O193" s="1"/>
      <c r="P193" s="1"/>
      <c r="Q193" s="1"/>
      <c r="R193" s="1"/>
      <c r="S193" s="1"/>
      <c r="T193" s="22" t="str">
        <f t="shared" ca="1" si="9"/>
        <v>304 to 304</v>
      </c>
      <c r="U193" s="22">
        <f t="shared" ca="1" si="10"/>
        <v>304</v>
      </c>
      <c r="V193" s="22">
        <f t="shared" ca="1" si="11"/>
        <v>304</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2" customFormat="1" ht="20.25" customHeight="1" x14ac:dyDescent="0.25">
      <c r="A194" s="84">
        <v>5</v>
      </c>
      <c r="B194" s="84"/>
      <c r="C194" s="52" t="s">
        <v>335</v>
      </c>
      <c r="D194" s="88" t="s">
        <v>339</v>
      </c>
      <c r="E194" s="89"/>
      <c r="F194" s="89"/>
      <c r="G194" s="89"/>
      <c r="H194" s="90"/>
      <c r="I194" s="78"/>
      <c r="J194" s="1"/>
      <c r="K194" s="1"/>
      <c r="L194" s="1"/>
      <c r="M194" s="1"/>
      <c r="N194" s="1"/>
      <c r="O194" s="1"/>
      <c r="P194" s="1"/>
      <c r="Q194" s="1"/>
      <c r="R194" s="1"/>
      <c r="S194" s="1"/>
      <c r="T194" s="22" t="str">
        <f t="shared" ca="1" si="9"/>
        <v>305 to 305</v>
      </c>
      <c r="U194" s="22">
        <f t="shared" ca="1" si="10"/>
        <v>305</v>
      </c>
      <c r="V194" s="22">
        <f t="shared" ca="1" si="11"/>
        <v>305</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2" customFormat="1" ht="20.25" customHeight="1" x14ac:dyDescent="0.25">
      <c r="A195" s="84">
        <v>6</v>
      </c>
      <c r="B195" s="84"/>
      <c r="C195" s="52" t="s">
        <v>335</v>
      </c>
      <c r="D195" s="88" t="s">
        <v>342</v>
      </c>
      <c r="E195" s="89"/>
      <c r="F195" s="89"/>
      <c r="G195" s="89"/>
      <c r="H195" s="90"/>
      <c r="I195" s="78"/>
      <c r="J195" s="1"/>
      <c r="K195" s="1"/>
      <c r="L195" s="1"/>
      <c r="M195" s="1"/>
      <c r="N195" s="1"/>
      <c r="O195" s="1"/>
      <c r="P195" s="1"/>
      <c r="Q195" s="1"/>
      <c r="R195" s="1"/>
      <c r="S195" s="1"/>
      <c r="T195" s="22" t="str">
        <f t="shared" ca="1" si="9"/>
        <v>306 to 306</v>
      </c>
      <c r="U195" s="22">
        <f t="shared" ca="1" si="10"/>
        <v>306</v>
      </c>
      <c r="V195" s="22">
        <f t="shared" ca="1" si="11"/>
        <v>306</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2" customFormat="1" ht="20.25" customHeight="1" x14ac:dyDescent="0.25">
      <c r="A196" s="85" t="s">
        <v>343</v>
      </c>
      <c r="B196" s="86"/>
      <c r="C196" s="86"/>
      <c r="D196" s="86"/>
      <c r="E196" s="86"/>
      <c r="F196" s="86"/>
      <c r="G196" s="86"/>
      <c r="H196" s="87"/>
      <c r="I196" s="78">
        <f>4+4+4+4+4+1</f>
        <v>21</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2" customFormat="1" ht="20.25" customHeight="1" x14ac:dyDescent="0.25">
      <c r="A197" s="84">
        <v>1</v>
      </c>
      <c r="B197" s="84"/>
      <c r="C197" s="52" t="s">
        <v>89</v>
      </c>
      <c r="D197" s="52" t="s">
        <v>338</v>
      </c>
      <c r="E197" s="5">
        <f>(4.75*3.1+2.4*1.2+2.1*3.65+2.75*3.65+3.4*3.1+1.2*2.1+2.1*1.2+1.2*0.9+1.1*1.1)*10.764</f>
        <v>572.40260999999998</v>
      </c>
      <c r="F197" s="5">
        <f>0.75*(2.4+2.1+2.75+1.9)*10.764</f>
        <v>73.867950000000008</v>
      </c>
      <c r="G197" s="5">
        <v>0</v>
      </c>
      <c r="H197" s="5">
        <f>E197+F197+(IF(G197&lt;101,G197,IF(G197&lt;201,G197/2,IF(G197&lt;=301,G197/3,G197/4))))</f>
        <v>646.27055999999993</v>
      </c>
      <c r="I197" s="78"/>
      <c r="J197" s="1"/>
      <c r="K197" s="1"/>
      <c r="L197" s="1"/>
      <c r="M197" s="1"/>
      <c r="N197" s="1"/>
      <c r="O197" s="1"/>
      <c r="P197" s="1"/>
      <c r="Q197" s="1"/>
      <c r="R197" s="1"/>
      <c r="S197" s="1"/>
      <c r="T197" s="22" t="str">
        <f ca="1">U197&amp;""&amp;" &amp; "&amp;""&amp;V197</f>
        <v>4701 &amp; 2901</v>
      </c>
      <c r="U197" s="22">
        <f ca="1">(SUMPRODUCT(MID(0&amp;(LEFT(A196,SUM(LEN(A196)-LEN(SUBSTITUTE(A196,{"0","1","2","3"},""))))), LARGE(INDEX(ISNUMBER(--MID((LEFT(A196,SUM(LEN(A196)-LEN(SUBSTITUTE(A196,{"0","1","2","3"},""))))), ROW(INDIRECT("1:"&amp;LEN((LEFT(A196,SUM(LEN(A196)-LEN(SUBSTITUTE(A196,{"0","1","2","3"},"")))))))), 1)) * ROW(INDIRECT("1:"&amp;LEN((LEFT(A196,SUM(LEN(A196)-LEN(SUBSTITUTE(A196,{"0","1","2","3"},"")))))))), 0), ROW(INDIRECT("1:"&amp;LEN((LEFT(A196,SUM(LEN(A196)-LEN(SUBSTITUTE(A196,{"0","1","2","3"},"")))))))))+1, 1) * 10^ROW(INDIRECT("1:"&amp;LEN((LEFT(A196,SUM(LEN(A196)-LEN(SUBSTITUTE(A196,{"0","1","2","3"},""))))))))/10))*100+1</f>
        <v>4701</v>
      </c>
      <c r="V197" s="22">
        <f ca="1">(SUMPRODUCT(MID(0&amp;(--TRIM(RIGHT(SUBSTITUTE(LEFT(A196,_xlfn.AGGREGATE(16,6,FIND({0,1,2,3,4,5,6,7,8,9},A196,ROW(INDIRECT("1:"&amp;LEN(A196)))),1)),"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",LEN(A196))),LEN(A196)))))))/10))*100+1</f>
        <v>2901</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2" customFormat="1" ht="20.25" customHeight="1" x14ac:dyDescent="0.25">
      <c r="A198" s="84">
        <v>2</v>
      </c>
      <c r="B198" s="84"/>
      <c r="C198" s="52" t="s">
        <v>89</v>
      </c>
      <c r="D198" s="52" t="s">
        <v>338</v>
      </c>
      <c r="E198" s="5">
        <f>(4.75*3.1+2.4*1.2+2.1*3.65+2.75*3.65+3.4*3.1+1.2*2.1+2.1*1.2+1.2*0.9+1.1*1.1)*10.764</f>
        <v>572.40260999999998</v>
      </c>
      <c r="F198" s="5">
        <f>0.75*(2.4+2.1+2.75+1.9)*10.764</f>
        <v>73.867950000000008</v>
      </c>
      <c r="G198" s="5">
        <v>0</v>
      </c>
      <c r="H198" s="5">
        <f t="shared" ref="H198:H202" si="12">E198+F198+(IF(G198&lt;101,G198,IF(G198&lt;201,G198/2,IF(G198&lt;=301,G198/3,G198/4))))</f>
        <v>646.27055999999993</v>
      </c>
      <c r="I198" s="78"/>
      <c r="J198" s="1"/>
      <c r="K198" s="1"/>
      <c r="L198" s="1"/>
      <c r="M198" s="1"/>
      <c r="N198" s="1"/>
      <c r="O198" s="1"/>
      <c r="P198" s="1"/>
      <c r="Q198" s="1"/>
      <c r="R198" s="1"/>
      <c r="S198" s="1"/>
      <c r="T198" s="22" t="str">
        <f t="shared" ref="T198:T202" ca="1" si="13">U198&amp;""&amp;" &amp; "&amp;""&amp;V198</f>
        <v>4702 &amp; 2902</v>
      </c>
      <c r="U198" s="22">
        <f ca="1">U197+1</f>
        <v>4702</v>
      </c>
      <c r="V198" s="22">
        <f ca="1">V197+1</f>
        <v>2902</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2" customFormat="1" ht="20.25" customHeight="1" x14ac:dyDescent="0.25">
      <c r="A199" s="84">
        <v>3</v>
      </c>
      <c r="B199" s="84"/>
      <c r="C199" s="52" t="s">
        <v>89</v>
      </c>
      <c r="D199" s="5" t="s">
        <v>383</v>
      </c>
      <c r="E199" s="5">
        <f>(3.1*4.6+2.6*2.1+3.65*2.25+3.65*3+2.75*3.65+2.1*1.2+2.1*1.2+0.9*3)*10.764</f>
        <v>609.88824</v>
      </c>
      <c r="F199" s="5">
        <f>((2.7*1.2+2.05*1.05)+0.75*(2.25+3+2.75))*10.764</f>
        <v>122.62886999999999</v>
      </c>
      <c r="G199" s="5">
        <v>0</v>
      </c>
      <c r="H199" s="5">
        <f t="shared" si="12"/>
        <v>732.51711</v>
      </c>
      <c r="I199" s="78"/>
      <c r="J199" s="1"/>
      <c r="K199" s="1"/>
      <c r="L199" s="1"/>
      <c r="M199" s="1"/>
      <c r="N199" s="1"/>
      <c r="O199" s="1"/>
      <c r="P199" s="1"/>
      <c r="Q199" s="1"/>
      <c r="R199" s="1"/>
      <c r="S199" s="1"/>
      <c r="T199" s="22" t="str">
        <f t="shared" ca="1" si="13"/>
        <v>4703 &amp; 2903</v>
      </c>
      <c r="U199" s="22">
        <f t="shared" ref="U199:U202" ca="1" si="14">U198+1</f>
        <v>4703</v>
      </c>
      <c r="V199" s="22">
        <f t="shared" ref="V199:V202" ca="1" si="15">V198+1</f>
        <v>2903</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2" customFormat="1" ht="20.25" customHeight="1" x14ac:dyDescent="0.25">
      <c r="A200" s="84">
        <v>4</v>
      </c>
      <c r="B200" s="84"/>
      <c r="C200" s="52" t="s">
        <v>89</v>
      </c>
      <c r="D200" s="5" t="s">
        <v>383</v>
      </c>
      <c r="E200" s="5">
        <f>(3.1*4.6+2.6*2.1+3.65*2.25+3.65*3+2.75*3.65+2.1*1.2+2.1*1.2+0.9*3)*10.764</f>
        <v>609.88824</v>
      </c>
      <c r="F200" s="5">
        <f>((2.7*1.2+2.05*1.05)+0.75*(2.25+3+2.75))*10.764</f>
        <v>122.62886999999999</v>
      </c>
      <c r="G200" s="5">
        <v>0</v>
      </c>
      <c r="H200" s="5">
        <f t="shared" si="12"/>
        <v>732.51711</v>
      </c>
      <c r="I200" s="78"/>
      <c r="J200" s="1"/>
      <c r="K200" s="1"/>
      <c r="L200" s="1"/>
      <c r="M200" s="1"/>
      <c r="N200" s="1"/>
      <c r="O200" s="1"/>
      <c r="P200" s="1"/>
      <c r="Q200" s="1"/>
      <c r="R200" s="1"/>
      <c r="S200" s="1"/>
      <c r="T200" s="22" t="str">
        <f t="shared" ca="1" si="13"/>
        <v>4704 &amp; 2904</v>
      </c>
      <c r="U200" s="22">
        <f t="shared" ca="1" si="14"/>
        <v>4704</v>
      </c>
      <c r="V200" s="22">
        <f t="shared" ca="1" si="15"/>
        <v>2904</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2" customFormat="1" ht="20.25" customHeight="1" x14ac:dyDescent="0.25">
      <c r="A201" s="84">
        <v>5</v>
      </c>
      <c r="B201" s="84"/>
      <c r="C201" s="52" t="s">
        <v>89</v>
      </c>
      <c r="D201" s="5" t="s">
        <v>383</v>
      </c>
      <c r="E201" s="5">
        <f t="shared" ref="E201:E202" si="16">(3.1*4.6+2.6*2.1+3.65*2.25+3.65*3+2.75*3.65+2.1*1.2+2.1*1.2+0.9*3)*10.764</f>
        <v>609.88824</v>
      </c>
      <c r="F201" s="5">
        <f t="shared" ref="F201:F202" si="17">((2.7*1.2+2.05*1.05)+0.75*(2.25+3+2.75))*10.764</f>
        <v>122.62886999999999</v>
      </c>
      <c r="G201" s="5">
        <v>0</v>
      </c>
      <c r="H201" s="5">
        <f t="shared" si="12"/>
        <v>732.51711</v>
      </c>
      <c r="I201" s="78"/>
      <c r="J201" s="1"/>
      <c r="K201" s="1"/>
      <c r="L201" s="1"/>
      <c r="M201" s="1"/>
      <c r="N201" s="1"/>
      <c r="O201" s="1"/>
      <c r="P201" s="1"/>
      <c r="Q201" s="1"/>
      <c r="R201" s="1"/>
      <c r="S201" s="1"/>
      <c r="T201" s="22" t="str">
        <f t="shared" ca="1" si="13"/>
        <v>4705 &amp; 2905</v>
      </c>
      <c r="U201" s="22">
        <f t="shared" ca="1" si="14"/>
        <v>4705</v>
      </c>
      <c r="V201" s="22">
        <f t="shared" ca="1" si="15"/>
        <v>2905</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2" customFormat="1" ht="20.25" customHeight="1" x14ac:dyDescent="0.25">
      <c r="A202" s="84">
        <v>6</v>
      </c>
      <c r="B202" s="84"/>
      <c r="C202" s="52" t="s">
        <v>89</v>
      </c>
      <c r="D202" s="5" t="s">
        <v>383</v>
      </c>
      <c r="E202" s="5">
        <f t="shared" si="16"/>
        <v>609.88824</v>
      </c>
      <c r="F202" s="5">
        <f t="shared" si="17"/>
        <v>122.62886999999999</v>
      </c>
      <c r="G202" s="5">
        <v>0</v>
      </c>
      <c r="H202" s="5">
        <f t="shared" si="12"/>
        <v>732.51711</v>
      </c>
      <c r="I202" s="78"/>
      <c r="J202" s="1"/>
      <c r="K202" s="1"/>
      <c r="L202" s="1"/>
      <c r="M202" s="1"/>
      <c r="N202" s="1"/>
      <c r="O202" s="1"/>
      <c r="P202" s="1"/>
      <c r="Q202" s="1"/>
      <c r="R202" s="1"/>
      <c r="S202" s="1"/>
      <c r="T202" s="22" t="str">
        <f t="shared" ca="1" si="13"/>
        <v>4706 &amp; 2906</v>
      </c>
      <c r="U202" s="22">
        <f t="shared" ca="1" si="14"/>
        <v>4706</v>
      </c>
      <c r="V202" s="22">
        <f t="shared" ca="1" si="15"/>
        <v>2906</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2" customFormat="1" ht="20.25" customHeight="1" x14ac:dyDescent="0.25">
      <c r="A203" s="85" t="s">
        <v>344</v>
      </c>
      <c r="B203" s="86"/>
      <c r="C203" s="86"/>
      <c r="D203" s="86"/>
      <c r="E203" s="86"/>
      <c r="F203" s="86"/>
      <c r="G203" s="86"/>
      <c r="H203" s="87"/>
      <c r="I203" s="78">
        <f>5</f>
        <v>5</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2" customFormat="1" ht="20.25" customHeight="1" x14ac:dyDescent="0.25">
      <c r="A204" s="84">
        <v>1</v>
      </c>
      <c r="B204" s="84"/>
      <c r="C204" s="52" t="s">
        <v>89</v>
      </c>
      <c r="D204" s="52" t="s">
        <v>338</v>
      </c>
      <c r="E204" s="5">
        <f>(4.75*3.1+2.4*1.2+2.1*3.65+2.75*3.65+3.4*3.1+1.2*2.1+2.1*1.2+1.2*0.9+1.1*1.1)*10.764</f>
        <v>572.40260999999998</v>
      </c>
      <c r="F204" s="5">
        <f>0.75*(2.4+2.1+2.75+1.9)*10.764</f>
        <v>73.867950000000008</v>
      </c>
      <c r="G204" s="5">
        <v>0</v>
      </c>
      <c r="H204" s="5">
        <f>E204+F204+(IF(G204&lt;101,G204,IF(G204&lt;201,G204/2,IF(G204&lt;=301,G204/3,G204/4))))</f>
        <v>646.27055999999993</v>
      </c>
      <c r="I204" s="78"/>
      <c r="J204" s="1"/>
      <c r="K204" s="1"/>
      <c r="L204" s="1"/>
      <c r="M204" s="1"/>
      <c r="N204" s="1"/>
      <c r="O204" s="1"/>
      <c r="P204" s="1"/>
      <c r="Q204" s="1"/>
      <c r="R204" s="1"/>
      <c r="S204" s="1"/>
      <c r="T204" s="22" t="str">
        <f ca="1">U204&amp;""&amp;" &amp; "&amp;""&amp;V204</f>
        <v>8101 &amp; 2801</v>
      </c>
      <c r="U204" s="22">
        <f ca="1">(SUMPRODUCT(MID(0&amp;(LEFT(A203,SUM(LEN(A203)-LEN(SUBSTITUTE(A203,{"0","1","2","3"},""))))), LARGE(INDEX(ISNUMBER(--MID((LEFT(A203,SUM(LEN(A203)-LEN(SUBSTITUTE(A203,{"0","1","2","3"},""))))), ROW(INDIRECT("1:"&amp;LEN((LEFT(A203,SUM(LEN(A203)-LEN(SUBSTITUTE(A203,{"0","1","2","3"},"")))))))), 1)) * ROW(INDIRECT("1:"&amp;LEN((LEFT(A203,SUM(LEN(A203)-LEN(SUBSTITUTE(A203,{"0","1","2","3"},"")))))))), 0), ROW(INDIRECT("1:"&amp;LEN((LEFT(A203,SUM(LEN(A203)-LEN(SUBSTITUTE(A203,{"0","1","2","3"},"")))))))))+1, 1) * 10^ROW(INDIRECT("1:"&amp;LEN((LEFT(A203,SUM(LEN(A203)-LEN(SUBSTITUTE(A203,{"0","1","2","3"},""))))))))/10))*100+1</f>
        <v>8101</v>
      </c>
      <c r="V204" s="22">
        <f ca="1">(SUMPRODUCT(MID(0&amp;(--TRIM(RIGHT(SUBSTITUTE(LEFT(A203,_xlfn.AGGREGATE(16,6,FIND({0,1,2,3,4,5,6,7,8,9},A203,ROW(INDIRECT("1:"&amp;LEN(A203)))),1)),"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2801</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2" customFormat="1" ht="20.25" customHeight="1" x14ac:dyDescent="0.25">
      <c r="A205" s="84" t="s">
        <v>96</v>
      </c>
      <c r="B205" s="84"/>
      <c r="C205" s="52" t="s">
        <v>335</v>
      </c>
      <c r="D205" s="88" t="s">
        <v>345</v>
      </c>
      <c r="E205" s="89"/>
      <c r="F205" s="89"/>
      <c r="G205" s="89"/>
      <c r="H205" s="90"/>
      <c r="I205" s="78"/>
      <c r="J205" s="1"/>
      <c r="K205" s="1"/>
      <c r="L205" s="1"/>
      <c r="M205" s="1"/>
      <c r="N205" s="1"/>
      <c r="O205" s="1"/>
      <c r="P205" s="1"/>
      <c r="Q205" s="1"/>
      <c r="R205" s="1"/>
      <c r="S205" s="1"/>
      <c r="T205" s="22" t="str">
        <f t="shared" ref="T205:T209" ca="1" si="18">U205&amp;""&amp;" &amp; "&amp;""&amp;V205</f>
        <v>8102 &amp; 2802</v>
      </c>
      <c r="U205" s="22">
        <f ca="1">U204+1</f>
        <v>8102</v>
      </c>
      <c r="V205" s="22">
        <f ca="1">V204+1</f>
        <v>2802</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2" customFormat="1" ht="20.25" customHeight="1" x14ac:dyDescent="0.25">
      <c r="A206" s="84">
        <v>2</v>
      </c>
      <c r="B206" s="84"/>
      <c r="C206" s="52" t="s">
        <v>89</v>
      </c>
      <c r="D206" s="5" t="s">
        <v>383</v>
      </c>
      <c r="E206" s="5">
        <f>(3.1*4.6+2.6*2.1+3.65*2.25+3.65*3+2.75*3.65+2.1*1.2+2.1*1.2+0.9*3)*10.764</f>
        <v>609.88824</v>
      </c>
      <c r="F206" s="5">
        <f>((2.7*1.2+2.05*1.05)+0.75*(2.25+3+2.75))*10.764</f>
        <v>122.62886999999999</v>
      </c>
      <c r="G206" s="5">
        <v>0</v>
      </c>
      <c r="H206" s="5">
        <f t="shared" ref="H206:H209" si="19">E206+F206+(IF(G206&lt;101,G206,IF(G206&lt;201,G206/2,IF(G206&lt;=301,G206/3,G206/4))))</f>
        <v>732.51711</v>
      </c>
      <c r="I206" s="78"/>
      <c r="J206" s="1"/>
      <c r="K206" s="1"/>
      <c r="L206" s="1"/>
      <c r="M206" s="1"/>
      <c r="N206" s="1"/>
      <c r="O206" s="1"/>
      <c r="P206" s="1"/>
      <c r="Q206" s="1"/>
      <c r="R206" s="1"/>
      <c r="S206" s="1"/>
      <c r="T206" s="22" t="str">
        <f t="shared" ca="1" si="18"/>
        <v>8103 &amp; 2803</v>
      </c>
      <c r="U206" s="22">
        <f t="shared" ref="U206:V209" ca="1" si="20">U205+1</f>
        <v>8103</v>
      </c>
      <c r="V206" s="22">
        <f t="shared" ca="1" si="20"/>
        <v>2803</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2" customFormat="1" ht="20.25" customHeight="1" x14ac:dyDescent="0.25">
      <c r="A207" s="84">
        <f>A206+1</f>
        <v>3</v>
      </c>
      <c r="B207" s="84"/>
      <c r="C207" s="52" t="s">
        <v>89</v>
      </c>
      <c r="D207" s="5" t="s">
        <v>383</v>
      </c>
      <c r="E207" s="5">
        <f>(3.1*4.6+2.6*2.1+3.65*2.25+3.65*3+2.75*3.65+2.1*1.2+2.1*1.2+0.9*3)*10.764</f>
        <v>609.88824</v>
      </c>
      <c r="F207" s="5">
        <f>((2.7*1.2+2.05*1.05)+0.75*(2.25+3+2.75))*10.764</f>
        <v>122.62886999999999</v>
      </c>
      <c r="G207" s="5">
        <v>0</v>
      </c>
      <c r="H207" s="5">
        <f t="shared" si="19"/>
        <v>732.51711</v>
      </c>
      <c r="I207" s="78"/>
      <c r="J207" s="1"/>
      <c r="K207" s="1"/>
      <c r="L207" s="1"/>
      <c r="M207" s="1"/>
      <c r="N207" s="1"/>
      <c r="O207" s="1"/>
      <c r="P207" s="1"/>
      <c r="Q207" s="1"/>
      <c r="R207" s="1"/>
      <c r="S207" s="1"/>
      <c r="T207" s="22" t="str">
        <f t="shared" ca="1" si="18"/>
        <v>8104 &amp; 2804</v>
      </c>
      <c r="U207" s="22">
        <f t="shared" ca="1" si="20"/>
        <v>8104</v>
      </c>
      <c r="V207" s="22">
        <f t="shared" ca="1" si="20"/>
        <v>2804</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2" customFormat="1" ht="20.25" customHeight="1" x14ac:dyDescent="0.25">
      <c r="A208" s="84">
        <f>A207+1</f>
        <v>4</v>
      </c>
      <c r="B208" s="84"/>
      <c r="C208" s="52" t="s">
        <v>89</v>
      </c>
      <c r="D208" s="5" t="s">
        <v>383</v>
      </c>
      <c r="E208" s="5">
        <f t="shared" ref="E208:E209" si="21">(3.1*4.6+2.6*2.1+3.65*2.25+3.65*3+2.75*3.65+2.1*1.2+2.1*1.2+0.9*3)*10.764</f>
        <v>609.88824</v>
      </c>
      <c r="F208" s="5">
        <f>((2.7*1.2+2.05*1.05)+0.75*(2.25+3+2.75))*10.764</f>
        <v>122.62886999999999</v>
      </c>
      <c r="G208" s="5">
        <v>0</v>
      </c>
      <c r="H208" s="5">
        <f t="shared" si="19"/>
        <v>732.51711</v>
      </c>
      <c r="I208" s="78"/>
      <c r="J208" s="1"/>
      <c r="K208" s="1"/>
      <c r="L208" s="1"/>
      <c r="M208" s="1"/>
      <c r="N208" s="1"/>
      <c r="O208" s="1"/>
      <c r="P208" s="1"/>
      <c r="Q208" s="1"/>
      <c r="R208" s="1"/>
      <c r="S208" s="1"/>
      <c r="T208" s="22" t="str">
        <f t="shared" ca="1" si="18"/>
        <v>8105 &amp; 2805</v>
      </c>
      <c r="U208" s="22">
        <f t="shared" ca="1" si="20"/>
        <v>8105</v>
      </c>
      <c r="V208" s="22">
        <f t="shared" ca="1" si="20"/>
        <v>2805</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2" customFormat="1" ht="20.25" customHeight="1" x14ac:dyDescent="0.25">
      <c r="A209" s="84">
        <f>A208+1</f>
        <v>5</v>
      </c>
      <c r="B209" s="84"/>
      <c r="C209" s="52" t="s">
        <v>89</v>
      </c>
      <c r="D209" s="5" t="s">
        <v>383</v>
      </c>
      <c r="E209" s="5">
        <f t="shared" si="21"/>
        <v>609.88824</v>
      </c>
      <c r="F209" s="5">
        <f>((2.7*1.2+2.05*1.05)+0.75*(2.25+3+2.75))*10.764</f>
        <v>122.62886999999999</v>
      </c>
      <c r="G209" s="5">
        <v>0</v>
      </c>
      <c r="H209" s="5">
        <f t="shared" si="19"/>
        <v>732.51711</v>
      </c>
      <c r="I209" s="78"/>
      <c r="J209" s="1"/>
      <c r="K209" s="1"/>
      <c r="L209" s="1"/>
      <c r="M209" s="1"/>
      <c r="N209" s="1"/>
      <c r="O209" s="1"/>
      <c r="P209" s="1"/>
      <c r="Q209" s="1"/>
      <c r="R209" s="1"/>
      <c r="S209" s="1"/>
      <c r="T209" s="22" t="str">
        <f t="shared" ca="1" si="18"/>
        <v>8106 &amp; 2806</v>
      </c>
      <c r="U209" s="22">
        <f t="shared" ca="1" si="20"/>
        <v>8106</v>
      </c>
      <c r="V209" s="22">
        <f t="shared" ca="1" si="20"/>
        <v>2806</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2" customFormat="1" ht="20.25" x14ac:dyDescent="0.25">
      <c r="A210" s="85" t="s">
        <v>324</v>
      </c>
      <c r="B210" s="86"/>
      <c r="C210" s="86"/>
      <c r="D210" s="86"/>
      <c r="E210" s="86"/>
      <c r="F210" s="86"/>
      <c r="G210" s="86"/>
      <c r="H210" s="87"/>
      <c r="I210" s="78"/>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2" customFormat="1" ht="20.25" customHeight="1" x14ac:dyDescent="0.25">
      <c r="A211" s="85" t="s">
        <v>346</v>
      </c>
      <c r="B211" s="86"/>
      <c r="C211" s="86"/>
      <c r="D211" s="86"/>
      <c r="E211" s="86"/>
      <c r="F211" s="86"/>
      <c r="G211" s="86"/>
      <c r="H211" s="87"/>
      <c r="I211" s="78">
        <f>3</f>
        <v>3</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2" customFormat="1" ht="20.25" customHeight="1" x14ac:dyDescent="0.25">
      <c r="A212" s="84" t="s">
        <v>96</v>
      </c>
      <c r="B212" s="84"/>
      <c r="C212" s="52" t="s">
        <v>335</v>
      </c>
      <c r="D212" s="93" t="s">
        <v>340</v>
      </c>
      <c r="E212" s="94"/>
      <c r="F212" s="94"/>
      <c r="G212" s="94"/>
      <c r="H212" s="95"/>
      <c r="I212" s="78"/>
      <c r="J212" s="1"/>
      <c r="K212" s="1"/>
      <c r="L212" s="1"/>
      <c r="M212" s="1"/>
      <c r="N212" s="1"/>
      <c r="O212" s="1"/>
      <c r="P212" s="1"/>
      <c r="Q212" s="1"/>
      <c r="R212" s="1"/>
      <c r="S212" s="1"/>
      <c r="T212" s="22" t="str">
        <f ca="1">U212&amp;""&amp;" &amp; "&amp;""&amp;V212</f>
        <v>105 &amp; 305</v>
      </c>
      <c r="U212" s="22">
        <f ca="1">U218+1</f>
        <v>105</v>
      </c>
      <c r="V212" s="22">
        <f ca="1">V218+1</f>
        <v>305</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2" customFormat="1" ht="20.25" customHeight="1" x14ac:dyDescent="0.25">
      <c r="A213" s="84" t="s">
        <v>96</v>
      </c>
      <c r="B213" s="84"/>
      <c r="C213" s="52" t="s">
        <v>335</v>
      </c>
      <c r="D213" s="96"/>
      <c r="E213" s="97"/>
      <c r="F213" s="97"/>
      <c r="G213" s="97"/>
      <c r="H213" s="98"/>
      <c r="I213" s="78"/>
      <c r="J213" s="1"/>
      <c r="K213" s="1"/>
      <c r="L213" s="1"/>
      <c r="M213" s="1"/>
      <c r="N213" s="1"/>
      <c r="O213" s="1"/>
      <c r="P213" s="1"/>
      <c r="Q213" s="1"/>
      <c r="R213" s="1"/>
      <c r="S213" s="1"/>
      <c r="T213" s="22" t="str">
        <f ca="1">U213&amp;""&amp;" &amp; "&amp;""&amp;V213</f>
        <v>106 &amp; 306</v>
      </c>
      <c r="U213" s="22">
        <f t="shared" ref="U213:V214" ca="1" si="22">U212+1</f>
        <v>106</v>
      </c>
      <c r="V213" s="22">
        <f t="shared" ca="1" si="22"/>
        <v>306</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2" customFormat="1" ht="20.25" customHeight="1" x14ac:dyDescent="0.25">
      <c r="A214" s="84" t="s">
        <v>96</v>
      </c>
      <c r="B214" s="84"/>
      <c r="C214" s="52" t="s">
        <v>335</v>
      </c>
      <c r="D214" s="99"/>
      <c r="E214" s="100"/>
      <c r="F214" s="100"/>
      <c r="G214" s="100"/>
      <c r="H214" s="101"/>
      <c r="I214" s="78"/>
      <c r="J214" s="1"/>
      <c r="K214" s="1"/>
      <c r="L214" s="1"/>
      <c r="M214" s="1"/>
      <c r="N214" s="1"/>
      <c r="O214" s="1"/>
      <c r="P214" s="1"/>
      <c r="Q214" s="1"/>
      <c r="R214" s="1"/>
      <c r="S214" s="1"/>
      <c r="T214" s="22" t="str">
        <f t="shared" ref="T214" ca="1" si="23">U214&amp;""&amp;" &amp; "&amp;""&amp;V214</f>
        <v>107 &amp; 307</v>
      </c>
      <c r="U214" s="22">
        <f t="shared" ca="1" si="22"/>
        <v>107</v>
      </c>
      <c r="V214" s="22">
        <f t="shared" ca="1" si="22"/>
        <v>307</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2" customFormat="1" ht="20.25" customHeight="1" x14ac:dyDescent="0.25">
      <c r="A215" s="84">
        <v>1</v>
      </c>
      <c r="B215" s="84"/>
      <c r="C215" s="52" t="s">
        <v>89</v>
      </c>
      <c r="D215" s="52" t="s">
        <v>338</v>
      </c>
      <c r="E215" s="71">
        <f>(4.7*3.1+2.4*1.2+2.1*3.65+2.75*3.65+3.4*3.1+2.1*1.52+1.2*2.1+1.2*0.9+0.9*2)*10.764</f>
        <v>584.31835799999988</v>
      </c>
      <c r="F215" s="5">
        <f>(0.75*(2.4+2.1+2.75+1.8))*10.764</f>
        <v>73.060649999999995</v>
      </c>
      <c r="G215" s="5">
        <v>0</v>
      </c>
      <c r="H215" s="5">
        <f>E215+F215+(IF(G215&lt;101,G215,IF(G215&lt;201,G215/2,IF(G215&lt;=301,G215/3,G215/4))))</f>
        <v>657.37900799999989</v>
      </c>
      <c r="I215" s="78"/>
      <c r="J215" s="1"/>
      <c r="K215" s="1"/>
      <c r="L215" s="1"/>
      <c r="M215" s="1"/>
      <c r="N215" s="1"/>
      <c r="O215" s="1"/>
      <c r="P215" s="1"/>
      <c r="Q215" s="1"/>
      <c r="R215" s="1"/>
      <c r="S215" s="1"/>
      <c r="T215" s="22" t="str">
        <f ca="1">U215&amp;""&amp;" &amp; "&amp;""&amp;V215</f>
        <v>101 &amp; 301</v>
      </c>
      <c r="U215" s="22">
        <f ca="1">(SUMPRODUCT(MID(0&amp;(LEFT(A211,SUM(LEN(A211)-LEN(SUBSTITUTE(A211,{"0","1","2","3"},""))))), LARGE(INDEX(ISNUMBER(--MID((LEFT(A211,SUM(LEN(A211)-LEN(SUBSTITUTE(A211,{"0","1","2","3"},""))))), ROW(INDIRECT("1:"&amp;LEN((LEFT(A211,SUM(LEN(A211)-LEN(SUBSTITUTE(A211,{"0","1","2","3"},"")))))))), 1)) * ROW(INDIRECT("1:"&amp;LEN((LEFT(A211,SUM(LEN(A211)-LEN(SUBSTITUTE(A211,{"0","1","2","3"},"")))))))), 0), ROW(INDIRECT("1:"&amp;LEN((LEFT(A211,SUM(LEN(A211)-LEN(SUBSTITUTE(A211,{"0","1","2","3"},"")))))))))+1, 1) * 10^ROW(INDIRECT("1:"&amp;LEN((LEFT(A211,SUM(LEN(A211)-LEN(SUBSTITUTE(A211,{"0","1","2","3"},""))))))))/10))*100+1</f>
        <v>101</v>
      </c>
      <c r="V215" s="22">
        <f ca="1">(SUMPRODUCT(MID(0&amp;(--TRIM(RIGHT(SUBSTITUTE(LEFT(A211,_xlfn.AGGREGATE(16,6,FIND({0,1,2,3,4,5,6,7,8,9},A211,ROW(INDIRECT("1:"&amp;LEN(A211)))),1)),"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",LEN(A211))),LEN(A211)))))))/10))*100+1</f>
        <v>301</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2" customFormat="1" ht="20.25" customHeight="1" x14ac:dyDescent="0.25">
      <c r="A216" s="84">
        <v>2</v>
      </c>
      <c r="B216" s="84"/>
      <c r="C216" s="52" t="s">
        <v>89</v>
      </c>
      <c r="D216" s="52" t="s">
        <v>347</v>
      </c>
      <c r="E216" s="71">
        <f>(4.35*3.1+2.1*3.35+3.1*3.35+2.1*1.2+1.2*2.45+1.2*0.9)*10.764</f>
        <v>403.05797999999999</v>
      </c>
      <c r="F216" s="5">
        <f>(0.75*(2.1+2.1+3.1))*10.764</f>
        <v>58.932900000000004</v>
      </c>
      <c r="G216" s="5">
        <v>0</v>
      </c>
      <c r="H216" s="5">
        <f>E216+F216+(IF(G216&lt;101,G216,IF(G216&lt;201,G216/2,IF(G216&lt;=301,G216/3,G216/4))))</f>
        <v>461.99088</v>
      </c>
      <c r="I216" s="78"/>
      <c r="J216" s="1"/>
      <c r="K216" s="1"/>
      <c r="L216" s="1"/>
      <c r="M216" s="1"/>
      <c r="N216" s="1"/>
      <c r="O216" s="1"/>
      <c r="P216" s="1"/>
      <c r="Q216" s="1"/>
      <c r="R216" s="1"/>
      <c r="S216" s="1"/>
      <c r="T216" s="22" t="str">
        <f t="shared" ref="T216:T218" ca="1" si="24">U216&amp;""&amp;" &amp; "&amp;""&amp;V216</f>
        <v>102 &amp; 302</v>
      </c>
      <c r="U216" s="22">
        <f ca="1">U215+1</f>
        <v>102</v>
      </c>
      <c r="V216" s="22">
        <f ca="1">V215+1</f>
        <v>302</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2" customFormat="1" ht="20.25" customHeight="1" x14ac:dyDescent="0.25">
      <c r="A217" s="84">
        <v>3</v>
      </c>
      <c r="B217" s="84"/>
      <c r="C217" s="52" t="s">
        <v>89</v>
      </c>
      <c r="D217" s="52" t="s">
        <v>347</v>
      </c>
      <c r="E217" s="71">
        <f>(4.35*3.1+2.1*3.35+3.1*3.35+2.1*1.2+1.2*2.45+1.2*0.9)*10.764</f>
        <v>403.05797999999999</v>
      </c>
      <c r="F217" s="5">
        <f>(0.75*(2.1+2.1+3.1))*10.764</f>
        <v>58.932900000000004</v>
      </c>
      <c r="G217" s="5">
        <v>0</v>
      </c>
      <c r="H217" s="5">
        <f t="shared" ref="H217:H218" si="25">E217+F217+(IF(G217&lt;101,G217,IF(G217&lt;201,G217/2,IF(G217&lt;=301,G217/3,G217/4))))</f>
        <v>461.99088</v>
      </c>
      <c r="I217" s="78"/>
      <c r="J217" s="1"/>
      <c r="K217" s="1"/>
      <c r="L217" s="1"/>
      <c r="M217" s="1"/>
      <c r="N217" s="1"/>
      <c r="O217" s="1"/>
      <c r="P217" s="1"/>
      <c r="Q217" s="1"/>
      <c r="R217" s="1"/>
      <c r="S217" s="1"/>
      <c r="T217" s="22" t="str">
        <f t="shared" ca="1" si="24"/>
        <v>103 &amp; 303</v>
      </c>
      <c r="U217" s="22">
        <f t="shared" ref="U217:V217" ca="1" si="26">U216+1</f>
        <v>103</v>
      </c>
      <c r="V217" s="22">
        <f t="shared" ca="1" si="26"/>
        <v>303</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2" customFormat="1" ht="20.25" customHeight="1" x14ac:dyDescent="0.25">
      <c r="A218" s="84">
        <v>4</v>
      </c>
      <c r="B218" s="84"/>
      <c r="C218" s="52" t="s">
        <v>89</v>
      </c>
      <c r="D218" s="52" t="s">
        <v>338</v>
      </c>
      <c r="E218" s="71">
        <f>(4.7*3.1+2.4*1.2+2.1*3.65+2.75*3.65+3.4*3.1+2.1*1.52+1.2*2.1+1.2*0.9+0.9*2)*10.764</f>
        <v>584.31835799999988</v>
      </c>
      <c r="F218" s="5">
        <f>(0.75*(2.4+2.1+2.75+1.8))*10.764</f>
        <v>73.060649999999995</v>
      </c>
      <c r="G218" s="5">
        <v>0</v>
      </c>
      <c r="H218" s="5">
        <f t="shared" si="25"/>
        <v>657.37900799999989</v>
      </c>
      <c r="I218" s="78"/>
      <c r="J218" s="1"/>
      <c r="K218" s="1"/>
      <c r="L218" s="1"/>
      <c r="M218" s="1"/>
      <c r="N218" s="1"/>
      <c r="O218" s="1"/>
      <c r="P218" s="1"/>
      <c r="Q218" s="1"/>
      <c r="R218" s="1"/>
      <c r="S218" s="1"/>
      <c r="T218" s="22" t="str">
        <f t="shared" ca="1" si="24"/>
        <v>104 &amp; 304</v>
      </c>
      <c r="U218" s="22">
        <f t="shared" ref="U218:V218" ca="1" si="27">U217+1</f>
        <v>104</v>
      </c>
      <c r="V218" s="22">
        <f t="shared" ca="1" si="27"/>
        <v>304</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2" customFormat="1" ht="20.25" customHeight="1" x14ac:dyDescent="0.25">
      <c r="A219" s="85" t="s">
        <v>348</v>
      </c>
      <c r="B219" s="86"/>
      <c r="C219" s="86"/>
      <c r="D219" s="86"/>
      <c r="E219" s="86"/>
      <c r="F219" s="86"/>
      <c r="G219" s="86"/>
      <c r="H219" s="87"/>
      <c r="I219" s="78">
        <f>4+4+4+4</f>
        <v>16</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2" customFormat="1" ht="20.25" customHeight="1" x14ac:dyDescent="0.25">
      <c r="A220" s="84">
        <v>1</v>
      </c>
      <c r="B220" s="84"/>
      <c r="C220" s="52" t="s">
        <v>89</v>
      </c>
      <c r="D220" s="77" t="s">
        <v>347</v>
      </c>
      <c r="E220" s="77">
        <f>(4.35*3.1+2.1*3.35+3.1*3.35+2.1*1.2+1.2*2.45+1.2*0.9)*10.764</f>
        <v>403.05797999999999</v>
      </c>
      <c r="F220" s="77">
        <f>(0.75*(2.1+2.1+3.1))*10.764</f>
        <v>58.932900000000004</v>
      </c>
      <c r="G220" s="77">
        <v>0</v>
      </c>
      <c r="H220" s="5">
        <f>E220+F220+(IF(G220&lt;101,G220,IF(G220&lt;201,G220/2,IF(G220&lt;=301,G220/3,G220/4))))</f>
        <v>461.99088</v>
      </c>
      <c r="I220" s="78"/>
      <c r="J220" s="1"/>
      <c r="K220" s="1"/>
      <c r="L220" s="1"/>
      <c r="M220" s="1"/>
      <c r="N220" s="1"/>
      <c r="O220" s="1"/>
      <c r="P220" s="1"/>
      <c r="Q220" s="1"/>
      <c r="R220" s="1"/>
      <c r="S220" s="1"/>
      <c r="T220" s="22" t="str">
        <f ca="1">U220&amp;""&amp;" &amp; "&amp;""&amp;V220</f>
        <v>401 &amp; 2201</v>
      </c>
      <c r="U220" s="22">
        <f ca="1">(SUMPRODUCT(MID(0&amp;(LEFT(A219,SUM(LEN(A219)-LEN(SUBSTITUTE(A219,{"0","1","2","3"},""))))), LARGE(INDEX(ISNUMBER(--MID((LEFT(A219,SUM(LEN(A219)-LEN(SUBSTITUTE(A219,{"0","1","2","3"},""))))), ROW(INDIRECT("1:"&amp;LEN((LEFT(A219,SUM(LEN(A219)-LEN(SUBSTITUTE(A219,{"0","1","2","3"},"")))))))), 1)) * ROW(INDIRECT("1:"&amp;LEN((LEFT(A219,SUM(LEN(A219)-LEN(SUBSTITUTE(A219,{"0","1","2","3"},"")))))))), 0), ROW(INDIRECT("1:"&amp;LEN((LEFT(A219,SUM(LEN(A219)-LEN(SUBSTITUTE(A219,{"0","1","2","3"},"")))))))))+1, 1) * 10^ROW(INDIRECT("1:"&amp;LEN((LEFT(A219,SUM(LEN(A219)-LEN(SUBSTITUTE(A219,{"0","1","2","3"},""))))))))/10))*100+1</f>
        <v>401</v>
      </c>
      <c r="V220" s="22">
        <f ca="1">(SUMPRODUCT(MID(0&amp;(--TRIM(RIGHT(SUBSTITUTE(LEFT(A219,_xlfn.AGGREGATE(16,6,FIND({0,1,2,3,4,5,6,7,8,9},A219,ROW(INDIRECT("1:"&amp;LEN(A219)))),1))," ",REPT(" ",LEN(A219))),LEN(A219)))), LARGE(INDEX(ISNUMBER(--MID((--TRIM(RIGHT(SUBSTITUTE(LEFT(A219,_xlfn.AGGREGATE(16,6,FIND({0,1,2,3,4,5,6,7,8,9},A219,ROW(INDIRECT("1:"&amp;LEN(A219)))),1))," ",REPT(" ",LEN(A219))),LEN(A219)))), ROW(INDIRECT("1:"&amp;LEN((--TRIM(RIGHT(SUBSTITUTE(LEFT(A219,_xlfn.AGGREGATE(16,6,FIND({0,1,2,3,4,5,6,7,8,9},A219,ROW(INDIRECT("1:"&amp;LEN(A219)))),1))," ",REPT(" ",LEN(A219))),LEN(A219))))))), 1)) * ROW(INDIRECT("1:"&amp;LEN((--TRIM(RIGHT(SUBSTITUTE(LEFT(A219,_xlfn.AGGREGATE(16,6,FIND({0,1,2,3,4,5,6,7,8,9},A219,ROW(INDIRECT("1:"&amp;LEN(A219)))),1))," ",REPT(" ",LEN(A219))),LEN(A219))))))), 0), ROW(INDIRECT("1:"&amp;LEN((--TRIM(RIGHT(SUBSTITUTE(LEFT(A219,_xlfn.AGGREGATE(16,6,FIND({0,1,2,3,4,5,6,7,8,9},A219,ROW(INDIRECT("1:"&amp;LEN(A219)))),1))," ",REPT(" ",LEN(A219))),LEN(A219))))))))+1, 1) * 10^ROW(INDIRECT("1:"&amp;LEN((--TRIM(RIGHT(SUBSTITUTE(LEFT(A219,_xlfn.AGGREGATE(16,6,FIND({0,1,2,3,4,5,6,7,8,9},A219,ROW(INDIRECT("1:"&amp;LEN(A219)))),1))," ",REPT(" ",LEN(A219))),LEN(A219)))))))/10))*100+1</f>
        <v>2201</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2" customFormat="1" ht="20.25" customHeight="1" x14ac:dyDescent="0.25">
      <c r="A221" s="84">
        <v>2</v>
      </c>
      <c r="B221" s="84"/>
      <c r="C221" s="52" t="s">
        <v>89</v>
      </c>
      <c r="D221" s="77" t="s">
        <v>347</v>
      </c>
      <c r="E221" s="77">
        <f>(4.35*3.1+2.1*3.35+3.1*3.35+2.1*1.2+1.2*2.45+1.2*0.9)*10.764</f>
        <v>403.05797999999999</v>
      </c>
      <c r="F221" s="77">
        <f>(0.75*(2.1+2.1+3.1))*10.764</f>
        <v>58.932900000000004</v>
      </c>
      <c r="G221" s="77">
        <v>0</v>
      </c>
      <c r="H221" s="5">
        <f>E221+F221+(IF(G221&lt;101,G221,IF(G221&lt;201,G221/2,IF(G221&lt;=301,G221/3,G221/4))))</f>
        <v>461.99088</v>
      </c>
      <c r="I221" s="78"/>
      <c r="J221" s="1">
        <f>8400*1.55</f>
        <v>13020</v>
      </c>
      <c r="K221" s="1"/>
      <c r="L221" s="1"/>
      <c r="M221" s="1"/>
      <c r="N221" s="1"/>
      <c r="O221" s="1"/>
      <c r="P221" s="1"/>
      <c r="Q221" s="1"/>
      <c r="R221" s="1"/>
      <c r="S221" s="1"/>
      <c r="T221" s="22" t="str">
        <f t="shared" ref="T221:T226" ca="1" si="28">U221&amp;""&amp;" &amp; "&amp;""&amp;V221</f>
        <v>402 &amp; 2202</v>
      </c>
      <c r="U221" s="22">
        <f ca="1">U220+1</f>
        <v>402</v>
      </c>
      <c r="V221" s="22">
        <f ca="1">V220+1</f>
        <v>2202</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2" customFormat="1" ht="20.25" customHeight="1" x14ac:dyDescent="0.25">
      <c r="A222" s="84">
        <v>3</v>
      </c>
      <c r="B222" s="84"/>
      <c r="C222" s="52" t="s">
        <v>89</v>
      </c>
      <c r="D222" s="5" t="s">
        <v>338</v>
      </c>
      <c r="E222" s="5">
        <f>(4.7*3.1+2.4*1.2+2.1*3.65+2.75*3.65+3.4*3.1+1.2*2.1+2.1*1.52+1.2*0.9+1.1*1.1)*10.764</f>
        <v>577.96759799999995</v>
      </c>
      <c r="F222" s="5">
        <f>(0.75*(2.4+2.1+2.75+1.8))*10.764</f>
        <v>73.060649999999995</v>
      </c>
      <c r="G222" s="5">
        <v>0</v>
      </c>
      <c r="H222" s="5">
        <f t="shared" ref="H222:H223" si="29">E222+F222+(IF(G222&lt;101,G222,IF(G222&lt;201,G222/2,IF(G222&lt;=301,G222/3,G222/4))))</f>
        <v>651.02824799999996</v>
      </c>
      <c r="I222" s="78"/>
      <c r="J222" s="1"/>
      <c r="K222" s="1"/>
      <c r="L222" s="1"/>
      <c r="M222" s="1"/>
      <c r="N222" s="1"/>
      <c r="O222" s="1"/>
      <c r="P222" s="1"/>
      <c r="Q222" s="1"/>
      <c r="R222" s="1"/>
      <c r="S222" s="1"/>
      <c r="T222" s="22" t="str">
        <f t="shared" ca="1" si="28"/>
        <v>403 &amp; 2203</v>
      </c>
      <c r="U222" s="22">
        <f t="shared" ref="U222:V222" ca="1" si="30">U221+1</f>
        <v>403</v>
      </c>
      <c r="V222" s="22">
        <f t="shared" ca="1" si="30"/>
        <v>2203</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2" customFormat="1" ht="20.25" customHeight="1" x14ac:dyDescent="0.25">
      <c r="A223" s="84">
        <v>4</v>
      </c>
      <c r="B223" s="84"/>
      <c r="C223" s="52" t="s">
        <v>89</v>
      </c>
      <c r="D223" s="5" t="s">
        <v>338</v>
      </c>
      <c r="E223" s="5">
        <f>(4.7*3.1+2.4*1.2+2.1*3.65+2.75*3.65+3.4*3.1+1.2*2.1+2.1*1.52+1.2*0.9+1.1*1.1)*10.764</f>
        <v>577.96759799999995</v>
      </c>
      <c r="F223" s="5">
        <f>(0.75*(2.4+2.1+2.75+1.8))*10.764</f>
        <v>73.060649999999995</v>
      </c>
      <c r="G223" s="5">
        <v>0</v>
      </c>
      <c r="H223" s="5">
        <f t="shared" si="29"/>
        <v>651.02824799999996</v>
      </c>
      <c r="I223" s="78"/>
      <c r="J223" s="1"/>
      <c r="K223" s="1"/>
      <c r="L223" s="1"/>
      <c r="M223" s="1"/>
      <c r="N223" s="1"/>
      <c r="O223" s="1"/>
      <c r="P223" s="1"/>
      <c r="Q223" s="1"/>
      <c r="R223" s="1"/>
      <c r="S223" s="1"/>
      <c r="T223" s="22" t="str">
        <f t="shared" ca="1" si="28"/>
        <v>404 &amp; 2204</v>
      </c>
      <c r="U223" s="22">
        <f t="shared" ref="U223:V223" ca="1" si="31">U222+1</f>
        <v>404</v>
      </c>
      <c r="V223" s="22">
        <f t="shared" ca="1" si="31"/>
        <v>2204</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2" customFormat="1" ht="20.25" customHeight="1" x14ac:dyDescent="0.25">
      <c r="A224" s="84">
        <v>5</v>
      </c>
      <c r="B224" s="84"/>
      <c r="C224" s="52" t="s">
        <v>89</v>
      </c>
      <c r="D224" s="77" t="s">
        <v>347</v>
      </c>
      <c r="E224" s="77">
        <f t="shared" ref="E224:E225" si="32">(4.35*3.1+2.1*3.35+3.1*3.35+2.1*1.2+1.2*2.45+1.2*0.9)*10.764</f>
        <v>403.05797999999999</v>
      </c>
      <c r="F224" s="77">
        <f t="shared" ref="F224:F225" si="33">(0.75*(2.1+2.1+3.1))*10.764</f>
        <v>58.932900000000004</v>
      </c>
      <c r="G224" s="5">
        <v>0</v>
      </c>
      <c r="H224" s="5">
        <f>E224+F224+(IF(G224&lt;101,G224,IF(G224&lt;201,G224/2,IF(G224&lt;=301,G224/3,G224/4))))</f>
        <v>461.99088</v>
      </c>
      <c r="I224" s="78"/>
      <c r="J224" s="1">
        <f>5500000/H224</f>
        <v>11904.996912493165</v>
      </c>
      <c r="K224" s="1"/>
      <c r="L224" s="1"/>
      <c r="M224" s="1"/>
      <c r="N224" s="1"/>
      <c r="O224" s="1"/>
      <c r="P224" s="1"/>
      <c r="Q224" s="1"/>
      <c r="R224" s="1"/>
      <c r="S224" s="1"/>
      <c r="T224" s="22" t="str">
        <f t="shared" ca="1" si="28"/>
        <v>405 &amp; 2205</v>
      </c>
      <c r="U224" s="22">
        <f t="shared" ref="U224:V224" ca="1" si="34">U223+1</f>
        <v>405</v>
      </c>
      <c r="V224" s="22">
        <f t="shared" ca="1" si="34"/>
        <v>2205</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2" customFormat="1" ht="20.25" customHeight="1" x14ac:dyDescent="0.25">
      <c r="A225" s="84">
        <v>6</v>
      </c>
      <c r="B225" s="84"/>
      <c r="C225" s="52" t="s">
        <v>89</v>
      </c>
      <c r="D225" s="77" t="s">
        <v>347</v>
      </c>
      <c r="E225" s="77">
        <f t="shared" si="32"/>
        <v>403.05797999999999</v>
      </c>
      <c r="F225" s="77">
        <f t="shared" si="33"/>
        <v>58.932900000000004</v>
      </c>
      <c r="G225" s="5">
        <v>0</v>
      </c>
      <c r="H225" s="5">
        <f>E225+F225+(IF(G225&lt;101,G225,IF(G225&lt;201,G225/2,IF(G225&lt;=301,G225/3,G225/4))))</f>
        <v>461.99088</v>
      </c>
      <c r="I225" s="78"/>
      <c r="J225" s="1"/>
      <c r="K225" s="1"/>
      <c r="L225" s="1"/>
      <c r="M225" s="1"/>
      <c r="N225" s="1"/>
      <c r="O225" s="1"/>
      <c r="P225" s="1"/>
      <c r="Q225" s="1"/>
      <c r="R225" s="1"/>
      <c r="S225" s="1"/>
      <c r="T225" s="22" t="str">
        <f t="shared" ca="1" si="28"/>
        <v>406 &amp; 2206</v>
      </c>
      <c r="U225" s="22">
        <f t="shared" ref="U225:V225" ca="1" si="35">U224+1</f>
        <v>406</v>
      </c>
      <c r="V225" s="22">
        <f t="shared" ca="1" si="35"/>
        <v>2206</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2" customFormat="1" ht="20.25" customHeight="1" x14ac:dyDescent="0.25">
      <c r="A226" s="84">
        <v>7</v>
      </c>
      <c r="B226" s="84"/>
      <c r="C226" s="52" t="s">
        <v>89</v>
      </c>
      <c r="D226" s="5" t="s">
        <v>338</v>
      </c>
      <c r="E226" s="5">
        <f t="shared" ref="E226:E227" si="36">(4.7*3.1+2.4*1.2+2.1*3.65+2.75*3.65+3.4*3.1+1.2*2.1+2.1*1.52+1.2*0.9+1.1*1.1)*10.764</f>
        <v>577.96759799999995</v>
      </c>
      <c r="F226" s="5">
        <f t="shared" ref="F226:F227" si="37">(0.75*(2.4+2.1+2.75+1.8))*10.764</f>
        <v>73.060649999999995</v>
      </c>
      <c r="G226" s="5">
        <v>0</v>
      </c>
      <c r="H226" s="5">
        <f t="shared" ref="H226:H227" si="38">E226+F226+(IF(G226&lt;101,G226,IF(G226&lt;201,G226/2,IF(G226&lt;=301,G226/3,G226/4))))</f>
        <v>651.02824799999996</v>
      </c>
      <c r="I226" s="78"/>
      <c r="J226" s="1"/>
      <c r="K226" s="1"/>
      <c r="L226" s="1"/>
      <c r="M226" s="1"/>
      <c r="N226" s="1"/>
      <c r="O226" s="1"/>
      <c r="P226" s="1"/>
      <c r="Q226" s="1"/>
      <c r="R226" s="1"/>
      <c r="S226" s="1"/>
      <c r="T226" s="22" t="str">
        <f t="shared" ca="1" si="28"/>
        <v>407 &amp; 2207</v>
      </c>
      <c r="U226" s="22">
        <f t="shared" ref="U226:V227" ca="1" si="39">U225+1</f>
        <v>407</v>
      </c>
      <c r="V226" s="22">
        <f t="shared" ca="1" si="39"/>
        <v>2207</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2" customFormat="1" ht="20.25" customHeight="1" x14ac:dyDescent="0.25">
      <c r="A227" s="84">
        <v>8</v>
      </c>
      <c r="B227" s="84"/>
      <c r="C227" s="52" t="s">
        <v>89</v>
      </c>
      <c r="D227" s="5" t="s">
        <v>338</v>
      </c>
      <c r="E227" s="5">
        <f t="shared" si="36"/>
        <v>577.96759799999995</v>
      </c>
      <c r="F227" s="5">
        <f t="shared" si="37"/>
        <v>73.060649999999995</v>
      </c>
      <c r="G227" s="5">
        <v>0</v>
      </c>
      <c r="H227" s="5">
        <f t="shared" si="38"/>
        <v>651.02824799999996</v>
      </c>
      <c r="I227" s="78"/>
      <c r="J227" s="1"/>
      <c r="K227" s="1"/>
      <c r="L227" s="1"/>
      <c r="M227" s="1"/>
      <c r="N227" s="1"/>
      <c r="O227" s="1"/>
      <c r="P227" s="1"/>
      <c r="Q227" s="1"/>
      <c r="R227" s="1"/>
      <c r="S227" s="1"/>
      <c r="T227" s="22" t="str">
        <f t="shared" ref="T227" ca="1" si="40">U227&amp;""&amp;" &amp; "&amp;""&amp;V227</f>
        <v>408 &amp; 2208</v>
      </c>
      <c r="U227" s="22">
        <f t="shared" ca="1" si="39"/>
        <v>408</v>
      </c>
      <c r="V227" s="22">
        <f t="shared" ca="1" si="39"/>
        <v>2208</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2" customFormat="1" ht="20.25" customHeight="1" x14ac:dyDescent="0.25">
      <c r="A228" s="85" t="s">
        <v>349</v>
      </c>
      <c r="B228" s="86"/>
      <c r="C228" s="86"/>
      <c r="D228" s="86"/>
      <c r="E228" s="86"/>
      <c r="F228" s="86"/>
      <c r="G228" s="86"/>
      <c r="H228" s="87"/>
      <c r="I228" s="78">
        <f>3</f>
        <v>3</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2" customFormat="1" ht="20.25" customHeight="1" x14ac:dyDescent="0.25">
      <c r="A229" s="84">
        <v>1</v>
      </c>
      <c r="B229" s="84"/>
      <c r="C229" s="52" t="s">
        <v>89</v>
      </c>
      <c r="D229" s="5" t="s">
        <v>347</v>
      </c>
      <c r="E229" s="5">
        <f>(4.35*3.1+2.1*3.35+3.1*3.35+2.1*1.2+1.2*2.45+1.2*0.9)*10.764</f>
        <v>403.05797999999999</v>
      </c>
      <c r="F229" s="5">
        <f>(0.75*(2.1+2.1+2.75))*10.764</f>
        <v>56.107350000000004</v>
      </c>
      <c r="G229" s="5">
        <v>0</v>
      </c>
      <c r="H229" s="5">
        <f>E229+F229+(IF(G229&lt;101,G229,IF(G229&lt;201,G229/2,IF(G229&lt;=301,G229/3,G229/4))))</f>
        <v>459.16532999999998</v>
      </c>
      <c r="I229" s="78"/>
      <c r="J229" s="1"/>
      <c r="K229" s="1"/>
      <c r="L229" s="1"/>
      <c r="M229" s="1"/>
      <c r="N229" s="1"/>
      <c r="O229" s="1"/>
      <c r="P229" s="1"/>
      <c r="Q229" s="1"/>
      <c r="R229" s="1"/>
      <c r="S229" s="1"/>
      <c r="T229" s="22" t="str">
        <f ca="1">U229&amp;""&amp;" &amp; "&amp;""&amp;V229</f>
        <v>801 &amp; 1801</v>
      </c>
      <c r="U229" s="22">
        <f ca="1">(SUMPRODUCT(MID(0&amp;(LEFT(A228,SUM(LEN(A228)-LEN(SUBSTITUTE(A228,{"0","1","2","3"},""))))), LARGE(INDEX(ISNUMBER(--MID((LEFT(A228,SUM(LEN(A228)-LEN(SUBSTITUTE(A228,{"0","1","2","3"},""))))), ROW(INDIRECT("1:"&amp;LEN((LEFT(A228,SUM(LEN(A228)-LEN(SUBSTITUTE(A228,{"0","1","2","3"},"")))))))), 1)) * ROW(INDIRECT("1:"&amp;LEN((LEFT(A228,SUM(LEN(A228)-LEN(SUBSTITUTE(A228,{"0","1","2","3"},"")))))))), 0), ROW(INDIRECT("1:"&amp;LEN((LEFT(A228,SUM(LEN(A228)-LEN(SUBSTITUTE(A228,{"0","1","2","3"},"")))))))))+1, 1) * 10^ROW(INDIRECT("1:"&amp;LEN((LEFT(A228,SUM(LEN(A228)-LEN(SUBSTITUTE(A228,{"0","1","2","3"},""))))))))/10))*100+1</f>
        <v>801</v>
      </c>
      <c r="V229" s="22">
        <f ca="1">(SUMPRODUCT(MID(0&amp;(--TRIM(RIGHT(SUBSTITUTE(LEFT(A228,_xlfn.AGGREGATE(16,6,FIND({0,1,2,3,4,5,6,7,8,9},A228,ROW(INDIRECT("1:"&amp;LEN(A228)))),1)),"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",LEN(A228))),LEN(A228)))))))/10))*100+1</f>
        <v>1801</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2" customFormat="1" ht="20.25" customHeight="1" x14ac:dyDescent="0.25">
      <c r="A230" s="84">
        <v>2</v>
      </c>
      <c r="B230" s="84"/>
      <c r="C230" s="52" t="s">
        <v>89</v>
      </c>
      <c r="D230" s="5" t="s">
        <v>347</v>
      </c>
      <c r="E230" s="5">
        <f>(4.35*3.1+2.1*3.35+3.1*3.35+2.1*1.2+1.2*2.45+1.2*0.9)*10.764</f>
        <v>403.05797999999999</v>
      </c>
      <c r="F230" s="5">
        <f>(0.75*(2.1+2.1+2.75))*10.764</f>
        <v>56.107350000000004</v>
      </c>
      <c r="G230" s="5">
        <v>0</v>
      </c>
      <c r="H230" s="5">
        <f>E230+F230+(IF(G230&lt;101,G230,IF(G230&lt;201,G230/2,IF(G230&lt;=301,G230/3,G230/4))))</f>
        <v>459.16532999999998</v>
      </c>
      <c r="I230" s="78"/>
      <c r="J230" s="1"/>
      <c r="K230" s="1"/>
      <c r="L230" s="1"/>
      <c r="M230" s="1"/>
      <c r="N230" s="1"/>
      <c r="O230" s="1"/>
      <c r="P230" s="1"/>
      <c r="Q230" s="1"/>
      <c r="R230" s="1"/>
      <c r="S230" s="1"/>
      <c r="T230" s="22" t="str">
        <f t="shared" ref="T230:T236" ca="1" si="41">U230&amp;""&amp;" &amp; "&amp;""&amp;V230</f>
        <v>802 &amp; 1802</v>
      </c>
      <c r="U230" s="22">
        <f ca="1">U229+1</f>
        <v>802</v>
      </c>
      <c r="V230" s="22">
        <f ca="1">V229+1</f>
        <v>1802</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2" customFormat="1" ht="20.25" customHeight="1" x14ac:dyDescent="0.25">
      <c r="A231" s="84">
        <v>3</v>
      </c>
      <c r="B231" s="84"/>
      <c r="C231" s="52" t="s">
        <v>89</v>
      </c>
      <c r="D231" s="5" t="s">
        <v>338</v>
      </c>
      <c r="E231" s="5">
        <f>(4.7*3.1+2.4*1.2+2.1*3.65+2.75*3.65+3.4*3.1+1.2*2.1+2.1*1.52+1.2*0.9)*10.764</f>
        <v>564.94315799999993</v>
      </c>
      <c r="F231" s="5">
        <f>(0.75*(2.4+2.1+2.75+1.8))*10.764</f>
        <v>73.060649999999995</v>
      </c>
      <c r="G231" s="5">
        <v>0</v>
      </c>
      <c r="H231" s="5">
        <f t="shared" ref="H231:H232" si="42">E231+F231+(IF(G231&lt;101,G231,IF(G231&lt;201,G231/2,IF(G231&lt;=301,G231/3,G231/4))))</f>
        <v>638.00380799999994</v>
      </c>
      <c r="I231" s="78"/>
      <c r="J231" s="1"/>
      <c r="K231" s="1"/>
      <c r="L231" s="1"/>
      <c r="M231" s="1"/>
      <c r="N231" s="1"/>
      <c r="O231" s="1"/>
      <c r="P231" s="1"/>
      <c r="Q231" s="1"/>
      <c r="R231" s="1"/>
      <c r="S231" s="1"/>
      <c r="T231" s="22" t="str">
        <f t="shared" ca="1" si="41"/>
        <v>803 &amp; 1803</v>
      </c>
      <c r="U231" s="22">
        <f t="shared" ref="U231:V231" ca="1" si="43">U230+1</f>
        <v>803</v>
      </c>
      <c r="V231" s="22">
        <f t="shared" ca="1" si="43"/>
        <v>1803</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2" customFormat="1" ht="20.25" customHeight="1" x14ac:dyDescent="0.25">
      <c r="A232" s="84">
        <v>4</v>
      </c>
      <c r="B232" s="84"/>
      <c r="C232" s="52" t="s">
        <v>89</v>
      </c>
      <c r="D232" s="5" t="s">
        <v>338</v>
      </c>
      <c r="E232" s="5">
        <f>(4.7*3.1+2.4*1.2+2.1*3.65+2.75*3.65+3.4*3.1+1.2*2.1+2.1*1.52+1.2*0.9)*10.764</f>
        <v>564.94315799999993</v>
      </c>
      <c r="F232" s="5">
        <f>(0.75*(2.4+2.1+2.75+1.8))*10.764</f>
        <v>73.060649999999995</v>
      </c>
      <c r="G232" s="5">
        <v>0</v>
      </c>
      <c r="H232" s="5">
        <f t="shared" si="42"/>
        <v>638.00380799999994</v>
      </c>
      <c r="I232" s="78"/>
      <c r="J232" s="1"/>
      <c r="K232" s="1"/>
      <c r="L232" s="1"/>
      <c r="M232" s="1"/>
      <c r="N232" s="1"/>
      <c r="O232" s="1"/>
      <c r="P232" s="1"/>
      <c r="Q232" s="1"/>
      <c r="R232" s="1"/>
      <c r="S232" s="1"/>
      <c r="T232" s="22" t="str">
        <f t="shared" ca="1" si="41"/>
        <v>804 &amp; 1804</v>
      </c>
      <c r="U232" s="22">
        <f t="shared" ref="U232:V232" ca="1" si="44">U231+1</f>
        <v>804</v>
      </c>
      <c r="V232" s="22">
        <f t="shared" ca="1" si="44"/>
        <v>1804</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2" customFormat="1" ht="20.25" customHeight="1" x14ac:dyDescent="0.25">
      <c r="A233" s="84" t="s">
        <v>335</v>
      </c>
      <c r="B233" s="84"/>
      <c r="C233" s="52" t="s">
        <v>335</v>
      </c>
      <c r="D233" s="88" t="s">
        <v>345</v>
      </c>
      <c r="E233" s="89"/>
      <c r="F233" s="89"/>
      <c r="G233" s="89"/>
      <c r="H233" s="90"/>
      <c r="I233" s="78"/>
      <c r="J233" s="1"/>
      <c r="K233" s="1"/>
      <c r="L233" s="1"/>
      <c r="M233" s="1"/>
      <c r="N233" s="1"/>
      <c r="O233" s="1"/>
      <c r="P233" s="1"/>
      <c r="Q233" s="1"/>
      <c r="R233" s="1"/>
      <c r="S233" s="1"/>
      <c r="T233" s="22" t="str">
        <f t="shared" ca="1" si="41"/>
        <v>805 &amp; 1805</v>
      </c>
      <c r="U233" s="22">
        <f t="shared" ref="U233:V233" ca="1" si="45">U232+1</f>
        <v>805</v>
      </c>
      <c r="V233" s="22">
        <f t="shared" ca="1" si="45"/>
        <v>1805</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2" customFormat="1" ht="20.25" customHeight="1" x14ac:dyDescent="0.25">
      <c r="A234" s="84">
        <v>5</v>
      </c>
      <c r="B234" s="84"/>
      <c r="C234" s="52" t="s">
        <v>89</v>
      </c>
      <c r="D234" s="5" t="s">
        <v>347</v>
      </c>
      <c r="E234" s="5">
        <f>(4.35*3.1+2.1*3.35+3.1*3.35+2.1*1.2+1.2*2.45+1.2*0.9)*10.764</f>
        <v>403.05797999999999</v>
      </c>
      <c r="F234" s="5">
        <f>(0.75*(2.1+2.1+3.1))*10.764</f>
        <v>58.932900000000004</v>
      </c>
      <c r="G234" s="5">
        <v>0</v>
      </c>
      <c r="H234" s="5">
        <f>E234+F234+(IF(G234&lt;101,G234,IF(G234&lt;201,G234/2,IF(G234&lt;=301,G234/3,G234/4))))</f>
        <v>461.99088</v>
      </c>
      <c r="I234" s="78"/>
      <c r="J234" s="1"/>
      <c r="K234" s="1"/>
      <c r="L234" s="1"/>
      <c r="M234" s="1"/>
      <c r="N234" s="1"/>
      <c r="O234" s="1"/>
      <c r="P234" s="1"/>
      <c r="Q234" s="1"/>
      <c r="R234" s="1"/>
      <c r="S234" s="1"/>
      <c r="T234" s="22" t="str">
        <f t="shared" ca="1" si="41"/>
        <v>806 &amp; 1806</v>
      </c>
      <c r="U234" s="22">
        <f t="shared" ref="U234:V234" ca="1" si="46">U233+1</f>
        <v>806</v>
      </c>
      <c r="V234" s="22">
        <f t="shared" ca="1" si="46"/>
        <v>1806</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2" customFormat="1" ht="20.25" customHeight="1" x14ac:dyDescent="0.25">
      <c r="A235" s="84">
        <v>6</v>
      </c>
      <c r="B235" s="84"/>
      <c r="C235" s="52" t="s">
        <v>89</v>
      </c>
      <c r="D235" s="5" t="s">
        <v>338</v>
      </c>
      <c r="E235" s="5">
        <f>(4.7*3.1+2.4*1.2+2.1*3.65+2.75*3.65+3.4*3.1+1.2*2.1+2.1*1.52+1.2*0.9)*10.764</f>
        <v>564.94315799999993</v>
      </c>
      <c r="F235" s="5">
        <f>(0.75*(2.4+2.1+2.75+1.8))*10.764</f>
        <v>73.060649999999995</v>
      </c>
      <c r="G235" s="5">
        <v>0</v>
      </c>
      <c r="H235" s="5">
        <f t="shared" ref="H235:H236" si="47">E235+F235+(IF(G235&lt;101,G235,IF(G235&lt;201,G235/2,IF(G235&lt;=301,G235/3,G235/4))))</f>
        <v>638.00380799999994</v>
      </c>
      <c r="I235" s="78"/>
      <c r="J235" s="1"/>
      <c r="K235" s="1"/>
      <c r="L235" s="1"/>
      <c r="M235" s="1"/>
      <c r="N235" s="1"/>
      <c r="O235" s="1"/>
      <c r="P235" s="1"/>
      <c r="Q235" s="1"/>
      <c r="R235" s="1"/>
      <c r="S235" s="1"/>
      <c r="T235" s="22" t="str">
        <f t="shared" ca="1" si="41"/>
        <v>807 &amp; 1807</v>
      </c>
      <c r="U235" s="22">
        <f t="shared" ref="U235:V235" ca="1" si="48">U234+1</f>
        <v>807</v>
      </c>
      <c r="V235" s="22">
        <f t="shared" ca="1" si="48"/>
        <v>1807</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2" customFormat="1" ht="20.25" customHeight="1" x14ac:dyDescent="0.25">
      <c r="A236" s="84">
        <v>7</v>
      </c>
      <c r="B236" s="84"/>
      <c r="C236" s="52" t="s">
        <v>89</v>
      </c>
      <c r="D236" s="5" t="s">
        <v>338</v>
      </c>
      <c r="E236" s="5">
        <f>(4.7*3.1+2.4*1.2+2.1*3.65+2.75*3.65+3.4*3.1+1.2*2.1+2.1*1.52+1.2*0.9)*10.764</f>
        <v>564.94315799999993</v>
      </c>
      <c r="F236" s="5">
        <f>(0.75*(2.4+2.1+2.75+1.8))*10.764</f>
        <v>73.060649999999995</v>
      </c>
      <c r="G236" s="5">
        <v>0</v>
      </c>
      <c r="H236" s="5">
        <f t="shared" si="47"/>
        <v>638.00380799999994</v>
      </c>
      <c r="I236" s="78"/>
      <c r="J236" s="1"/>
      <c r="K236" s="1"/>
      <c r="L236" s="1"/>
      <c r="M236" s="1"/>
      <c r="N236" s="1"/>
      <c r="O236" s="1"/>
      <c r="P236" s="1"/>
      <c r="Q236" s="1"/>
      <c r="R236" s="1"/>
      <c r="S236" s="1"/>
      <c r="T236" s="22" t="str">
        <f t="shared" ca="1" si="41"/>
        <v>808 &amp; 1808</v>
      </c>
      <c r="U236" s="22">
        <f t="shared" ref="U236:V236" ca="1" si="49">U235+1</f>
        <v>808</v>
      </c>
      <c r="V236" s="22">
        <f t="shared" ca="1" si="49"/>
        <v>1808</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2" customFormat="1" ht="20.25" x14ac:dyDescent="0.25">
      <c r="A237" s="85" t="s">
        <v>325</v>
      </c>
      <c r="B237" s="86"/>
      <c r="C237" s="86"/>
      <c r="D237" s="86"/>
      <c r="E237" s="86"/>
      <c r="F237" s="86"/>
      <c r="G237" s="86"/>
      <c r="H237" s="87"/>
      <c r="I237" s="78"/>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2" customFormat="1" ht="20.25" customHeight="1" x14ac:dyDescent="0.25">
      <c r="A238" s="85" t="s">
        <v>350</v>
      </c>
      <c r="B238" s="86"/>
      <c r="C238" s="86"/>
      <c r="D238" s="86"/>
      <c r="E238" s="86"/>
      <c r="F238" s="86"/>
      <c r="G238" s="86"/>
      <c r="H238" s="87"/>
      <c r="I238" s="78"/>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2" customFormat="1" ht="20.25" customHeight="1" x14ac:dyDescent="0.25">
      <c r="A239" s="85" t="s">
        <v>346</v>
      </c>
      <c r="B239" s="86"/>
      <c r="C239" s="86"/>
      <c r="D239" s="86"/>
      <c r="E239" s="86"/>
      <c r="F239" s="86"/>
      <c r="G239" s="86"/>
      <c r="H239" s="87"/>
      <c r="I239" s="78">
        <f>3</f>
        <v>3</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2" customFormat="1" ht="20.25" customHeight="1" x14ac:dyDescent="0.25">
      <c r="A240" s="84" t="s">
        <v>96</v>
      </c>
      <c r="B240" s="84"/>
      <c r="C240" s="52" t="s">
        <v>335</v>
      </c>
      <c r="D240" s="93" t="s">
        <v>340</v>
      </c>
      <c r="E240" s="94"/>
      <c r="F240" s="94"/>
      <c r="G240" s="94"/>
      <c r="H240" s="95"/>
      <c r="I240" s="78"/>
      <c r="J240" s="1"/>
      <c r="K240" s="1"/>
      <c r="L240" s="1"/>
      <c r="M240" s="1"/>
      <c r="N240" s="1"/>
      <c r="O240" s="1"/>
      <c r="P240" s="1"/>
      <c r="Q240" s="1"/>
      <c r="R240" s="1"/>
      <c r="S240" s="1"/>
      <c r="T240" s="22" t="str">
        <f ca="1">U240&amp;""&amp;" &amp; "&amp;""&amp;V240</f>
        <v>105 &amp; 305</v>
      </c>
      <c r="U240" s="22">
        <f ca="1">U246+1</f>
        <v>105</v>
      </c>
      <c r="V240" s="22">
        <f ca="1">V246+1</f>
        <v>305</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2" customFormat="1" ht="20.25" customHeight="1" x14ac:dyDescent="0.25">
      <c r="A241" s="84" t="s">
        <v>96</v>
      </c>
      <c r="B241" s="84"/>
      <c r="C241" s="52" t="s">
        <v>335</v>
      </c>
      <c r="D241" s="96"/>
      <c r="E241" s="97"/>
      <c r="F241" s="97"/>
      <c r="G241" s="97"/>
      <c r="H241" s="98"/>
      <c r="I241" s="78"/>
      <c r="J241" s="1"/>
      <c r="K241" s="1"/>
      <c r="L241" s="1"/>
      <c r="M241" s="1"/>
      <c r="N241" s="1"/>
      <c r="O241" s="1"/>
      <c r="P241" s="1"/>
      <c r="Q241" s="1"/>
      <c r="R241" s="1"/>
      <c r="S241" s="1"/>
      <c r="T241" s="22" t="str">
        <f ca="1">U241&amp;""&amp;" &amp; "&amp;""&amp;V241</f>
        <v>106 &amp; 306</v>
      </c>
      <c r="U241" s="22">
        <f t="shared" ref="U241:V241" ca="1" si="50">U240+1</f>
        <v>106</v>
      </c>
      <c r="V241" s="22">
        <f t="shared" ca="1" si="50"/>
        <v>306</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2" customFormat="1" ht="20.25" customHeight="1" x14ac:dyDescent="0.25">
      <c r="A242" s="84" t="s">
        <v>96</v>
      </c>
      <c r="B242" s="84"/>
      <c r="C242" s="52" t="s">
        <v>335</v>
      </c>
      <c r="D242" s="99"/>
      <c r="E242" s="100"/>
      <c r="F242" s="100"/>
      <c r="G242" s="100"/>
      <c r="H242" s="101"/>
      <c r="I242" s="78"/>
      <c r="J242" s="1"/>
      <c r="K242" s="1"/>
      <c r="L242" s="1"/>
      <c r="M242" s="1"/>
      <c r="N242" s="1"/>
      <c r="O242" s="1"/>
      <c r="P242" s="1"/>
      <c r="Q242" s="1"/>
      <c r="R242" s="1"/>
      <c r="S242" s="1"/>
      <c r="T242" s="22" t="str">
        <f ca="1">U242&amp;""&amp;" &amp; "&amp;""&amp;V242</f>
        <v>107 &amp; 307</v>
      </c>
      <c r="U242" s="22">
        <f t="shared" ref="U242:V242" ca="1" si="51">U241+1</f>
        <v>107</v>
      </c>
      <c r="V242" s="22">
        <f t="shared" ca="1" si="51"/>
        <v>307</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2" customFormat="1" ht="20.25" customHeight="1" x14ac:dyDescent="0.25">
      <c r="A243" s="84">
        <v>1</v>
      </c>
      <c r="B243" s="84"/>
      <c r="C243" s="52" t="s">
        <v>89</v>
      </c>
      <c r="D243" s="52" t="s">
        <v>338</v>
      </c>
      <c r="E243" s="71">
        <f>(4.7*3.1+2.4*1.2+2.1*3.65+2.75*3.65+3.4*3.1+2.1*1.52+1.2*2.1+1.2*0.9+0.9*2)*10.764</f>
        <v>584.31835799999988</v>
      </c>
      <c r="F243" s="5">
        <f>(0.75*(2.4+2.1+2.75+1.8))*10.764</f>
        <v>73.060649999999995</v>
      </c>
      <c r="G243" s="5">
        <v>0</v>
      </c>
      <c r="H243" s="5">
        <f>E243+F243+(IF(G243&lt;101,G243,IF(G243&lt;201,G243/2,IF(G243&lt;=301,G243/3,G243/4))))</f>
        <v>657.37900799999989</v>
      </c>
      <c r="I243" s="78"/>
      <c r="J243" s="1"/>
      <c r="K243" s="1"/>
      <c r="L243" s="1"/>
      <c r="M243" s="1"/>
      <c r="N243" s="1"/>
      <c r="O243" s="1"/>
      <c r="P243" s="1"/>
      <c r="Q243" s="1"/>
      <c r="R243" s="1"/>
      <c r="S243" s="1"/>
      <c r="T243" s="22" t="str">
        <f ca="1">U243&amp;""&amp;" &amp; "&amp;""&amp;V243</f>
        <v>101 &amp; 301</v>
      </c>
      <c r="U243" s="22">
        <f ca="1">(SUMPRODUCT(MID(0&amp;(LEFT(A239,SUM(LEN(A239)-LEN(SUBSTITUTE(A239,{"0","1","2","3"},""))))), LARGE(INDEX(ISNUMBER(--MID((LEFT(A239,SUM(LEN(A239)-LEN(SUBSTITUTE(A239,{"0","1","2","3"},""))))), ROW(INDIRECT("1:"&amp;LEN((LEFT(A239,SUM(LEN(A239)-LEN(SUBSTITUTE(A239,{"0","1","2","3"},"")))))))), 1)) * ROW(INDIRECT("1:"&amp;LEN((LEFT(A239,SUM(LEN(A239)-LEN(SUBSTITUTE(A239,{"0","1","2","3"},"")))))))), 0), ROW(INDIRECT("1:"&amp;LEN((LEFT(A239,SUM(LEN(A239)-LEN(SUBSTITUTE(A239,{"0","1","2","3"},"")))))))))+1, 1) * 10^ROW(INDIRECT("1:"&amp;LEN((LEFT(A239,SUM(LEN(A239)-LEN(SUBSTITUTE(A239,{"0","1","2","3"},""))))))))/10))*100+1</f>
        <v>101</v>
      </c>
      <c r="V243" s="22">
        <f ca="1">(SUMPRODUCT(MID(0&amp;(--TRIM(RIGHT(SUBSTITUTE(LEFT(A239,_xlfn.AGGREGATE(16,6,FIND({0,1,2,3,4,5,6,7,8,9},A239,ROW(INDIRECT("1:"&amp;LEN(A239)))),1))," ",REPT(" ",LEN(A239))),LEN(A239)))), LARGE(INDEX(ISNUMBER(--MID((--TRIM(RIGHT(SUBSTITUTE(LEFT(A239,_xlfn.AGGREGATE(16,6,FIND({0,1,2,3,4,5,6,7,8,9},A239,ROW(INDIRECT("1:"&amp;LEN(A239)))),1))," ",REPT(" ",LEN(A239))),LEN(A239)))), ROW(INDIRECT("1:"&amp;LEN((--TRIM(RIGHT(SUBSTITUTE(LEFT(A239,_xlfn.AGGREGATE(16,6,FIND({0,1,2,3,4,5,6,7,8,9},A239,ROW(INDIRECT("1:"&amp;LEN(A239)))),1))," ",REPT(" ",LEN(A239))),LEN(A239))))))), 1)) * ROW(INDIRECT("1:"&amp;LEN((--TRIM(RIGHT(SUBSTITUTE(LEFT(A239,_xlfn.AGGREGATE(16,6,FIND({0,1,2,3,4,5,6,7,8,9},A239,ROW(INDIRECT("1:"&amp;LEN(A239)))),1))," ",REPT(" ",LEN(A239))),LEN(A239))))))), 0), ROW(INDIRECT("1:"&amp;LEN((--TRIM(RIGHT(SUBSTITUTE(LEFT(A239,_xlfn.AGGREGATE(16,6,FIND({0,1,2,3,4,5,6,7,8,9},A239,ROW(INDIRECT("1:"&amp;LEN(A239)))),1))," ",REPT(" ",LEN(A239))),LEN(A239))))))))+1, 1) * 10^ROW(INDIRECT("1:"&amp;LEN((--TRIM(RIGHT(SUBSTITUTE(LEFT(A239,_xlfn.AGGREGATE(16,6,FIND({0,1,2,3,4,5,6,7,8,9},A239,ROW(INDIRECT("1:"&amp;LEN(A239)))),1))," ",REPT(" ",LEN(A239))),LEN(A239)))))))/10))*100+1</f>
        <v>301</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2" customFormat="1" ht="20.25" customHeight="1" x14ac:dyDescent="0.25">
      <c r="A244" s="84">
        <v>2</v>
      </c>
      <c r="B244" s="84"/>
      <c r="C244" s="52" t="s">
        <v>89</v>
      </c>
      <c r="D244" s="52" t="s">
        <v>347</v>
      </c>
      <c r="E244" s="71">
        <f>(4.35*3.1+2.1*3.35+3.1*3.35+2.1*1.2+1.2*2.45+1.2*0.9)*10.764</f>
        <v>403.05797999999999</v>
      </c>
      <c r="F244" s="5">
        <f>(0.75*(2.1+2.1+3.1))*10.764</f>
        <v>58.932900000000004</v>
      </c>
      <c r="G244" s="5">
        <v>0</v>
      </c>
      <c r="H244" s="5">
        <f>E244+F244+(IF(G244&lt;101,G244,IF(G244&lt;201,G244/2,IF(G244&lt;=301,G244/3,G244/4))))</f>
        <v>461.99088</v>
      </c>
      <c r="I244" s="78"/>
      <c r="J244" s="1"/>
      <c r="K244" s="1"/>
      <c r="L244" s="1"/>
      <c r="M244" s="1"/>
      <c r="N244" s="1"/>
      <c r="O244" s="1"/>
      <c r="P244" s="1"/>
      <c r="Q244" s="1"/>
      <c r="R244" s="1"/>
      <c r="S244" s="1"/>
      <c r="T244" s="22" t="str">
        <f t="shared" ref="T244:T246" ca="1" si="52">U244&amp;""&amp;" &amp; "&amp;""&amp;V244</f>
        <v>102 &amp; 302</v>
      </c>
      <c r="U244" s="22">
        <f ca="1">U243+1</f>
        <v>102</v>
      </c>
      <c r="V244" s="22">
        <f ca="1">V243+1</f>
        <v>302</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2" customFormat="1" ht="20.25" customHeight="1" x14ac:dyDescent="0.25">
      <c r="A245" s="84">
        <v>3</v>
      </c>
      <c r="B245" s="84"/>
      <c r="C245" s="52" t="s">
        <v>89</v>
      </c>
      <c r="D245" s="52" t="s">
        <v>347</v>
      </c>
      <c r="E245" s="71">
        <f>(4.35*3.1+2.1*3.35+3.1*3.35+2.1*1.2+1.2*2.45+1.2*0.9)*10.764</f>
        <v>403.05797999999999</v>
      </c>
      <c r="F245" s="5">
        <f>(0.75*(2.1+2.1+3.1))*10.764</f>
        <v>58.932900000000004</v>
      </c>
      <c r="G245" s="5">
        <v>0</v>
      </c>
      <c r="H245" s="5">
        <f t="shared" ref="H245:H246" si="53">E245+F245+(IF(G245&lt;101,G245,IF(G245&lt;201,G245/2,IF(G245&lt;=301,G245/3,G245/4))))</f>
        <v>461.99088</v>
      </c>
      <c r="I245" s="78"/>
      <c r="J245" s="1"/>
      <c r="K245" s="1"/>
      <c r="L245" s="1"/>
      <c r="M245" s="1"/>
      <c r="N245" s="1"/>
      <c r="O245" s="1"/>
      <c r="P245" s="1"/>
      <c r="Q245" s="1"/>
      <c r="R245" s="1"/>
      <c r="S245" s="1"/>
      <c r="T245" s="22" t="str">
        <f t="shared" ca="1" si="52"/>
        <v>103 &amp; 303</v>
      </c>
      <c r="U245" s="22">
        <f t="shared" ref="U245:V245" ca="1" si="54">U244+1</f>
        <v>103</v>
      </c>
      <c r="V245" s="22">
        <f t="shared" ca="1" si="54"/>
        <v>303</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2" customFormat="1" ht="20.25" customHeight="1" x14ac:dyDescent="0.25">
      <c r="A246" s="84">
        <v>4</v>
      </c>
      <c r="B246" s="84"/>
      <c r="C246" s="52" t="s">
        <v>89</v>
      </c>
      <c r="D246" s="52" t="s">
        <v>338</v>
      </c>
      <c r="E246" s="71">
        <f>(4.7*3.1+2.4*1.2+2.1*3.65+2.75*3.65+3.4*3.1+2.1*1.52+1.2*2.1+1.2*0.9+0.9*2)*10.764</f>
        <v>584.31835799999988</v>
      </c>
      <c r="F246" s="5">
        <f>(0.75*(2.4+2.1+2.75+1.8))*10.764</f>
        <v>73.060649999999995</v>
      </c>
      <c r="G246" s="5">
        <v>0</v>
      </c>
      <c r="H246" s="5">
        <f t="shared" si="53"/>
        <v>657.37900799999989</v>
      </c>
      <c r="I246" s="78"/>
      <c r="J246" s="1"/>
      <c r="K246" s="1"/>
      <c r="L246" s="1"/>
      <c r="M246" s="1"/>
      <c r="N246" s="1"/>
      <c r="O246" s="1"/>
      <c r="P246" s="1"/>
      <c r="Q246" s="1"/>
      <c r="R246" s="1"/>
      <c r="S246" s="1"/>
      <c r="T246" s="22" t="str">
        <f t="shared" ca="1" si="52"/>
        <v>104 &amp; 304</v>
      </c>
      <c r="U246" s="22">
        <f t="shared" ref="U246:V246" ca="1" si="55">U245+1</f>
        <v>104</v>
      </c>
      <c r="V246" s="22">
        <f t="shared" ca="1" si="55"/>
        <v>304</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2" customFormat="1" ht="20.25" customHeight="1" x14ac:dyDescent="0.25">
      <c r="A247" s="85" t="s">
        <v>348</v>
      </c>
      <c r="B247" s="86"/>
      <c r="C247" s="86"/>
      <c r="D247" s="86"/>
      <c r="E247" s="86"/>
      <c r="F247" s="86"/>
      <c r="G247" s="86"/>
      <c r="H247" s="87"/>
      <c r="I247" s="78">
        <f>4+4+4+4</f>
        <v>16</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2" customFormat="1" ht="20.25" customHeight="1" x14ac:dyDescent="0.25">
      <c r="A248" s="84">
        <v>1</v>
      </c>
      <c r="B248" s="84"/>
      <c r="C248" s="52" t="s">
        <v>89</v>
      </c>
      <c r="D248" s="77" t="s">
        <v>347</v>
      </c>
      <c r="E248" s="77">
        <f>(4.35*3.1+2.1*3.35+3.1*3.35+2.1*1.2+1.2*2.45+1.2*0.9)*10.764</f>
        <v>403.05797999999999</v>
      </c>
      <c r="F248" s="77">
        <f>(0.75*(2.1+2.1+3.1))*10.764</f>
        <v>58.932900000000004</v>
      </c>
      <c r="G248" s="77">
        <v>0</v>
      </c>
      <c r="H248" s="5">
        <f>E248+F248+(IF(G248&lt;101,G248,IF(G248&lt;201,G248/2,IF(G248&lt;=301,G248/3,G248/4))))</f>
        <v>461.99088</v>
      </c>
      <c r="I248" s="78"/>
      <c r="J248" s="1"/>
      <c r="K248" s="1"/>
      <c r="L248" s="1"/>
      <c r="M248" s="1"/>
      <c r="N248" s="1"/>
      <c r="O248" s="1"/>
      <c r="P248" s="1"/>
      <c r="Q248" s="1"/>
      <c r="R248" s="1"/>
      <c r="S248" s="1"/>
      <c r="T248" s="22" t="str">
        <f ca="1">U248&amp;""&amp;" &amp; "&amp;""&amp;V248</f>
        <v>401 &amp; 2201</v>
      </c>
      <c r="U248" s="22">
        <f ca="1">(SUMPRODUCT(MID(0&amp;(LEFT(A247,SUM(LEN(A247)-LEN(SUBSTITUTE(A247,{"0","1","2","3"},""))))), LARGE(INDEX(ISNUMBER(--MID((LEFT(A247,SUM(LEN(A247)-LEN(SUBSTITUTE(A247,{"0","1","2","3"},""))))), ROW(INDIRECT("1:"&amp;LEN((LEFT(A247,SUM(LEN(A247)-LEN(SUBSTITUTE(A247,{"0","1","2","3"},"")))))))), 1)) * ROW(INDIRECT("1:"&amp;LEN((LEFT(A247,SUM(LEN(A247)-LEN(SUBSTITUTE(A247,{"0","1","2","3"},"")))))))), 0), ROW(INDIRECT("1:"&amp;LEN((LEFT(A247,SUM(LEN(A247)-LEN(SUBSTITUTE(A247,{"0","1","2","3"},"")))))))))+1, 1) * 10^ROW(INDIRECT("1:"&amp;LEN((LEFT(A247,SUM(LEN(A247)-LEN(SUBSTITUTE(A247,{"0","1","2","3"},""))))))))/10))*100+1</f>
        <v>401</v>
      </c>
      <c r="V248" s="22">
        <f ca="1">(SUMPRODUCT(MID(0&amp;(--TRIM(RIGHT(SUBSTITUTE(LEFT(A247,_xlfn.AGGREGATE(16,6,FIND({0,1,2,3,4,5,6,7,8,9},A247,ROW(INDIRECT("1:"&amp;LEN(A247)))),1))," ",REPT(" ",LEN(A247))),LEN(A247)))), LARGE(INDEX(ISNUMBER(--MID((--TRIM(RIGHT(SUBSTITUTE(LEFT(A247,_xlfn.AGGREGATE(16,6,FIND({0,1,2,3,4,5,6,7,8,9},A247,ROW(INDIRECT("1:"&amp;LEN(A247)))),1))," ",REPT(" ",LEN(A247))),LEN(A247)))), ROW(INDIRECT("1:"&amp;LEN((--TRIM(RIGHT(SUBSTITUTE(LEFT(A247,_xlfn.AGGREGATE(16,6,FIND({0,1,2,3,4,5,6,7,8,9},A247,ROW(INDIRECT("1:"&amp;LEN(A247)))),1))," ",REPT(" ",LEN(A247))),LEN(A247))))))), 1)) * ROW(INDIRECT("1:"&amp;LEN((--TRIM(RIGHT(SUBSTITUTE(LEFT(A247,_xlfn.AGGREGATE(16,6,FIND({0,1,2,3,4,5,6,7,8,9},A247,ROW(INDIRECT("1:"&amp;LEN(A247)))),1))," ",REPT(" ",LEN(A247))),LEN(A247))))))), 0), ROW(INDIRECT("1:"&amp;LEN((--TRIM(RIGHT(SUBSTITUTE(LEFT(A247,_xlfn.AGGREGATE(16,6,FIND({0,1,2,3,4,5,6,7,8,9},A247,ROW(INDIRECT("1:"&amp;LEN(A247)))),1))," ",REPT(" ",LEN(A247))),LEN(A247))))))))+1, 1) * 10^ROW(INDIRECT("1:"&amp;LEN((--TRIM(RIGHT(SUBSTITUTE(LEFT(A247,_xlfn.AGGREGATE(16,6,FIND({0,1,2,3,4,5,6,7,8,9},A247,ROW(INDIRECT("1:"&amp;LEN(A247)))),1))," ",REPT(" ",LEN(A247))),LEN(A247)))))))/10))*100+1</f>
        <v>2201</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2" customFormat="1" ht="20.25" customHeight="1" x14ac:dyDescent="0.25">
      <c r="A249" s="84">
        <v>2</v>
      </c>
      <c r="B249" s="84"/>
      <c r="C249" s="52" t="s">
        <v>89</v>
      </c>
      <c r="D249" s="77" t="s">
        <v>347</v>
      </c>
      <c r="E249" s="77">
        <f>(4.35*3.1+2.1*3.35+3.1*3.35+2.1*1.2+1.2*2.45+1.2*0.9)*10.764</f>
        <v>403.05797999999999</v>
      </c>
      <c r="F249" s="77">
        <f>(0.75*(2.1+2.1+3.1))*10.764</f>
        <v>58.932900000000004</v>
      </c>
      <c r="G249" s="77">
        <v>0</v>
      </c>
      <c r="H249" s="5">
        <f>E249+F249+(IF(G249&lt;101,G249,IF(G249&lt;201,G249/2,IF(G249&lt;=301,G249/3,G249/4))))</f>
        <v>461.99088</v>
      </c>
      <c r="I249" s="78"/>
      <c r="J249" s="1"/>
      <c r="K249" s="1"/>
      <c r="L249" s="1"/>
      <c r="M249" s="1"/>
      <c r="N249" s="1"/>
      <c r="O249" s="1"/>
      <c r="P249" s="1"/>
      <c r="Q249" s="1"/>
      <c r="R249" s="1"/>
      <c r="S249" s="1"/>
      <c r="T249" s="22" t="str">
        <f t="shared" ref="T249:T255" ca="1" si="56">U249&amp;""&amp;" &amp; "&amp;""&amp;V249</f>
        <v>402 &amp; 2202</v>
      </c>
      <c r="U249" s="22">
        <f ca="1">U248+1</f>
        <v>402</v>
      </c>
      <c r="V249" s="22">
        <f ca="1">V248+1</f>
        <v>2202</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2" customFormat="1" ht="20.25" customHeight="1" x14ac:dyDescent="0.25">
      <c r="A250" s="84">
        <v>3</v>
      </c>
      <c r="B250" s="84"/>
      <c r="C250" s="52" t="s">
        <v>89</v>
      </c>
      <c r="D250" s="5" t="s">
        <v>338</v>
      </c>
      <c r="E250" s="5">
        <f>(4.7*3.1+2.4*1.2+2.1*3.65+2.75*3.65+3.4*3.1+1.2*2.1+2.1*1.52+1.2*0.9+1.1*1.1)*10.764</f>
        <v>577.96759799999995</v>
      </c>
      <c r="F250" s="5">
        <f>(0.75*(2.4+2.1+2.75+1.8))*10.764</f>
        <v>73.060649999999995</v>
      </c>
      <c r="G250" s="5">
        <v>0</v>
      </c>
      <c r="H250" s="5">
        <f t="shared" ref="H250:H251" si="57">E250+F250+(IF(G250&lt;101,G250,IF(G250&lt;201,G250/2,IF(G250&lt;=301,G250/3,G250/4))))</f>
        <v>651.02824799999996</v>
      </c>
      <c r="I250" s="78"/>
      <c r="J250" s="1"/>
      <c r="K250" s="1"/>
      <c r="L250" s="1"/>
      <c r="M250" s="1"/>
      <c r="N250" s="1"/>
      <c r="O250" s="1"/>
      <c r="P250" s="1"/>
      <c r="Q250" s="1"/>
      <c r="R250" s="1"/>
      <c r="S250" s="1"/>
      <c r="T250" s="22" t="str">
        <f t="shared" ca="1" si="56"/>
        <v>403 &amp; 2203</v>
      </c>
      <c r="U250" s="22">
        <f t="shared" ref="U250:V250" ca="1" si="58">U249+1</f>
        <v>403</v>
      </c>
      <c r="V250" s="22">
        <f t="shared" ca="1" si="58"/>
        <v>2203</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2" customFormat="1" ht="20.25" customHeight="1" x14ac:dyDescent="0.25">
      <c r="A251" s="84">
        <v>4</v>
      </c>
      <c r="B251" s="84"/>
      <c r="C251" s="52" t="s">
        <v>89</v>
      </c>
      <c r="D251" s="5" t="s">
        <v>338</v>
      </c>
      <c r="E251" s="5">
        <f>(4.7*3.1+2.4*1.2+2.1*3.65+2.75*3.65+3.4*3.1+1.2*2.1+2.1*1.52+1.2*0.9+1.1*1.1)*10.764</f>
        <v>577.96759799999995</v>
      </c>
      <c r="F251" s="5">
        <f>(0.75*(2.4+2.1+2.75+1.8))*10.764</f>
        <v>73.060649999999995</v>
      </c>
      <c r="G251" s="5">
        <v>0</v>
      </c>
      <c r="H251" s="5">
        <f t="shared" si="57"/>
        <v>651.02824799999996</v>
      </c>
      <c r="I251" s="78"/>
      <c r="J251" s="1"/>
      <c r="K251" s="1"/>
      <c r="L251" s="1"/>
      <c r="M251" s="1"/>
      <c r="N251" s="1"/>
      <c r="O251" s="1"/>
      <c r="P251" s="1"/>
      <c r="Q251" s="1"/>
      <c r="R251" s="1"/>
      <c r="S251" s="1"/>
      <c r="T251" s="22" t="str">
        <f t="shared" ca="1" si="56"/>
        <v>404 &amp; 2204</v>
      </c>
      <c r="U251" s="22">
        <f t="shared" ref="U251:V251" ca="1" si="59">U250+1</f>
        <v>404</v>
      </c>
      <c r="V251" s="22">
        <f t="shared" ca="1" si="59"/>
        <v>2204</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2" customFormat="1" ht="20.25" customHeight="1" x14ac:dyDescent="0.25">
      <c r="A252" s="84">
        <v>5</v>
      </c>
      <c r="B252" s="84"/>
      <c r="C252" s="52" t="s">
        <v>89</v>
      </c>
      <c r="D252" s="77" t="s">
        <v>347</v>
      </c>
      <c r="E252" s="77">
        <f t="shared" ref="E252:E253" si="60">(4.35*3.1+2.1*3.35+3.1*3.35+2.1*1.2+1.2*2.45+1.2*0.9)*10.764</f>
        <v>403.05797999999999</v>
      </c>
      <c r="F252" s="77">
        <f t="shared" ref="F252:F253" si="61">(0.75*(2.1+2.1+3.1))*10.764</f>
        <v>58.932900000000004</v>
      </c>
      <c r="G252" s="5">
        <v>0</v>
      </c>
      <c r="H252" s="5">
        <f>E252+F252+(IF(G252&lt;101,G252,IF(G252&lt;201,G252/2,IF(G252&lt;=301,G252/3,G252/4))))</f>
        <v>461.99088</v>
      </c>
      <c r="I252" s="78"/>
      <c r="J252" s="1"/>
      <c r="K252" s="1"/>
      <c r="L252" s="1"/>
      <c r="M252" s="1"/>
      <c r="N252" s="1"/>
      <c r="O252" s="1"/>
      <c r="P252" s="1"/>
      <c r="Q252" s="1"/>
      <c r="R252" s="1"/>
      <c r="S252" s="1"/>
      <c r="T252" s="22" t="str">
        <f t="shared" ca="1" si="56"/>
        <v>405 &amp; 2205</v>
      </c>
      <c r="U252" s="22">
        <f t="shared" ref="U252:V252" ca="1" si="62">U251+1</f>
        <v>405</v>
      </c>
      <c r="V252" s="22">
        <f t="shared" ca="1" si="62"/>
        <v>2205</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2" customFormat="1" ht="20.25" customHeight="1" x14ac:dyDescent="0.25">
      <c r="A253" s="84">
        <v>6</v>
      </c>
      <c r="B253" s="84"/>
      <c r="C253" s="52" t="s">
        <v>89</v>
      </c>
      <c r="D253" s="77" t="s">
        <v>347</v>
      </c>
      <c r="E253" s="77">
        <f t="shared" si="60"/>
        <v>403.05797999999999</v>
      </c>
      <c r="F253" s="77">
        <f t="shared" si="61"/>
        <v>58.932900000000004</v>
      </c>
      <c r="G253" s="5">
        <v>0</v>
      </c>
      <c r="H253" s="5">
        <f>E253+F253+(IF(G253&lt;101,G253,IF(G253&lt;201,G253/2,IF(G253&lt;=301,G253/3,G253/4))))</f>
        <v>461.99088</v>
      </c>
      <c r="I253" s="78"/>
      <c r="J253" s="1"/>
      <c r="K253" s="1"/>
      <c r="L253" s="1"/>
      <c r="M253" s="1"/>
      <c r="N253" s="1"/>
      <c r="O253" s="1"/>
      <c r="P253" s="1"/>
      <c r="Q253" s="1"/>
      <c r="R253" s="1"/>
      <c r="S253" s="1"/>
      <c r="T253" s="22" t="str">
        <f t="shared" ca="1" si="56"/>
        <v>406 &amp; 2206</v>
      </c>
      <c r="U253" s="22">
        <f t="shared" ref="U253:V253" ca="1" si="63">U252+1</f>
        <v>406</v>
      </c>
      <c r="V253" s="22">
        <f t="shared" ca="1" si="63"/>
        <v>2206</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2" customFormat="1" ht="20.25" customHeight="1" x14ac:dyDescent="0.25">
      <c r="A254" s="84">
        <v>7</v>
      </c>
      <c r="B254" s="84"/>
      <c r="C254" s="52" t="s">
        <v>89</v>
      </c>
      <c r="D254" s="5" t="s">
        <v>338</v>
      </c>
      <c r="E254" s="5">
        <f t="shared" ref="E254:E255" si="64">(4.7*3.1+2.4*1.2+2.1*3.65+2.75*3.65+3.4*3.1+1.2*2.1+2.1*1.52+1.2*0.9+1.1*1.1)*10.764</f>
        <v>577.96759799999995</v>
      </c>
      <c r="F254" s="5">
        <f t="shared" ref="F254:F255" si="65">(0.75*(2.4+2.1+2.75+1.8))*10.764</f>
        <v>73.060649999999995</v>
      </c>
      <c r="G254" s="5">
        <v>0</v>
      </c>
      <c r="H254" s="5">
        <f t="shared" ref="H254:H255" si="66">E254+F254+(IF(G254&lt;101,G254,IF(G254&lt;201,G254/2,IF(G254&lt;=301,G254/3,G254/4))))</f>
        <v>651.02824799999996</v>
      </c>
      <c r="I254" s="78"/>
      <c r="J254" s="1"/>
      <c r="K254" s="1"/>
      <c r="L254" s="1"/>
      <c r="M254" s="1"/>
      <c r="N254" s="1"/>
      <c r="O254" s="1"/>
      <c r="P254" s="1"/>
      <c r="Q254" s="1"/>
      <c r="R254" s="1"/>
      <c r="S254" s="1"/>
      <c r="T254" s="22" t="str">
        <f t="shared" ca="1" si="56"/>
        <v>407 &amp; 2207</v>
      </c>
      <c r="U254" s="22">
        <f t="shared" ref="U254:V254" ca="1" si="67">U253+1</f>
        <v>407</v>
      </c>
      <c r="V254" s="22">
        <f t="shared" ca="1" si="67"/>
        <v>2207</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2" customFormat="1" ht="20.25" customHeight="1" x14ac:dyDescent="0.25">
      <c r="A255" s="84">
        <v>8</v>
      </c>
      <c r="B255" s="84"/>
      <c r="C255" s="52" t="s">
        <v>89</v>
      </c>
      <c r="D255" s="5" t="s">
        <v>338</v>
      </c>
      <c r="E255" s="5">
        <f t="shared" si="64"/>
        <v>577.96759799999995</v>
      </c>
      <c r="F255" s="5">
        <f t="shared" si="65"/>
        <v>73.060649999999995</v>
      </c>
      <c r="G255" s="5">
        <v>0</v>
      </c>
      <c r="H255" s="5">
        <f t="shared" si="66"/>
        <v>651.02824799999996</v>
      </c>
      <c r="I255" s="78"/>
      <c r="J255" s="1"/>
      <c r="K255" s="1"/>
      <c r="L255" s="1"/>
      <c r="M255" s="1"/>
      <c r="N255" s="1"/>
      <c r="O255" s="1"/>
      <c r="P255" s="1"/>
      <c r="Q255" s="1"/>
      <c r="R255" s="1"/>
      <c r="S255" s="1"/>
      <c r="T255" s="22" t="str">
        <f t="shared" ca="1" si="56"/>
        <v>408 &amp; 2208</v>
      </c>
      <c r="U255" s="22">
        <f t="shared" ref="U255:V255" ca="1" si="68">U254+1</f>
        <v>408</v>
      </c>
      <c r="V255" s="22">
        <f t="shared" ca="1" si="68"/>
        <v>2208</v>
      </c>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2" customFormat="1" ht="20.25" customHeight="1" x14ac:dyDescent="0.25">
      <c r="A256" s="85" t="s">
        <v>349</v>
      </c>
      <c r="B256" s="86"/>
      <c r="C256" s="86"/>
      <c r="D256" s="86"/>
      <c r="E256" s="86"/>
      <c r="F256" s="86"/>
      <c r="G256" s="86"/>
      <c r="H256" s="87"/>
      <c r="I256" s="78">
        <f>3</f>
        <v>3</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2" customFormat="1" ht="20.25" customHeight="1" x14ac:dyDescent="0.25">
      <c r="A257" s="84">
        <v>1</v>
      </c>
      <c r="B257" s="84"/>
      <c r="C257" s="52" t="s">
        <v>89</v>
      </c>
      <c r="D257" s="5" t="s">
        <v>347</v>
      </c>
      <c r="E257" s="5">
        <f>(4.35*3.1+2.1*3.35+3.1*3.35+2.1*1.2+1.2*2.45+1.2*0.9)*10.764</f>
        <v>403.05797999999999</v>
      </c>
      <c r="F257" s="5">
        <f>(0.75*(2.1+2.1+2.75))*10.764</f>
        <v>56.107350000000004</v>
      </c>
      <c r="G257" s="5">
        <v>0</v>
      </c>
      <c r="H257" s="5">
        <f>E257+F257+(IF(G257&lt;101,G257,IF(G257&lt;201,G257/2,IF(G257&lt;=301,G257/3,G257/4))))</f>
        <v>459.16532999999998</v>
      </c>
      <c r="I257" s="78"/>
      <c r="J257" s="1"/>
      <c r="K257" s="1"/>
      <c r="L257" s="1"/>
      <c r="M257" s="1"/>
      <c r="N257" s="1"/>
      <c r="O257" s="1"/>
      <c r="P257" s="1"/>
      <c r="Q257" s="1"/>
      <c r="R257" s="1"/>
      <c r="S257" s="1"/>
      <c r="T257" s="22" t="str">
        <f ca="1">U257&amp;""&amp;" &amp; "&amp;""&amp;V257</f>
        <v>801 &amp; 1801</v>
      </c>
      <c r="U257" s="22">
        <f ca="1">(SUMPRODUCT(MID(0&amp;(LEFT(A256,SUM(LEN(A256)-LEN(SUBSTITUTE(A256,{"0","1","2","3"},""))))), LARGE(INDEX(ISNUMBER(--MID((LEFT(A256,SUM(LEN(A256)-LEN(SUBSTITUTE(A256,{"0","1","2","3"},""))))), ROW(INDIRECT("1:"&amp;LEN((LEFT(A256,SUM(LEN(A256)-LEN(SUBSTITUTE(A256,{"0","1","2","3"},"")))))))), 1)) * ROW(INDIRECT("1:"&amp;LEN((LEFT(A256,SUM(LEN(A256)-LEN(SUBSTITUTE(A256,{"0","1","2","3"},"")))))))), 0), ROW(INDIRECT("1:"&amp;LEN((LEFT(A256,SUM(LEN(A256)-LEN(SUBSTITUTE(A256,{"0","1","2","3"},"")))))))))+1, 1) * 10^ROW(INDIRECT("1:"&amp;LEN((LEFT(A256,SUM(LEN(A256)-LEN(SUBSTITUTE(A256,{"0","1","2","3"},""))))))))/10))*100+1</f>
        <v>801</v>
      </c>
      <c r="V257" s="22">
        <f ca="1">(SUMPRODUCT(MID(0&amp;(--TRIM(RIGHT(SUBSTITUTE(LEFT(A256,_xlfn.AGGREGATE(16,6,FIND({0,1,2,3,4,5,6,7,8,9},A256,ROW(INDIRECT("1:"&amp;LEN(A256)))),1))," ",REPT(" ",LEN(A256))),LEN(A256)))), LARGE(INDEX(ISNUMBER(--MID((--TRIM(RIGHT(SUBSTITUTE(LEFT(A256,_xlfn.AGGREGATE(16,6,FIND({0,1,2,3,4,5,6,7,8,9},A256,ROW(INDIRECT("1:"&amp;LEN(A256)))),1))," ",REPT(" ",LEN(A256))),LEN(A256)))), ROW(INDIRECT("1:"&amp;LEN((--TRIM(RIGHT(SUBSTITUTE(LEFT(A256,_xlfn.AGGREGATE(16,6,FIND({0,1,2,3,4,5,6,7,8,9},A256,ROW(INDIRECT("1:"&amp;LEN(A256)))),1))," ",REPT(" ",LEN(A256))),LEN(A256))))))), 1)) * ROW(INDIRECT("1:"&amp;LEN((--TRIM(RIGHT(SUBSTITUTE(LEFT(A256,_xlfn.AGGREGATE(16,6,FIND({0,1,2,3,4,5,6,7,8,9},A256,ROW(INDIRECT("1:"&amp;LEN(A256)))),1))," ",REPT(" ",LEN(A256))),LEN(A256))))))), 0), ROW(INDIRECT("1:"&amp;LEN((--TRIM(RIGHT(SUBSTITUTE(LEFT(A256,_xlfn.AGGREGATE(16,6,FIND({0,1,2,3,4,5,6,7,8,9},A256,ROW(INDIRECT("1:"&amp;LEN(A256)))),1))," ",REPT(" ",LEN(A256))),LEN(A256))))))))+1, 1) * 10^ROW(INDIRECT("1:"&amp;LEN((--TRIM(RIGHT(SUBSTITUTE(LEFT(A256,_xlfn.AGGREGATE(16,6,FIND({0,1,2,3,4,5,6,7,8,9},A256,ROW(INDIRECT("1:"&amp;LEN(A256)))),1))," ",REPT(" ",LEN(A256))),LEN(A256)))))))/10))*100+1</f>
        <v>1801</v>
      </c>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2" customFormat="1" ht="20.25" customHeight="1" x14ac:dyDescent="0.25">
      <c r="A258" s="84">
        <v>2</v>
      </c>
      <c r="B258" s="84"/>
      <c r="C258" s="52" t="s">
        <v>89</v>
      </c>
      <c r="D258" s="5" t="s">
        <v>347</v>
      </c>
      <c r="E258" s="5">
        <f>(4.35*3.1+2.1*3.35+3.1*3.35+2.1*1.2+1.2*2.45+1.2*0.9)*10.764</f>
        <v>403.05797999999999</v>
      </c>
      <c r="F258" s="5">
        <f>(0.75*(2.1+2.1+2.75))*10.764</f>
        <v>56.107350000000004</v>
      </c>
      <c r="G258" s="5">
        <v>0</v>
      </c>
      <c r="H258" s="5">
        <f>E258+F258+(IF(G258&lt;101,G258,IF(G258&lt;201,G258/2,IF(G258&lt;=301,G258/3,G258/4))))</f>
        <v>459.16532999999998</v>
      </c>
      <c r="I258" s="78"/>
      <c r="J258" s="1"/>
      <c r="K258" s="1"/>
      <c r="L258" s="1"/>
      <c r="M258" s="1"/>
      <c r="N258" s="1"/>
      <c r="O258" s="1"/>
      <c r="P258" s="1"/>
      <c r="Q258" s="1"/>
      <c r="R258" s="1"/>
      <c r="S258" s="1"/>
      <c r="T258" s="22" t="str">
        <f t="shared" ref="T258:T264" ca="1" si="69">U258&amp;""&amp;" &amp; "&amp;""&amp;V258</f>
        <v>802 &amp; 1802</v>
      </c>
      <c r="U258" s="22">
        <f ca="1">U257+1</f>
        <v>802</v>
      </c>
      <c r="V258" s="22">
        <f ca="1">V257+1</f>
        <v>1802</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2" customFormat="1" ht="20.25" customHeight="1" x14ac:dyDescent="0.25">
      <c r="A259" s="84">
        <v>3</v>
      </c>
      <c r="B259" s="84"/>
      <c r="C259" s="52" t="s">
        <v>89</v>
      </c>
      <c r="D259" s="5" t="s">
        <v>338</v>
      </c>
      <c r="E259" s="5">
        <f>(4.7*3.1+2.4*1.2+2.1*3.65+2.75*3.65+3.4*3.1+1.2*2.1+2.1*1.52+1.2*0.9)*10.764</f>
        <v>564.94315799999993</v>
      </c>
      <c r="F259" s="5">
        <f>(0.75*(2.4+2.1+2.75+1.8))*10.764</f>
        <v>73.060649999999995</v>
      </c>
      <c r="G259" s="5">
        <v>0</v>
      </c>
      <c r="H259" s="5">
        <f t="shared" ref="H259:H260" si="70">E259+F259+(IF(G259&lt;101,G259,IF(G259&lt;201,G259/2,IF(G259&lt;=301,G259/3,G259/4))))</f>
        <v>638.00380799999994</v>
      </c>
      <c r="I259" s="78"/>
      <c r="J259" s="1"/>
      <c r="K259" s="1"/>
      <c r="L259" s="1"/>
      <c r="M259" s="1"/>
      <c r="N259" s="1"/>
      <c r="O259" s="1"/>
      <c r="P259" s="1"/>
      <c r="Q259" s="1"/>
      <c r="R259" s="1"/>
      <c r="S259" s="1"/>
      <c r="T259" s="22" t="str">
        <f t="shared" ca="1" si="69"/>
        <v>803 &amp; 1803</v>
      </c>
      <c r="U259" s="22">
        <f t="shared" ref="U259:V259" ca="1" si="71">U258+1</f>
        <v>803</v>
      </c>
      <c r="V259" s="22">
        <f t="shared" ca="1" si="71"/>
        <v>1803</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2" customFormat="1" ht="20.25" customHeight="1" x14ac:dyDescent="0.25">
      <c r="A260" s="84">
        <v>4</v>
      </c>
      <c r="B260" s="84"/>
      <c r="C260" s="52" t="s">
        <v>89</v>
      </c>
      <c r="D260" s="5" t="s">
        <v>338</v>
      </c>
      <c r="E260" s="5">
        <f>(4.7*3.1+2.4*1.2+2.1*3.65+2.75*3.65+3.4*3.1+1.2*2.1+2.1*1.52+1.2*0.9)*10.764</f>
        <v>564.94315799999993</v>
      </c>
      <c r="F260" s="5">
        <f>(0.75*(2.4+2.1+2.75+1.8))*10.764</f>
        <v>73.060649999999995</v>
      </c>
      <c r="G260" s="5">
        <v>0</v>
      </c>
      <c r="H260" s="5">
        <f t="shared" si="70"/>
        <v>638.00380799999994</v>
      </c>
      <c r="I260" s="78"/>
      <c r="J260" s="1"/>
      <c r="K260" s="1"/>
      <c r="L260" s="1"/>
      <c r="M260" s="1"/>
      <c r="N260" s="1"/>
      <c r="O260" s="1"/>
      <c r="P260" s="1"/>
      <c r="Q260" s="1"/>
      <c r="R260" s="1"/>
      <c r="S260" s="1"/>
      <c r="T260" s="22" t="str">
        <f t="shared" ca="1" si="69"/>
        <v>804 &amp; 1804</v>
      </c>
      <c r="U260" s="22">
        <f t="shared" ref="U260:V260" ca="1" si="72">U259+1</f>
        <v>804</v>
      </c>
      <c r="V260" s="22">
        <f t="shared" ca="1" si="72"/>
        <v>1804</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2" customFormat="1" ht="20.25" customHeight="1" x14ac:dyDescent="0.25">
      <c r="A261" s="84" t="s">
        <v>335</v>
      </c>
      <c r="B261" s="84"/>
      <c r="C261" s="52" t="s">
        <v>335</v>
      </c>
      <c r="D261" s="88" t="s">
        <v>345</v>
      </c>
      <c r="E261" s="89"/>
      <c r="F261" s="89"/>
      <c r="G261" s="89"/>
      <c r="H261" s="90"/>
      <c r="I261" s="78"/>
      <c r="J261" s="1"/>
      <c r="K261" s="1"/>
      <c r="L261" s="1"/>
      <c r="M261" s="1"/>
      <c r="N261" s="1"/>
      <c r="O261" s="1"/>
      <c r="P261" s="1"/>
      <c r="Q261" s="1"/>
      <c r="R261" s="1"/>
      <c r="S261" s="1"/>
      <c r="T261" s="22" t="str">
        <f t="shared" ca="1" si="69"/>
        <v>805 &amp; 1805</v>
      </c>
      <c r="U261" s="22">
        <f t="shared" ref="U261:V261" ca="1" si="73">U260+1</f>
        <v>805</v>
      </c>
      <c r="V261" s="22">
        <f t="shared" ca="1" si="73"/>
        <v>1805</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2" customFormat="1" ht="20.25" customHeight="1" x14ac:dyDescent="0.25">
      <c r="A262" s="84">
        <v>5</v>
      </c>
      <c r="B262" s="84"/>
      <c r="C262" s="52" t="s">
        <v>89</v>
      </c>
      <c r="D262" s="5" t="s">
        <v>347</v>
      </c>
      <c r="E262" s="5">
        <f>(4.35*3.1+2.1*3.35+3.1*3.35+2.1*1.2+1.2*2.45+1.2*0.9)*10.764</f>
        <v>403.05797999999999</v>
      </c>
      <c r="F262" s="5">
        <f>(0.75*(2.1+2.1+3.1))*10.764</f>
        <v>58.932900000000004</v>
      </c>
      <c r="G262" s="5">
        <v>0</v>
      </c>
      <c r="H262" s="5">
        <f>E262+F262+(IF(G262&lt;101,G262,IF(G262&lt;201,G262/2,IF(G262&lt;=301,G262/3,G262/4))))</f>
        <v>461.99088</v>
      </c>
      <c r="I262" s="78"/>
      <c r="J262" s="1"/>
      <c r="K262" s="1"/>
      <c r="L262" s="1"/>
      <c r="M262" s="1"/>
      <c r="N262" s="1"/>
      <c r="O262" s="1"/>
      <c r="P262" s="1"/>
      <c r="Q262" s="1"/>
      <c r="R262" s="1"/>
      <c r="S262" s="1"/>
      <c r="T262" s="22" t="str">
        <f t="shared" ca="1" si="69"/>
        <v>806 &amp; 1806</v>
      </c>
      <c r="U262" s="22">
        <f t="shared" ref="U262:V262" ca="1" si="74">U261+1</f>
        <v>806</v>
      </c>
      <c r="V262" s="22">
        <f t="shared" ca="1" si="74"/>
        <v>1806</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2" customFormat="1" ht="20.25" customHeight="1" x14ac:dyDescent="0.25">
      <c r="A263" s="84">
        <v>6</v>
      </c>
      <c r="B263" s="84"/>
      <c r="C263" s="52" t="s">
        <v>89</v>
      </c>
      <c r="D263" s="5" t="s">
        <v>338</v>
      </c>
      <c r="E263" s="5">
        <f>(4.7*3.1+2.4*1.2+2.1*3.65+2.75*3.65+3.4*3.1+1.2*2.1+2.1*1.52+1.2*0.9)*10.764</f>
        <v>564.94315799999993</v>
      </c>
      <c r="F263" s="5">
        <f>(0.75*(2.4+2.1+2.75+1.8))*10.764</f>
        <v>73.060649999999995</v>
      </c>
      <c r="G263" s="5">
        <v>0</v>
      </c>
      <c r="H263" s="5">
        <f t="shared" ref="H263:H264" si="75">E263+F263+(IF(G263&lt;101,G263,IF(G263&lt;201,G263/2,IF(G263&lt;=301,G263/3,G263/4))))</f>
        <v>638.00380799999994</v>
      </c>
      <c r="I263" s="78"/>
      <c r="J263" s="1"/>
      <c r="K263" s="1"/>
      <c r="L263" s="1"/>
      <c r="M263" s="1"/>
      <c r="N263" s="1"/>
      <c r="O263" s="1"/>
      <c r="P263" s="1"/>
      <c r="Q263" s="1"/>
      <c r="R263" s="1"/>
      <c r="S263" s="1"/>
      <c r="T263" s="22" t="str">
        <f t="shared" ca="1" si="69"/>
        <v>807 &amp; 1807</v>
      </c>
      <c r="U263" s="22">
        <f t="shared" ref="U263:V263" ca="1" si="76">U262+1</f>
        <v>807</v>
      </c>
      <c r="V263" s="22">
        <f t="shared" ca="1" si="76"/>
        <v>1807</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2" customFormat="1" ht="20.25" customHeight="1" x14ac:dyDescent="0.25">
      <c r="A264" s="84">
        <v>7</v>
      </c>
      <c r="B264" s="84"/>
      <c r="C264" s="52" t="s">
        <v>89</v>
      </c>
      <c r="D264" s="5" t="s">
        <v>338</v>
      </c>
      <c r="E264" s="5">
        <f>(4.7*3.1+2.4*1.2+2.1*3.65+2.75*3.65+3.4*3.1+1.2*2.1+2.1*1.52+1.2*0.9)*10.764</f>
        <v>564.94315799999993</v>
      </c>
      <c r="F264" s="5">
        <f>(0.75*(2.4+2.1+2.75+1.8))*10.764</f>
        <v>73.060649999999995</v>
      </c>
      <c r="G264" s="5">
        <v>0</v>
      </c>
      <c r="H264" s="5">
        <f t="shared" si="75"/>
        <v>638.00380799999994</v>
      </c>
      <c r="I264" s="78"/>
      <c r="J264" s="1"/>
      <c r="K264" s="1"/>
      <c r="L264" s="1"/>
      <c r="M264" s="1"/>
      <c r="N264" s="1"/>
      <c r="O264" s="1"/>
      <c r="P264" s="1"/>
      <c r="Q264" s="1"/>
      <c r="R264" s="1"/>
      <c r="S264" s="1"/>
      <c r="T264" s="22" t="str">
        <f t="shared" ca="1" si="69"/>
        <v>808 &amp; 1808</v>
      </c>
      <c r="U264" s="22">
        <f t="shared" ref="U264:V264" ca="1" si="77">U263+1</f>
        <v>808</v>
      </c>
      <c r="V264" s="22">
        <f t="shared" ca="1" si="77"/>
        <v>1808</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2" customFormat="1" ht="20.25" x14ac:dyDescent="0.25">
      <c r="A265" s="167" t="s">
        <v>365</v>
      </c>
      <c r="B265" s="168"/>
      <c r="C265" s="168"/>
      <c r="D265" s="168"/>
      <c r="E265" s="168"/>
      <c r="F265" s="168"/>
      <c r="G265" s="168"/>
      <c r="H265" s="169"/>
      <c r="I265" s="78"/>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2" customFormat="1" ht="20.25" x14ac:dyDescent="0.25">
      <c r="A266" s="85" t="s">
        <v>326</v>
      </c>
      <c r="B266" s="86"/>
      <c r="C266" s="86"/>
      <c r="D266" s="86"/>
      <c r="E266" s="86"/>
      <c r="F266" s="86"/>
      <c r="G266" s="86"/>
      <c r="H266" s="87"/>
      <c r="I266" s="78"/>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2" customFormat="1" ht="20.25" customHeight="1" x14ac:dyDescent="0.25">
      <c r="A267" s="85" t="s">
        <v>350</v>
      </c>
      <c r="B267" s="86"/>
      <c r="C267" s="86"/>
      <c r="D267" s="86"/>
      <c r="E267" s="86"/>
      <c r="F267" s="86"/>
      <c r="G267" s="86"/>
      <c r="H267" s="87"/>
      <c r="I267" s="78"/>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2" customFormat="1" ht="20.25" customHeight="1" x14ac:dyDescent="0.25">
      <c r="A268" s="85" t="s">
        <v>337</v>
      </c>
      <c r="B268" s="86"/>
      <c r="C268" s="86"/>
      <c r="D268" s="86"/>
      <c r="E268" s="86"/>
      <c r="F268" s="86"/>
      <c r="G268" s="86"/>
      <c r="H268" s="87"/>
      <c r="I268" s="78">
        <f>2</f>
        <v>2</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2" customFormat="1" ht="20.25" customHeight="1" x14ac:dyDescent="0.25">
      <c r="A269" s="84" t="s">
        <v>96</v>
      </c>
      <c r="B269" s="84"/>
      <c r="C269" s="52" t="s">
        <v>335</v>
      </c>
      <c r="D269" s="93" t="s">
        <v>340</v>
      </c>
      <c r="E269" s="94"/>
      <c r="F269" s="94"/>
      <c r="G269" s="94"/>
      <c r="H269" s="95"/>
      <c r="I269" s="78"/>
      <c r="J269" s="1"/>
      <c r="K269" s="1"/>
      <c r="L269" s="1"/>
      <c r="M269" s="1"/>
      <c r="N269" s="1"/>
      <c r="O269" s="1"/>
      <c r="P269" s="1"/>
      <c r="Q269" s="1"/>
      <c r="R269" s="1"/>
      <c r="S269" s="1"/>
      <c r="T269" s="22" t="str">
        <f ca="1">U269&amp;""&amp;" &amp; "&amp;""&amp;V269</f>
        <v>105 &amp; 205</v>
      </c>
      <c r="U269" s="22">
        <f ca="1">U275+1</f>
        <v>105</v>
      </c>
      <c r="V269" s="22">
        <f ca="1">V275+1</f>
        <v>205</v>
      </c>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2" customFormat="1" ht="20.25" customHeight="1" x14ac:dyDescent="0.25">
      <c r="A270" s="84" t="s">
        <v>96</v>
      </c>
      <c r="B270" s="84"/>
      <c r="C270" s="52" t="s">
        <v>335</v>
      </c>
      <c r="D270" s="96"/>
      <c r="E270" s="97"/>
      <c r="F270" s="97"/>
      <c r="G270" s="97"/>
      <c r="H270" s="98"/>
      <c r="I270" s="78"/>
      <c r="J270" s="1"/>
      <c r="K270" s="1"/>
      <c r="L270" s="1"/>
      <c r="M270" s="1"/>
      <c r="N270" s="1"/>
      <c r="O270" s="1"/>
      <c r="P270" s="1"/>
      <c r="Q270" s="1"/>
      <c r="R270" s="1"/>
      <c r="S270" s="1"/>
      <c r="T270" s="22" t="str">
        <f ca="1">U270&amp;""&amp;" &amp; "&amp;""&amp;V270</f>
        <v>106 &amp; 206</v>
      </c>
      <c r="U270" s="22">
        <f t="shared" ref="U270:V270" ca="1" si="78">U269+1</f>
        <v>106</v>
      </c>
      <c r="V270" s="22">
        <f t="shared" ca="1" si="78"/>
        <v>206</v>
      </c>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2" customFormat="1" ht="20.25" customHeight="1" x14ac:dyDescent="0.25">
      <c r="A271" s="84" t="s">
        <v>96</v>
      </c>
      <c r="B271" s="84"/>
      <c r="C271" s="52" t="s">
        <v>335</v>
      </c>
      <c r="D271" s="99"/>
      <c r="E271" s="100"/>
      <c r="F271" s="100"/>
      <c r="G271" s="100"/>
      <c r="H271" s="101"/>
      <c r="I271" s="78"/>
      <c r="J271" s="1"/>
      <c r="K271" s="1"/>
      <c r="L271" s="1"/>
      <c r="M271" s="1"/>
      <c r="N271" s="1"/>
      <c r="O271" s="1"/>
      <c r="P271" s="1"/>
      <c r="Q271" s="1"/>
      <c r="R271" s="1"/>
      <c r="S271" s="1"/>
      <c r="T271" s="22" t="str">
        <f ca="1">U271&amp;""&amp;" &amp; "&amp;""&amp;V271</f>
        <v>107 &amp; 207</v>
      </c>
      <c r="U271" s="22">
        <f t="shared" ref="U271:V271" ca="1" si="79">U270+1</f>
        <v>107</v>
      </c>
      <c r="V271" s="22">
        <f t="shared" ca="1" si="79"/>
        <v>207</v>
      </c>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2" customFormat="1" ht="20.25" customHeight="1" x14ac:dyDescent="0.25">
      <c r="A272" s="84">
        <v>1</v>
      </c>
      <c r="B272" s="84"/>
      <c r="C272" s="52" t="s">
        <v>89</v>
      </c>
      <c r="D272" s="52" t="s">
        <v>338</v>
      </c>
      <c r="E272" s="71">
        <f>(4.7*3.1+2.4*1.2+2.1*3.65+2.75*3.65+3.4*3.1+2.1*1.52+1.2*2.1+1.2*0.9)*10.764</f>
        <v>564.94315799999993</v>
      </c>
      <c r="F272" s="5">
        <f>(0.75*(2.4+2.1+2.75+1.8))*10.764</f>
        <v>73.060649999999995</v>
      </c>
      <c r="G272" s="5">
        <v>0</v>
      </c>
      <c r="H272" s="5">
        <f>E272+F272+(IF(G272&lt;101,G272,IF(G272&lt;201,G272/2,IF(G272&lt;=301,G272/3,G272/4))))</f>
        <v>638.00380799999994</v>
      </c>
      <c r="I272" s="78"/>
      <c r="J272" s="1"/>
      <c r="K272" s="1"/>
      <c r="L272" s="1"/>
      <c r="M272" s="1"/>
      <c r="N272" s="1"/>
      <c r="O272" s="1"/>
      <c r="P272" s="1"/>
      <c r="Q272" s="1"/>
      <c r="R272" s="1"/>
      <c r="S272" s="1"/>
      <c r="T272" s="22" t="str">
        <f ca="1">U272&amp;""&amp;" &amp; "&amp;""&amp;V272</f>
        <v>101 &amp; 201</v>
      </c>
      <c r="U272" s="22">
        <f ca="1">(SUMPRODUCT(MID(0&amp;(LEFT(A268,SUM(LEN(A268)-LEN(SUBSTITUTE(A268,{"0","1","2","3"},""))))), LARGE(INDEX(ISNUMBER(--MID((LEFT(A268,SUM(LEN(A268)-LEN(SUBSTITUTE(A268,{"0","1","2","3"},""))))), ROW(INDIRECT("1:"&amp;LEN((LEFT(A268,SUM(LEN(A268)-LEN(SUBSTITUTE(A268,{"0","1","2","3"},"")))))))), 1)) * ROW(INDIRECT("1:"&amp;LEN((LEFT(A268,SUM(LEN(A268)-LEN(SUBSTITUTE(A268,{"0","1","2","3"},"")))))))), 0), ROW(INDIRECT("1:"&amp;LEN((LEFT(A268,SUM(LEN(A268)-LEN(SUBSTITUTE(A268,{"0","1","2","3"},"")))))))))+1, 1) * 10^ROW(INDIRECT("1:"&amp;LEN((LEFT(A268,SUM(LEN(A268)-LEN(SUBSTITUTE(A268,{"0","1","2","3"},""))))))))/10))*100+1</f>
        <v>101</v>
      </c>
      <c r="V272" s="22">
        <f ca="1">(SUMPRODUCT(MID(0&amp;(--TRIM(RIGHT(SUBSTITUTE(LEFT(A268,_xlfn.AGGREGATE(16,6,FIND({0,1,2,3,4,5,6,7,8,9},A268,ROW(INDIRECT("1:"&amp;LEN(A268)))),1))," ",REPT(" ",LEN(A268))),LEN(A268)))), LARGE(INDEX(ISNUMBER(--MID((--TRIM(RIGHT(SUBSTITUTE(LEFT(A268,_xlfn.AGGREGATE(16,6,FIND({0,1,2,3,4,5,6,7,8,9},A268,ROW(INDIRECT("1:"&amp;LEN(A268)))),1))," ",REPT(" ",LEN(A268))),LEN(A268)))), ROW(INDIRECT("1:"&amp;LEN((--TRIM(RIGHT(SUBSTITUTE(LEFT(A268,_xlfn.AGGREGATE(16,6,FIND({0,1,2,3,4,5,6,7,8,9},A268,ROW(INDIRECT("1:"&amp;LEN(A268)))),1))," ",REPT(" ",LEN(A268))),LEN(A268))))))), 1)) * ROW(INDIRECT("1:"&amp;LEN((--TRIM(RIGHT(SUBSTITUTE(LEFT(A268,_xlfn.AGGREGATE(16,6,FIND({0,1,2,3,4,5,6,7,8,9},A268,ROW(INDIRECT("1:"&amp;LEN(A268)))),1))," ",REPT(" ",LEN(A268))),LEN(A268))))))), 0), ROW(INDIRECT("1:"&amp;LEN((--TRIM(RIGHT(SUBSTITUTE(LEFT(A268,_xlfn.AGGREGATE(16,6,FIND({0,1,2,3,4,5,6,7,8,9},A268,ROW(INDIRECT("1:"&amp;LEN(A268)))),1))," ",REPT(" ",LEN(A268))),LEN(A268))))))))+1, 1) * 10^ROW(INDIRECT("1:"&amp;LEN((--TRIM(RIGHT(SUBSTITUTE(LEFT(A268,_xlfn.AGGREGATE(16,6,FIND({0,1,2,3,4,5,6,7,8,9},A268,ROW(INDIRECT("1:"&amp;LEN(A268)))),1))," ",REPT(" ",LEN(A268))),LEN(A268)))))))/10))*100+1</f>
        <v>201</v>
      </c>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2" customFormat="1" ht="20.25" customHeight="1" x14ac:dyDescent="0.25">
      <c r="A273" s="84">
        <v>2</v>
      </c>
      <c r="B273" s="84"/>
      <c r="C273" s="52" t="s">
        <v>89</v>
      </c>
      <c r="D273" s="52" t="s">
        <v>347</v>
      </c>
      <c r="E273" s="71">
        <f>(4.35*3.1+2.1*3.35+3.1*3.35+2.1*1.2+1.2*2.45+1.2*0.9)*10.764</f>
        <v>403.05797999999999</v>
      </c>
      <c r="F273" s="5">
        <f>(0.75*(2.1+2.1+3.1))*10.764</f>
        <v>58.932900000000004</v>
      </c>
      <c r="G273" s="5">
        <v>0</v>
      </c>
      <c r="H273" s="5">
        <f>E273+F273+(IF(G273&lt;101,G273,IF(G273&lt;201,G273/2,IF(G273&lt;=301,G273/3,G273/4))))</f>
        <v>461.99088</v>
      </c>
      <c r="I273" s="78"/>
      <c r="J273" s="1"/>
      <c r="K273" s="1"/>
      <c r="L273" s="1"/>
      <c r="M273" s="1"/>
      <c r="N273" s="1"/>
      <c r="O273" s="1"/>
      <c r="P273" s="1"/>
      <c r="Q273" s="1"/>
      <c r="R273" s="1"/>
      <c r="S273" s="1"/>
      <c r="T273" s="22" t="str">
        <f t="shared" ref="T273:T275" ca="1" si="80">U273&amp;""&amp;" &amp; "&amp;""&amp;V273</f>
        <v>102 &amp; 202</v>
      </c>
      <c r="U273" s="22">
        <f ca="1">U272+1</f>
        <v>102</v>
      </c>
      <c r="V273" s="22">
        <f ca="1">V272+1</f>
        <v>202</v>
      </c>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2" customFormat="1" ht="20.25" customHeight="1" x14ac:dyDescent="0.25">
      <c r="A274" s="84">
        <v>3</v>
      </c>
      <c r="B274" s="84"/>
      <c r="C274" s="52" t="s">
        <v>89</v>
      </c>
      <c r="D274" s="52" t="s">
        <v>347</v>
      </c>
      <c r="E274" s="71">
        <f>(4.35*3.1+2.1*3.35+3.1*3.35+2.1*1.2+1.2*2.45+1.2*0.9)*10.764</f>
        <v>403.05797999999999</v>
      </c>
      <c r="F274" s="5">
        <f>(0.75*(2.1+2.1+3.1))*10.764</f>
        <v>58.932900000000004</v>
      </c>
      <c r="G274" s="5">
        <v>0</v>
      </c>
      <c r="H274" s="5">
        <f t="shared" ref="H274:H275" si="81">E274+F274+(IF(G274&lt;101,G274,IF(G274&lt;201,G274/2,IF(G274&lt;=301,G274/3,G274/4))))</f>
        <v>461.99088</v>
      </c>
      <c r="I274" s="78"/>
      <c r="J274" s="1"/>
      <c r="K274" s="1"/>
      <c r="L274" s="1"/>
      <c r="M274" s="1"/>
      <c r="N274" s="1"/>
      <c r="O274" s="1"/>
      <c r="P274" s="1"/>
      <c r="Q274" s="1"/>
      <c r="R274" s="1"/>
      <c r="S274" s="1"/>
      <c r="T274" s="22" t="str">
        <f t="shared" ca="1" si="80"/>
        <v>103 &amp; 203</v>
      </c>
      <c r="U274" s="22">
        <f t="shared" ref="U274:V274" ca="1" si="82">U273+1</f>
        <v>103</v>
      </c>
      <c r="V274" s="22">
        <f t="shared" ca="1" si="82"/>
        <v>203</v>
      </c>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2" customFormat="1" ht="20.25" customHeight="1" x14ac:dyDescent="0.25">
      <c r="A275" s="84">
        <v>4</v>
      </c>
      <c r="B275" s="84"/>
      <c r="C275" s="52" t="s">
        <v>89</v>
      </c>
      <c r="D275" s="52" t="s">
        <v>338</v>
      </c>
      <c r="E275" s="71">
        <f>(4.7*3.1+2.4*1.2+2.1*3.65+2.75*3.65+3.4*3.1+2.1*1.52+1.2*2.1+1.2*0.9)*10.764</f>
        <v>564.94315799999993</v>
      </c>
      <c r="F275" s="5">
        <f>(0.75*(2.4+2.1+2.75+1.8))*10.764</f>
        <v>73.060649999999995</v>
      </c>
      <c r="G275" s="5">
        <v>0</v>
      </c>
      <c r="H275" s="5">
        <f t="shared" si="81"/>
        <v>638.00380799999994</v>
      </c>
      <c r="I275" s="78"/>
      <c r="J275" s="1"/>
      <c r="K275" s="1"/>
      <c r="L275" s="1"/>
      <c r="M275" s="1"/>
      <c r="N275" s="1"/>
      <c r="O275" s="1"/>
      <c r="P275" s="1"/>
      <c r="Q275" s="1"/>
      <c r="R275" s="1"/>
      <c r="S275" s="1"/>
      <c r="T275" s="22" t="str">
        <f t="shared" ca="1" si="80"/>
        <v>104 &amp; 204</v>
      </c>
      <c r="U275" s="22">
        <f t="shared" ref="U275:V275" ca="1" si="83">U274+1</f>
        <v>104</v>
      </c>
      <c r="V275" s="22">
        <f t="shared" ca="1" si="83"/>
        <v>204</v>
      </c>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2" customFormat="1" ht="20.25" customHeight="1" x14ac:dyDescent="0.25">
      <c r="A276" s="85" t="s">
        <v>359</v>
      </c>
      <c r="B276" s="86"/>
      <c r="C276" s="86"/>
      <c r="D276" s="86"/>
      <c r="E276" s="86"/>
      <c r="F276" s="86"/>
      <c r="G276" s="86"/>
      <c r="H276" s="87"/>
      <c r="I276" s="78">
        <f>1</f>
        <v>1</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2" customFormat="1" ht="20.25" customHeight="1" x14ac:dyDescent="0.25">
      <c r="A277" s="84" t="s">
        <v>96</v>
      </c>
      <c r="B277" s="84"/>
      <c r="C277" s="52" t="s">
        <v>335</v>
      </c>
      <c r="D277" s="93" t="s">
        <v>339</v>
      </c>
      <c r="E277" s="94"/>
      <c r="F277" s="94"/>
      <c r="G277" s="94"/>
      <c r="H277" s="95"/>
      <c r="I277" s="78"/>
      <c r="J277" s="1"/>
      <c r="K277" s="1"/>
      <c r="L277" s="1"/>
      <c r="M277" s="1"/>
      <c r="N277" s="1"/>
      <c r="O277" s="1"/>
      <c r="P277" s="1"/>
      <c r="Q277" s="1"/>
      <c r="R277" s="1"/>
      <c r="S277" s="1"/>
      <c r="T277" s="22" t="str">
        <f ca="1">U277&amp;""&amp;" &amp; "&amp;""&amp;V277</f>
        <v>305 &amp; 305</v>
      </c>
      <c r="U277" s="22">
        <f ca="1">U283+1</f>
        <v>305</v>
      </c>
      <c r="V277" s="22">
        <f ca="1">V283+1</f>
        <v>305</v>
      </c>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2" customFormat="1" ht="20.25" customHeight="1" x14ac:dyDescent="0.25">
      <c r="A278" s="84" t="s">
        <v>96</v>
      </c>
      <c r="B278" s="84"/>
      <c r="C278" s="52" t="s">
        <v>335</v>
      </c>
      <c r="D278" s="99"/>
      <c r="E278" s="100"/>
      <c r="F278" s="100"/>
      <c r="G278" s="100"/>
      <c r="H278" s="101"/>
      <c r="I278" s="78"/>
      <c r="J278" s="1"/>
      <c r="K278" s="1"/>
      <c r="L278" s="1"/>
      <c r="M278" s="1"/>
      <c r="N278" s="1"/>
      <c r="O278" s="1"/>
      <c r="P278" s="1"/>
      <c r="Q278" s="1"/>
      <c r="R278" s="1"/>
      <c r="S278" s="1"/>
      <c r="T278" s="22" t="str">
        <f ca="1">U278&amp;""&amp;" &amp; "&amp;""&amp;V278</f>
        <v>306 &amp; 306</v>
      </c>
      <c r="U278" s="22">
        <f t="shared" ref="U278:V278" ca="1" si="84">U277+1</f>
        <v>306</v>
      </c>
      <c r="V278" s="22">
        <f t="shared" ca="1" si="84"/>
        <v>306</v>
      </c>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2" customFormat="1" ht="20.25" customHeight="1" x14ac:dyDescent="0.25">
      <c r="A279" s="84" t="s">
        <v>96</v>
      </c>
      <c r="B279" s="84"/>
      <c r="C279" s="52" t="s">
        <v>335</v>
      </c>
      <c r="D279" s="88" t="s">
        <v>342</v>
      </c>
      <c r="E279" s="89"/>
      <c r="F279" s="89"/>
      <c r="G279" s="89"/>
      <c r="H279" s="90"/>
      <c r="I279" s="78"/>
      <c r="J279" s="1"/>
      <c r="K279" s="1"/>
      <c r="L279" s="1"/>
      <c r="M279" s="1"/>
      <c r="N279" s="1"/>
      <c r="O279" s="1"/>
      <c r="P279" s="1"/>
      <c r="Q279" s="1"/>
      <c r="R279" s="1"/>
      <c r="S279" s="1"/>
      <c r="T279" s="22" t="str">
        <f ca="1">U279&amp;""&amp;" &amp; "&amp;""&amp;V279</f>
        <v>307 &amp; 307</v>
      </c>
      <c r="U279" s="22">
        <f t="shared" ref="U279:V279" ca="1" si="85">U278+1</f>
        <v>307</v>
      </c>
      <c r="V279" s="22">
        <f t="shared" ca="1" si="85"/>
        <v>307</v>
      </c>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2" customFormat="1" ht="20.25" customHeight="1" x14ac:dyDescent="0.25">
      <c r="A280" s="84">
        <v>1</v>
      </c>
      <c r="B280" s="84"/>
      <c r="C280" s="52" t="s">
        <v>335</v>
      </c>
      <c r="D280" s="52" t="s">
        <v>338</v>
      </c>
      <c r="E280" s="71">
        <f>(4.7*3.1+2.4*1.2+2.1*3.65+2.75*3.65+3.4*3.1+2.1*1.52+1.2*2.1+1.2*0.9)*10.764</f>
        <v>564.94315799999993</v>
      </c>
      <c r="F280" s="5">
        <f>(0.75*(2.4+2.1+2.75+1.8))*10.764</f>
        <v>73.060649999999995</v>
      </c>
      <c r="G280" s="5">
        <v>0</v>
      </c>
      <c r="H280" s="5">
        <f>E280+F280+(IF(G280&lt;101,G280,IF(G280&lt;201,G280/2,IF(G280&lt;=301,G280/3,G280/4))))</f>
        <v>638.00380799999994</v>
      </c>
      <c r="I280" s="78"/>
      <c r="J280" s="1"/>
      <c r="K280" s="1"/>
      <c r="L280" s="1"/>
      <c r="M280" s="1"/>
      <c r="N280" s="1"/>
      <c r="O280" s="1"/>
      <c r="P280" s="1"/>
      <c r="Q280" s="1"/>
      <c r="R280" s="1"/>
      <c r="S280" s="1"/>
      <c r="T280" s="22" t="str">
        <f ca="1">U280&amp;""&amp;" &amp; "&amp;""&amp;V280</f>
        <v>301 &amp; 301</v>
      </c>
      <c r="U280" s="22">
        <f ca="1">(SUMPRODUCT(MID(0&amp;(LEFT(A276,SUM(LEN(A276)-LEN(SUBSTITUTE(A276,{"0","1","2","3"},""))))), LARGE(INDEX(ISNUMBER(--MID((LEFT(A276,SUM(LEN(A276)-LEN(SUBSTITUTE(A276,{"0","1","2","3"},""))))), ROW(INDIRECT("1:"&amp;LEN((LEFT(A276,SUM(LEN(A276)-LEN(SUBSTITUTE(A276,{"0","1","2","3"},"")))))))), 1)) * ROW(INDIRECT("1:"&amp;LEN((LEFT(A276,SUM(LEN(A276)-LEN(SUBSTITUTE(A276,{"0","1","2","3"},"")))))))), 0), ROW(INDIRECT("1:"&amp;LEN((LEFT(A276,SUM(LEN(A276)-LEN(SUBSTITUTE(A276,{"0","1","2","3"},"")))))))))+1, 1) * 10^ROW(INDIRECT("1:"&amp;LEN((LEFT(A276,SUM(LEN(A276)-LEN(SUBSTITUTE(A276,{"0","1","2","3"},""))))))))/10))*100+1</f>
        <v>301</v>
      </c>
      <c r="V280" s="22">
        <f ca="1">(SUMPRODUCT(MID(0&amp;(--TRIM(RIGHT(SUBSTITUTE(LEFT(A276,_xlfn.AGGREGATE(16,6,FIND({0,1,2,3,4,5,6,7,8,9},A276,ROW(INDIRECT("1:"&amp;LEN(A276)))),1))," ",REPT(" ",LEN(A276))),LEN(A276)))), LARGE(INDEX(ISNUMBER(--MID((--TRIM(RIGHT(SUBSTITUTE(LEFT(A276,_xlfn.AGGREGATE(16,6,FIND({0,1,2,3,4,5,6,7,8,9},A276,ROW(INDIRECT("1:"&amp;LEN(A276)))),1))," ",REPT(" ",LEN(A276))),LEN(A276)))), ROW(INDIRECT("1:"&amp;LEN((--TRIM(RIGHT(SUBSTITUTE(LEFT(A276,_xlfn.AGGREGATE(16,6,FIND({0,1,2,3,4,5,6,7,8,9},A276,ROW(INDIRECT("1:"&amp;LEN(A276)))),1))," ",REPT(" ",LEN(A276))),LEN(A276))))))), 1)) * ROW(INDIRECT("1:"&amp;LEN((--TRIM(RIGHT(SUBSTITUTE(LEFT(A276,_xlfn.AGGREGATE(16,6,FIND({0,1,2,3,4,5,6,7,8,9},A276,ROW(INDIRECT("1:"&amp;LEN(A276)))),1))," ",REPT(" ",LEN(A276))),LEN(A276))))))), 0), ROW(INDIRECT("1:"&amp;LEN((--TRIM(RIGHT(SUBSTITUTE(LEFT(A276,_xlfn.AGGREGATE(16,6,FIND({0,1,2,3,4,5,6,7,8,9},A276,ROW(INDIRECT("1:"&amp;LEN(A276)))),1))," ",REPT(" ",LEN(A276))),LEN(A276))))))))+1, 1) * 10^ROW(INDIRECT("1:"&amp;LEN((--TRIM(RIGHT(SUBSTITUTE(LEFT(A276,_xlfn.AGGREGATE(16,6,FIND({0,1,2,3,4,5,6,7,8,9},A276,ROW(INDIRECT("1:"&amp;LEN(A276)))),1))," ",REPT(" ",LEN(A276))),LEN(A276)))))))/10))*100+1</f>
        <v>301</v>
      </c>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2" customFormat="1" ht="20.25" customHeight="1" x14ac:dyDescent="0.25">
      <c r="A281" s="84">
        <v>2</v>
      </c>
      <c r="B281" s="84"/>
      <c r="C281" s="52" t="s">
        <v>335</v>
      </c>
      <c r="D281" s="52" t="s">
        <v>347</v>
      </c>
      <c r="E281" s="71">
        <f>(4.35*3.1+2.1*3.35+3.1*3.35+2.1*1.2+1.2*2.45+1.2*0.9)*10.764</f>
        <v>403.05797999999999</v>
      </c>
      <c r="F281" s="5">
        <f>(0.75*(2.1+2.1+3.1))*10.764</f>
        <v>58.932900000000004</v>
      </c>
      <c r="G281" s="5">
        <v>0</v>
      </c>
      <c r="H281" s="5">
        <f>E281+F281+(IF(G281&lt;101,G281,IF(G281&lt;201,G281/2,IF(G281&lt;=301,G281/3,G281/4))))</f>
        <v>461.99088</v>
      </c>
      <c r="I281" s="78"/>
      <c r="J281" s="1"/>
      <c r="K281" s="1"/>
      <c r="L281" s="1"/>
      <c r="M281" s="1"/>
      <c r="N281" s="1"/>
      <c r="O281" s="1"/>
      <c r="P281" s="1"/>
      <c r="Q281" s="1"/>
      <c r="R281" s="1"/>
      <c r="S281" s="1"/>
      <c r="T281" s="22" t="str">
        <f t="shared" ref="T281:T283" ca="1" si="86">U281&amp;""&amp;" &amp; "&amp;""&amp;V281</f>
        <v>302 &amp; 302</v>
      </c>
      <c r="U281" s="22">
        <f ca="1">U280+1</f>
        <v>302</v>
      </c>
      <c r="V281" s="22">
        <f ca="1">V280+1</f>
        <v>302</v>
      </c>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2" customFormat="1" ht="20.25" customHeight="1" x14ac:dyDescent="0.25">
      <c r="A282" s="84">
        <v>3</v>
      </c>
      <c r="B282" s="84"/>
      <c r="C282" s="52" t="s">
        <v>335</v>
      </c>
      <c r="D282" s="52" t="s">
        <v>347</v>
      </c>
      <c r="E282" s="71">
        <f>(4.35*3.1+2.1*3.35+3.1*3.35+2.1*1.2+1.2*2.45+1.2*0.9)*10.764</f>
        <v>403.05797999999999</v>
      </c>
      <c r="F282" s="5">
        <f>(0.75*(2.1+2.1+3.1))*10.764</f>
        <v>58.932900000000004</v>
      </c>
      <c r="G282" s="5">
        <v>0</v>
      </c>
      <c r="H282" s="5">
        <f t="shared" ref="H282:H283" si="87">E282+F282+(IF(G282&lt;101,G282,IF(G282&lt;201,G282/2,IF(G282&lt;=301,G282/3,G282/4))))</f>
        <v>461.99088</v>
      </c>
      <c r="I282" s="78"/>
      <c r="J282" s="1"/>
      <c r="K282" s="1"/>
      <c r="L282" s="1"/>
      <c r="M282" s="1"/>
      <c r="N282" s="1"/>
      <c r="O282" s="1"/>
      <c r="P282" s="1"/>
      <c r="Q282" s="1"/>
      <c r="R282" s="1"/>
      <c r="S282" s="1"/>
      <c r="T282" s="22" t="str">
        <f t="shared" ca="1" si="86"/>
        <v>303 &amp; 303</v>
      </c>
      <c r="U282" s="22">
        <f t="shared" ref="U282:V282" ca="1" si="88">U281+1</f>
        <v>303</v>
      </c>
      <c r="V282" s="22">
        <f t="shared" ca="1" si="88"/>
        <v>303</v>
      </c>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2" customFormat="1" ht="20.25" customHeight="1" x14ac:dyDescent="0.25">
      <c r="A283" s="84">
        <v>4</v>
      </c>
      <c r="B283" s="84"/>
      <c r="C283" s="52" t="s">
        <v>335</v>
      </c>
      <c r="D283" s="52" t="s">
        <v>338</v>
      </c>
      <c r="E283" s="71">
        <f>(4.7*3.1+2.4*1.2+2.1*3.65+2.75*3.65+3.4*3.1+2.1*1.52+1.2*2.1+1.2*0.9)*10.764</f>
        <v>564.94315799999993</v>
      </c>
      <c r="F283" s="5">
        <f>(0.75*(2.4+2.1+2.75+1.8))*10.764</f>
        <v>73.060649999999995</v>
      </c>
      <c r="G283" s="5">
        <v>0</v>
      </c>
      <c r="H283" s="5">
        <f t="shared" si="87"/>
        <v>638.00380799999994</v>
      </c>
      <c r="I283" s="78"/>
      <c r="J283" s="1"/>
      <c r="K283" s="1"/>
      <c r="L283" s="1"/>
      <c r="M283" s="1"/>
      <c r="N283" s="1"/>
      <c r="O283" s="1"/>
      <c r="P283" s="1"/>
      <c r="Q283" s="1"/>
      <c r="R283" s="1"/>
      <c r="S283" s="1"/>
      <c r="T283" s="22" t="str">
        <f t="shared" ca="1" si="86"/>
        <v>304 &amp; 304</v>
      </c>
      <c r="U283" s="22">
        <f t="shared" ref="U283:V283" ca="1" si="89">U282+1</f>
        <v>304</v>
      </c>
      <c r="V283" s="22">
        <f t="shared" ca="1" si="89"/>
        <v>304</v>
      </c>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2" customFormat="1" ht="20.25" customHeight="1" x14ac:dyDescent="0.25">
      <c r="A284" s="85" t="s">
        <v>348</v>
      </c>
      <c r="B284" s="86"/>
      <c r="C284" s="86"/>
      <c r="D284" s="86"/>
      <c r="E284" s="86"/>
      <c r="F284" s="86"/>
      <c r="G284" s="86"/>
      <c r="H284" s="87"/>
      <c r="I284" s="78">
        <f>4+4+4+4</f>
        <v>16</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2" customFormat="1" ht="20.25" customHeight="1" x14ac:dyDescent="0.25">
      <c r="A285" s="84">
        <v>1</v>
      </c>
      <c r="B285" s="84"/>
      <c r="C285" s="52" t="s">
        <v>89</v>
      </c>
      <c r="D285" s="77" t="s">
        <v>347</v>
      </c>
      <c r="E285" s="77">
        <f>(4.35*3.1+2.1*3.35+3.1*3.35+2.1*1.2+1.2*2.45+1.2*0.9)*10.764</f>
        <v>403.05797999999999</v>
      </c>
      <c r="F285" s="77">
        <f>(0.75*(2.1+2.1+3.1))*10.764</f>
        <v>58.932900000000004</v>
      </c>
      <c r="G285" s="77">
        <v>0</v>
      </c>
      <c r="H285" s="5">
        <f>E285+F285+(IF(G285&lt;101,G285,IF(G285&lt;201,G285/2,IF(G285&lt;=301,G285/3,G285/4))))</f>
        <v>461.99088</v>
      </c>
      <c r="I285" s="78"/>
      <c r="J285" s="1"/>
      <c r="K285" s="1"/>
      <c r="L285" s="1"/>
      <c r="M285" s="1"/>
      <c r="N285" s="1"/>
      <c r="O285" s="1"/>
      <c r="P285" s="1"/>
      <c r="Q285" s="1"/>
      <c r="R285" s="1"/>
      <c r="S285" s="1"/>
      <c r="T285" s="22" t="str">
        <f ca="1">U285&amp;""&amp;" &amp; "&amp;""&amp;V285</f>
        <v>401 &amp; 2201</v>
      </c>
      <c r="U285" s="22">
        <f ca="1">(SUMPRODUCT(MID(0&amp;(LEFT(A284,SUM(LEN(A284)-LEN(SUBSTITUTE(A284,{"0","1","2","3"},""))))), LARGE(INDEX(ISNUMBER(--MID((LEFT(A284,SUM(LEN(A284)-LEN(SUBSTITUTE(A284,{"0","1","2","3"},""))))), ROW(INDIRECT("1:"&amp;LEN((LEFT(A284,SUM(LEN(A284)-LEN(SUBSTITUTE(A284,{"0","1","2","3"},"")))))))), 1)) * ROW(INDIRECT("1:"&amp;LEN((LEFT(A284,SUM(LEN(A284)-LEN(SUBSTITUTE(A284,{"0","1","2","3"},"")))))))), 0), ROW(INDIRECT("1:"&amp;LEN((LEFT(A284,SUM(LEN(A284)-LEN(SUBSTITUTE(A284,{"0","1","2","3"},"")))))))))+1, 1) * 10^ROW(INDIRECT("1:"&amp;LEN((LEFT(A284,SUM(LEN(A284)-LEN(SUBSTITUTE(A284,{"0","1","2","3"},""))))))))/10))*100+1</f>
        <v>401</v>
      </c>
      <c r="V285" s="22">
        <f ca="1">(SUMPRODUCT(MID(0&amp;(--TRIM(RIGHT(SUBSTITUTE(LEFT(A284,_xlfn.AGGREGATE(16,6,FIND({0,1,2,3,4,5,6,7,8,9},A284,ROW(INDIRECT("1:"&amp;LEN(A284)))),1))," ",REPT(" ",LEN(A284))),LEN(A284)))), LARGE(INDEX(ISNUMBER(--MID((--TRIM(RIGHT(SUBSTITUTE(LEFT(A284,_xlfn.AGGREGATE(16,6,FIND({0,1,2,3,4,5,6,7,8,9},A284,ROW(INDIRECT("1:"&amp;LEN(A284)))),1))," ",REPT(" ",LEN(A284))),LEN(A284)))), ROW(INDIRECT("1:"&amp;LEN((--TRIM(RIGHT(SUBSTITUTE(LEFT(A284,_xlfn.AGGREGATE(16,6,FIND({0,1,2,3,4,5,6,7,8,9},A284,ROW(INDIRECT("1:"&amp;LEN(A284)))),1))," ",REPT(" ",LEN(A284))),LEN(A284))))))), 1)) * ROW(INDIRECT("1:"&amp;LEN((--TRIM(RIGHT(SUBSTITUTE(LEFT(A284,_xlfn.AGGREGATE(16,6,FIND({0,1,2,3,4,5,6,7,8,9},A284,ROW(INDIRECT("1:"&amp;LEN(A284)))),1))," ",REPT(" ",LEN(A284))),LEN(A284))))))), 0), ROW(INDIRECT("1:"&amp;LEN((--TRIM(RIGHT(SUBSTITUTE(LEFT(A284,_xlfn.AGGREGATE(16,6,FIND({0,1,2,3,4,5,6,7,8,9},A284,ROW(INDIRECT("1:"&amp;LEN(A284)))),1))," ",REPT(" ",LEN(A284))),LEN(A284))))))))+1, 1) * 10^ROW(INDIRECT("1:"&amp;LEN((--TRIM(RIGHT(SUBSTITUTE(LEFT(A284,_xlfn.AGGREGATE(16,6,FIND({0,1,2,3,4,5,6,7,8,9},A284,ROW(INDIRECT("1:"&amp;LEN(A284)))),1))," ",REPT(" ",LEN(A284))),LEN(A284)))))))/10))*100+1</f>
        <v>2201</v>
      </c>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2" customFormat="1" ht="20.25" customHeight="1" x14ac:dyDescent="0.25">
      <c r="A286" s="84">
        <v>2</v>
      </c>
      <c r="B286" s="84"/>
      <c r="C286" s="52" t="s">
        <v>89</v>
      </c>
      <c r="D286" s="77" t="s">
        <v>347</v>
      </c>
      <c r="E286" s="77">
        <f>(4.35*3.1+2.1*3.35+3.1*3.35+2.1*1.2+1.2*2.45+1.2*0.9)*10.764</f>
        <v>403.05797999999999</v>
      </c>
      <c r="F286" s="77">
        <f>(0.75*(2.1+2.1+3.1))*10.764</f>
        <v>58.932900000000004</v>
      </c>
      <c r="G286" s="77">
        <v>0</v>
      </c>
      <c r="H286" s="5">
        <f>E286+F286+(IF(G286&lt;101,G286,IF(G286&lt;201,G286/2,IF(G286&lt;=301,G286/3,G286/4))))</f>
        <v>461.99088</v>
      </c>
      <c r="I286" s="78"/>
      <c r="J286" s="1"/>
      <c r="K286" s="1"/>
      <c r="L286" s="1"/>
      <c r="M286" s="1"/>
      <c r="N286" s="1"/>
      <c r="O286" s="1"/>
      <c r="P286" s="1"/>
      <c r="Q286" s="1"/>
      <c r="R286" s="1"/>
      <c r="S286" s="1"/>
      <c r="T286" s="22" t="str">
        <f t="shared" ref="T286:T292" ca="1" si="90">U286&amp;""&amp;" &amp; "&amp;""&amp;V286</f>
        <v>402 &amp; 2202</v>
      </c>
      <c r="U286" s="22">
        <f ca="1">U285+1</f>
        <v>402</v>
      </c>
      <c r="V286" s="22">
        <f ca="1">V285+1</f>
        <v>2202</v>
      </c>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2" customFormat="1" ht="20.25" customHeight="1" x14ac:dyDescent="0.25">
      <c r="A287" s="84">
        <v>3</v>
      </c>
      <c r="B287" s="84"/>
      <c r="C287" s="52" t="s">
        <v>89</v>
      </c>
      <c r="D287" s="5" t="s">
        <v>338</v>
      </c>
      <c r="E287" s="5">
        <f>(4.7*3.1+2.4*1.2+2.1*3.65+2.75*3.65+3.4*3.1+1.2*2.1+2.1*1.52+1.2*0.9+1.1*1.1)*10.764</f>
        <v>577.96759799999995</v>
      </c>
      <c r="F287" s="5">
        <f>(0.75*(2.4+2.1+2.75+1.8))*10.764</f>
        <v>73.060649999999995</v>
      </c>
      <c r="G287" s="5">
        <v>0</v>
      </c>
      <c r="H287" s="5">
        <f t="shared" ref="H287:H288" si="91">E287+F287+(IF(G287&lt;101,G287,IF(G287&lt;201,G287/2,IF(G287&lt;=301,G287/3,G287/4))))</f>
        <v>651.02824799999996</v>
      </c>
      <c r="I287" s="78"/>
      <c r="J287" s="1"/>
      <c r="K287" s="1"/>
      <c r="L287" s="1"/>
      <c r="M287" s="1"/>
      <c r="N287" s="1"/>
      <c r="O287" s="1"/>
      <c r="P287" s="1"/>
      <c r="Q287" s="1"/>
      <c r="R287" s="1"/>
      <c r="S287" s="1"/>
      <c r="T287" s="22" t="str">
        <f t="shared" ca="1" si="90"/>
        <v>403 &amp; 2203</v>
      </c>
      <c r="U287" s="22">
        <f t="shared" ref="U287:V287" ca="1" si="92">U286+1</f>
        <v>403</v>
      </c>
      <c r="V287" s="22">
        <f t="shared" ca="1" si="92"/>
        <v>2203</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2" customFormat="1" ht="20.25" customHeight="1" x14ac:dyDescent="0.25">
      <c r="A288" s="84">
        <v>4</v>
      </c>
      <c r="B288" s="84"/>
      <c r="C288" s="52" t="s">
        <v>89</v>
      </c>
      <c r="D288" s="5" t="s">
        <v>338</v>
      </c>
      <c r="E288" s="5">
        <f>(4.7*3.1+2.4*1.2+2.1*3.65+2.75*3.65+3.4*3.1+1.2*2.1+2.1*1.52+1.2*0.9+1.1*1.1)*10.764</f>
        <v>577.96759799999995</v>
      </c>
      <c r="F288" s="5">
        <f>(0.75*(2.4+2.1+2.75+1.8))*10.764</f>
        <v>73.060649999999995</v>
      </c>
      <c r="G288" s="5">
        <v>0</v>
      </c>
      <c r="H288" s="5">
        <f t="shared" si="91"/>
        <v>651.02824799999996</v>
      </c>
      <c r="I288" s="78"/>
      <c r="J288" s="1"/>
      <c r="K288" s="1"/>
      <c r="L288" s="1"/>
      <c r="M288" s="1"/>
      <c r="N288" s="1"/>
      <c r="O288" s="1"/>
      <c r="P288" s="1"/>
      <c r="Q288" s="1"/>
      <c r="R288" s="1"/>
      <c r="S288" s="1"/>
      <c r="T288" s="22" t="str">
        <f t="shared" ca="1" si="90"/>
        <v>404 &amp; 2204</v>
      </c>
      <c r="U288" s="22">
        <f t="shared" ref="U288:V288" ca="1" si="93">U287+1</f>
        <v>404</v>
      </c>
      <c r="V288" s="22">
        <f t="shared" ca="1" si="93"/>
        <v>2204</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2" customFormat="1" ht="20.25" customHeight="1" x14ac:dyDescent="0.25">
      <c r="A289" s="84">
        <v>5</v>
      </c>
      <c r="B289" s="84"/>
      <c r="C289" s="52" t="s">
        <v>89</v>
      </c>
      <c r="D289" s="77" t="s">
        <v>347</v>
      </c>
      <c r="E289" s="77">
        <f t="shared" ref="E289:E290" si="94">(4.35*3.1+2.1*3.35+3.1*3.35+2.1*1.2+1.2*2.45+1.2*0.9)*10.764</f>
        <v>403.05797999999999</v>
      </c>
      <c r="F289" s="77">
        <f t="shared" ref="F289:F290" si="95">(0.75*(2.1+2.1+3.1))*10.764</f>
        <v>58.932900000000004</v>
      </c>
      <c r="G289" s="5">
        <v>0</v>
      </c>
      <c r="H289" s="5">
        <f>E289+F289+(IF(G289&lt;101,G289,IF(G289&lt;201,G289/2,IF(G289&lt;=301,G289/3,G289/4))))</f>
        <v>461.99088</v>
      </c>
      <c r="I289" s="78"/>
      <c r="J289" s="1"/>
      <c r="K289" s="1"/>
      <c r="L289" s="1"/>
      <c r="M289" s="1"/>
      <c r="N289" s="1"/>
      <c r="O289" s="1"/>
      <c r="P289" s="1"/>
      <c r="Q289" s="1"/>
      <c r="R289" s="1"/>
      <c r="S289" s="1"/>
      <c r="T289" s="22" t="str">
        <f t="shared" ca="1" si="90"/>
        <v>405 &amp; 2205</v>
      </c>
      <c r="U289" s="22">
        <f t="shared" ref="U289:V289" ca="1" si="96">U288+1</f>
        <v>405</v>
      </c>
      <c r="V289" s="22">
        <f t="shared" ca="1" si="96"/>
        <v>2205</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2" customFormat="1" ht="20.25" customHeight="1" x14ac:dyDescent="0.25">
      <c r="A290" s="84">
        <v>6</v>
      </c>
      <c r="B290" s="84"/>
      <c r="C290" s="52" t="s">
        <v>89</v>
      </c>
      <c r="D290" s="77" t="s">
        <v>347</v>
      </c>
      <c r="E290" s="77">
        <f t="shared" si="94"/>
        <v>403.05797999999999</v>
      </c>
      <c r="F290" s="77">
        <f t="shared" si="95"/>
        <v>58.932900000000004</v>
      </c>
      <c r="G290" s="5">
        <v>0</v>
      </c>
      <c r="H290" s="5">
        <f>E290+F290+(IF(G290&lt;101,G290,IF(G290&lt;201,G290/2,IF(G290&lt;=301,G290/3,G290/4))))</f>
        <v>461.99088</v>
      </c>
      <c r="I290" s="78"/>
      <c r="J290" s="1"/>
      <c r="K290" s="1"/>
      <c r="L290" s="1"/>
      <c r="M290" s="1"/>
      <c r="N290" s="1"/>
      <c r="O290" s="1"/>
      <c r="P290" s="1"/>
      <c r="Q290" s="1"/>
      <c r="R290" s="1"/>
      <c r="S290" s="1"/>
      <c r="T290" s="22" t="str">
        <f t="shared" ca="1" si="90"/>
        <v>406 &amp; 2206</v>
      </c>
      <c r="U290" s="22">
        <f t="shared" ref="U290:V290" ca="1" si="97">U289+1</f>
        <v>406</v>
      </c>
      <c r="V290" s="22">
        <f t="shared" ca="1" si="97"/>
        <v>2206</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2" customFormat="1" ht="20.25" customHeight="1" x14ac:dyDescent="0.25">
      <c r="A291" s="84">
        <v>7</v>
      </c>
      <c r="B291" s="84"/>
      <c r="C291" s="52" t="s">
        <v>89</v>
      </c>
      <c r="D291" s="5" t="s">
        <v>338</v>
      </c>
      <c r="E291" s="5">
        <f t="shared" ref="E291:E292" si="98">(4.7*3.1+2.4*1.2+2.1*3.65+2.75*3.65+3.4*3.1+1.2*2.1+2.1*1.52+1.2*0.9+1.1*1.1)*10.764</f>
        <v>577.96759799999995</v>
      </c>
      <c r="F291" s="5">
        <f t="shared" ref="F291:F292" si="99">(0.75*(2.4+2.1+2.75+1.8))*10.764</f>
        <v>73.060649999999995</v>
      </c>
      <c r="G291" s="5">
        <v>0</v>
      </c>
      <c r="H291" s="5">
        <f t="shared" ref="H291:H292" si="100">E291+F291+(IF(G291&lt;101,G291,IF(G291&lt;201,G291/2,IF(G291&lt;=301,G291/3,G291/4))))</f>
        <v>651.02824799999996</v>
      </c>
      <c r="I291" s="78"/>
      <c r="J291" s="1"/>
      <c r="K291" s="1"/>
      <c r="L291" s="1"/>
      <c r="M291" s="1"/>
      <c r="N291" s="1"/>
      <c r="O291" s="1"/>
      <c r="P291" s="1"/>
      <c r="Q291" s="1"/>
      <c r="R291" s="1"/>
      <c r="S291" s="1"/>
      <c r="T291" s="22" t="str">
        <f t="shared" ca="1" si="90"/>
        <v>407 &amp; 2207</v>
      </c>
      <c r="U291" s="22">
        <f t="shared" ref="U291:V291" ca="1" si="101">U290+1</f>
        <v>407</v>
      </c>
      <c r="V291" s="22">
        <f t="shared" ca="1" si="101"/>
        <v>2207</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2" customFormat="1" ht="20.25" customHeight="1" x14ac:dyDescent="0.25">
      <c r="A292" s="84">
        <v>8</v>
      </c>
      <c r="B292" s="84"/>
      <c r="C292" s="52" t="s">
        <v>89</v>
      </c>
      <c r="D292" s="5" t="s">
        <v>338</v>
      </c>
      <c r="E292" s="5">
        <f t="shared" si="98"/>
        <v>577.96759799999995</v>
      </c>
      <c r="F292" s="5">
        <f t="shared" si="99"/>
        <v>73.060649999999995</v>
      </c>
      <c r="G292" s="5">
        <v>0</v>
      </c>
      <c r="H292" s="5">
        <f t="shared" si="100"/>
        <v>651.02824799999996</v>
      </c>
      <c r="I292" s="78"/>
      <c r="J292" s="1"/>
      <c r="K292" s="1"/>
      <c r="L292" s="1"/>
      <c r="M292" s="1"/>
      <c r="N292" s="1"/>
      <c r="O292" s="1"/>
      <c r="P292" s="1"/>
      <c r="Q292" s="1"/>
      <c r="R292" s="1"/>
      <c r="S292" s="1"/>
      <c r="T292" s="22" t="str">
        <f t="shared" ca="1" si="90"/>
        <v>408 &amp; 2208</v>
      </c>
      <c r="U292" s="22">
        <f t="shared" ref="U292:V292" ca="1" si="102">U291+1</f>
        <v>408</v>
      </c>
      <c r="V292" s="22">
        <f t="shared" ca="1" si="102"/>
        <v>2208</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2" customFormat="1" ht="20.25" customHeight="1" x14ac:dyDescent="0.25">
      <c r="A293" s="85" t="s">
        <v>349</v>
      </c>
      <c r="B293" s="86"/>
      <c r="C293" s="86"/>
      <c r="D293" s="86"/>
      <c r="E293" s="86"/>
      <c r="F293" s="86"/>
      <c r="G293" s="86"/>
      <c r="H293" s="87"/>
      <c r="I293" s="78">
        <f>3</f>
        <v>3</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2" customFormat="1" ht="20.25" customHeight="1" x14ac:dyDescent="0.25">
      <c r="A294" s="84">
        <v>1</v>
      </c>
      <c r="B294" s="84"/>
      <c r="C294" s="52" t="s">
        <v>89</v>
      </c>
      <c r="D294" s="5" t="s">
        <v>347</v>
      </c>
      <c r="E294" s="5">
        <f>(4.35*3.1+2.1*3.35+3.1*3.35+2.1*1.2+1.2*2.45+1.2*0.9)*10.764</f>
        <v>403.05797999999999</v>
      </c>
      <c r="F294" s="5">
        <f>(0.75*(2.1+2.1+2.75))*10.764</f>
        <v>56.107350000000004</v>
      </c>
      <c r="G294" s="5">
        <v>0</v>
      </c>
      <c r="H294" s="5">
        <f>E294+F294+(IF(G294&lt;101,G294,IF(G294&lt;201,G294/2,IF(G294&lt;=301,G294/3,G294/4))))</f>
        <v>459.16532999999998</v>
      </c>
      <c r="I294" s="78"/>
      <c r="J294" s="1"/>
      <c r="K294" s="1"/>
      <c r="L294" s="1"/>
      <c r="M294" s="1"/>
      <c r="N294" s="1"/>
      <c r="O294" s="1"/>
      <c r="P294" s="1"/>
      <c r="Q294" s="1"/>
      <c r="R294" s="1"/>
      <c r="S294" s="1"/>
      <c r="T294" s="22" t="str">
        <f ca="1">U294&amp;""&amp;" &amp; "&amp;""&amp;V294</f>
        <v>801 &amp; 1801</v>
      </c>
      <c r="U294" s="22">
        <f ca="1">(SUMPRODUCT(MID(0&amp;(LEFT(A293,SUM(LEN(A293)-LEN(SUBSTITUTE(A293,{"0","1","2","3"},""))))), LARGE(INDEX(ISNUMBER(--MID((LEFT(A293,SUM(LEN(A293)-LEN(SUBSTITUTE(A293,{"0","1","2","3"},""))))), ROW(INDIRECT("1:"&amp;LEN((LEFT(A293,SUM(LEN(A293)-LEN(SUBSTITUTE(A293,{"0","1","2","3"},"")))))))), 1)) * ROW(INDIRECT("1:"&amp;LEN((LEFT(A293,SUM(LEN(A293)-LEN(SUBSTITUTE(A293,{"0","1","2","3"},"")))))))), 0), ROW(INDIRECT("1:"&amp;LEN((LEFT(A293,SUM(LEN(A293)-LEN(SUBSTITUTE(A293,{"0","1","2","3"},"")))))))))+1, 1) * 10^ROW(INDIRECT("1:"&amp;LEN((LEFT(A293,SUM(LEN(A293)-LEN(SUBSTITUTE(A293,{"0","1","2","3"},""))))))))/10))*100+1</f>
        <v>801</v>
      </c>
      <c r="V294" s="22">
        <f ca="1">(SUMPRODUCT(MID(0&amp;(--TRIM(RIGHT(SUBSTITUTE(LEFT(A293,_xlfn.AGGREGATE(16,6,FIND({0,1,2,3,4,5,6,7,8,9},A293,ROW(INDIRECT("1:"&amp;LEN(A293)))),1))," ",REPT(" ",LEN(A293))),LEN(A293)))), LARGE(INDEX(ISNUMBER(--MID((--TRIM(RIGHT(SUBSTITUTE(LEFT(A293,_xlfn.AGGREGATE(16,6,FIND({0,1,2,3,4,5,6,7,8,9},A293,ROW(INDIRECT("1:"&amp;LEN(A293)))),1))," ",REPT(" ",LEN(A293))),LEN(A293)))), ROW(INDIRECT("1:"&amp;LEN((--TRIM(RIGHT(SUBSTITUTE(LEFT(A293,_xlfn.AGGREGATE(16,6,FIND({0,1,2,3,4,5,6,7,8,9},A293,ROW(INDIRECT("1:"&amp;LEN(A293)))),1))," ",REPT(" ",LEN(A293))),LEN(A293))))))), 1)) * ROW(INDIRECT("1:"&amp;LEN((--TRIM(RIGHT(SUBSTITUTE(LEFT(A293,_xlfn.AGGREGATE(16,6,FIND({0,1,2,3,4,5,6,7,8,9},A293,ROW(INDIRECT("1:"&amp;LEN(A293)))),1))," ",REPT(" ",LEN(A293))),LEN(A293))))))), 0), ROW(INDIRECT("1:"&amp;LEN((--TRIM(RIGHT(SUBSTITUTE(LEFT(A293,_xlfn.AGGREGATE(16,6,FIND({0,1,2,3,4,5,6,7,8,9},A293,ROW(INDIRECT("1:"&amp;LEN(A293)))),1))," ",REPT(" ",LEN(A293))),LEN(A293))))))))+1, 1) * 10^ROW(INDIRECT("1:"&amp;LEN((--TRIM(RIGHT(SUBSTITUTE(LEFT(A293,_xlfn.AGGREGATE(16,6,FIND({0,1,2,3,4,5,6,7,8,9},A293,ROW(INDIRECT("1:"&amp;LEN(A293)))),1))," ",REPT(" ",LEN(A293))),LEN(A293)))))))/10))*100+1</f>
        <v>1801</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2" customFormat="1" ht="20.25" customHeight="1" x14ac:dyDescent="0.25">
      <c r="A295" s="84">
        <v>2</v>
      </c>
      <c r="B295" s="84"/>
      <c r="C295" s="52" t="s">
        <v>89</v>
      </c>
      <c r="D295" s="5" t="s">
        <v>347</v>
      </c>
      <c r="E295" s="5">
        <f>(4.35*3.1+2.1*3.35+3.1*3.35+2.1*1.2+1.2*2.45+1.2*0.9)*10.764</f>
        <v>403.05797999999999</v>
      </c>
      <c r="F295" s="5">
        <f>(0.75*(2.1+2.1+2.75))*10.764</f>
        <v>56.107350000000004</v>
      </c>
      <c r="G295" s="5">
        <v>0</v>
      </c>
      <c r="H295" s="5">
        <f>E295+F295+(IF(G295&lt;101,G295,IF(G295&lt;201,G295/2,IF(G295&lt;=301,G295/3,G295/4))))</f>
        <v>459.16532999999998</v>
      </c>
      <c r="I295" s="78"/>
      <c r="J295" s="1"/>
      <c r="K295" s="1"/>
      <c r="L295" s="1"/>
      <c r="M295" s="1"/>
      <c r="N295" s="1"/>
      <c r="O295" s="1"/>
      <c r="P295" s="1"/>
      <c r="Q295" s="1"/>
      <c r="R295" s="1"/>
      <c r="S295" s="1"/>
      <c r="T295" s="22" t="str">
        <f t="shared" ref="T295:T301" ca="1" si="103">U295&amp;""&amp;" &amp; "&amp;""&amp;V295</f>
        <v>802 &amp; 1802</v>
      </c>
      <c r="U295" s="22">
        <f ca="1">U294+1</f>
        <v>802</v>
      </c>
      <c r="V295" s="22">
        <f ca="1">V294+1</f>
        <v>1802</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2" customFormat="1" ht="20.25" customHeight="1" x14ac:dyDescent="0.25">
      <c r="A296" s="84">
        <v>3</v>
      </c>
      <c r="B296" s="84"/>
      <c r="C296" s="52" t="s">
        <v>89</v>
      </c>
      <c r="D296" s="5" t="s">
        <v>338</v>
      </c>
      <c r="E296" s="5">
        <f>(4.7*3.1+2.4*1.2+2.1*3.65+2.75*3.65+3.4*3.1+1.2*2.1+2.1*1.52+1.2*0.9)*10.764</f>
        <v>564.94315799999993</v>
      </c>
      <c r="F296" s="5">
        <f>(0.75*(2.4+2.1+2.75+1.8))*10.764</f>
        <v>73.060649999999995</v>
      </c>
      <c r="G296" s="5">
        <v>0</v>
      </c>
      <c r="H296" s="5">
        <f t="shared" ref="H296:H297" si="104">E296+F296+(IF(G296&lt;101,G296,IF(G296&lt;201,G296/2,IF(G296&lt;=301,G296/3,G296/4))))</f>
        <v>638.00380799999994</v>
      </c>
      <c r="I296" s="78"/>
      <c r="J296" s="1"/>
      <c r="K296" s="1"/>
      <c r="L296" s="1"/>
      <c r="M296" s="1"/>
      <c r="N296" s="1"/>
      <c r="O296" s="1"/>
      <c r="P296" s="1"/>
      <c r="Q296" s="1"/>
      <c r="R296" s="1"/>
      <c r="S296" s="1"/>
      <c r="T296" s="22" t="str">
        <f t="shared" ca="1" si="103"/>
        <v>803 &amp; 1803</v>
      </c>
      <c r="U296" s="22">
        <f t="shared" ref="U296:V296" ca="1" si="105">U295+1</f>
        <v>803</v>
      </c>
      <c r="V296" s="22">
        <f t="shared" ca="1" si="105"/>
        <v>1803</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2" customFormat="1" ht="20.25" customHeight="1" x14ac:dyDescent="0.25">
      <c r="A297" s="84">
        <v>4</v>
      </c>
      <c r="B297" s="84"/>
      <c r="C297" s="52" t="s">
        <v>89</v>
      </c>
      <c r="D297" s="5" t="s">
        <v>338</v>
      </c>
      <c r="E297" s="5">
        <f>(4.7*3.1+2.4*1.2+2.1*3.65+2.75*3.65+3.4*3.1+1.2*2.1+2.1*1.52+1.2*0.9)*10.764</f>
        <v>564.94315799999993</v>
      </c>
      <c r="F297" s="5">
        <f>(0.75*(2.4+2.1+2.75+1.8))*10.764</f>
        <v>73.060649999999995</v>
      </c>
      <c r="G297" s="5">
        <v>0</v>
      </c>
      <c r="H297" s="5">
        <f t="shared" si="104"/>
        <v>638.00380799999994</v>
      </c>
      <c r="I297" s="78"/>
      <c r="J297" s="1"/>
      <c r="K297" s="1"/>
      <c r="L297" s="1"/>
      <c r="M297" s="1"/>
      <c r="N297" s="1"/>
      <c r="O297" s="1"/>
      <c r="P297" s="1"/>
      <c r="Q297" s="1"/>
      <c r="R297" s="1"/>
      <c r="S297" s="1"/>
      <c r="T297" s="22" t="str">
        <f t="shared" ca="1" si="103"/>
        <v>804 &amp; 1804</v>
      </c>
      <c r="U297" s="22">
        <f t="shared" ref="U297:V297" ca="1" si="106">U296+1</f>
        <v>804</v>
      </c>
      <c r="V297" s="22">
        <f t="shared" ca="1" si="106"/>
        <v>1804</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2" customFormat="1" ht="20.25" customHeight="1" x14ac:dyDescent="0.25">
      <c r="A298" s="84" t="s">
        <v>335</v>
      </c>
      <c r="B298" s="84"/>
      <c r="C298" s="52" t="s">
        <v>335</v>
      </c>
      <c r="D298" s="88" t="s">
        <v>345</v>
      </c>
      <c r="E298" s="89"/>
      <c r="F298" s="89"/>
      <c r="G298" s="89"/>
      <c r="H298" s="90"/>
      <c r="I298" s="78"/>
      <c r="J298" s="1"/>
      <c r="K298" s="1"/>
      <c r="L298" s="1"/>
      <c r="M298" s="1"/>
      <c r="N298" s="1"/>
      <c r="O298" s="1"/>
      <c r="P298" s="1"/>
      <c r="Q298" s="1"/>
      <c r="R298" s="1"/>
      <c r="S298" s="1"/>
      <c r="T298" s="22" t="str">
        <f t="shared" ca="1" si="103"/>
        <v>805 &amp; 1805</v>
      </c>
      <c r="U298" s="22">
        <f t="shared" ref="U298:V298" ca="1" si="107">U297+1</f>
        <v>805</v>
      </c>
      <c r="V298" s="22">
        <f t="shared" ca="1" si="107"/>
        <v>1805</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2" customFormat="1" ht="20.25" customHeight="1" x14ac:dyDescent="0.25">
      <c r="A299" s="84">
        <v>5</v>
      </c>
      <c r="B299" s="84"/>
      <c r="C299" s="52" t="s">
        <v>89</v>
      </c>
      <c r="D299" s="5" t="s">
        <v>347</v>
      </c>
      <c r="E299" s="5">
        <f>(4.35*3.1+2.1*3.35+3.1*3.35+2.1*1.2+1.2*2.45+1.2*0.9)*10.764</f>
        <v>403.05797999999999</v>
      </c>
      <c r="F299" s="5">
        <f>(0.75*(2.1+2.1+3.1))*10.764</f>
        <v>58.932900000000004</v>
      </c>
      <c r="G299" s="5">
        <v>0</v>
      </c>
      <c r="H299" s="5">
        <f>E299+F299+(IF(G299&lt;101,G299,IF(G299&lt;201,G299/2,IF(G299&lt;=301,G299/3,G299/4))))</f>
        <v>461.99088</v>
      </c>
      <c r="I299" s="78"/>
      <c r="J299" s="1"/>
      <c r="K299" s="1"/>
      <c r="L299" s="1"/>
      <c r="M299" s="1"/>
      <c r="N299" s="1"/>
      <c r="O299" s="1"/>
      <c r="P299" s="1"/>
      <c r="Q299" s="1"/>
      <c r="R299" s="1"/>
      <c r="S299" s="1"/>
      <c r="T299" s="22" t="str">
        <f t="shared" ca="1" si="103"/>
        <v>806 &amp; 1806</v>
      </c>
      <c r="U299" s="22">
        <f t="shared" ref="U299:V299" ca="1" si="108">U298+1</f>
        <v>806</v>
      </c>
      <c r="V299" s="22">
        <f t="shared" ca="1" si="108"/>
        <v>1806</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2" customFormat="1" ht="20.25" customHeight="1" x14ac:dyDescent="0.25">
      <c r="A300" s="84">
        <v>6</v>
      </c>
      <c r="B300" s="84"/>
      <c r="C300" s="52" t="s">
        <v>89</v>
      </c>
      <c r="D300" s="5" t="s">
        <v>338</v>
      </c>
      <c r="E300" s="5">
        <f>(4.7*3.1+2.4*1.2+2.1*3.65+2.75*3.65+3.4*3.1+1.2*2.1+2.1*1.52+1.2*0.9)*10.764</f>
        <v>564.94315799999993</v>
      </c>
      <c r="F300" s="5">
        <f>(0.75*(2.4+2.1+2.75+1.8))*10.764</f>
        <v>73.060649999999995</v>
      </c>
      <c r="G300" s="5">
        <v>0</v>
      </c>
      <c r="H300" s="5">
        <f t="shared" ref="H300:H301" si="109">E300+F300+(IF(G300&lt;101,G300,IF(G300&lt;201,G300/2,IF(G300&lt;=301,G300/3,G300/4))))</f>
        <v>638.00380799999994</v>
      </c>
      <c r="I300" s="78"/>
      <c r="J300" s="1"/>
      <c r="K300" s="1"/>
      <c r="L300" s="1"/>
      <c r="M300" s="1"/>
      <c r="N300" s="1"/>
      <c r="O300" s="1"/>
      <c r="P300" s="1"/>
      <c r="Q300" s="1"/>
      <c r="R300" s="1"/>
      <c r="S300" s="1"/>
      <c r="T300" s="22" t="str">
        <f t="shared" ca="1" si="103"/>
        <v>807 &amp; 1807</v>
      </c>
      <c r="U300" s="22">
        <f t="shared" ref="U300:V300" ca="1" si="110">U299+1</f>
        <v>807</v>
      </c>
      <c r="V300" s="22">
        <f t="shared" ca="1" si="110"/>
        <v>1807</v>
      </c>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2" customFormat="1" ht="20.25" customHeight="1" x14ac:dyDescent="0.25">
      <c r="A301" s="84">
        <v>7</v>
      </c>
      <c r="B301" s="84"/>
      <c r="C301" s="52" t="s">
        <v>89</v>
      </c>
      <c r="D301" s="5" t="s">
        <v>338</v>
      </c>
      <c r="E301" s="5">
        <f>(4.7*3.1+2.4*1.2+2.1*3.65+2.75*3.65+3.4*3.1+1.2*2.1+2.1*1.52+1.2*0.9)*10.764</f>
        <v>564.94315799999993</v>
      </c>
      <c r="F301" s="5">
        <f>(0.75*(2.4+2.1+2.75+1.8))*10.764</f>
        <v>73.060649999999995</v>
      </c>
      <c r="G301" s="5">
        <v>0</v>
      </c>
      <c r="H301" s="5">
        <f t="shared" si="109"/>
        <v>638.00380799999994</v>
      </c>
      <c r="I301" s="78"/>
      <c r="J301" s="1"/>
      <c r="K301" s="1"/>
      <c r="L301" s="1"/>
      <c r="M301" s="1"/>
      <c r="N301" s="1"/>
      <c r="O301" s="1"/>
      <c r="P301" s="1"/>
      <c r="Q301" s="1"/>
      <c r="R301" s="1"/>
      <c r="S301" s="1"/>
      <c r="T301" s="22" t="str">
        <f t="shared" ca="1" si="103"/>
        <v>808 &amp; 1808</v>
      </c>
      <c r="U301" s="22">
        <f t="shared" ref="U301:V301" ca="1" si="111">U300+1</f>
        <v>808</v>
      </c>
      <c r="V301" s="22">
        <f t="shared" ca="1" si="111"/>
        <v>1808</v>
      </c>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2" customFormat="1" ht="20.25" x14ac:dyDescent="0.25">
      <c r="A302" s="85" t="s">
        <v>327</v>
      </c>
      <c r="B302" s="86"/>
      <c r="C302" s="86"/>
      <c r="D302" s="86"/>
      <c r="E302" s="86"/>
      <c r="F302" s="86"/>
      <c r="G302" s="86"/>
      <c r="H302" s="87"/>
      <c r="I302" s="78"/>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2" customFormat="1" ht="20.25" customHeight="1" x14ac:dyDescent="0.25">
      <c r="A303" s="85" t="s">
        <v>350</v>
      </c>
      <c r="B303" s="86"/>
      <c r="C303" s="86"/>
      <c r="D303" s="86"/>
      <c r="E303" s="86"/>
      <c r="F303" s="86"/>
      <c r="G303" s="86"/>
      <c r="H303" s="87"/>
      <c r="I303" s="78"/>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2" customFormat="1" ht="20.25" customHeight="1" x14ac:dyDescent="0.25">
      <c r="A304" s="85" t="s">
        <v>346</v>
      </c>
      <c r="B304" s="86"/>
      <c r="C304" s="86"/>
      <c r="D304" s="86"/>
      <c r="E304" s="86"/>
      <c r="F304" s="86"/>
      <c r="G304" s="86"/>
      <c r="H304" s="87"/>
      <c r="I304" s="78">
        <f>3</f>
        <v>3</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2" customFormat="1" ht="20.25" customHeight="1" x14ac:dyDescent="0.25">
      <c r="A305" s="84" t="s">
        <v>96</v>
      </c>
      <c r="B305" s="84"/>
      <c r="C305" s="52" t="s">
        <v>335</v>
      </c>
      <c r="D305" s="93" t="s">
        <v>340</v>
      </c>
      <c r="E305" s="94"/>
      <c r="F305" s="94"/>
      <c r="G305" s="94"/>
      <c r="H305" s="95"/>
      <c r="I305" s="78"/>
      <c r="J305" s="1"/>
      <c r="K305" s="1"/>
      <c r="L305" s="1"/>
      <c r="M305" s="1"/>
      <c r="N305" s="1"/>
      <c r="O305" s="1"/>
      <c r="P305" s="1"/>
      <c r="Q305" s="1"/>
      <c r="R305" s="1"/>
      <c r="S305" s="1"/>
      <c r="T305" s="22" t="str">
        <f ca="1">U305&amp;""&amp;" &amp; "&amp;""&amp;V305</f>
        <v>105 &amp; 305</v>
      </c>
      <c r="U305" s="22">
        <f ca="1">U311+1</f>
        <v>105</v>
      </c>
      <c r="V305" s="22">
        <f ca="1">V311+1</f>
        <v>305</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2" customFormat="1" ht="20.25" customHeight="1" x14ac:dyDescent="0.25">
      <c r="A306" s="84" t="s">
        <v>96</v>
      </c>
      <c r="B306" s="84"/>
      <c r="C306" s="52" t="s">
        <v>335</v>
      </c>
      <c r="D306" s="96"/>
      <c r="E306" s="97"/>
      <c r="F306" s="97"/>
      <c r="G306" s="97"/>
      <c r="H306" s="98"/>
      <c r="I306" s="78"/>
      <c r="J306" s="1"/>
      <c r="K306" s="1"/>
      <c r="L306" s="1"/>
      <c r="M306" s="1"/>
      <c r="N306" s="1"/>
      <c r="O306" s="1"/>
      <c r="P306" s="1"/>
      <c r="Q306" s="1"/>
      <c r="R306" s="1"/>
      <c r="S306" s="1"/>
      <c r="T306" s="22" t="str">
        <f ca="1">U306&amp;""&amp;" &amp; "&amp;""&amp;V306</f>
        <v>106 &amp; 306</v>
      </c>
      <c r="U306" s="22">
        <f t="shared" ref="U306:V306" ca="1" si="112">U305+1</f>
        <v>106</v>
      </c>
      <c r="V306" s="22">
        <f t="shared" ca="1" si="112"/>
        <v>306</v>
      </c>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2" customFormat="1" ht="20.25" customHeight="1" x14ac:dyDescent="0.25">
      <c r="A307" s="84" t="s">
        <v>96</v>
      </c>
      <c r="B307" s="84"/>
      <c r="C307" s="52" t="s">
        <v>335</v>
      </c>
      <c r="D307" s="99"/>
      <c r="E307" s="100"/>
      <c r="F307" s="100"/>
      <c r="G307" s="100"/>
      <c r="H307" s="101"/>
      <c r="I307" s="78"/>
      <c r="J307" s="1"/>
      <c r="K307" s="1"/>
      <c r="L307" s="1"/>
      <c r="M307" s="1"/>
      <c r="N307" s="1"/>
      <c r="O307" s="1"/>
      <c r="P307" s="1"/>
      <c r="Q307" s="1"/>
      <c r="R307" s="1"/>
      <c r="S307" s="1"/>
      <c r="T307" s="22" t="str">
        <f ca="1">U307&amp;""&amp;" &amp; "&amp;""&amp;V307</f>
        <v>107 &amp; 307</v>
      </c>
      <c r="U307" s="22">
        <f t="shared" ref="U307:V307" ca="1" si="113">U306+1</f>
        <v>107</v>
      </c>
      <c r="V307" s="22">
        <f t="shared" ca="1" si="113"/>
        <v>307</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2" customFormat="1" ht="20.25" customHeight="1" x14ac:dyDescent="0.25">
      <c r="A308" s="84">
        <v>1</v>
      </c>
      <c r="B308" s="84"/>
      <c r="C308" s="52" t="s">
        <v>89</v>
      </c>
      <c r="D308" s="52" t="s">
        <v>338</v>
      </c>
      <c r="E308" s="71">
        <f>(4.7*3.1+2.4*1.2+2.1*3.65+2.75*3.65+3.4*3.1+2.1*1.52+1.2*2.1+1.2*0.9+0.9*2)*10.764</f>
        <v>584.31835799999988</v>
      </c>
      <c r="F308" s="5">
        <f>(0.75*(2.4+2.1+2.75+1.8))*10.764</f>
        <v>73.060649999999995</v>
      </c>
      <c r="G308" s="5">
        <v>0</v>
      </c>
      <c r="H308" s="5">
        <f>E308+F308+(IF(G308&lt;101,G308,IF(G308&lt;201,G308/2,IF(G308&lt;=301,G308/3,G308/4))))</f>
        <v>657.37900799999989</v>
      </c>
      <c r="I308" s="78"/>
      <c r="J308" s="1"/>
      <c r="K308" s="1"/>
      <c r="L308" s="1"/>
      <c r="M308" s="1"/>
      <c r="N308" s="1"/>
      <c r="O308" s="1"/>
      <c r="P308" s="1"/>
      <c r="Q308" s="1"/>
      <c r="R308" s="1"/>
      <c r="S308" s="1"/>
      <c r="T308" s="22" t="str">
        <f ca="1">U308&amp;""&amp;" &amp; "&amp;""&amp;V308</f>
        <v>101 &amp; 301</v>
      </c>
      <c r="U308" s="22">
        <f ca="1">(SUMPRODUCT(MID(0&amp;(LEFT(A304,SUM(LEN(A304)-LEN(SUBSTITUTE(A304,{"0","1","2","3"},""))))), LARGE(INDEX(ISNUMBER(--MID((LEFT(A304,SUM(LEN(A304)-LEN(SUBSTITUTE(A304,{"0","1","2","3"},""))))), ROW(INDIRECT("1:"&amp;LEN((LEFT(A304,SUM(LEN(A304)-LEN(SUBSTITUTE(A304,{"0","1","2","3"},"")))))))), 1)) * ROW(INDIRECT("1:"&amp;LEN((LEFT(A304,SUM(LEN(A304)-LEN(SUBSTITUTE(A304,{"0","1","2","3"},"")))))))), 0), ROW(INDIRECT("1:"&amp;LEN((LEFT(A304,SUM(LEN(A304)-LEN(SUBSTITUTE(A304,{"0","1","2","3"},"")))))))))+1, 1) * 10^ROW(INDIRECT("1:"&amp;LEN((LEFT(A304,SUM(LEN(A304)-LEN(SUBSTITUTE(A304,{"0","1","2","3"},""))))))))/10))*100+1</f>
        <v>101</v>
      </c>
      <c r="V308" s="22">
        <f ca="1">(SUMPRODUCT(MID(0&amp;(--TRIM(RIGHT(SUBSTITUTE(LEFT(A304,_xlfn.AGGREGATE(16,6,FIND({0,1,2,3,4,5,6,7,8,9},A304,ROW(INDIRECT("1:"&amp;LEN(A304)))),1))," ",REPT(" ",LEN(A304))),LEN(A304)))), LARGE(INDEX(ISNUMBER(--MID((--TRIM(RIGHT(SUBSTITUTE(LEFT(A304,_xlfn.AGGREGATE(16,6,FIND({0,1,2,3,4,5,6,7,8,9},A304,ROW(INDIRECT("1:"&amp;LEN(A304)))),1))," ",REPT(" ",LEN(A304))),LEN(A304)))), ROW(INDIRECT("1:"&amp;LEN((--TRIM(RIGHT(SUBSTITUTE(LEFT(A304,_xlfn.AGGREGATE(16,6,FIND({0,1,2,3,4,5,6,7,8,9},A304,ROW(INDIRECT("1:"&amp;LEN(A304)))),1))," ",REPT(" ",LEN(A304))),LEN(A304))))))), 1)) * ROW(INDIRECT("1:"&amp;LEN((--TRIM(RIGHT(SUBSTITUTE(LEFT(A304,_xlfn.AGGREGATE(16,6,FIND({0,1,2,3,4,5,6,7,8,9},A304,ROW(INDIRECT("1:"&amp;LEN(A304)))),1))," ",REPT(" ",LEN(A304))),LEN(A304))))))), 0), ROW(INDIRECT("1:"&amp;LEN((--TRIM(RIGHT(SUBSTITUTE(LEFT(A304,_xlfn.AGGREGATE(16,6,FIND({0,1,2,3,4,5,6,7,8,9},A304,ROW(INDIRECT("1:"&amp;LEN(A304)))),1))," ",REPT(" ",LEN(A304))),LEN(A304))))))))+1, 1) * 10^ROW(INDIRECT("1:"&amp;LEN((--TRIM(RIGHT(SUBSTITUTE(LEFT(A304,_xlfn.AGGREGATE(16,6,FIND({0,1,2,3,4,5,6,7,8,9},A304,ROW(INDIRECT("1:"&amp;LEN(A304)))),1))," ",REPT(" ",LEN(A304))),LEN(A304)))))))/10))*100+1</f>
        <v>301</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2" customFormat="1" ht="20.25" customHeight="1" x14ac:dyDescent="0.25">
      <c r="A309" s="84">
        <v>2</v>
      </c>
      <c r="B309" s="84"/>
      <c r="C309" s="52" t="s">
        <v>89</v>
      </c>
      <c r="D309" s="52" t="s">
        <v>347</v>
      </c>
      <c r="E309" s="71">
        <f>(4.35*3.1+2.1*3.35+3.1*3.35+2.1*1.2+1.2*2.45+1.2*0.9)*10.764</f>
        <v>403.05797999999999</v>
      </c>
      <c r="F309" s="5">
        <f>(0.75*(2.1+2.1+3.1))*10.764</f>
        <v>58.932900000000004</v>
      </c>
      <c r="G309" s="5">
        <v>0</v>
      </c>
      <c r="H309" s="5">
        <f>E309+F309+(IF(G309&lt;101,G309,IF(G309&lt;201,G309/2,IF(G309&lt;=301,G309/3,G309/4))))</f>
        <v>461.99088</v>
      </c>
      <c r="I309" s="78"/>
      <c r="J309" s="1"/>
      <c r="K309" s="1"/>
      <c r="L309" s="1"/>
      <c r="M309" s="1"/>
      <c r="N309" s="1"/>
      <c r="O309" s="1"/>
      <c r="P309" s="1"/>
      <c r="Q309" s="1"/>
      <c r="R309" s="1"/>
      <c r="S309" s="1"/>
      <c r="T309" s="22" t="str">
        <f t="shared" ref="T309:T311" ca="1" si="114">U309&amp;""&amp;" &amp; "&amp;""&amp;V309</f>
        <v>102 &amp; 302</v>
      </c>
      <c r="U309" s="22">
        <f ca="1">U308+1</f>
        <v>102</v>
      </c>
      <c r="V309" s="22">
        <f ca="1">V308+1</f>
        <v>302</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2" customFormat="1" ht="20.25" customHeight="1" x14ac:dyDescent="0.25">
      <c r="A310" s="84">
        <v>3</v>
      </c>
      <c r="B310" s="84"/>
      <c r="C310" s="52" t="s">
        <v>89</v>
      </c>
      <c r="D310" s="52" t="s">
        <v>347</v>
      </c>
      <c r="E310" s="71">
        <f>(4.35*3.1+2.1*3.35+3.1*3.35+2.1*1.2+1.2*2.45+1.2*0.9)*10.764</f>
        <v>403.05797999999999</v>
      </c>
      <c r="F310" s="5">
        <f>(0.75*(2.1+2.1+3.1))*10.764</f>
        <v>58.932900000000004</v>
      </c>
      <c r="G310" s="5">
        <v>0</v>
      </c>
      <c r="H310" s="5">
        <f t="shared" ref="H310:H311" si="115">E310+F310+(IF(G310&lt;101,G310,IF(G310&lt;201,G310/2,IF(G310&lt;=301,G310/3,G310/4))))</f>
        <v>461.99088</v>
      </c>
      <c r="I310" s="78"/>
      <c r="J310" s="1"/>
      <c r="K310" s="1"/>
      <c r="L310" s="1"/>
      <c r="M310" s="1"/>
      <c r="N310" s="1"/>
      <c r="O310" s="1"/>
      <c r="P310" s="1"/>
      <c r="Q310" s="1"/>
      <c r="R310" s="1"/>
      <c r="S310" s="1"/>
      <c r="T310" s="22" t="str">
        <f t="shared" ca="1" si="114"/>
        <v>103 &amp; 303</v>
      </c>
      <c r="U310" s="22">
        <f t="shared" ref="U310:V310" ca="1" si="116">U309+1</f>
        <v>103</v>
      </c>
      <c r="V310" s="22">
        <f t="shared" ca="1" si="116"/>
        <v>303</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2" customFormat="1" ht="20.25" customHeight="1" x14ac:dyDescent="0.25">
      <c r="A311" s="84">
        <v>4</v>
      </c>
      <c r="B311" s="84"/>
      <c r="C311" s="52" t="s">
        <v>89</v>
      </c>
      <c r="D311" s="52" t="s">
        <v>338</v>
      </c>
      <c r="E311" s="71">
        <f>(4.7*3.1+2.4*1.2+2.1*3.65+2.75*3.65+3.4*3.1+2.1*1.52+1.2*2.1+1.2*0.9+0.9*2)*10.764</f>
        <v>584.31835799999988</v>
      </c>
      <c r="F311" s="5">
        <f>(0.75*(2.4+2.1+2.75+1.8))*10.764</f>
        <v>73.060649999999995</v>
      </c>
      <c r="G311" s="5">
        <v>0</v>
      </c>
      <c r="H311" s="5">
        <f t="shared" si="115"/>
        <v>657.37900799999989</v>
      </c>
      <c r="I311" s="78"/>
      <c r="J311" s="1"/>
      <c r="K311" s="1"/>
      <c r="L311" s="1"/>
      <c r="M311" s="1"/>
      <c r="N311" s="1"/>
      <c r="O311" s="1"/>
      <c r="P311" s="1"/>
      <c r="Q311" s="1"/>
      <c r="R311" s="1"/>
      <c r="S311" s="1"/>
      <c r="T311" s="22" t="str">
        <f t="shared" ca="1" si="114"/>
        <v>104 &amp; 304</v>
      </c>
      <c r="U311" s="22">
        <f t="shared" ref="U311:V311" ca="1" si="117">U310+1</f>
        <v>104</v>
      </c>
      <c r="V311" s="22">
        <f t="shared" ca="1" si="117"/>
        <v>304</v>
      </c>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2" customFormat="1" ht="20.25" customHeight="1" x14ac:dyDescent="0.25">
      <c r="A312" s="85" t="s">
        <v>348</v>
      </c>
      <c r="B312" s="86"/>
      <c r="C312" s="86"/>
      <c r="D312" s="86"/>
      <c r="E312" s="86"/>
      <c r="F312" s="86"/>
      <c r="G312" s="86"/>
      <c r="H312" s="87"/>
      <c r="I312" s="78">
        <f>4+4+4+4</f>
        <v>16</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2" customFormat="1" ht="20.25" customHeight="1" x14ac:dyDescent="0.25">
      <c r="A313" s="84">
        <v>1</v>
      </c>
      <c r="B313" s="84"/>
      <c r="C313" s="52" t="s">
        <v>89</v>
      </c>
      <c r="D313" s="77" t="s">
        <v>347</v>
      </c>
      <c r="E313" s="77">
        <f>(4.35*3.1+2.1*3.35+3.1*3.35+2.1*1.2+1.2*2.45+1.2*0.9)*10.764</f>
        <v>403.05797999999999</v>
      </c>
      <c r="F313" s="77">
        <f>(0.75*(2.1+2.1+3.1))*10.764</f>
        <v>58.932900000000004</v>
      </c>
      <c r="G313" s="77">
        <v>0</v>
      </c>
      <c r="H313" s="5">
        <f>E313+F313+(IF(G313&lt;101,G313,IF(G313&lt;201,G313/2,IF(G313&lt;=301,G313/3,G313/4))))</f>
        <v>461.99088</v>
      </c>
      <c r="I313" s="78"/>
      <c r="J313" s="1"/>
      <c r="K313" s="1"/>
      <c r="L313" s="1"/>
      <c r="M313" s="1"/>
      <c r="N313" s="1"/>
      <c r="O313" s="1"/>
      <c r="P313" s="1"/>
      <c r="Q313" s="1"/>
      <c r="R313" s="1"/>
      <c r="S313" s="1"/>
      <c r="T313" s="22" t="str">
        <f ca="1">U313&amp;""&amp;" &amp; "&amp;""&amp;V313</f>
        <v>401 &amp; 2201</v>
      </c>
      <c r="U313" s="22">
        <f ca="1">(SUMPRODUCT(MID(0&amp;(LEFT(A312,SUM(LEN(A312)-LEN(SUBSTITUTE(A312,{"0","1","2","3"},""))))), LARGE(INDEX(ISNUMBER(--MID((LEFT(A312,SUM(LEN(A312)-LEN(SUBSTITUTE(A312,{"0","1","2","3"},""))))), ROW(INDIRECT("1:"&amp;LEN((LEFT(A312,SUM(LEN(A312)-LEN(SUBSTITUTE(A312,{"0","1","2","3"},"")))))))), 1)) * ROW(INDIRECT("1:"&amp;LEN((LEFT(A312,SUM(LEN(A312)-LEN(SUBSTITUTE(A312,{"0","1","2","3"},"")))))))), 0), ROW(INDIRECT("1:"&amp;LEN((LEFT(A312,SUM(LEN(A312)-LEN(SUBSTITUTE(A312,{"0","1","2","3"},"")))))))))+1, 1) * 10^ROW(INDIRECT("1:"&amp;LEN((LEFT(A312,SUM(LEN(A312)-LEN(SUBSTITUTE(A312,{"0","1","2","3"},""))))))))/10))*100+1</f>
        <v>401</v>
      </c>
      <c r="V313" s="22">
        <f ca="1">(SUMPRODUCT(MID(0&amp;(--TRIM(RIGHT(SUBSTITUTE(LEFT(A312,_xlfn.AGGREGATE(16,6,FIND({0,1,2,3,4,5,6,7,8,9},A312,ROW(INDIRECT("1:"&amp;LEN(A312)))),1))," ",REPT(" ",LEN(A312))),LEN(A312)))), LARGE(INDEX(ISNUMBER(--MID((--TRIM(RIGHT(SUBSTITUTE(LEFT(A312,_xlfn.AGGREGATE(16,6,FIND({0,1,2,3,4,5,6,7,8,9},A312,ROW(INDIRECT("1:"&amp;LEN(A312)))),1))," ",REPT(" ",LEN(A312))),LEN(A312)))), ROW(INDIRECT("1:"&amp;LEN((--TRIM(RIGHT(SUBSTITUTE(LEFT(A312,_xlfn.AGGREGATE(16,6,FIND({0,1,2,3,4,5,6,7,8,9},A312,ROW(INDIRECT("1:"&amp;LEN(A312)))),1))," ",REPT(" ",LEN(A312))),LEN(A312))))))), 1)) * ROW(INDIRECT("1:"&amp;LEN((--TRIM(RIGHT(SUBSTITUTE(LEFT(A312,_xlfn.AGGREGATE(16,6,FIND({0,1,2,3,4,5,6,7,8,9},A312,ROW(INDIRECT("1:"&amp;LEN(A312)))),1))," ",REPT(" ",LEN(A312))),LEN(A312))))))), 0), ROW(INDIRECT("1:"&amp;LEN((--TRIM(RIGHT(SUBSTITUTE(LEFT(A312,_xlfn.AGGREGATE(16,6,FIND({0,1,2,3,4,5,6,7,8,9},A312,ROW(INDIRECT("1:"&amp;LEN(A312)))),1))," ",REPT(" ",LEN(A312))),LEN(A312))))))))+1, 1) * 10^ROW(INDIRECT("1:"&amp;LEN((--TRIM(RIGHT(SUBSTITUTE(LEFT(A312,_xlfn.AGGREGATE(16,6,FIND({0,1,2,3,4,5,6,7,8,9},A312,ROW(INDIRECT("1:"&amp;LEN(A312)))),1))," ",REPT(" ",LEN(A312))),LEN(A312)))))))/10))*100+1</f>
        <v>2201</v>
      </c>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2" customFormat="1" ht="20.25" customHeight="1" x14ac:dyDescent="0.25">
      <c r="A314" s="84">
        <v>2</v>
      </c>
      <c r="B314" s="84"/>
      <c r="C314" s="52" t="s">
        <v>89</v>
      </c>
      <c r="D314" s="77" t="s">
        <v>347</v>
      </c>
      <c r="E314" s="77">
        <f>(4.35*3.1+2.1*3.35+3.1*3.35+2.1*1.2+1.2*2.45+1.2*0.9)*10.764</f>
        <v>403.05797999999999</v>
      </c>
      <c r="F314" s="77">
        <f>(0.75*(2.1+2.1+3.1))*10.764</f>
        <v>58.932900000000004</v>
      </c>
      <c r="G314" s="77">
        <v>0</v>
      </c>
      <c r="H314" s="5">
        <f>E314+F314+(IF(G314&lt;101,G314,IF(G314&lt;201,G314/2,IF(G314&lt;=301,G314/3,G314/4))))</f>
        <v>461.99088</v>
      </c>
      <c r="I314" s="78"/>
      <c r="J314" s="1"/>
      <c r="K314" s="1"/>
      <c r="L314" s="1"/>
      <c r="M314" s="1"/>
      <c r="N314" s="1"/>
      <c r="O314" s="1"/>
      <c r="P314" s="1"/>
      <c r="Q314" s="1"/>
      <c r="R314" s="1"/>
      <c r="S314" s="1"/>
      <c r="T314" s="22" t="str">
        <f t="shared" ref="T314:T320" ca="1" si="118">U314&amp;""&amp;" &amp; "&amp;""&amp;V314</f>
        <v>402 &amp; 2202</v>
      </c>
      <c r="U314" s="22">
        <f ca="1">U313+1</f>
        <v>402</v>
      </c>
      <c r="V314" s="22">
        <f ca="1">V313+1</f>
        <v>2202</v>
      </c>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2" customFormat="1" ht="20.25" customHeight="1" x14ac:dyDescent="0.25">
      <c r="A315" s="84">
        <v>3</v>
      </c>
      <c r="B315" s="84"/>
      <c r="C315" s="52" t="s">
        <v>89</v>
      </c>
      <c r="D315" s="5" t="s">
        <v>338</v>
      </c>
      <c r="E315" s="5">
        <f>(4.7*3.1+2.4*1.2+2.1*3.65+2.75*3.65+3.4*3.1+1.2*2.1+2.1*1.52+1.2*0.9+1.1*1.1)*10.764</f>
        <v>577.96759799999995</v>
      </c>
      <c r="F315" s="5">
        <f>(0.75*(2.4+2.1+2.75+1.8))*10.764</f>
        <v>73.060649999999995</v>
      </c>
      <c r="G315" s="5">
        <v>0</v>
      </c>
      <c r="H315" s="5">
        <f t="shared" ref="H315:H316" si="119">E315+F315+(IF(G315&lt;101,G315,IF(G315&lt;201,G315/2,IF(G315&lt;=301,G315/3,G315/4))))</f>
        <v>651.02824799999996</v>
      </c>
      <c r="I315" s="78"/>
      <c r="J315" s="1"/>
      <c r="K315" s="1"/>
      <c r="L315" s="1"/>
      <c r="M315" s="1"/>
      <c r="N315" s="1"/>
      <c r="O315" s="1"/>
      <c r="P315" s="1"/>
      <c r="Q315" s="1"/>
      <c r="R315" s="1"/>
      <c r="S315" s="1"/>
      <c r="T315" s="22" t="str">
        <f t="shared" ca="1" si="118"/>
        <v>403 &amp; 2203</v>
      </c>
      <c r="U315" s="22">
        <f t="shared" ref="U315:V315" ca="1" si="120">U314+1</f>
        <v>403</v>
      </c>
      <c r="V315" s="22">
        <f t="shared" ca="1" si="120"/>
        <v>2203</v>
      </c>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2" customFormat="1" ht="20.25" customHeight="1" x14ac:dyDescent="0.25">
      <c r="A316" s="84">
        <v>4</v>
      </c>
      <c r="B316" s="84"/>
      <c r="C316" s="52" t="s">
        <v>89</v>
      </c>
      <c r="D316" s="5" t="s">
        <v>338</v>
      </c>
      <c r="E316" s="5">
        <f>(4.7*3.1+2.4*1.2+2.1*3.65+2.75*3.65+3.4*3.1+1.2*2.1+2.1*1.52+1.2*0.9+1.1*1.1)*10.764</f>
        <v>577.96759799999995</v>
      </c>
      <c r="F316" s="5">
        <f>(0.75*(2.4+2.1+2.75+1.8))*10.764</f>
        <v>73.060649999999995</v>
      </c>
      <c r="G316" s="5">
        <v>0</v>
      </c>
      <c r="H316" s="5">
        <f t="shared" si="119"/>
        <v>651.02824799999996</v>
      </c>
      <c r="I316" s="78"/>
      <c r="J316" s="1"/>
      <c r="K316" s="1"/>
      <c r="L316" s="1"/>
      <c r="M316" s="1"/>
      <c r="N316" s="1"/>
      <c r="O316" s="1"/>
      <c r="P316" s="1"/>
      <c r="Q316" s="1"/>
      <c r="R316" s="1"/>
      <c r="S316" s="1"/>
      <c r="T316" s="22" t="str">
        <f t="shared" ca="1" si="118"/>
        <v>404 &amp; 2204</v>
      </c>
      <c r="U316" s="22">
        <f t="shared" ref="U316:V316" ca="1" si="121">U315+1</f>
        <v>404</v>
      </c>
      <c r="V316" s="22">
        <f t="shared" ca="1" si="121"/>
        <v>2204</v>
      </c>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2" customFormat="1" ht="20.25" customHeight="1" x14ac:dyDescent="0.25">
      <c r="A317" s="84">
        <v>5</v>
      </c>
      <c r="B317" s="84"/>
      <c r="C317" s="52" t="s">
        <v>89</v>
      </c>
      <c r="D317" s="77" t="s">
        <v>347</v>
      </c>
      <c r="E317" s="77">
        <f t="shared" ref="E317:E318" si="122">(4.35*3.1+2.1*3.35+3.1*3.35+2.1*1.2+1.2*2.45+1.2*0.9)*10.764</f>
        <v>403.05797999999999</v>
      </c>
      <c r="F317" s="77">
        <f t="shared" ref="F317:F318" si="123">(0.75*(2.1+2.1+3.1))*10.764</f>
        <v>58.932900000000004</v>
      </c>
      <c r="G317" s="5">
        <v>0</v>
      </c>
      <c r="H317" s="5">
        <f>E317+F317+(IF(G317&lt;101,G317,IF(G317&lt;201,G317/2,IF(G317&lt;=301,G317/3,G317/4))))</f>
        <v>461.99088</v>
      </c>
      <c r="I317" s="78"/>
      <c r="J317" s="1"/>
      <c r="K317" s="1"/>
      <c r="L317" s="1"/>
      <c r="M317" s="1"/>
      <c r="N317" s="1"/>
      <c r="O317" s="1"/>
      <c r="P317" s="1"/>
      <c r="Q317" s="1"/>
      <c r="R317" s="1"/>
      <c r="S317" s="1"/>
      <c r="T317" s="22" t="str">
        <f t="shared" ca="1" si="118"/>
        <v>405 &amp; 2205</v>
      </c>
      <c r="U317" s="22">
        <f t="shared" ref="U317:V317" ca="1" si="124">U316+1</f>
        <v>405</v>
      </c>
      <c r="V317" s="22">
        <f t="shared" ca="1" si="124"/>
        <v>2205</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2" customFormat="1" ht="20.25" customHeight="1" x14ac:dyDescent="0.25">
      <c r="A318" s="84">
        <v>6</v>
      </c>
      <c r="B318" s="84"/>
      <c r="C318" s="52" t="s">
        <v>89</v>
      </c>
      <c r="D318" s="77" t="s">
        <v>347</v>
      </c>
      <c r="E318" s="77">
        <f t="shared" si="122"/>
        <v>403.05797999999999</v>
      </c>
      <c r="F318" s="77">
        <f t="shared" si="123"/>
        <v>58.932900000000004</v>
      </c>
      <c r="G318" s="5">
        <v>0</v>
      </c>
      <c r="H318" s="5">
        <f>E318+F318+(IF(G318&lt;101,G318,IF(G318&lt;201,G318/2,IF(G318&lt;=301,G318/3,G318/4))))</f>
        <v>461.99088</v>
      </c>
      <c r="I318" s="78"/>
      <c r="J318" s="1"/>
      <c r="K318" s="1"/>
      <c r="L318" s="1"/>
      <c r="M318" s="1"/>
      <c r="N318" s="1"/>
      <c r="O318" s="1"/>
      <c r="P318" s="1"/>
      <c r="Q318" s="1"/>
      <c r="R318" s="1"/>
      <c r="S318" s="1"/>
      <c r="T318" s="22" t="str">
        <f t="shared" ca="1" si="118"/>
        <v>406 &amp; 2206</v>
      </c>
      <c r="U318" s="22">
        <f t="shared" ref="U318:V318" ca="1" si="125">U317+1</f>
        <v>406</v>
      </c>
      <c r="V318" s="22">
        <f t="shared" ca="1" si="125"/>
        <v>2206</v>
      </c>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2" customFormat="1" ht="20.25" customHeight="1" x14ac:dyDescent="0.25">
      <c r="A319" s="84">
        <v>7</v>
      </c>
      <c r="B319" s="84"/>
      <c r="C319" s="52" t="s">
        <v>89</v>
      </c>
      <c r="D319" s="5" t="s">
        <v>338</v>
      </c>
      <c r="E319" s="5">
        <f t="shared" ref="E319:E320" si="126">(4.7*3.1+2.4*1.2+2.1*3.65+2.75*3.65+3.4*3.1+1.2*2.1+2.1*1.52+1.2*0.9+1.1*1.1)*10.764</f>
        <v>577.96759799999995</v>
      </c>
      <c r="F319" s="5">
        <f t="shared" ref="F319:F320" si="127">(0.75*(2.4+2.1+2.75+1.8))*10.764</f>
        <v>73.060649999999995</v>
      </c>
      <c r="G319" s="5">
        <v>0</v>
      </c>
      <c r="H319" s="5">
        <f t="shared" ref="H319:H320" si="128">E319+F319+(IF(G319&lt;101,G319,IF(G319&lt;201,G319/2,IF(G319&lt;=301,G319/3,G319/4))))</f>
        <v>651.02824799999996</v>
      </c>
      <c r="I319" s="78"/>
      <c r="J319" s="1"/>
      <c r="K319" s="1"/>
      <c r="L319" s="1"/>
      <c r="M319" s="1"/>
      <c r="N319" s="1"/>
      <c r="O319" s="1"/>
      <c r="P319" s="1"/>
      <c r="Q319" s="1"/>
      <c r="R319" s="1"/>
      <c r="S319" s="1"/>
      <c r="T319" s="22" t="str">
        <f t="shared" ca="1" si="118"/>
        <v>407 &amp; 2207</v>
      </c>
      <c r="U319" s="22">
        <f t="shared" ref="U319:V319" ca="1" si="129">U318+1</f>
        <v>407</v>
      </c>
      <c r="V319" s="22">
        <f t="shared" ca="1" si="129"/>
        <v>2207</v>
      </c>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2" customFormat="1" ht="20.25" customHeight="1" x14ac:dyDescent="0.25">
      <c r="A320" s="84">
        <v>8</v>
      </c>
      <c r="B320" s="84"/>
      <c r="C320" s="52" t="s">
        <v>89</v>
      </c>
      <c r="D320" s="5" t="s">
        <v>338</v>
      </c>
      <c r="E320" s="5">
        <f t="shared" si="126"/>
        <v>577.96759799999995</v>
      </c>
      <c r="F320" s="5">
        <f t="shared" si="127"/>
        <v>73.060649999999995</v>
      </c>
      <c r="G320" s="5">
        <v>0</v>
      </c>
      <c r="H320" s="5">
        <f t="shared" si="128"/>
        <v>651.02824799999996</v>
      </c>
      <c r="I320" s="78"/>
      <c r="J320" s="1"/>
      <c r="K320" s="1"/>
      <c r="L320" s="1"/>
      <c r="M320" s="1"/>
      <c r="N320" s="1"/>
      <c r="O320" s="1"/>
      <c r="P320" s="1"/>
      <c r="Q320" s="1"/>
      <c r="R320" s="1"/>
      <c r="S320" s="1"/>
      <c r="T320" s="22" t="str">
        <f t="shared" ca="1" si="118"/>
        <v>408 &amp; 2208</v>
      </c>
      <c r="U320" s="22">
        <f t="shared" ref="U320:V320" ca="1" si="130">U319+1</f>
        <v>408</v>
      </c>
      <c r="V320" s="22">
        <f t="shared" ca="1" si="130"/>
        <v>2208</v>
      </c>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2" customFormat="1" ht="20.25" customHeight="1" x14ac:dyDescent="0.25">
      <c r="A321" s="85" t="s">
        <v>349</v>
      </c>
      <c r="B321" s="86"/>
      <c r="C321" s="86"/>
      <c r="D321" s="86"/>
      <c r="E321" s="86"/>
      <c r="F321" s="86"/>
      <c r="G321" s="86"/>
      <c r="H321" s="87"/>
      <c r="I321" s="78">
        <f>3</f>
        <v>3</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2" customFormat="1" ht="20.25" customHeight="1" x14ac:dyDescent="0.25">
      <c r="A322" s="84">
        <v>1</v>
      </c>
      <c r="B322" s="84"/>
      <c r="C322" s="52" t="s">
        <v>89</v>
      </c>
      <c r="D322" s="5" t="s">
        <v>347</v>
      </c>
      <c r="E322" s="5">
        <f>(4.35*3.1+2.1*3.35+3.1*3.35+2.1*1.2+1.2*2.45+1.2*0.9)*10.764</f>
        <v>403.05797999999999</v>
      </c>
      <c r="F322" s="5">
        <f>(0.75*(2.1+2.1+2.75))*10.764</f>
        <v>56.107350000000004</v>
      </c>
      <c r="G322" s="5">
        <v>0</v>
      </c>
      <c r="H322" s="5">
        <f>E322+F322+(IF(G322&lt;101,G322,IF(G322&lt;201,G322/2,IF(G322&lt;=301,G322/3,G322/4))))</f>
        <v>459.16532999999998</v>
      </c>
      <c r="I322" s="78"/>
      <c r="J322" s="1"/>
      <c r="K322" s="1"/>
      <c r="L322" s="1"/>
      <c r="M322" s="1"/>
      <c r="N322" s="1"/>
      <c r="O322" s="1"/>
      <c r="P322" s="1"/>
      <c r="Q322" s="1"/>
      <c r="R322" s="1"/>
      <c r="S322" s="1"/>
      <c r="T322" s="22" t="str">
        <f ca="1">U322&amp;""&amp;" &amp; "&amp;""&amp;V322</f>
        <v>801 &amp; 1801</v>
      </c>
      <c r="U322" s="22">
        <f ca="1">(SUMPRODUCT(MID(0&amp;(LEFT(A321,SUM(LEN(A321)-LEN(SUBSTITUTE(A321,{"0","1","2","3"},""))))), LARGE(INDEX(ISNUMBER(--MID((LEFT(A321,SUM(LEN(A321)-LEN(SUBSTITUTE(A321,{"0","1","2","3"},""))))), ROW(INDIRECT("1:"&amp;LEN((LEFT(A321,SUM(LEN(A321)-LEN(SUBSTITUTE(A321,{"0","1","2","3"},"")))))))), 1)) * ROW(INDIRECT("1:"&amp;LEN((LEFT(A321,SUM(LEN(A321)-LEN(SUBSTITUTE(A321,{"0","1","2","3"},"")))))))), 0), ROW(INDIRECT("1:"&amp;LEN((LEFT(A321,SUM(LEN(A321)-LEN(SUBSTITUTE(A321,{"0","1","2","3"},"")))))))))+1, 1) * 10^ROW(INDIRECT("1:"&amp;LEN((LEFT(A321,SUM(LEN(A321)-LEN(SUBSTITUTE(A321,{"0","1","2","3"},""))))))))/10))*100+1</f>
        <v>801</v>
      </c>
      <c r="V322" s="22">
        <f ca="1">(SUMPRODUCT(MID(0&amp;(--TRIM(RIGHT(SUBSTITUTE(LEFT(A321,_xlfn.AGGREGATE(16,6,FIND({0,1,2,3,4,5,6,7,8,9},A321,ROW(INDIRECT("1:"&amp;LEN(A321)))),1))," ",REPT(" ",LEN(A321))),LEN(A321)))), LARGE(INDEX(ISNUMBER(--MID((--TRIM(RIGHT(SUBSTITUTE(LEFT(A321,_xlfn.AGGREGATE(16,6,FIND({0,1,2,3,4,5,6,7,8,9},A321,ROW(INDIRECT("1:"&amp;LEN(A321)))),1))," ",REPT(" ",LEN(A321))),LEN(A321)))), ROW(INDIRECT("1:"&amp;LEN((--TRIM(RIGHT(SUBSTITUTE(LEFT(A321,_xlfn.AGGREGATE(16,6,FIND({0,1,2,3,4,5,6,7,8,9},A321,ROW(INDIRECT("1:"&amp;LEN(A321)))),1))," ",REPT(" ",LEN(A321))),LEN(A321))))))), 1)) * ROW(INDIRECT("1:"&amp;LEN((--TRIM(RIGHT(SUBSTITUTE(LEFT(A321,_xlfn.AGGREGATE(16,6,FIND({0,1,2,3,4,5,6,7,8,9},A321,ROW(INDIRECT("1:"&amp;LEN(A321)))),1))," ",REPT(" ",LEN(A321))),LEN(A321))))))), 0), ROW(INDIRECT("1:"&amp;LEN((--TRIM(RIGHT(SUBSTITUTE(LEFT(A321,_xlfn.AGGREGATE(16,6,FIND({0,1,2,3,4,5,6,7,8,9},A321,ROW(INDIRECT("1:"&amp;LEN(A321)))),1))," ",REPT(" ",LEN(A321))),LEN(A321))))))))+1, 1) * 10^ROW(INDIRECT("1:"&amp;LEN((--TRIM(RIGHT(SUBSTITUTE(LEFT(A321,_xlfn.AGGREGATE(16,6,FIND({0,1,2,3,4,5,6,7,8,9},A321,ROW(INDIRECT("1:"&amp;LEN(A321)))),1))," ",REPT(" ",LEN(A321))),LEN(A321)))))))/10))*100+1</f>
        <v>1801</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2" customFormat="1" ht="20.25" customHeight="1" x14ac:dyDescent="0.25">
      <c r="A323" s="84">
        <v>2</v>
      </c>
      <c r="B323" s="84"/>
      <c r="C323" s="52" t="s">
        <v>89</v>
      </c>
      <c r="D323" s="5" t="s">
        <v>347</v>
      </c>
      <c r="E323" s="5">
        <f>(4.35*3.1+2.1*3.35+3.1*3.35+2.1*1.2+1.2*2.45+1.2*0.9)*10.764</f>
        <v>403.05797999999999</v>
      </c>
      <c r="F323" s="5">
        <f>(0.75*(2.1+2.1+2.75))*10.764</f>
        <v>56.107350000000004</v>
      </c>
      <c r="G323" s="5">
        <v>0</v>
      </c>
      <c r="H323" s="5">
        <f>E323+F323+(IF(G323&lt;101,G323,IF(G323&lt;201,G323/2,IF(G323&lt;=301,G323/3,G323/4))))</f>
        <v>459.16532999999998</v>
      </c>
      <c r="I323" s="78"/>
      <c r="J323" s="1"/>
      <c r="K323" s="1"/>
      <c r="L323" s="1"/>
      <c r="M323" s="1"/>
      <c r="N323" s="1"/>
      <c r="O323" s="1"/>
      <c r="P323" s="1"/>
      <c r="Q323" s="1"/>
      <c r="R323" s="1"/>
      <c r="S323" s="1"/>
      <c r="T323" s="22" t="str">
        <f t="shared" ref="T323:T329" ca="1" si="131">U323&amp;""&amp;" &amp; "&amp;""&amp;V323</f>
        <v>802 &amp; 1802</v>
      </c>
      <c r="U323" s="22">
        <f ca="1">U322+1</f>
        <v>802</v>
      </c>
      <c r="V323" s="22">
        <f ca="1">V322+1</f>
        <v>1802</v>
      </c>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2" customFormat="1" ht="20.25" customHeight="1" x14ac:dyDescent="0.25">
      <c r="A324" s="84">
        <v>3</v>
      </c>
      <c r="B324" s="84"/>
      <c r="C324" s="52" t="s">
        <v>89</v>
      </c>
      <c r="D324" s="5" t="s">
        <v>338</v>
      </c>
      <c r="E324" s="5">
        <f>(4.7*3.1+2.4*1.2+2.1*3.65+2.75*3.65+3.4*3.1+1.2*2.1+2.1*1.52+1.2*0.9)*10.764</f>
        <v>564.94315799999993</v>
      </c>
      <c r="F324" s="5">
        <f>(0.75*(2.4+2.1+2.75+1.8))*10.764</f>
        <v>73.060649999999995</v>
      </c>
      <c r="G324" s="5">
        <v>0</v>
      </c>
      <c r="H324" s="5">
        <f t="shared" ref="H324:H325" si="132">E324+F324+(IF(G324&lt;101,G324,IF(G324&lt;201,G324/2,IF(G324&lt;=301,G324/3,G324/4))))</f>
        <v>638.00380799999994</v>
      </c>
      <c r="I324" s="78"/>
      <c r="J324" s="1"/>
      <c r="K324" s="1"/>
      <c r="L324" s="1"/>
      <c r="M324" s="1"/>
      <c r="N324" s="1"/>
      <c r="O324" s="1"/>
      <c r="P324" s="1"/>
      <c r="Q324" s="1"/>
      <c r="R324" s="1"/>
      <c r="S324" s="1"/>
      <c r="T324" s="22" t="str">
        <f t="shared" ca="1" si="131"/>
        <v>803 &amp; 1803</v>
      </c>
      <c r="U324" s="22">
        <f t="shared" ref="U324:V324" ca="1" si="133">U323+1</f>
        <v>803</v>
      </c>
      <c r="V324" s="22">
        <f t="shared" ca="1" si="133"/>
        <v>1803</v>
      </c>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2" customFormat="1" ht="20.25" customHeight="1" x14ac:dyDescent="0.25">
      <c r="A325" s="84">
        <v>4</v>
      </c>
      <c r="B325" s="84"/>
      <c r="C325" s="52" t="s">
        <v>89</v>
      </c>
      <c r="D325" s="5" t="s">
        <v>338</v>
      </c>
      <c r="E325" s="5">
        <f>(4.7*3.1+2.4*1.2+2.1*3.65+2.75*3.65+3.4*3.1+1.2*2.1+2.1*1.52+1.2*0.9)*10.764</f>
        <v>564.94315799999993</v>
      </c>
      <c r="F325" s="5">
        <f>(0.75*(2.4+2.1+2.75+1.8))*10.764</f>
        <v>73.060649999999995</v>
      </c>
      <c r="G325" s="5">
        <v>0</v>
      </c>
      <c r="H325" s="5">
        <f t="shared" si="132"/>
        <v>638.00380799999994</v>
      </c>
      <c r="I325" s="78"/>
      <c r="J325" s="1"/>
      <c r="K325" s="1"/>
      <c r="L325" s="1"/>
      <c r="M325" s="1"/>
      <c r="N325" s="1"/>
      <c r="O325" s="1"/>
      <c r="P325" s="1"/>
      <c r="Q325" s="1"/>
      <c r="R325" s="1"/>
      <c r="S325" s="1"/>
      <c r="T325" s="22" t="str">
        <f t="shared" ca="1" si="131"/>
        <v>804 &amp; 1804</v>
      </c>
      <c r="U325" s="22">
        <f t="shared" ref="U325:V325" ca="1" si="134">U324+1</f>
        <v>804</v>
      </c>
      <c r="V325" s="22">
        <f t="shared" ca="1" si="134"/>
        <v>1804</v>
      </c>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2" customFormat="1" ht="20.25" customHeight="1" x14ac:dyDescent="0.25">
      <c r="A326" s="84" t="s">
        <v>335</v>
      </c>
      <c r="B326" s="84"/>
      <c r="C326" s="52" t="s">
        <v>335</v>
      </c>
      <c r="D326" s="88" t="s">
        <v>345</v>
      </c>
      <c r="E326" s="89"/>
      <c r="F326" s="89"/>
      <c r="G326" s="89"/>
      <c r="H326" s="90"/>
      <c r="I326" s="78"/>
      <c r="J326" s="1"/>
      <c r="K326" s="1"/>
      <c r="L326" s="1"/>
      <c r="M326" s="1"/>
      <c r="N326" s="1"/>
      <c r="O326" s="1"/>
      <c r="P326" s="1"/>
      <c r="Q326" s="1"/>
      <c r="R326" s="1"/>
      <c r="S326" s="1"/>
      <c r="T326" s="22" t="str">
        <f t="shared" ca="1" si="131"/>
        <v>805 &amp; 1805</v>
      </c>
      <c r="U326" s="22">
        <f t="shared" ref="U326:V326" ca="1" si="135">U325+1</f>
        <v>805</v>
      </c>
      <c r="V326" s="22">
        <f t="shared" ca="1" si="135"/>
        <v>1805</v>
      </c>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2" customFormat="1" ht="20.25" customHeight="1" x14ac:dyDescent="0.25">
      <c r="A327" s="84">
        <v>5</v>
      </c>
      <c r="B327" s="84"/>
      <c r="C327" s="52" t="s">
        <v>89</v>
      </c>
      <c r="D327" s="5" t="s">
        <v>347</v>
      </c>
      <c r="E327" s="5">
        <f>(4.35*3.1+2.1*3.35+3.1*3.35+2.1*1.2+1.2*2.45+1.2*0.9)*10.764</f>
        <v>403.05797999999999</v>
      </c>
      <c r="F327" s="5">
        <f>(0.75*(2.1+2.1+3.1))*10.764</f>
        <v>58.932900000000004</v>
      </c>
      <c r="G327" s="5">
        <v>0</v>
      </c>
      <c r="H327" s="5">
        <f>E327+F327+(IF(G327&lt;101,G327,IF(G327&lt;201,G327/2,IF(G327&lt;=301,G327/3,G327/4))))</f>
        <v>461.99088</v>
      </c>
      <c r="I327" s="78"/>
      <c r="J327" s="1"/>
      <c r="K327" s="1"/>
      <c r="L327" s="1"/>
      <c r="M327" s="1"/>
      <c r="N327" s="1"/>
      <c r="O327" s="1"/>
      <c r="P327" s="1"/>
      <c r="Q327" s="1"/>
      <c r="R327" s="1"/>
      <c r="S327" s="1"/>
      <c r="T327" s="22" t="str">
        <f t="shared" ca="1" si="131"/>
        <v>806 &amp; 1806</v>
      </c>
      <c r="U327" s="22">
        <f t="shared" ref="U327:V327" ca="1" si="136">U326+1</f>
        <v>806</v>
      </c>
      <c r="V327" s="22">
        <f t="shared" ca="1" si="136"/>
        <v>1806</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2" customFormat="1" ht="20.25" customHeight="1" x14ac:dyDescent="0.25">
      <c r="A328" s="84">
        <v>6</v>
      </c>
      <c r="B328" s="84"/>
      <c r="C328" s="52" t="s">
        <v>89</v>
      </c>
      <c r="D328" s="5" t="s">
        <v>338</v>
      </c>
      <c r="E328" s="5">
        <f>(4.7*3.1+2.4*1.2+2.1*3.65+2.75*3.65+3.4*3.1+1.2*2.1+2.1*1.52+1.2*0.9)*10.764</f>
        <v>564.94315799999993</v>
      </c>
      <c r="F328" s="5">
        <f>(0.75*(2.4+2.1+2.75+1.8))*10.764</f>
        <v>73.060649999999995</v>
      </c>
      <c r="G328" s="5">
        <v>0</v>
      </c>
      <c r="H328" s="5">
        <f t="shared" ref="H328:H329" si="137">E328+F328+(IF(G328&lt;101,G328,IF(G328&lt;201,G328/2,IF(G328&lt;=301,G328/3,G328/4))))</f>
        <v>638.00380799999994</v>
      </c>
      <c r="I328" s="78"/>
      <c r="J328" s="1"/>
      <c r="K328" s="1"/>
      <c r="L328" s="1"/>
      <c r="M328" s="1"/>
      <c r="N328" s="1"/>
      <c r="O328" s="1"/>
      <c r="P328" s="1"/>
      <c r="Q328" s="1"/>
      <c r="R328" s="1"/>
      <c r="S328" s="1"/>
      <c r="T328" s="22" t="str">
        <f t="shared" ca="1" si="131"/>
        <v>807 &amp; 1807</v>
      </c>
      <c r="U328" s="22">
        <f t="shared" ref="U328:V328" ca="1" si="138">U327+1</f>
        <v>807</v>
      </c>
      <c r="V328" s="22">
        <f t="shared" ca="1" si="138"/>
        <v>1807</v>
      </c>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2" customFormat="1" ht="20.25" customHeight="1" x14ac:dyDescent="0.25">
      <c r="A329" s="84">
        <v>7</v>
      </c>
      <c r="B329" s="84"/>
      <c r="C329" s="52" t="s">
        <v>89</v>
      </c>
      <c r="D329" s="5" t="s">
        <v>338</v>
      </c>
      <c r="E329" s="5">
        <f>(4.7*3.1+2.4*1.2+2.1*3.65+2.75*3.65+3.4*3.1+1.2*2.1+2.1*1.52+1.2*0.9)*10.764</f>
        <v>564.94315799999993</v>
      </c>
      <c r="F329" s="5">
        <f>(0.75*(2.4+2.1+2.75+1.8))*10.764</f>
        <v>73.060649999999995</v>
      </c>
      <c r="G329" s="5">
        <v>0</v>
      </c>
      <c r="H329" s="5">
        <f t="shared" si="137"/>
        <v>638.00380799999994</v>
      </c>
      <c r="I329" s="78"/>
      <c r="J329" s="1"/>
      <c r="K329" s="1"/>
      <c r="L329" s="1"/>
      <c r="M329" s="1"/>
      <c r="N329" s="1"/>
      <c r="O329" s="1"/>
      <c r="P329" s="1"/>
      <c r="Q329" s="1"/>
      <c r="R329" s="1"/>
      <c r="S329" s="1"/>
      <c r="T329" s="22" t="str">
        <f t="shared" ca="1" si="131"/>
        <v>808 &amp; 1808</v>
      </c>
      <c r="U329" s="22">
        <f t="shared" ref="U329:V329" ca="1" si="139">U328+1</f>
        <v>808</v>
      </c>
      <c r="V329" s="22">
        <f t="shared" ca="1" si="139"/>
        <v>1808</v>
      </c>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ht="20.25" x14ac:dyDescent="0.25">
      <c r="A330" s="92" t="s">
        <v>70</v>
      </c>
      <c r="B330" s="92"/>
      <c r="C330" s="92"/>
      <c r="D330" s="92"/>
      <c r="E330" s="92"/>
      <c r="F330" s="92"/>
      <c r="G330" s="92"/>
      <c r="H330" s="92"/>
    </row>
    <row r="331" spans="1:150 16226:16383" ht="108" customHeight="1" x14ac:dyDescent="0.25">
      <c r="A331" s="35" t="s">
        <v>236</v>
      </c>
      <c r="B331" s="81" t="s">
        <v>385</v>
      </c>
      <c r="C331" s="82"/>
      <c r="D331" s="82"/>
      <c r="E331" s="82"/>
      <c r="F331" s="82"/>
      <c r="G331" s="82"/>
      <c r="H331" s="83"/>
    </row>
    <row r="332" spans="1:150 16226:16383" ht="20.25" x14ac:dyDescent="0.25">
      <c r="A332" s="35" t="s">
        <v>236</v>
      </c>
      <c r="B332" s="81" t="s">
        <v>237</v>
      </c>
      <c r="C332" s="82"/>
      <c r="D332" s="82"/>
      <c r="E332" s="82"/>
      <c r="F332" s="82"/>
      <c r="G332" s="82"/>
      <c r="H332" s="83"/>
    </row>
    <row r="333" spans="1:150 16226:16383" ht="20.25" x14ac:dyDescent="0.25">
      <c r="A333" s="35" t="s">
        <v>236</v>
      </c>
      <c r="B333" s="81" t="s">
        <v>360</v>
      </c>
      <c r="C333" s="82"/>
      <c r="D333" s="82"/>
      <c r="E333" s="82"/>
      <c r="F333" s="82"/>
      <c r="G333" s="82"/>
      <c r="H333" s="83"/>
    </row>
    <row r="334" spans="1:150 16226:16383" ht="20.25" x14ac:dyDescent="0.25">
      <c r="A334" s="35" t="s">
        <v>236</v>
      </c>
      <c r="B334" s="81" t="s">
        <v>238</v>
      </c>
      <c r="C334" s="82"/>
      <c r="D334" s="82"/>
      <c r="E334" s="82"/>
      <c r="F334" s="82"/>
      <c r="G334" s="82"/>
      <c r="H334" s="83"/>
    </row>
    <row r="335" spans="1:150 16226:16383" ht="20.25" x14ac:dyDescent="0.25">
      <c r="A335" s="35" t="s">
        <v>236</v>
      </c>
      <c r="B335" s="81" t="s">
        <v>239</v>
      </c>
      <c r="C335" s="82"/>
      <c r="D335" s="82"/>
      <c r="E335" s="82"/>
      <c r="F335" s="82"/>
      <c r="G335" s="82"/>
      <c r="H335" s="83"/>
    </row>
    <row r="336" spans="1:150 16226:16383" ht="24.75" hidden="1" customHeight="1" x14ac:dyDescent="0.25">
      <c r="A336" s="35" t="s">
        <v>236</v>
      </c>
      <c r="B336" s="91" t="s">
        <v>241</v>
      </c>
      <c r="C336" s="82"/>
      <c r="D336" s="82"/>
      <c r="E336" s="82"/>
      <c r="F336" s="82"/>
      <c r="G336" s="82"/>
      <c r="H336" s="83"/>
    </row>
    <row r="337" spans="1:8" ht="20.25" x14ac:dyDescent="0.25">
      <c r="A337" s="35" t="s">
        <v>236</v>
      </c>
      <c r="B337" s="81" t="s">
        <v>382</v>
      </c>
      <c r="C337" s="82"/>
      <c r="D337" s="82"/>
      <c r="E337" s="82"/>
      <c r="F337" s="82"/>
      <c r="G337" s="82"/>
      <c r="H337" s="83"/>
    </row>
    <row r="338" spans="1:8" ht="20.25" x14ac:dyDescent="0.25">
      <c r="A338" s="149" t="s">
        <v>76</v>
      </c>
      <c r="B338" s="149"/>
      <c r="C338" s="149"/>
      <c r="D338" s="149"/>
      <c r="E338" s="149"/>
      <c r="F338" s="149"/>
      <c r="G338" s="149"/>
      <c r="H338" s="149"/>
    </row>
    <row r="339" spans="1:8" ht="20.25" x14ac:dyDescent="0.25">
      <c r="A339" s="134" t="s">
        <v>71</v>
      </c>
      <c r="B339" s="134"/>
      <c r="C339" s="134"/>
      <c r="D339" s="81" t="str">
        <f>C3</f>
        <v>Mahaavir Exotique Phase I &amp; II</v>
      </c>
      <c r="E339" s="82"/>
      <c r="F339" s="82"/>
      <c r="G339" s="82"/>
      <c r="H339" s="83"/>
    </row>
    <row r="340" spans="1:8" ht="40.5" customHeight="1" x14ac:dyDescent="0.25">
      <c r="A340" s="134" t="s">
        <v>106</v>
      </c>
      <c r="B340" s="134"/>
      <c r="C340" s="134"/>
      <c r="D340" s="81" t="str">
        <f>C9</f>
        <v xml:space="preserve">Mahaavir Exotique Phase I &amp; II, Survey No. 19, 29, 24 A 8/B, Rohinjan, Navi Mumbai, Maharashtra 410210. </v>
      </c>
      <c r="E340" s="82"/>
      <c r="F340" s="82"/>
      <c r="G340" s="82"/>
      <c r="H340" s="83"/>
    </row>
    <row r="341" spans="1:8" ht="20.25" customHeight="1" x14ac:dyDescent="0.25">
      <c r="A341" s="164" t="s">
        <v>112</v>
      </c>
      <c r="B341" s="164"/>
      <c r="C341" s="164"/>
      <c r="D341" s="81" t="str">
        <f>G3</f>
        <v>06/08/2025 at 01:36PM</v>
      </c>
      <c r="E341" s="82"/>
      <c r="F341" s="82"/>
      <c r="G341" s="82"/>
      <c r="H341" s="83"/>
    </row>
    <row r="342" spans="1:8" ht="20.25" x14ac:dyDescent="0.25">
      <c r="A342" s="9"/>
      <c r="B342" s="10"/>
      <c r="C342" s="10"/>
      <c r="D342" s="10"/>
      <c r="E342" s="10"/>
      <c r="F342" s="10"/>
      <c r="G342" s="10"/>
      <c r="H342" s="6"/>
    </row>
    <row r="343" spans="1:8" ht="20.25" x14ac:dyDescent="0.25">
      <c r="A343" s="11"/>
      <c r="B343" s="12"/>
      <c r="C343" s="12"/>
      <c r="D343" s="12"/>
      <c r="E343" s="12"/>
      <c r="F343" s="12"/>
      <c r="G343" s="12"/>
      <c r="H343" s="7"/>
    </row>
    <row r="344" spans="1:8" ht="20.25" x14ac:dyDescent="0.25">
      <c r="A344" s="11"/>
      <c r="B344" s="12"/>
      <c r="C344" s="12"/>
      <c r="D344" s="12"/>
      <c r="E344" s="12"/>
      <c r="F344" s="12"/>
      <c r="G344" s="12"/>
      <c r="H344" s="7"/>
    </row>
    <row r="345" spans="1:8" ht="20.25" x14ac:dyDescent="0.25">
      <c r="A345" s="11"/>
      <c r="B345" s="12"/>
      <c r="C345" s="12"/>
      <c r="D345" s="12"/>
      <c r="E345" s="12"/>
      <c r="F345" s="12"/>
      <c r="G345" s="12"/>
      <c r="H345" s="7"/>
    </row>
    <row r="346" spans="1:8" ht="20.25" x14ac:dyDescent="0.25">
      <c r="A346" s="11"/>
      <c r="B346" s="12"/>
      <c r="C346" s="12"/>
      <c r="D346" s="12"/>
      <c r="E346" s="12"/>
      <c r="F346" s="12"/>
      <c r="G346" s="12"/>
      <c r="H346" s="7"/>
    </row>
    <row r="347" spans="1:8" ht="20.25" x14ac:dyDescent="0.25">
      <c r="A347" s="11"/>
      <c r="B347" s="12"/>
      <c r="C347" s="12"/>
      <c r="D347" s="12"/>
      <c r="E347" s="12"/>
      <c r="F347" s="12"/>
      <c r="G347" s="12"/>
      <c r="H347" s="7"/>
    </row>
    <row r="348" spans="1:8" ht="20.25" x14ac:dyDescent="0.25">
      <c r="A348" s="11"/>
      <c r="B348" s="12"/>
      <c r="C348" s="12"/>
      <c r="D348" s="12"/>
      <c r="E348" s="12"/>
      <c r="F348" s="12"/>
      <c r="G348" s="12"/>
      <c r="H348" s="7"/>
    </row>
    <row r="349" spans="1:8" ht="20.25" x14ac:dyDescent="0.25">
      <c r="A349" s="11"/>
      <c r="B349" s="12"/>
      <c r="C349" s="12"/>
      <c r="D349" s="12"/>
      <c r="E349" s="12"/>
      <c r="F349" s="12"/>
      <c r="G349" s="12"/>
      <c r="H349" s="7"/>
    </row>
    <row r="350" spans="1:8" ht="20.25" x14ac:dyDescent="0.25">
      <c r="A350" s="11"/>
      <c r="B350" s="12"/>
      <c r="C350" s="12"/>
      <c r="D350" s="12"/>
      <c r="E350" s="12"/>
      <c r="F350" s="12"/>
      <c r="G350" s="12"/>
      <c r="H350" s="7"/>
    </row>
    <row r="351" spans="1:8" ht="20.25" x14ac:dyDescent="0.25">
      <c r="A351" s="11"/>
      <c r="B351" s="12"/>
      <c r="C351" s="12"/>
      <c r="D351" s="12"/>
      <c r="E351" s="12"/>
      <c r="F351" s="12"/>
      <c r="G351" s="12"/>
      <c r="H351" s="7"/>
    </row>
    <row r="352" spans="1:8" ht="20.25" x14ac:dyDescent="0.25">
      <c r="A352" s="11"/>
      <c r="B352" s="12"/>
      <c r="C352" s="12"/>
      <c r="D352" s="12"/>
      <c r="E352" s="12"/>
      <c r="F352" s="12"/>
      <c r="G352" s="12"/>
      <c r="H352" s="7"/>
    </row>
    <row r="353" spans="1:8" ht="20.25" x14ac:dyDescent="0.25">
      <c r="A353" s="11"/>
      <c r="B353" s="12"/>
      <c r="C353" s="12"/>
      <c r="D353" s="12"/>
      <c r="E353" s="12"/>
      <c r="F353" s="12"/>
      <c r="G353" s="12"/>
      <c r="H353" s="7"/>
    </row>
    <row r="354" spans="1:8" ht="20.25" x14ac:dyDescent="0.25">
      <c r="A354" s="11"/>
      <c r="B354" s="12"/>
      <c r="C354" s="12"/>
      <c r="D354" s="12"/>
      <c r="E354" s="12"/>
      <c r="F354" s="12"/>
      <c r="G354" s="12"/>
      <c r="H354" s="7"/>
    </row>
    <row r="355" spans="1:8" ht="20.25" x14ac:dyDescent="0.25">
      <c r="A355" s="11"/>
      <c r="B355" s="12"/>
      <c r="C355" s="12"/>
      <c r="D355" s="12"/>
      <c r="E355" s="12"/>
      <c r="F355" s="12"/>
      <c r="G355" s="12"/>
      <c r="H355" s="7"/>
    </row>
    <row r="356" spans="1:8" ht="20.25" x14ac:dyDescent="0.25">
      <c r="A356" s="11"/>
      <c r="B356" s="12"/>
      <c r="C356" s="12"/>
      <c r="D356" s="12"/>
      <c r="E356" s="12"/>
      <c r="F356" s="12"/>
      <c r="G356" s="12"/>
      <c r="H356" s="7"/>
    </row>
    <row r="357" spans="1:8" ht="20.25" x14ac:dyDescent="0.25">
      <c r="A357" s="11"/>
      <c r="B357" s="12"/>
      <c r="C357" s="12"/>
      <c r="D357" s="12"/>
      <c r="E357" s="12"/>
      <c r="F357" s="12"/>
      <c r="G357" s="12"/>
      <c r="H357" s="7"/>
    </row>
    <row r="358" spans="1:8" ht="20.25" x14ac:dyDescent="0.25">
      <c r="A358" s="11"/>
      <c r="B358" s="12"/>
      <c r="C358" s="12"/>
      <c r="D358" s="12"/>
      <c r="E358" s="12"/>
      <c r="F358" s="12"/>
      <c r="G358" s="12"/>
      <c r="H358" s="7"/>
    </row>
    <row r="359" spans="1:8" ht="20.25" x14ac:dyDescent="0.25">
      <c r="A359" s="11"/>
      <c r="B359" s="12"/>
      <c r="C359" s="12"/>
      <c r="D359" s="12"/>
      <c r="E359" s="12"/>
      <c r="F359" s="12"/>
      <c r="G359" s="12"/>
      <c r="H359" s="7"/>
    </row>
    <row r="360" spans="1:8" ht="20.25" x14ac:dyDescent="0.25">
      <c r="A360" s="11"/>
      <c r="B360" s="12"/>
      <c r="C360" s="12"/>
      <c r="D360" s="12"/>
      <c r="E360" s="12"/>
      <c r="F360" s="12"/>
      <c r="G360" s="12"/>
      <c r="H360" s="7"/>
    </row>
    <row r="361" spans="1:8" ht="20.25" x14ac:dyDescent="0.25">
      <c r="A361" s="11"/>
      <c r="B361" s="12"/>
      <c r="C361" s="12"/>
      <c r="D361" s="12"/>
      <c r="E361" s="12"/>
      <c r="F361" s="12"/>
      <c r="G361" s="12"/>
      <c r="H361" s="7"/>
    </row>
    <row r="362" spans="1:8" ht="20.25" x14ac:dyDescent="0.25">
      <c r="A362" s="11"/>
      <c r="B362" s="12"/>
      <c r="C362" s="12"/>
      <c r="D362" s="12"/>
      <c r="E362" s="12"/>
      <c r="F362" s="12"/>
      <c r="G362" s="12"/>
      <c r="H362" s="7"/>
    </row>
    <row r="363" spans="1:8" ht="20.25" x14ac:dyDescent="0.25">
      <c r="A363" s="11"/>
      <c r="B363" s="12"/>
      <c r="C363" s="12"/>
      <c r="D363" s="12"/>
      <c r="E363" s="12"/>
      <c r="F363" s="12"/>
      <c r="G363" s="12"/>
      <c r="H363" s="7"/>
    </row>
    <row r="364" spans="1:8" ht="20.25" x14ac:dyDescent="0.25">
      <c r="A364" s="11"/>
      <c r="B364" s="12"/>
      <c r="C364" s="12"/>
      <c r="D364" s="12"/>
      <c r="E364" s="12"/>
      <c r="F364" s="12"/>
      <c r="G364" s="12"/>
      <c r="H364" s="7"/>
    </row>
    <row r="365" spans="1:8" ht="20.25" x14ac:dyDescent="0.25">
      <c r="A365" s="11"/>
      <c r="B365" s="12"/>
      <c r="C365" s="12"/>
      <c r="D365" s="12"/>
      <c r="E365" s="12"/>
      <c r="F365" s="12"/>
      <c r="G365" s="12"/>
      <c r="H365" s="7"/>
    </row>
    <row r="366" spans="1:8" ht="20.25" x14ac:dyDescent="0.25">
      <c r="A366" s="11"/>
      <c r="B366" s="12"/>
      <c r="C366" s="12"/>
      <c r="D366" s="12"/>
      <c r="E366" s="12"/>
      <c r="F366" s="12"/>
      <c r="G366" s="12"/>
      <c r="H366" s="7"/>
    </row>
    <row r="367" spans="1:8" ht="20.25" x14ac:dyDescent="0.25">
      <c r="A367" s="11"/>
      <c r="B367" s="12"/>
      <c r="C367" s="12"/>
      <c r="D367" s="12"/>
      <c r="E367" s="12"/>
      <c r="F367" s="12"/>
      <c r="G367" s="12"/>
      <c r="H367" s="7"/>
    </row>
    <row r="368" spans="1:8" ht="20.25" x14ac:dyDescent="0.25">
      <c r="A368" s="11"/>
      <c r="B368" s="12"/>
      <c r="C368" s="12"/>
      <c r="D368" s="12"/>
      <c r="E368" s="12"/>
      <c r="F368" s="12"/>
      <c r="G368" s="12"/>
      <c r="H368" s="7"/>
    </row>
    <row r="369" spans="1:8" ht="20.25" x14ac:dyDescent="0.25">
      <c r="A369" s="11"/>
      <c r="B369" s="12"/>
      <c r="C369" s="12"/>
      <c r="D369" s="12"/>
      <c r="E369" s="12"/>
      <c r="F369" s="12"/>
      <c r="G369" s="12"/>
      <c r="H369" s="7"/>
    </row>
    <row r="370" spans="1:8" ht="20.25" x14ac:dyDescent="0.25">
      <c r="A370" s="11"/>
      <c r="B370" s="12"/>
      <c r="C370" s="12"/>
      <c r="D370" s="12"/>
      <c r="E370" s="12"/>
      <c r="F370" s="12"/>
      <c r="G370" s="12"/>
      <c r="H370" s="7"/>
    </row>
    <row r="371" spans="1:8" ht="20.25" x14ac:dyDescent="0.25">
      <c r="A371" s="11"/>
      <c r="B371" s="12"/>
      <c r="C371" s="12"/>
      <c r="D371" s="12"/>
      <c r="E371" s="12"/>
      <c r="F371" s="12"/>
      <c r="G371" s="12"/>
      <c r="H371" s="7"/>
    </row>
    <row r="372" spans="1:8" ht="20.25" x14ac:dyDescent="0.25">
      <c r="A372" s="11"/>
      <c r="B372" s="12"/>
      <c r="C372" s="12"/>
      <c r="D372" s="12"/>
      <c r="E372" s="12"/>
      <c r="F372" s="12"/>
      <c r="G372" s="12"/>
      <c r="H372" s="7"/>
    </row>
    <row r="373" spans="1:8" ht="20.25" x14ac:dyDescent="0.25">
      <c r="A373" s="11"/>
      <c r="B373" s="12"/>
      <c r="C373" s="12"/>
      <c r="D373" s="12"/>
      <c r="E373" s="12"/>
      <c r="F373" s="12"/>
      <c r="G373" s="12"/>
      <c r="H373" s="7"/>
    </row>
    <row r="374" spans="1:8" ht="20.25" x14ac:dyDescent="0.25">
      <c r="A374" s="11"/>
      <c r="B374" s="12"/>
      <c r="C374" s="12"/>
      <c r="D374" s="12"/>
      <c r="E374" s="12"/>
      <c r="F374" s="12"/>
      <c r="G374" s="12"/>
      <c r="H374" s="7"/>
    </row>
    <row r="375" spans="1:8" ht="20.25" x14ac:dyDescent="0.25">
      <c r="A375" s="11"/>
      <c r="B375" s="12"/>
      <c r="C375" s="12"/>
      <c r="D375" s="12"/>
      <c r="E375" s="12"/>
      <c r="F375" s="12"/>
      <c r="G375" s="12"/>
      <c r="H375" s="7"/>
    </row>
    <row r="376" spans="1:8" ht="20.25" x14ac:dyDescent="0.25">
      <c r="A376" s="11"/>
      <c r="B376" s="12"/>
      <c r="C376" s="12"/>
      <c r="D376" s="12"/>
      <c r="E376" s="12"/>
      <c r="F376" s="12"/>
      <c r="G376" s="12"/>
      <c r="H376" s="7"/>
    </row>
    <row r="377" spans="1:8" ht="20.25" x14ac:dyDescent="0.25">
      <c r="A377" s="11"/>
      <c r="B377" s="12"/>
      <c r="C377" s="12"/>
      <c r="D377" s="12"/>
      <c r="E377" s="12"/>
      <c r="F377" s="12"/>
      <c r="G377" s="12"/>
      <c r="H377" s="7"/>
    </row>
    <row r="378" spans="1:8" ht="20.25" x14ac:dyDescent="0.25">
      <c r="A378" s="11"/>
      <c r="B378" s="12"/>
      <c r="C378" s="12"/>
      <c r="D378" s="12"/>
      <c r="E378" s="12"/>
      <c r="F378" s="12"/>
      <c r="G378" s="12"/>
      <c r="H378" s="7"/>
    </row>
    <row r="379" spans="1:8" ht="20.25" x14ac:dyDescent="0.25">
      <c r="A379" s="11"/>
      <c r="B379" s="12"/>
      <c r="C379" s="12"/>
      <c r="D379" s="12"/>
      <c r="E379" s="12"/>
      <c r="F379" s="12"/>
      <c r="G379" s="12"/>
      <c r="H379" s="7"/>
    </row>
    <row r="380" spans="1:8" ht="20.25" x14ac:dyDescent="0.25">
      <c r="A380" s="13"/>
      <c r="B380" s="14"/>
      <c r="C380" s="14"/>
      <c r="D380" s="14"/>
      <c r="E380" s="14"/>
      <c r="F380" s="14"/>
      <c r="G380" s="14"/>
      <c r="H380" s="8"/>
    </row>
    <row r="381" spans="1:8" ht="20.25" x14ac:dyDescent="0.25">
      <c r="A381" s="92" t="s">
        <v>160</v>
      </c>
      <c r="B381" s="92"/>
      <c r="C381" s="92"/>
      <c r="D381" s="92"/>
      <c r="E381" s="92"/>
      <c r="F381" s="92"/>
      <c r="G381" s="92"/>
      <c r="H381" s="92"/>
    </row>
    <row r="382" spans="1:8" ht="20.25" x14ac:dyDescent="0.25">
      <c r="A382" s="9"/>
      <c r="B382" s="10"/>
      <c r="C382" s="10"/>
      <c r="D382" s="10"/>
      <c r="E382" s="10"/>
      <c r="F382" s="10"/>
      <c r="G382" s="10"/>
      <c r="H382" s="6"/>
    </row>
    <row r="383" spans="1:8" ht="20.25" x14ac:dyDescent="0.25">
      <c r="A383" s="11"/>
      <c r="B383" s="12"/>
      <c r="C383" s="12"/>
      <c r="D383" s="12"/>
      <c r="E383" s="12"/>
      <c r="F383" s="12"/>
      <c r="G383" s="12"/>
      <c r="H383" s="7"/>
    </row>
    <row r="384" spans="1:8" ht="20.25" x14ac:dyDescent="0.25">
      <c r="A384" s="11"/>
      <c r="B384" s="12"/>
      <c r="C384" s="12"/>
      <c r="D384" s="12"/>
      <c r="E384" s="12"/>
      <c r="F384" s="12"/>
      <c r="G384" s="12"/>
      <c r="H384" s="7"/>
    </row>
    <row r="385" spans="1:8" ht="20.25" x14ac:dyDescent="0.25">
      <c r="A385" s="11"/>
      <c r="B385" s="12"/>
      <c r="C385" s="12"/>
      <c r="D385" s="12"/>
      <c r="E385" s="12"/>
      <c r="F385" s="12"/>
      <c r="G385" s="12"/>
      <c r="H385" s="7"/>
    </row>
    <row r="386" spans="1:8" ht="20.25" x14ac:dyDescent="0.25">
      <c r="A386" s="11"/>
      <c r="B386" s="12"/>
      <c r="C386" s="12"/>
      <c r="D386" s="12"/>
      <c r="E386" s="12"/>
      <c r="F386" s="12"/>
      <c r="G386" s="12"/>
      <c r="H386" s="7"/>
    </row>
    <row r="387" spans="1:8" ht="20.25" x14ac:dyDescent="0.25">
      <c r="A387" s="11"/>
      <c r="B387" s="12"/>
      <c r="C387" s="12"/>
      <c r="D387" s="12"/>
      <c r="E387" s="12"/>
      <c r="F387" s="12"/>
      <c r="G387" s="12"/>
      <c r="H387" s="7"/>
    </row>
    <row r="388" spans="1:8" ht="20.25" x14ac:dyDescent="0.25">
      <c r="A388" s="11"/>
      <c r="B388" s="12"/>
      <c r="C388" s="12"/>
      <c r="D388" s="12"/>
      <c r="E388" s="12"/>
      <c r="F388" s="12"/>
      <c r="G388" s="12"/>
      <c r="H388" s="7"/>
    </row>
    <row r="389" spans="1:8" ht="20.25" x14ac:dyDescent="0.25">
      <c r="A389" s="11"/>
      <c r="B389" s="12"/>
      <c r="C389" s="12"/>
      <c r="D389" s="12"/>
      <c r="E389" s="12"/>
      <c r="F389" s="12"/>
      <c r="G389" s="12"/>
      <c r="H389" s="7"/>
    </row>
    <row r="390" spans="1:8" ht="20.25" x14ac:dyDescent="0.25">
      <c r="A390" s="11"/>
      <c r="B390" s="12"/>
      <c r="C390" s="12"/>
      <c r="D390" s="12"/>
      <c r="E390" s="12"/>
      <c r="F390" s="12"/>
      <c r="G390" s="12"/>
      <c r="H390" s="7"/>
    </row>
    <row r="391" spans="1:8" ht="20.25" x14ac:dyDescent="0.25">
      <c r="A391" s="11"/>
      <c r="B391" s="12"/>
      <c r="C391" s="12"/>
      <c r="D391" s="12"/>
      <c r="E391" s="12"/>
      <c r="F391" s="12"/>
      <c r="G391" s="12"/>
      <c r="H391" s="7"/>
    </row>
    <row r="392" spans="1:8" ht="20.25" x14ac:dyDescent="0.25">
      <c r="A392" s="11"/>
      <c r="B392" s="12"/>
      <c r="C392" s="12"/>
      <c r="D392" s="12"/>
      <c r="E392" s="12"/>
      <c r="F392" s="12"/>
      <c r="G392" s="12"/>
      <c r="H392" s="7"/>
    </row>
    <row r="393" spans="1:8" ht="20.25" x14ac:dyDescent="0.25">
      <c r="A393" s="11"/>
      <c r="B393" s="12"/>
      <c r="C393" s="12"/>
      <c r="D393" s="12"/>
      <c r="E393" s="12"/>
      <c r="F393" s="12"/>
      <c r="G393" s="12"/>
      <c r="H393" s="7"/>
    </row>
    <row r="394" spans="1:8" ht="20.25" x14ac:dyDescent="0.25">
      <c r="A394" s="11"/>
      <c r="B394" s="12"/>
      <c r="C394" s="12"/>
      <c r="D394" s="12"/>
      <c r="E394" s="12"/>
      <c r="F394" s="12"/>
      <c r="G394" s="12"/>
      <c r="H394" s="7"/>
    </row>
    <row r="395" spans="1:8" ht="20.25" x14ac:dyDescent="0.25">
      <c r="A395" s="11"/>
      <c r="B395" s="12"/>
      <c r="C395" s="12"/>
      <c r="D395" s="12"/>
      <c r="E395" s="12"/>
      <c r="F395" s="12"/>
      <c r="G395" s="12"/>
      <c r="H395" s="7"/>
    </row>
    <row r="396" spans="1:8" ht="20.25" x14ac:dyDescent="0.25">
      <c r="A396" s="11"/>
      <c r="B396" s="12"/>
      <c r="C396" s="12"/>
      <c r="D396" s="12"/>
      <c r="E396" s="12"/>
      <c r="F396" s="12"/>
      <c r="G396" s="12"/>
      <c r="H396" s="7"/>
    </row>
    <row r="397" spans="1:8" ht="20.25" x14ac:dyDescent="0.25">
      <c r="A397" s="11"/>
      <c r="B397" s="12"/>
      <c r="C397" s="12"/>
      <c r="D397" s="12"/>
      <c r="E397" s="12"/>
      <c r="F397" s="12"/>
      <c r="G397" s="12"/>
      <c r="H397" s="7"/>
    </row>
    <row r="398" spans="1:8" ht="20.25" x14ac:dyDescent="0.25">
      <c r="A398" s="11"/>
      <c r="B398" s="12"/>
      <c r="C398" s="12"/>
      <c r="D398" s="12"/>
      <c r="E398" s="12"/>
      <c r="F398" s="12"/>
      <c r="G398" s="12"/>
      <c r="H398" s="7"/>
    </row>
    <row r="399" spans="1:8" ht="20.25" x14ac:dyDescent="0.25">
      <c r="A399" s="11"/>
      <c r="B399" s="12"/>
      <c r="C399" s="12"/>
      <c r="D399" s="12"/>
      <c r="E399" s="12"/>
      <c r="F399" s="12"/>
      <c r="G399" s="12"/>
      <c r="H399" s="7"/>
    </row>
    <row r="400" spans="1:8" ht="20.25" x14ac:dyDescent="0.25">
      <c r="A400" s="11"/>
      <c r="B400" s="12"/>
      <c r="C400" s="12"/>
      <c r="D400" s="12"/>
      <c r="E400" s="12"/>
      <c r="F400" s="12"/>
      <c r="G400" s="12"/>
      <c r="H400" s="7"/>
    </row>
    <row r="401" spans="1:8" ht="20.25" x14ac:dyDescent="0.25">
      <c r="A401" s="11"/>
      <c r="B401" s="12"/>
      <c r="C401" s="12"/>
      <c r="D401" s="12"/>
      <c r="E401" s="12"/>
      <c r="F401" s="12"/>
      <c r="G401" s="12"/>
      <c r="H401" s="7"/>
    </row>
    <row r="402" spans="1:8" ht="20.25" x14ac:dyDescent="0.25">
      <c r="A402" s="11"/>
      <c r="B402" s="12"/>
      <c r="C402" s="12"/>
      <c r="D402" s="12"/>
      <c r="E402" s="12"/>
      <c r="F402" s="12"/>
      <c r="G402" s="12"/>
      <c r="H402" s="7"/>
    </row>
    <row r="403" spans="1:8" ht="20.25" x14ac:dyDescent="0.25">
      <c r="A403" s="11"/>
      <c r="B403" s="12"/>
      <c r="C403" s="12"/>
      <c r="D403" s="12"/>
      <c r="E403" s="12"/>
      <c r="F403" s="12"/>
      <c r="G403" s="12"/>
      <c r="H403" s="7"/>
    </row>
    <row r="404" spans="1:8" ht="20.25" x14ac:dyDescent="0.25">
      <c r="A404" s="11"/>
      <c r="B404" s="12"/>
      <c r="C404" s="12"/>
      <c r="D404" s="12"/>
      <c r="E404" s="12"/>
      <c r="F404" s="12"/>
      <c r="G404" s="12"/>
      <c r="H404" s="7"/>
    </row>
    <row r="405" spans="1:8" ht="20.25" x14ac:dyDescent="0.25">
      <c r="A405" s="11"/>
      <c r="B405" s="12"/>
      <c r="C405" s="12"/>
      <c r="D405" s="12"/>
      <c r="E405" s="12"/>
      <c r="F405" s="12"/>
      <c r="G405" s="12"/>
      <c r="H405" s="7"/>
    </row>
    <row r="406" spans="1:8" ht="20.25" x14ac:dyDescent="0.25">
      <c r="A406" s="11"/>
      <c r="B406" s="12"/>
      <c r="C406" s="12"/>
      <c r="D406" s="12"/>
      <c r="E406" s="12"/>
      <c r="F406" s="12"/>
      <c r="G406" s="12"/>
      <c r="H406" s="7"/>
    </row>
    <row r="407" spans="1:8" ht="20.25" x14ac:dyDescent="0.25">
      <c r="A407" s="11"/>
      <c r="B407" s="12"/>
      <c r="C407" s="12"/>
      <c r="D407" s="12"/>
      <c r="E407" s="12"/>
      <c r="F407" s="12"/>
      <c r="G407" s="12"/>
      <c r="H407" s="7"/>
    </row>
    <row r="408" spans="1:8" ht="20.25" x14ac:dyDescent="0.25">
      <c r="A408" s="11"/>
      <c r="B408" s="12"/>
      <c r="C408" s="12"/>
      <c r="D408" s="12"/>
      <c r="E408" s="12"/>
      <c r="F408" s="12"/>
      <c r="G408" s="12"/>
      <c r="H408" s="7"/>
    </row>
    <row r="409" spans="1:8" ht="20.25" x14ac:dyDescent="0.25">
      <c r="A409" s="11"/>
      <c r="B409" s="12"/>
      <c r="C409" s="12"/>
      <c r="D409" s="12"/>
      <c r="E409" s="12"/>
      <c r="F409" s="12"/>
      <c r="G409" s="12"/>
      <c r="H409" s="7"/>
    </row>
    <row r="410" spans="1:8" ht="20.25" x14ac:dyDescent="0.25">
      <c r="A410" s="11"/>
      <c r="B410" s="12"/>
      <c r="C410" s="12"/>
      <c r="D410" s="12"/>
      <c r="E410" s="12"/>
      <c r="F410" s="12"/>
      <c r="G410" s="12"/>
      <c r="H410" s="7"/>
    </row>
    <row r="411" spans="1:8" ht="20.25" x14ac:dyDescent="0.25">
      <c r="A411" s="11"/>
      <c r="B411" s="12"/>
      <c r="C411" s="12"/>
      <c r="D411" s="12"/>
      <c r="E411" s="12"/>
      <c r="F411" s="12"/>
      <c r="G411" s="12"/>
      <c r="H411" s="7"/>
    </row>
    <row r="412" spans="1:8" ht="20.25" x14ac:dyDescent="0.25">
      <c r="A412" s="11"/>
      <c r="B412" s="12"/>
      <c r="C412" s="12"/>
      <c r="D412" s="12"/>
      <c r="E412" s="12"/>
      <c r="F412" s="12"/>
      <c r="G412" s="12"/>
      <c r="H412" s="7"/>
    </row>
    <row r="413" spans="1:8" ht="20.25" x14ac:dyDescent="0.25">
      <c r="A413" s="11"/>
      <c r="B413" s="12"/>
      <c r="C413" s="12"/>
      <c r="D413" s="12"/>
      <c r="E413" s="12"/>
      <c r="F413" s="12"/>
      <c r="G413" s="12"/>
      <c r="H413" s="7"/>
    </row>
    <row r="414" spans="1:8" ht="20.25" x14ac:dyDescent="0.25">
      <c r="A414" s="11"/>
      <c r="B414" s="12"/>
      <c r="C414" s="12"/>
      <c r="D414" s="12"/>
      <c r="E414" s="12"/>
      <c r="F414" s="12"/>
      <c r="G414" s="12"/>
      <c r="H414" s="7"/>
    </row>
    <row r="415" spans="1:8" ht="20.25" x14ac:dyDescent="0.25">
      <c r="A415" s="11"/>
      <c r="B415" s="12"/>
      <c r="C415" s="12"/>
      <c r="D415" s="12"/>
      <c r="E415" s="12"/>
      <c r="F415" s="12"/>
      <c r="G415" s="12"/>
      <c r="H415" s="7"/>
    </row>
    <row r="416" spans="1:8" ht="20.25" x14ac:dyDescent="0.25">
      <c r="A416" s="11"/>
      <c r="B416" s="12"/>
      <c r="C416" s="12"/>
      <c r="D416" s="12"/>
      <c r="E416" s="12"/>
      <c r="F416" s="12"/>
      <c r="G416" s="12"/>
      <c r="H416" s="7"/>
    </row>
    <row r="417" spans="1:8" ht="20.25" x14ac:dyDescent="0.25">
      <c r="A417" s="11"/>
      <c r="B417" s="12"/>
      <c r="C417" s="12"/>
      <c r="D417" s="12"/>
      <c r="E417" s="12"/>
      <c r="F417" s="12"/>
      <c r="G417" s="12"/>
      <c r="H417" s="7"/>
    </row>
    <row r="418" spans="1:8" ht="20.25" x14ac:dyDescent="0.25">
      <c r="A418" s="11"/>
      <c r="B418" s="12"/>
      <c r="C418" s="12"/>
      <c r="D418" s="12"/>
      <c r="E418" s="12"/>
      <c r="F418" s="12"/>
      <c r="G418" s="12"/>
      <c r="H418" s="7"/>
    </row>
    <row r="419" spans="1:8" ht="20.25" x14ac:dyDescent="0.25">
      <c r="A419" s="11"/>
      <c r="B419" s="12"/>
      <c r="C419" s="12"/>
      <c r="D419" s="12"/>
      <c r="E419" s="12"/>
      <c r="F419" s="12"/>
      <c r="G419" s="12"/>
      <c r="H419" s="7"/>
    </row>
    <row r="420" spans="1:8" ht="20.25" x14ac:dyDescent="0.25">
      <c r="A420" s="11"/>
      <c r="B420" s="12"/>
      <c r="C420" s="12"/>
      <c r="D420" s="12"/>
      <c r="E420" s="12"/>
      <c r="F420" s="12"/>
      <c r="G420" s="12"/>
      <c r="H420" s="7"/>
    </row>
    <row r="421" spans="1:8" ht="20.25" x14ac:dyDescent="0.25">
      <c r="A421" s="11"/>
      <c r="B421" s="12"/>
      <c r="C421" s="12"/>
      <c r="D421" s="12"/>
      <c r="E421" s="12"/>
      <c r="F421" s="12"/>
      <c r="G421" s="12"/>
      <c r="H421" s="7"/>
    </row>
    <row r="422" spans="1:8" ht="20.25" x14ac:dyDescent="0.25">
      <c r="A422" s="11"/>
      <c r="B422" s="12"/>
      <c r="C422" s="12"/>
      <c r="D422" s="12"/>
      <c r="E422" s="12"/>
      <c r="F422" s="12"/>
      <c r="G422" s="12"/>
      <c r="H422" s="7"/>
    </row>
    <row r="423" spans="1:8" ht="20.25" x14ac:dyDescent="0.25">
      <c r="A423" s="11"/>
      <c r="B423" s="12"/>
      <c r="C423" s="12"/>
      <c r="D423" s="12"/>
      <c r="E423" s="12"/>
      <c r="F423" s="12"/>
      <c r="G423" s="12"/>
      <c r="H423" s="7"/>
    </row>
    <row r="424" spans="1:8" ht="20.25" x14ac:dyDescent="0.25">
      <c r="A424" s="11"/>
      <c r="B424" s="12"/>
      <c r="C424" s="12"/>
      <c r="D424" s="12"/>
      <c r="E424" s="12"/>
      <c r="F424" s="12"/>
      <c r="G424" s="12"/>
      <c r="H424" s="7"/>
    </row>
    <row r="425" spans="1:8" ht="20.25" x14ac:dyDescent="0.25">
      <c r="A425" s="13"/>
      <c r="B425" s="14"/>
      <c r="C425" s="14"/>
      <c r="D425" s="14"/>
      <c r="E425" s="14"/>
      <c r="F425" s="14"/>
      <c r="G425" s="14"/>
      <c r="H425" s="8"/>
    </row>
    <row r="426" spans="1:8" ht="20.25" x14ac:dyDescent="0.25">
      <c r="A426" s="124" t="s">
        <v>77</v>
      </c>
      <c r="B426" s="125"/>
      <c r="C426" s="125"/>
      <c r="D426" s="125"/>
      <c r="E426" s="125"/>
      <c r="F426" s="125"/>
      <c r="G426" s="125"/>
      <c r="H426" s="126"/>
    </row>
    <row r="427" spans="1:8" ht="20.25" x14ac:dyDescent="0.25">
      <c r="A427" s="9"/>
      <c r="B427" s="10"/>
      <c r="C427" s="10"/>
      <c r="D427" s="10"/>
      <c r="E427" s="10"/>
      <c r="F427" s="10"/>
      <c r="G427" s="10"/>
      <c r="H427" s="6"/>
    </row>
    <row r="428" spans="1:8" ht="20.25" x14ac:dyDescent="0.25">
      <c r="A428" s="11"/>
      <c r="B428" s="12"/>
      <c r="C428" s="12"/>
      <c r="D428" s="12"/>
      <c r="E428" s="12"/>
      <c r="F428" s="12"/>
      <c r="G428" s="12"/>
      <c r="H428" s="7"/>
    </row>
    <row r="429" spans="1:8" ht="20.25" x14ac:dyDescent="0.25">
      <c r="A429" s="11"/>
      <c r="B429" s="12"/>
      <c r="C429" s="12"/>
      <c r="D429" s="12"/>
      <c r="E429" s="12"/>
      <c r="F429" s="12"/>
      <c r="G429" s="12"/>
      <c r="H429" s="7"/>
    </row>
    <row r="430" spans="1:8" ht="20.25" x14ac:dyDescent="0.25">
      <c r="A430" s="11"/>
      <c r="B430" s="12"/>
      <c r="C430" s="12"/>
      <c r="D430" s="12"/>
      <c r="E430" s="12"/>
      <c r="F430" s="12"/>
      <c r="G430" s="12"/>
      <c r="H430" s="7"/>
    </row>
    <row r="431" spans="1:8" ht="20.25" x14ac:dyDescent="0.25">
      <c r="A431" s="11"/>
      <c r="B431" s="12"/>
      <c r="C431" s="12"/>
      <c r="D431" s="12"/>
      <c r="E431" s="12"/>
      <c r="F431" s="12"/>
      <c r="G431" s="12"/>
      <c r="H431" s="7"/>
    </row>
    <row r="432" spans="1:8" ht="20.25" x14ac:dyDescent="0.25">
      <c r="A432" s="11"/>
      <c r="B432" s="12"/>
      <c r="C432" s="12"/>
      <c r="D432" s="12"/>
      <c r="E432" s="12"/>
      <c r="F432" s="12"/>
      <c r="G432" s="12"/>
      <c r="H432" s="7"/>
    </row>
    <row r="433" spans="1:8" ht="20.25" x14ac:dyDescent="0.25">
      <c r="A433" s="11"/>
      <c r="B433" s="12"/>
      <c r="C433" s="12"/>
      <c r="D433" s="12"/>
      <c r="E433" s="12"/>
      <c r="F433" s="12"/>
      <c r="G433" s="12"/>
      <c r="H433" s="7"/>
    </row>
    <row r="434" spans="1:8" ht="20.25" x14ac:dyDescent="0.25">
      <c r="A434" s="11"/>
      <c r="B434" s="12"/>
      <c r="C434" s="12"/>
      <c r="D434" s="12"/>
      <c r="E434" s="12"/>
      <c r="F434" s="12"/>
      <c r="G434" s="12"/>
      <c r="H434" s="7"/>
    </row>
    <row r="435" spans="1:8" ht="20.25" x14ac:dyDescent="0.25">
      <c r="A435" s="11"/>
      <c r="B435" s="12"/>
      <c r="C435" s="12"/>
      <c r="D435" s="12"/>
      <c r="E435" s="12"/>
      <c r="F435" s="12"/>
      <c r="G435" s="12"/>
      <c r="H435" s="7"/>
    </row>
    <row r="436" spans="1:8" ht="20.25" x14ac:dyDescent="0.25">
      <c r="A436" s="11"/>
      <c r="B436" s="12"/>
      <c r="C436" s="12"/>
      <c r="D436" s="12"/>
      <c r="E436" s="12"/>
      <c r="F436" s="12"/>
      <c r="G436" s="12"/>
      <c r="H436" s="7"/>
    </row>
    <row r="437" spans="1:8" ht="20.25" x14ac:dyDescent="0.25">
      <c r="A437" s="11"/>
      <c r="B437" s="12"/>
      <c r="C437" s="12"/>
      <c r="D437" s="12"/>
      <c r="E437" s="12"/>
      <c r="F437" s="12"/>
      <c r="G437" s="12"/>
      <c r="H437" s="7"/>
    </row>
    <row r="438" spans="1:8" ht="20.25" x14ac:dyDescent="0.25">
      <c r="A438" s="11"/>
      <c r="B438" s="12"/>
      <c r="C438" s="12"/>
      <c r="D438" s="12"/>
      <c r="E438" s="12"/>
      <c r="F438" s="12"/>
      <c r="G438" s="12"/>
      <c r="H438" s="7"/>
    </row>
    <row r="439" spans="1:8" ht="20.25" x14ac:dyDescent="0.25">
      <c r="A439" s="11"/>
      <c r="B439" s="12"/>
      <c r="C439" s="12"/>
      <c r="D439" s="12"/>
      <c r="E439" s="12"/>
      <c r="F439" s="12"/>
      <c r="G439" s="12"/>
      <c r="H439" s="7"/>
    </row>
    <row r="440" spans="1:8" ht="20.25" x14ac:dyDescent="0.25">
      <c r="A440" s="11"/>
      <c r="B440" s="12"/>
      <c r="C440" s="12"/>
      <c r="D440" s="12"/>
      <c r="E440" s="12"/>
      <c r="F440" s="12"/>
      <c r="G440" s="12"/>
      <c r="H440" s="7"/>
    </row>
    <row r="441" spans="1:8" ht="20.25" x14ac:dyDescent="0.25">
      <c r="A441" s="11"/>
      <c r="B441" s="12"/>
      <c r="C441" s="12"/>
      <c r="D441" s="12"/>
      <c r="E441" s="12"/>
      <c r="F441" s="12"/>
      <c r="G441" s="12"/>
      <c r="H441" s="7"/>
    </row>
    <row r="442" spans="1:8" ht="20.25" x14ac:dyDescent="0.25">
      <c r="A442" s="11"/>
      <c r="B442" s="12"/>
      <c r="C442" s="12"/>
      <c r="D442" s="12"/>
      <c r="E442" s="12"/>
      <c r="F442" s="12"/>
      <c r="G442" s="12"/>
      <c r="H442" s="7"/>
    </row>
    <row r="443" spans="1:8" ht="20.25" x14ac:dyDescent="0.25">
      <c r="A443" s="11"/>
      <c r="B443" s="12"/>
      <c r="C443" s="12"/>
      <c r="D443" s="12"/>
      <c r="E443" s="12"/>
      <c r="F443" s="12"/>
      <c r="G443" s="12"/>
      <c r="H443" s="7"/>
    </row>
    <row r="444" spans="1:8" ht="20.25" x14ac:dyDescent="0.25">
      <c r="A444" s="11"/>
      <c r="B444" s="12"/>
      <c r="C444" s="12"/>
      <c r="D444" s="12"/>
      <c r="E444" s="12"/>
      <c r="F444" s="12"/>
      <c r="G444" s="12"/>
      <c r="H444" s="7"/>
    </row>
    <row r="445" spans="1:8" ht="20.25" x14ac:dyDescent="0.25">
      <c r="A445" s="11"/>
      <c r="B445" s="12"/>
      <c r="C445" s="12"/>
      <c r="D445" s="12"/>
      <c r="E445" s="12"/>
      <c r="F445" s="12"/>
      <c r="G445" s="12"/>
      <c r="H445" s="7"/>
    </row>
    <row r="446" spans="1:8" ht="20.25" x14ac:dyDescent="0.25">
      <c r="A446" s="11"/>
      <c r="B446" s="12"/>
      <c r="C446" s="12"/>
      <c r="D446" s="12"/>
      <c r="E446" s="12"/>
      <c r="F446" s="12"/>
      <c r="G446" s="12"/>
      <c r="H446" s="7"/>
    </row>
    <row r="447" spans="1:8" ht="20.25" x14ac:dyDescent="0.25">
      <c r="A447" s="11"/>
      <c r="B447" s="12"/>
      <c r="C447" s="12"/>
      <c r="D447" s="12"/>
      <c r="E447" s="12"/>
      <c r="F447" s="12"/>
      <c r="G447" s="12"/>
      <c r="H447" s="7"/>
    </row>
    <row r="448" spans="1:8" ht="20.25" x14ac:dyDescent="0.25">
      <c r="A448" s="11"/>
      <c r="B448" s="12"/>
      <c r="C448" s="12"/>
      <c r="D448" s="12"/>
      <c r="E448" s="12"/>
      <c r="F448" s="12"/>
      <c r="G448" s="12"/>
      <c r="H448" s="7"/>
    </row>
    <row r="449" spans="1:8" ht="20.25" x14ac:dyDescent="0.25">
      <c r="A449" s="11"/>
      <c r="B449" s="12"/>
      <c r="C449" s="12"/>
      <c r="D449" s="12"/>
      <c r="E449" s="12"/>
      <c r="F449" s="12"/>
      <c r="G449" s="12"/>
      <c r="H449" s="7"/>
    </row>
    <row r="450" spans="1:8" ht="20.25" x14ac:dyDescent="0.25">
      <c r="A450" s="11"/>
      <c r="B450" s="12"/>
      <c r="C450" s="12"/>
      <c r="D450" s="12"/>
      <c r="E450" s="12"/>
      <c r="F450" s="12"/>
      <c r="G450" s="12"/>
      <c r="H450" s="7"/>
    </row>
    <row r="451" spans="1:8" ht="20.25" x14ac:dyDescent="0.25">
      <c r="A451" s="92" t="s">
        <v>24</v>
      </c>
      <c r="B451" s="92"/>
      <c r="C451" s="92"/>
      <c r="D451" s="92"/>
      <c r="E451" s="92"/>
      <c r="F451" s="92"/>
      <c r="G451" s="92"/>
      <c r="H451" s="92"/>
    </row>
    <row r="452" spans="1:8" ht="20.25" x14ac:dyDescent="0.25">
      <c r="A452" s="150" t="s">
        <v>78</v>
      </c>
      <c r="B452" s="151"/>
      <c r="C452" s="151"/>
      <c r="D452" s="151"/>
      <c r="E452" s="151"/>
      <c r="F452" s="151"/>
      <c r="G452" s="151"/>
      <c r="H452" s="152"/>
    </row>
    <row r="453" spans="1:8" ht="20.25" x14ac:dyDescent="0.25">
      <c r="A453" s="153" t="s">
        <v>79</v>
      </c>
      <c r="B453" s="154"/>
      <c r="C453" s="154"/>
      <c r="D453" s="154"/>
      <c r="E453" s="154"/>
      <c r="F453" s="154"/>
      <c r="G453" s="154"/>
      <c r="H453" s="155"/>
    </row>
    <row r="454" spans="1:8" ht="45" customHeight="1" x14ac:dyDescent="0.25">
      <c r="A454" s="153" t="s">
        <v>80</v>
      </c>
      <c r="B454" s="154"/>
      <c r="C454" s="154"/>
      <c r="D454" s="154"/>
      <c r="E454" s="154"/>
      <c r="F454" s="154"/>
      <c r="G454" s="154"/>
      <c r="H454" s="155"/>
    </row>
    <row r="455" spans="1:8" ht="42.75" customHeight="1" x14ac:dyDescent="0.25">
      <c r="A455" s="153" t="s">
        <v>81</v>
      </c>
      <c r="B455" s="154"/>
      <c r="C455" s="154"/>
      <c r="D455" s="154"/>
      <c r="E455" s="154"/>
      <c r="F455" s="154"/>
      <c r="G455" s="154"/>
      <c r="H455" s="155"/>
    </row>
    <row r="456" spans="1:8" ht="20.25" x14ac:dyDescent="0.25">
      <c r="A456" s="153" t="s">
        <v>82</v>
      </c>
      <c r="B456" s="154"/>
      <c r="C456" s="154"/>
      <c r="D456" s="154"/>
      <c r="E456" s="154"/>
      <c r="F456" s="154"/>
      <c r="G456" s="154"/>
      <c r="H456" s="155"/>
    </row>
    <row r="457" spans="1:8" ht="20.25" x14ac:dyDescent="0.25">
      <c r="A457" s="153" t="s">
        <v>83</v>
      </c>
      <c r="B457" s="154"/>
      <c r="C457" s="154"/>
      <c r="D457" s="154"/>
      <c r="E457" s="154"/>
      <c r="F457" s="154"/>
      <c r="G457" s="154"/>
      <c r="H457" s="155"/>
    </row>
    <row r="458" spans="1:8" ht="45" customHeight="1" x14ac:dyDescent="0.25">
      <c r="A458" s="153" t="s">
        <v>84</v>
      </c>
      <c r="B458" s="154"/>
      <c r="C458" s="154"/>
      <c r="D458" s="154"/>
      <c r="E458" s="154"/>
      <c r="F458" s="154"/>
      <c r="G458" s="154"/>
      <c r="H458" s="155"/>
    </row>
    <row r="459" spans="1:8" ht="45" customHeight="1" x14ac:dyDescent="0.25">
      <c r="A459" s="153" t="s">
        <v>85</v>
      </c>
      <c r="B459" s="154"/>
      <c r="C459" s="154"/>
      <c r="D459" s="154"/>
      <c r="E459" s="154"/>
      <c r="F459" s="154"/>
      <c r="G459" s="154"/>
      <c r="H459" s="155"/>
    </row>
    <row r="460" spans="1:8" ht="20.25" x14ac:dyDescent="0.25">
      <c r="A460" s="156" t="s">
        <v>86</v>
      </c>
      <c r="B460" s="157"/>
      <c r="C460" s="157"/>
      <c r="D460" s="157"/>
      <c r="E460" s="157"/>
      <c r="F460" s="157"/>
      <c r="G460" s="157"/>
      <c r="H460" s="158"/>
    </row>
    <row r="461" spans="1:8" ht="57" customHeight="1" x14ac:dyDescent="0.25">
      <c r="A461" s="145" t="s">
        <v>30</v>
      </c>
      <c r="B461" s="146"/>
      <c r="C461" s="147" t="s">
        <v>357</v>
      </c>
      <c r="D461" s="148"/>
      <c r="E461" s="145" t="s">
        <v>9</v>
      </c>
      <c r="F461" s="146"/>
      <c r="G461" s="133"/>
      <c r="H461" s="133"/>
    </row>
  </sheetData>
  <mergeCells count="548">
    <mergeCell ref="G155:H155"/>
    <mergeCell ref="A159:B159"/>
    <mergeCell ref="G159:H159"/>
    <mergeCell ref="A160:B160"/>
    <mergeCell ref="G160:H160"/>
    <mergeCell ref="A161:B161"/>
    <mergeCell ref="A165:H165"/>
    <mergeCell ref="A265:H265"/>
    <mergeCell ref="A181:H181"/>
    <mergeCell ref="E155:F155"/>
    <mergeCell ref="A173:B173"/>
    <mergeCell ref="A174:B174"/>
    <mergeCell ref="A175:B175"/>
    <mergeCell ref="A168:B168"/>
    <mergeCell ref="C159:D159"/>
    <mergeCell ref="C162:D162"/>
    <mergeCell ref="A187:B187"/>
    <mergeCell ref="A185:B185"/>
    <mergeCell ref="A156:B156"/>
    <mergeCell ref="C156:D156"/>
    <mergeCell ref="E156:F156"/>
    <mergeCell ref="A166:H166"/>
    <mergeCell ref="A176:B176"/>
    <mergeCell ref="A177:B177"/>
    <mergeCell ref="E151:F151"/>
    <mergeCell ref="E152:F152"/>
    <mergeCell ref="E153:F153"/>
    <mergeCell ref="A151:B151"/>
    <mergeCell ref="A152:B152"/>
    <mergeCell ref="C151:D151"/>
    <mergeCell ref="A153:B153"/>
    <mergeCell ref="C152:D152"/>
    <mergeCell ref="G151:H151"/>
    <mergeCell ref="G152:H152"/>
    <mergeCell ref="G153:H153"/>
    <mergeCell ref="C153:D153"/>
    <mergeCell ref="A93:H93"/>
    <mergeCell ref="A94:C95"/>
    <mergeCell ref="C18:D18"/>
    <mergeCell ref="C19:D19"/>
    <mergeCell ref="C20:D20"/>
    <mergeCell ref="C21:D21"/>
    <mergeCell ref="C22:D22"/>
    <mergeCell ref="C24:H24"/>
    <mergeCell ref="C23:H23"/>
    <mergeCell ref="A69:B69"/>
    <mergeCell ref="A72:B72"/>
    <mergeCell ref="E79:F79"/>
    <mergeCell ref="A80:B80"/>
    <mergeCell ref="E80:F80"/>
    <mergeCell ref="A81:B81"/>
    <mergeCell ref="A45:B45"/>
    <mergeCell ref="A46:B46"/>
    <mergeCell ref="A47:B47"/>
    <mergeCell ref="D46:F46"/>
    <mergeCell ref="D45:F45"/>
    <mergeCell ref="D47:F47"/>
    <mergeCell ref="A48:B48"/>
    <mergeCell ref="D48:F48"/>
    <mergeCell ref="A59:B59"/>
    <mergeCell ref="A60:B60"/>
    <mergeCell ref="C57:F57"/>
    <mergeCell ref="C58:F58"/>
    <mergeCell ref="C59:F59"/>
    <mergeCell ref="C60:F60"/>
    <mergeCell ref="A169:B169"/>
    <mergeCell ref="A170:B170"/>
    <mergeCell ref="A171:B171"/>
    <mergeCell ref="A172:B172"/>
    <mergeCell ref="A77:H77"/>
    <mergeCell ref="A78:C79"/>
    <mergeCell ref="E78:F78"/>
    <mergeCell ref="G141:H141"/>
    <mergeCell ref="G65:H76"/>
    <mergeCell ref="A61:H61"/>
    <mergeCell ref="A64:B64"/>
    <mergeCell ref="A65:B65"/>
    <mergeCell ref="E64:F64"/>
    <mergeCell ref="E62:F62"/>
    <mergeCell ref="E63:F63"/>
    <mergeCell ref="A62:C63"/>
    <mergeCell ref="A71:B71"/>
    <mergeCell ref="E94:F94"/>
    <mergeCell ref="E95:F95"/>
    <mergeCell ref="G157:H157"/>
    <mergeCell ref="A158:B158"/>
    <mergeCell ref="C158:D158"/>
    <mergeCell ref="E158:F158"/>
    <mergeCell ref="G158:H158"/>
    <mergeCell ref="C160:D160"/>
    <mergeCell ref="E162:F162"/>
    <mergeCell ref="C161:D161"/>
    <mergeCell ref="G161:H161"/>
    <mergeCell ref="E160:F160"/>
    <mergeCell ref="A426:H426"/>
    <mergeCell ref="D339:H339"/>
    <mergeCell ref="A341:C341"/>
    <mergeCell ref="A1:H1"/>
    <mergeCell ref="A339:C339"/>
    <mergeCell ref="G27:H27"/>
    <mergeCell ref="G28:H28"/>
    <mergeCell ref="A37:H37"/>
    <mergeCell ref="A44:H44"/>
    <mergeCell ref="A51:H51"/>
    <mergeCell ref="A150:H150"/>
    <mergeCell ref="G148:H148"/>
    <mergeCell ref="G7:H7"/>
    <mergeCell ref="G47:H47"/>
    <mergeCell ref="G45:H45"/>
    <mergeCell ref="A25:H25"/>
    <mergeCell ref="G26:H26"/>
    <mergeCell ref="G20:H20"/>
    <mergeCell ref="G21:H21"/>
    <mergeCell ref="A9:A11"/>
    <mergeCell ref="A191:B191"/>
    <mergeCell ref="A192:B192"/>
    <mergeCell ref="G147:H147"/>
    <mergeCell ref="A167:H167"/>
    <mergeCell ref="E65:F76"/>
    <mergeCell ref="A193:B193"/>
    <mergeCell ref="A188:B188"/>
    <mergeCell ref="A186:B186"/>
    <mergeCell ref="E161:F161"/>
    <mergeCell ref="E159:F159"/>
    <mergeCell ref="C155:D155"/>
    <mergeCell ref="G6:H6"/>
    <mergeCell ref="A5:H5"/>
    <mergeCell ref="A33:H33"/>
    <mergeCell ref="G30:H30"/>
    <mergeCell ref="G29:H29"/>
    <mergeCell ref="A13:H13"/>
    <mergeCell ref="C26:D26"/>
    <mergeCell ref="A162:B162"/>
    <mergeCell ref="G162:H162"/>
    <mergeCell ref="A154:H154"/>
    <mergeCell ref="A178:B178"/>
    <mergeCell ref="A179:B179"/>
    <mergeCell ref="A180:H180"/>
    <mergeCell ref="D187:H188"/>
    <mergeCell ref="A157:B157"/>
    <mergeCell ref="C157:D157"/>
    <mergeCell ref="E157:F157"/>
    <mergeCell ref="G14:H14"/>
    <mergeCell ref="G16:H16"/>
    <mergeCell ref="G17:H17"/>
    <mergeCell ref="G15:H15"/>
    <mergeCell ref="G18:H18"/>
    <mergeCell ref="G19:H19"/>
    <mergeCell ref="G46:H46"/>
    <mergeCell ref="G31:H31"/>
    <mergeCell ref="G22:H22"/>
    <mergeCell ref="G36:H36"/>
    <mergeCell ref="G35:H35"/>
    <mergeCell ref="A211:H211"/>
    <mergeCell ref="A215:B215"/>
    <mergeCell ref="A216:B216"/>
    <mergeCell ref="A217:B217"/>
    <mergeCell ref="A155:B155"/>
    <mergeCell ref="D341:H341"/>
    <mergeCell ref="A381:H381"/>
    <mergeCell ref="E461:F461"/>
    <mergeCell ref="A461:B461"/>
    <mergeCell ref="C461:D461"/>
    <mergeCell ref="G461:H461"/>
    <mergeCell ref="A338:H338"/>
    <mergeCell ref="D340:H340"/>
    <mergeCell ref="A452:H452"/>
    <mergeCell ref="A458:H458"/>
    <mergeCell ref="A459:H459"/>
    <mergeCell ref="A460:H460"/>
    <mergeCell ref="A453:H453"/>
    <mergeCell ref="A454:H454"/>
    <mergeCell ref="A455:H455"/>
    <mergeCell ref="A456:H456"/>
    <mergeCell ref="A340:C340"/>
    <mergeCell ref="A451:H451"/>
    <mergeCell ref="A457:H457"/>
    <mergeCell ref="A66:B66"/>
    <mergeCell ref="C27:D27"/>
    <mergeCell ref="A73:B73"/>
    <mergeCell ref="A74:B74"/>
    <mergeCell ref="A75:B75"/>
    <mergeCell ref="A76:B76"/>
    <mergeCell ref="A183:B183"/>
    <mergeCell ref="B332:H332"/>
    <mergeCell ref="B331:H331"/>
    <mergeCell ref="A194:B194"/>
    <mergeCell ref="A195:B195"/>
    <mergeCell ref="A204:B204"/>
    <mergeCell ref="A200:B200"/>
    <mergeCell ref="A201:B201"/>
    <mergeCell ref="A202:B202"/>
    <mergeCell ref="A196:H196"/>
    <mergeCell ref="A197:B197"/>
    <mergeCell ref="A198:B198"/>
    <mergeCell ref="D194:H194"/>
    <mergeCell ref="D195:H195"/>
    <mergeCell ref="A208:B208"/>
    <mergeCell ref="A209:B209"/>
    <mergeCell ref="A226:B226"/>
    <mergeCell ref="A210:H210"/>
    <mergeCell ref="E81:F92"/>
    <mergeCell ref="G81:H92"/>
    <mergeCell ref="A82:B82"/>
    <mergeCell ref="A83:B83"/>
    <mergeCell ref="A84:B84"/>
    <mergeCell ref="A85:B85"/>
    <mergeCell ref="A86:B86"/>
    <mergeCell ref="A87:B87"/>
    <mergeCell ref="A88:B88"/>
    <mergeCell ref="A89:B89"/>
    <mergeCell ref="A90:B90"/>
    <mergeCell ref="A91:B91"/>
    <mergeCell ref="A92:B92"/>
    <mergeCell ref="A67:B67"/>
    <mergeCell ref="A68:B68"/>
    <mergeCell ref="A70:B70"/>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E3:F3"/>
    <mergeCell ref="E4:F4"/>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G48:H48"/>
    <mergeCell ref="A49:B49"/>
    <mergeCell ref="D49:F49"/>
    <mergeCell ref="G49:H49"/>
    <mergeCell ref="A52:B52"/>
    <mergeCell ref="A54:B54"/>
    <mergeCell ref="A57:B57"/>
    <mergeCell ref="A58:B58"/>
    <mergeCell ref="A53:B53"/>
    <mergeCell ref="C52:H52"/>
    <mergeCell ref="C53:F53"/>
    <mergeCell ref="C54:F54"/>
    <mergeCell ref="C55:F55"/>
    <mergeCell ref="A55:B56"/>
    <mergeCell ref="A50:B50"/>
    <mergeCell ref="D50:F50"/>
    <mergeCell ref="G50:H50"/>
    <mergeCell ref="C56:H56"/>
    <mergeCell ref="G97:H108"/>
    <mergeCell ref="A98:B98"/>
    <mergeCell ref="A99:B99"/>
    <mergeCell ref="A100:B100"/>
    <mergeCell ref="A101:B101"/>
    <mergeCell ref="A102:B102"/>
    <mergeCell ref="A103:B103"/>
    <mergeCell ref="A104:B104"/>
    <mergeCell ref="A105:B105"/>
    <mergeCell ref="A106:B106"/>
    <mergeCell ref="A107:B107"/>
    <mergeCell ref="A108:B108"/>
    <mergeCell ref="C145:D145"/>
    <mergeCell ref="E145:F145"/>
    <mergeCell ref="A147:F147"/>
    <mergeCell ref="A148:F148"/>
    <mergeCell ref="A149:F149"/>
    <mergeCell ref="A144:B144"/>
    <mergeCell ref="A96:B96"/>
    <mergeCell ref="E96:F96"/>
    <mergeCell ref="A97:B97"/>
    <mergeCell ref="E97:F108"/>
    <mergeCell ref="A142:H142"/>
    <mergeCell ref="G143:H143"/>
    <mergeCell ref="G145:H145"/>
    <mergeCell ref="G149:H149"/>
    <mergeCell ref="A146:H146"/>
    <mergeCell ref="E143:F143"/>
    <mergeCell ref="A145:B145"/>
    <mergeCell ref="E144:F144"/>
    <mergeCell ref="G144:H144"/>
    <mergeCell ref="A141:F141"/>
    <mergeCell ref="A109:H109"/>
    <mergeCell ref="A110:C111"/>
    <mergeCell ref="E110:F110"/>
    <mergeCell ref="E111:F111"/>
    <mergeCell ref="A112:B112"/>
    <mergeCell ref="E112:F112"/>
    <mergeCell ref="A113:B113"/>
    <mergeCell ref="E113:F124"/>
    <mergeCell ref="G113:H124"/>
    <mergeCell ref="A114:B114"/>
    <mergeCell ref="A115:B115"/>
    <mergeCell ref="A116:B116"/>
    <mergeCell ref="A117:B117"/>
    <mergeCell ref="A118:B118"/>
    <mergeCell ref="A119:B119"/>
    <mergeCell ref="A120:B120"/>
    <mergeCell ref="A121:B121"/>
    <mergeCell ref="A122:B122"/>
    <mergeCell ref="A123:B123"/>
    <mergeCell ref="A124:B124"/>
    <mergeCell ref="G156:H156"/>
    <mergeCell ref="A125:H125"/>
    <mergeCell ref="A126:C127"/>
    <mergeCell ref="E126:F126"/>
    <mergeCell ref="E127:F127"/>
    <mergeCell ref="A128:B128"/>
    <mergeCell ref="E128:F128"/>
    <mergeCell ref="A129:B129"/>
    <mergeCell ref="E129:F140"/>
    <mergeCell ref="G129:H140"/>
    <mergeCell ref="A130:B130"/>
    <mergeCell ref="A131:B131"/>
    <mergeCell ref="A132:B132"/>
    <mergeCell ref="A133:B133"/>
    <mergeCell ref="A134:B134"/>
    <mergeCell ref="A135:B135"/>
    <mergeCell ref="A136:B136"/>
    <mergeCell ref="A137:B137"/>
    <mergeCell ref="A138:B138"/>
    <mergeCell ref="A139:B139"/>
    <mergeCell ref="A140:B140"/>
    <mergeCell ref="A143:B143"/>
    <mergeCell ref="C143:D143"/>
    <mergeCell ref="C144:D144"/>
    <mergeCell ref="A189:H189"/>
    <mergeCell ref="A190:B190"/>
    <mergeCell ref="A184:B184"/>
    <mergeCell ref="A182:H182"/>
    <mergeCell ref="A163:H163"/>
    <mergeCell ref="A203:H203"/>
    <mergeCell ref="A205:B205"/>
    <mergeCell ref="A206:B206"/>
    <mergeCell ref="A207:B207"/>
    <mergeCell ref="D205:H205"/>
    <mergeCell ref="A199:B199"/>
    <mergeCell ref="A218:B218"/>
    <mergeCell ref="A212:B212"/>
    <mergeCell ref="A213:B213"/>
    <mergeCell ref="A214:B214"/>
    <mergeCell ref="D212:H214"/>
    <mergeCell ref="A219:H219"/>
    <mergeCell ref="A220:B220"/>
    <mergeCell ref="A221:B221"/>
    <mergeCell ref="A222:B222"/>
    <mergeCell ref="A223:B223"/>
    <mergeCell ref="A224:B224"/>
    <mergeCell ref="A225:B225"/>
    <mergeCell ref="A240:B240"/>
    <mergeCell ref="D240:H242"/>
    <mergeCell ref="A241:B241"/>
    <mergeCell ref="A242:B242"/>
    <mergeCell ref="A227:B227"/>
    <mergeCell ref="A228:H228"/>
    <mergeCell ref="A229:B229"/>
    <mergeCell ref="A230:B230"/>
    <mergeCell ref="A231:B231"/>
    <mergeCell ref="A232:B232"/>
    <mergeCell ref="A233:B233"/>
    <mergeCell ref="A234:B234"/>
    <mergeCell ref="A235:B235"/>
    <mergeCell ref="A236:B236"/>
    <mergeCell ref="D233:H233"/>
    <mergeCell ref="A237:H237"/>
    <mergeCell ref="A238:H238"/>
    <mergeCell ref="A239:H239"/>
    <mergeCell ref="A243:B243"/>
    <mergeCell ref="A244:B244"/>
    <mergeCell ref="A245:B245"/>
    <mergeCell ref="A246:B246"/>
    <mergeCell ref="A247:H247"/>
    <mergeCell ref="A248:B248"/>
    <mergeCell ref="A249:B249"/>
    <mergeCell ref="A250:B250"/>
    <mergeCell ref="A251:B251"/>
    <mergeCell ref="A252:B252"/>
    <mergeCell ref="A253:B253"/>
    <mergeCell ref="A254:B254"/>
    <mergeCell ref="A255:B255"/>
    <mergeCell ref="A256:H256"/>
    <mergeCell ref="A257:B257"/>
    <mergeCell ref="A258:B258"/>
    <mergeCell ref="A259:B259"/>
    <mergeCell ref="A260:B260"/>
    <mergeCell ref="A261:B261"/>
    <mergeCell ref="D261:H261"/>
    <mergeCell ref="A262:B262"/>
    <mergeCell ref="A263:B263"/>
    <mergeCell ref="A288:B288"/>
    <mergeCell ref="A289:B289"/>
    <mergeCell ref="A290:B290"/>
    <mergeCell ref="A291:B291"/>
    <mergeCell ref="A292:B292"/>
    <mergeCell ref="A264:B264"/>
    <mergeCell ref="A266:H266"/>
    <mergeCell ref="A267:H267"/>
    <mergeCell ref="A268:H268"/>
    <mergeCell ref="A272:B272"/>
    <mergeCell ref="A273:B273"/>
    <mergeCell ref="A274:B274"/>
    <mergeCell ref="A275:B275"/>
    <mergeCell ref="A269:B269"/>
    <mergeCell ref="D269:H271"/>
    <mergeCell ref="A270:B270"/>
    <mergeCell ref="A271:B271"/>
    <mergeCell ref="A301:B301"/>
    <mergeCell ref="A276:H276"/>
    <mergeCell ref="A280:B280"/>
    <mergeCell ref="A281:B281"/>
    <mergeCell ref="A282:B282"/>
    <mergeCell ref="A283:B283"/>
    <mergeCell ref="A277:B277"/>
    <mergeCell ref="A278:B278"/>
    <mergeCell ref="A279:B279"/>
    <mergeCell ref="D277:H278"/>
    <mergeCell ref="D279:H279"/>
    <mergeCell ref="A293:H293"/>
    <mergeCell ref="A294:B294"/>
    <mergeCell ref="A295:B295"/>
    <mergeCell ref="A296:B296"/>
    <mergeCell ref="A297:B297"/>
    <mergeCell ref="A298:B298"/>
    <mergeCell ref="D298:H298"/>
    <mergeCell ref="A299:B299"/>
    <mergeCell ref="A300:B300"/>
    <mergeCell ref="A284:H284"/>
    <mergeCell ref="A285:B285"/>
    <mergeCell ref="A286:B286"/>
    <mergeCell ref="A287:B287"/>
    <mergeCell ref="A302:H302"/>
    <mergeCell ref="A303:H303"/>
    <mergeCell ref="A304:H304"/>
    <mergeCell ref="A308:B308"/>
    <mergeCell ref="A309:B309"/>
    <mergeCell ref="A310:B310"/>
    <mergeCell ref="A311:B311"/>
    <mergeCell ref="A305:B305"/>
    <mergeCell ref="D305:H307"/>
    <mergeCell ref="A306:B306"/>
    <mergeCell ref="A307:B307"/>
    <mergeCell ref="A312:H312"/>
    <mergeCell ref="A313:B313"/>
    <mergeCell ref="A314:B314"/>
    <mergeCell ref="A315:B315"/>
    <mergeCell ref="A316:B316"/>
    <mergeCell ref="A317:B317"/>
    <mergeCell ref="A318:B318"/>
    <mergeCell ref="A319:B319"/>
    <mergeCell ref="A320:B320"/>
    <mergeCell ref="B337:H337"/>
    <mergeCell ref="A329:B329"/>
    <mergeCell ref="A321:H321"/>
    <mergeCell ref="A322:B322"/>
    <mergeCell ref="A323:B323"/>
    <mergeCell ref="A324:B324"/>
    <mergeCell ref="A325:B325"/>
    <mergeCell ref="A326:B326"/>
    <mergeCell ref="D326:H326"/>
    <mergeCell ref="A327:B327"/>
    <mergeCell ref="A328:B328"/>
    <mergeCell ref="B336:H336"/>
    <mergeCell ref="A330:H330"/>
    <mergeCell ref="B335:H335"/>
    <mergeCell ref="B334:H334"/>
    <mergeCell ref="B333:H333"/>
  </mergeCells>
  <dataValidations count="7">
    <dataValidation type="list" allowBlank="1" showInputMessage="1" showErrorMessage="1" sqref="G6:H6" xr:uid="{00000000-0002-0000-0000-000000000000}">
      <formula1>"Mr. Suraj Khare, Mr.Vinayak,Mr. Gaurav Pawar, 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145" xr:uid="{00000000-0002-0000-0000-000002000000}">
      <formula1>"300000,350000,400000,500000,600000,700000,800000,900000,1000000,1200000,1400000,1500000,1600000"</formula1>
    </dataValidation>
    <dataValidation type="list" allowBlank="1" showInputMessage="1" showErrorMessage="1" sqref="F164" xr:uid="{00000000-0002-0000-0000-000003000000}">
      <formula1>"Balcony + Chajja Area, 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2:H52 G35:H35" xr:uid="{00000000-0002-0000-0000-000005000000}">
      <formula1>"Yes,No"</formula1>
    </dataValidation>
    <dataValidation type="list" allowBlank="1" showInputMessage="1" showErrorMessage="1" sqref="C164" xr:uid="{00000000-0002-0000-0000-000006000000}">
      <formula1>"Sale /         Rehab /           PAP,Sale / Mhada,Sale / Landowner"</formula1>
    </dataValidation>
  </dataValidations>
  <hyperlinks>
    <hyperlink ref="C23" r:id="rId1" xr:uid="{00000000-0004-0000-0000-000000000000}"/>
    <hyperlink ref="I24" r:id="rId2" display="https://www.mahaavirsexotique.com/?utm_source=google&amp;utm_medium=cpc&amp;utm_campaign=Mahaavir+Exotique+NAVI&amp;utm_term=mahaavir%20exotique&amp;utm_Physical_Location=9062232&amp;utm_Targetid=kwd-1462184513981&amp;utm_Target=&amp;utm_Placement=&amp;utm_Adposition=&amp;gad_source=1&amp;gad_campaignid=21846766926&amp;gbraid=0AAAAA-ZZrXyC8pE4_Kjr03HwGzZFSx5vO&amp;gclid=Cj0KCQjwxdXBBhDEARIsAAUkP6gxJuKCBTV9zKxQqQ3LhN1fIpDLjVI-JfNSFEcGLyHs5wU3rVT8VCoaAriiEALw_wcB" xr:uid="{0F0E3D07-CCF9-47AB-BFA2-BF9A828F8C24}"/>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7" manualBreakCount="7">
    <brk id="92" max="16383" man="1"/>
    <brk id="124" max="16383" man="1"/>
    <brk id="162" max="16383" man="1"/>
    <brk id="301" max="16383" man="1"/>
    <brk id="337" max="8" man="1"/>
    <brk id="380" max="16383" man="1"/>
    <brk id="425"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92" t="s">
        <v>69</v>
      </c>
      <c r="B3" s="92"/>
      <c r="C3" s="92"/>
      <c r="D3" s="92"/>
      <c r="E3" s="92"/>
      <c r="F3" s="92"/>
      <c r="G3" s="92"/>
      <c r="H3" s="92"/>
      <c r="I3" s="92"/>
    </row>
    <row r="4" spans="1:11" s="1" customFormat="1" ht="20.25" customHeight="1" x14ac:dyDescent="0.3">
      <c r="A4" s="174">
        <v>1</v>
      </c>
      <c r="B4" s="174"/>
      <c r="C4" s="174"/>
      <c r="D4" s="175" t="s">
        <v>4</v>
      </c>
      <c r="E4" s="29" t="s">
        <v>117</v>
      </c>
      <c r="F4" s="108" t="s">
        <v>104</v>
      </c>
      <c r="G4" s="108"/>
      <c r="H4" s="29" t="s">
        <v>118</v>
      </c>
      <c r="I4" s="29" t="s">
        <v>119</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74"/>
      <c r="B5" s="174"/>
      <c r="C5" s="174"/>
      <c r="D5" s="175"/>
      <c r="E5" s="29">
        <v>3</v>
      </c>
      <c r="F5" s="108">
        <v>1</v>
      </c>
      <c r="G5" s="108"/>
      <c r="H5" s="29">
        <v>0</v>
      </c>
      <c r="I5" s="29">
        <f ca="1">--TRIM(RIGHT(SUBSTITUTE(LEFT(A4,_xlfn.AGGREGATE(16,6,FIND({0,1,2,3,4,5,6,7,8,9},A4,ROW(INDIRECT("1:"&amp;LEN(A4)))),1))," ",REPT(" ",LEN(A4))),LEN(A4)))</f>
        <v>1</v>
      </c>
      <c r="J5" s="16" t="s">
        <v>123</v>
      </c>
      <c r="K5" s="17"/>
    </row>
    <row r="6" spans="1:11" s="1" customFormat="1" ht="20.25" customHeight="1" x14ac:dyDescent="0.3">
      <c r="A6" s="109" t="s">
        <v>121</v>
      </c>
      <c r="B6" s="109"/>
      <c r="C6" s="109" t="s">
        <v>131</v>
      </c>
      <c r="D6" s="109"/>
      <c r="E6" s="27" t="s">
        <v>132</v>
      </c>
      <c r="F6" s="109" t="s">
        <v>122</v>
      </c>
      <c r="G6" s="109"/>
      <c r="H6" s="28" t="s">
        <v>120</v>
      </c>
      <c r="I6" s="28"/>
      <c r="J6" s="19" t="s">
        <v>133</v>
      </c>
      <c r="K6" s="18">
        <f ca="1">I5*25%</f>
        <v>0.25</v>
      </c>
    </row>
    <row r="7" spans="1:11" s="1" customFormat="1" ht="20.25" customHeight="1" x14ac:dyDescent="0.3">
      <c r="A7" s="110" t="s">
        <v>134</v>
      </c>
      <c r="B7" s="110"/>
      <c r="C7" s="108">
        <f ca="1">K8</f>
        <v>1</v>
      </c>
      <c r="D7" s="108"/>
      <c r="E7" s="4">
        <f ca="1">((100/I5)*C7)/100</f>
        <v>1</v>
      </c>
      <c r="F7" s="110">
        <f ca="1">(((C7/I5*5)+(C8/I5*20)+(25/(F5+H5+I5)*C9)+(5/(I5)*C10)+(2.5/(I5)*C11)+(2.5/(I5)*C12)+(5/I5*C13)+(10/I5*C14)+(2.5/I5*C15)+(2.5/I5*C16)+(10/I5*C17)+(10/I5*C18))/100)</f>
        <v>0.25</v>
      </c>
      <c r="G7" s="110"/>
      <c r="H7" s="110" t="str">
        <f ca="1">J4</f>
        <v>Excavation work Completed. Plinth work completed</v>
      </c>
      <c r="I7" s="110"/>
      <c r="J7" s="19" t="s">
        <v>124</v>
      </c>
      <c r="K7" s="23">
        <f ca="1">I5*50%</f>
        <v>0.5</v>
      </c>
    </row>
    <row r="8" spans="1:11" s="1" customFormat="1" ht="20.25" x14ac:dyDescent="0.3">
      <c r="A8" s="110" t="s">
        <v>105</v>
      </c>
      <c r="B8" s="110"/>
      <c r="C8" s="176">
        <f ca="1">K16</f>
        <v>1</v>
      </c>
      <c r="D8" s="108"/>
      <c r="E8" s="4">
        <f ca="1">((100/I5)*C8)/100</f>
        <v>1</v>
      </c>
      <c r="F8" s="110"/>
      <c r="G8" s="110"/>
      <c r="H8" s="110"/>
      <c r="I8" s="110"/>
      <c r="J8" s="19" t="s">
        <v>125</v>
      </c>
      <c r="K8" s="23">
        <f ca="1">I5</f>
        <v>1</v>
      </c>
    </row>
    <row r="9" spans="1:11" s="1" customFormat="1" ht="21" customHeight="1" x14ac:dyDescent="0.35">
      <c r="A9" s="110" t="s">
        <v>135</v>
      </c>
      <c r="B9" s="110"/>
      <c r="C9" s="108">
        <v>0</v>
      </c>
      <c r="D9" s="108"/>
      <c r="E9" s="4">
        <f ca="1">((100/(F5+H5+I5))*C9)/100</f>
        <v>0</v>
      </c>
      <c r="F9" s="110"/>
      <c r="G9" s="110"/>
      <c r="H9" s="110"/>
      <c r="I9" s="110"/>
      <c r="J9" s="19" t="s">
        <v>126</v>
      </c>
      <c r="K9" s="24">
        <f ca="1">(IF(E5&gt;1,(I5/(E5+2)),I5*0.2))</f>
        <v>0.2</v>
      </c>
    </row>
    <row r="10" spans="1:11" s="1" customFormat="1" ht="21" customHeight="1" x14ac:dyDescent="0.35">
      <c r="A10" s="110" t="s">
        <v>136</v>
      </c>
      <c r="B10" s="110"/>
      <c r="C10" s="108">
        <v>0</v>
      </c>
      <c r="D10" s="108"/>
      <c r="E10" s="4">
        <f ca="1">((100/I5)*C10)/100</f>
        <v>0</v>
      </c>
      <c r="F10" s="110"/>
      <c r="G10" s="110"/>
      <c r="H10" s="110"/>
      <c r="I10" s="110"/>
      <c r="J10" s="19" t="s">
        <v>127</v>
      </c>
      <c r="K10" s="24">
        <f ca="1">(IF(E5&gt;1,(I5/(E5+2)+K9),I5*0.2+K9))</f>
        <v>0.4</v>
      </c>
    </row>
    <row r="11" spans="1:11" s="1" customFormat="1" ht="21" customHeight="1" x14ac:dyDescent="0.35">
      <c r="A11" s="117" t="s">
        <v>137</v>
      </c>
      <c r="B11" s="118"/>
      <c r="C11" s="108">
        <v>0</v>
      </c>
      <c r="D11" s="108"/>
      <c r="E11" s="4">
        <f ca="1">((100/I5)*C11)/100</f>
        <v>0</v>
      </c>
      <c r="F11" s="110"/>
      <c r="G11" s="110"/>
      <c r="H11" s="110"/>
      <c r="I11" s="110"/>
      <c r="J11" s="19" t="s">
        <v>138</v>
      </c>
      <c r="K11" s="24">
        <f ca="1">(IF(E5&gt;1,(I5/(E5+2)+K10),0))</f>
        <v>0.60000000000000009</v>
      </c>
    </row>
    <row r="12" spans="1:11" s="1" customFormat="1" ht="21" customHeight="1" x14ac:dyDescent="0.35">
      <c r="A12" s="117" t="s">
        <v>169</v>
      </c>
      <c r="B12" s="118"/>
      <c r="C12" s="108">
        <v>0</v>
      </c>
      <c r="D12" s="108"/>
      <c r="E12" s="4">
        <f ca="1">((100/I5)*C12)/100</f>
        <v>0</v>
      </c>
      <c r="F12" s="110"/>
      <c r="G12" s="110"/>
      <c r="H12" s="110"/>
      <c r="I12" s="110"/>
      <c r="J12" s="19" t="s">
        <v>139</v>
      </c>
      <c r="K12" s="24">
        <f ca="1">(IF(E5&gt;2,(I5/(E5+2)+K11),0))</f>
        <v>0.8</v>
      </c>
    </row>
    <row r="13" spans="1:11" s="1" customFormat="1" ht="57.75" customHeight="1" x14ac:dyDescent="0.35">
      <c r="A13" s="117" t="s">
        <v>166</v>
      </c>
      <c r="B13" s="118"/>
      <c r="C13" s="108">
        <v>0</v>
      </c>
      <c r="D13" s="108"/>
      <c r="E13" s="4">
        <f ca="1">((100/(I5))*C13)/100</f>
        <v>0</v>
      </c>
      <c r="F13" s="110"/>
      <c r="G13" s="110"/>
      <c r="H13" s="110"/>
      <c r="I13" s="110"/>
      <c r="J13" s="19" t="s">
        <v>141</v>
      </c>
      <c r="K13" s="25">
        <f>(IF(E5&gt;3,(I5/(E5+2)+K12),0))</f>
        <v>0</v>
      </c>
    </row>
    <row r="14" spans="1:11" s="1" customFormat="1" ht="21" x14ac:dyDescent="0.35">
      <c r="A14" s="110" t="s">
        <v>140</v>
      </c>
      <c r="B14" s="110"/>
      <c r="C14" s="108">
        <v>0</v>
      </c>
      <c r="D14" s="108"/>
      <c r="E14" s="4">
        <f ca="1">((100/(I5))*C14)/100</f>
        <v>0</v>
      </c>
      <c r="F14" s="110"/>
      <c r="G14" s="110"/>
      <c r="H14" s="110"/>
      <c r="I14" s="110"/>
      <c r="J14" s="19" t="s">
        <v>142</v>
      </c>
      <c r="K14" s="24">
        <f>(IF(E5&gt;4,(I5/(E5+2)+K13),0))</f>
        <v>0</v>
      </c>
    </row>
    <row r="15" spans="1:11" s="1" customFormat="1" ht="21" customHeight="1" x14ac:dyDescent="0.35">
      <c r="A15" s="110" t="s">
        <v>168</v>
      </c>
      <c r="B15" s="110"/>
      <c r="C15" s="108">
        <v>0</v>
      </c>
      <c r="D15" s="108"/>
      <c r="E15" s="4">
        <f ca="1">((100/I5)*C15)/100</f>
        <v>0</v>
      </c>
      <c r="F15" s="110"/>
      <c r="G15" s="110"/>
      <c r="H15" s="110"/>
      <c r="I15" s="110"/>
      <c r="J15" s="19" t="s">
        <v>128</v>
      </c>
      <c r="K15" s="24">
        <f>(IF(E5=1,(I5/(E5+3)+K10),IF(E5=0,(I5*0.3+K10),IF(E5&gt;1,0))))</f>
        <v>0</v>
      </c>
    </row>
    <row r="16" spans="1:11" s="1" customFormat="1" ht="21.75" thickBot="1" x14ac:dyDescent="0.4">
      <c r="A16" s="110" t="s">
        <v>167</v>
      </c>
      <c r="B16" s="110"/>
      <c r="C16" s="108">
        <v>0</v>
      </c>
      <c r="D16" s="108"/>
      <c r="E16" s="4">
        <f ca="1">((100/I5)*C16)/100</f>
        <v>0</v>
      </c>
      <c r="F16" s="110"/>
      <c r="G16" s="110"/>
      <c r="H16" s="110"/>
      <c r="I16" s="110"/>
      <c r="J16" s="21" t="s">
        <v>129</v>
      </c>
      <c r="K16" s="26">
        <f ca="1">(IF(E5&gt;1.5,(I5/(E5+2)+K10+MAX(0,K11-K10)+MAX(0,K12-K11)+MAX(0,K13-K12)+MAX(0,K14-K13)+MAX(0,K15-K14)),IF(E5=1,(I5/(E5+3)+K15),IF(E5=0,I5*0.3+K15))))</f>
        <v>1</v>
      </c>
    </row>
    <row r="17" spans="1:9" s="1" customFormat="1" ht="20.25" x14ac:dyDescent="0.25">
      <c r="A17" s="110" t="s">
        <v>143</v>
      </c>
      <c r="B17" s="110"/>
      <c r="C17" s="108">
        <v>0</v>
      </c>
      <c r="D17" s="108"/>
      <c r="E17" s="4">
        <f ca="1">((100/(I5))*C17)/100</f>
        <v>0</v>
      </c>
      <c r="F17" s="110"/>
      <c r="G17" s="110"/>
      <c r="H17" s="110"/>
      <c r="I17" s="110"/>
    </row>
    <row r="18" spans="1:9" s="1" customFormat="1" ht="20.25" x14ac:dyDescent="0.25">
      <c r="A18" s="110" t="s">
        <v>144</v>
      </c>
      <c r="B18" s="110"/>
      <c r="C18" s="108">
        <v>0</v>
      </c>
      <c r="D18" s="108"/>
      <c r="E18" s="4">
        <f ca="1">((100/(I5))*C18)/100</f>
        <v>0</v>
      </c>
      <c r="F18" s="110"/>
      <c r="G18" s="110"/>
      <c r="H18" s="110"/>
      <c r="I18" s="110"/>
    </row>
    <row r="23" spans="1:9" x14ac:dyDescent="0.25">
      <c r="B23" s="177" t="s">
        <v>170</v>
      </c>
      <c r="C23" s="177"/>
      <c r="D23" s="177"/>
      <c r="E23" s="177"/>
      <c r="F23" s="177"/>
      <c r="G23" s="177"/>
    </row>
    <row r="24" spans="1:9" ht="14.45" customHeight="1" x14ac:dyDescent="0.25">
      <c r="B24" s="180" t="s">
        <v>171</v>
      </c>
      <c r="C24" s="180" t="s">
        <v>172</v>
      </c>
      <c r="D24" s="183" t="s">
        <v>173</v>
      </c>
      <c r="E24" s="184" t="s">
        <v>174</v>
      </c>
      <c r="F24" s="181" t="s">
        <v>175</v>
      </c>
      <c r="G24" s="180" t="s">
        <v>176</v>
      </c>
    </row>
    <row r="25" spans="1:9" x14ac:dyDescent="0.25">
      <c r="B25" s="180"/>
      <c r="C25" s="180"/>
      <c r="D25" s="183"/>
      <c r="E25" s="184"/>
      <c r="F25" s="181"/>
      <c r="G25" s="180"/>
    </row>
    <row r="26" spans="1:9" x14ac:dyDescent="0.25">
      <c r="B26" s="36" t="s">
        <v>177</v>
      </c>
      <c r="C26" s="37">
        <v>10</v>
      </c>
      <c r="D26" s="37">
        <v>1</v>
      </c>
      <c r="E26" s="38"/>
      <c r="F26" s="39">
        <f>((E26/D26)*0.05)*100</f>
        <v>0</v>
      </c>
      <c r="G26" s="39">
        <f t="shared" ref="G26:G37" si="0">((E26/D26)*(C26/100))*100</f>
        <v>0</v>
      </c>
    </row>
    <row r="27" spans="1:9" x14ac:dyDescent="0.25">
      <c r="B27" s="36" t="s">
        <v>178</v>
      </c>
      <c r="C27" s="38">
        <v>10</v>
      </c>
      <c r="D27" s="38">
        <v>1</v>
      </c>
      <c r="E27" s="38"/>
      <c r="F27" s="39">
        <f>((E27/D27)*0.05)*100</f>
        <v>0</v>
      </c>
      <c r="G27" s="39">
        <f t="shared" si="0"/>
        <v>0</v>
      </c>
    </row>
    <row r="28" spans="1:9" x14ac:dyDescent="0.25">
      <c r="B28" s="36" t="s">
        <v>179</v>
      </c>
      <c r="C28" s="38">
        <v>15</v>
      </c>
      <c r="D28" s="38">
        <v>1</v>
      </c>
      <c r="E28" s="38"/>
      <c r="F28" s="39">
        <f>((E28/D28)*0.15)*100</f>
        <v>0</v>
      </c>
      <c r="G28" s="39">
        <f t="shared" si="0"/>
        <v>0</v>
      </c>
    </row>
    <row r="29" spans="1:9" x14ac:dyDescent="0.25">
      <c r="B29" s="40" t="s">
        <v>180</v>
      </c>
      <c r="C29" s="38">
        <v>25</v>
      </c>
      <c r="D29" s="38">
        <v>40</v>
      </c>
      <c r="E29" s="38"/>
      <c r="F29" s="39">
        <f>((E29/D29)*0.25)*100</f>
        <v>0</v>
      </c>
      <c r="G29" s="39">
        <f t="shared" si="0"/>
        <v>0</v>
      </c>
    </row>
    <row r="30" spans="1:9" x14ac:dyDescent="0.25">
      <c r="B30" s="40" t="s">
        <v>181</v>
      </c>
      <c r="C30" s="38">
        <v>5</v>
      </c>
      <c r="D30" s="38">
        <v>39</v>
      </c>
      <c r="E30" s="38"/>
      <c r="F30" s="39">
        <f>((E30/D30)*0.05)*100</f>
        <v>0</v>
      </c>
      <c r="G30" s="39">
        <f t="shared" si="0"/>
        <v>0</v>
      </c>
    </row>
    <row r="31" spans="1:9" ht="30" x14ac:dyDescent="0.25">
      <c r="B31" s="40" t="s">
        <v>182</v>
      </c>
      <c r="C31" s="38">
        <v>2.5</v>
      </c>
      <c r="D31" s="38">
        <v>39</v>
      </c>
      <c r="E31" s="38"/>
      <c r="F31" s="39">
        <f>((E31/D31)*0.025)*100</f>
        <v>0</v>
      </c>
      <c r="G31" s="39">
        <f t="shared" si="0"/>
        <v>0</v>
      </c>
    </row>
    <row r="32" spans="1:9" ht="30" x14ac:dyDescent="0.25">
      <c r="B32" s="40" t="s">
        <v>183</v>
      </c>
      <c r="C32" s="38">
        <v>2.5</v>
      </c>
      <c r="D32" s="38">
        <v>39</v>
      </c>
      <c r="E32" s="38"/>
      <c r="F32" s="39">
        <f>((E32/D32)*0.025)*100</f>
        <v>0</v>
      </c>
      <c r="G32" s="39">
        <f t="shared" si="0"/>
        <v>0</v>
      </c>
    </row>
    <row r="33" spans="1:7" ht="45" x14ac:dyDescent="0.25">
      <c r="B33" s="41" t="s">
        <v>184</v>
      </c>
      <c r="C33" s="38">
        <v>5</v>
      </c>
      <c r="D33" s="38">
        <v>39</v>
      </c>
      <c r="E33" s="38"/>
      <c r="F33" s="39">
        <f>((E33/D33)*0.05)*100</f>
        <v>0</v>
      </c>
      <c r="G33" s="39">
        <f t="shared" si="0"/>
        <v>0</v>
      </c>
    </row>
    <row r="34" spans="1:7" ht="30" x14ac:dyDescent="0.25">
      <c r="B34" s="41" t="s">
        <v>185</v>
      </c>
      <c r="C34" s="38">
        <v>5</v>
      </c>
      <c r="D34" s="38">
        <v>39</v>
      </c>
      <c r="E34" s="38"/>
      <c r="F34" s="39">
        <f>((E34/D34)*0.1)*100</f>
        <v>0</v>
      </c>
      <c r="G34" s="39">
        <f t="shared" si="0"/>
        <v>0</v>
      </c>
    </row>
    <row r="35" spans="1:7" ht="30" x14ac:dyDescent="0.25">
      <c r="B35" s="41" t="s">
        <v>186</v>
      </c>
      <c r="C35" s="38">
        <v>5</v>
      </c>
      <c r="D35" s="38">
        <v>39</v>
      </c>
      <c r="E35" s="38"/>
      <c r="F35" s="39">
        <f>((E35/D35)*0.05)*100</f>
        <v>0</v>
      </c>
      <c r="G35" s="39">
        <f t="shared" si="0"/>
        <v>0</v>
      </c>
    </row>
    <row r="36" spans="1:7" ht="60" x14ac:dyDescent="0.25">
      <c r="B36" s="41" t="s">
        <v>187</v>
      </c>
      <c r="C36" s="38">
        <v>10</v>
      </c>
      <c r="D36" s="38">
        <v>39</v>
      </c>
      <c r="E36" s="38"/>
      <c r="F36" s="39">
        <f>((E36/D36)*0.1)*100</f>
        <v>0</v>
      </c>
      <c r="G36" s="39">
        <f t="shared" si="0"/>
        <v>0</v>
      </c>
    </row>
    <row r="37" spans="1:7" ht="45" x14ac:dyDescent="0.25">
      <c r="B37" s="41" t="s">
        <v>188</v>
      </c>
      <c r="C37" s="38">
        <v>5</v>
      </c>
      <c r="D37" s="38">
        <v>39</v>
      </c>
      <c r="E37" s="38"/>
      <c r="F37" s="39">
        <f>((E37/D37)*0.1)*100</f>
        <v>0</v>
      </c>
      <c r="G37" s="39">
        <f t="shared" si="0"/>
        <v>0</v>
      </c>
    </row>
    <row r="38" spans="1:7" ht="15.75" x14ac:dyDescent="0.25">
      <c r="B38" s="42" t="s">
        <v>189</v>
      </c>
      <c r="C38" s="43">
        <f>SUM(C26:C37)</f>
        <v>100</v>
      </c>
      <c r="D38" s="42"/>
      <c r="E38" s="42"/>
      <c r="F38" s="43">
        <f>SUM(F26:F37)</f>
        <v>0</v>
      </c>
      <c r="G38" s="43">
        <f>SUM(G26:G37)</f>
        <v>0</v>
      </c>
    </row>
    <row r="39" spans="1:7" x14ac:dyDescent="0.25">
      <c r="B39" s="181" t="s">
        <v>190</v>
      </c>
      <c r="C39" s="181"/>
      <c r="D39" s="181"/>
      <c r="E39" s="181"/>
      <c r="F39" s="181"/>
      <c r="G39" s="181"/>
    </row>
    <row r="40" spans="1:7" x14ac:dyDescent="0.25">
      <c r="B40" s="182" t="s">
        <v>191</v>
      </c>
      <c r="C40" s="182"/>
      <c r="D40" s="182"/>
      <c r="E40" s="182" t="s">
        <v>192</v>
      </c>
      <c r="F40" s="182"/>
      <c r="G40" s="182"/>
    </row>
    <row r="41" spans="1:7" x14ac:dyDescent="0.25">
      <c r="B41" s="178" t="s">
        <v>193</v>
      </c>
      <c r="C41" s="178"/>
      <c r="D41" s="178"/>
      <c r="E41" s="178" t="s">
        <v>194</v>
      </c>
      <c r="F41" s="178"/>
      <c r="G41" s="178"/>
    </row>
    <row r="42" spans="1:7" x14ac:dyDescent="0.25">
      <c r="B42" s="178" t="s">
        <v>195</v>
      </c>
      <c r="C42" s="178"/>
      <c r="D42" s="178"/>
      <c r="E42" s="178" t="s">
        <v>196</v>
      </c>
      <c r="F42" s="178"/>
      <c r="G42" s="178"/>
    </row>
    <row r="43" spans="1:7" x14ac:dyDescent="0.25">
      <c r="B43" s="179" t="s">
        <v>197</v>
      </c>
      <c r="C43" s="179"/>
      <c r="D43" s="179"/>
      <c r="E43" s="179" t="s">
        <v>198</v>
      </c>
      <c r="F43" s="179"/>
      <c r="G43" s="179"/>
    </row>
    <row r="45" spans="1:7" ht="15.75" thickBot="1" x14ac:dyDescent="0.3"/>
    <row r="46" spans="1:7" ht="17.25" thickTop="1" thickBot="1" x14ac:dyDescent="0.3">
      <c r="A46" s="44" t="s">
        <v>199</v>
      </c>
      <c r="B46" s="44" t="s">
        <v>171</v>
      </c>
      <c r="C46" s="45" t="s">
        <v>200</v>
      </c>
      <c r="D46" s="45" t="s">
        <v>201</v>
      </c>
      <c r="E46" s="45" t="s">
        <v>202</v>
      </c>
    </row>
    <row r="47" spans="1:7" ht="31.5" thickTop="1" thickBot="1" x14ac:dyDescent="0.3">
      <c r="A47" s="46">
        <v>1</v>
      </c>
      <c r="B47" s="47" t="s">
        <v>203</v>
      </c>
      <c r="C47" s="48">
        <v>0</v>
      </c>
      <c r="D47" s="49">
        <v>0.1</v>
      </c>
      <c r="E47" s="48">
        <v>0.1</v>
      </c>
    </row>
    <row r="48" spans="1:7" ht="31.5" thickTop="1" thickBot="1" x14ac:dyDescent="0.3">
      <c r="A48" s="46">
        <v>2</v>
      </c>
      <c r="B48" s="47" t="s">
        <v>204</v>
      </c>
      <c r="C48" s="48" t="s">
        <v>205</v>
      </c>
      <c r="D48" s="49" t="s">
        <v>206</v>
      </c>
      <c r="E48" s="48">
        <v>0.3</v>
      </c>
    </row>
    <row r="49" spans="1:5" ht="61.5" thickTop="1" thickBot="1" x14ac:dyDescent="0.3">
      <c r="A49" s="46">
        <v>3</v>
      </c>
      <c r="B49" s="47" t="s">
        <v>207</v>
      </c>
      <c r="C49" s="48" t="s">
        <v>208</v>
      </c>
      <c r="D49" s="49" t="s">
        <v>209</v>
      </c>
      <c r="E49" s="48">
        <v>0.45</v>
      </c>
    </row>
    <row r="50" spans="1:5" ht="76.5" thickTop="1" thickBot="1" x14ac:dyDescent="0.3">
      <c r="A50" s="46">
        <v>4</v>
      </c>
      <c r="B50" s="47" t="s">
        <v>210</v>
      </c>
      <c r="C50" s="48" t="s">
        <v>211</v>
      </c>
      <c r="D50" s="49" t="s">
        <v>212</v>
      </c>
      <c r="E50" s="48">
        <v>0.7</v>
      </c>
    </row>
    <row r="51" spans="1:5" ht="76.5" thickTop="1" thickBot="1" x14ac:dyDescent="0.3">
      <c r="A51" s="46">
        <v>5</v>
      </c>
      <c r="B51" s="47" t="s">
        <v>213</v>
      </c>
      <c r="C51" s="48" t="s">
        <v>214</v>
      </c>
      <c r="D51" s="49" t="s">
        <v>215</v>
      </c>
      <c r="E51" s="48">
        <v>0.75</v>
      </c>
    </row>
    <row r="52" spans="1:5" ht="76.5" thickTop="1" thickBot="1" x14ac:dyDescent="0.3">
      <c r="A52" s="46">
        <v>6</v>
      </c>
      <c r="B52" s="47" t="s">
        <v>216</v>
      </c>
      <c r="C52" s="48" t="s">
        <v>217</v>
      </c>
      <c r="D52" s="49" t="s">
        <v>218</v>
      </c>
      <c r="E52" s="48">
        <v>0.8</v>
      </c>
    </row>
    <row r="53" spans="1:5" ht="121.5" thickTop="1" thickBot="1" x14ac:dyDescent="0.3">
      <c r="A53" s="46">
        <v>7</v>
      </c>
      <c r="B53" s="47" t="s">
        <v>219</v>
      </c>
      <c r="C53" s="48" t="s">
        <v>220</v>
      </c>
      <c r="D53" s="49" t="s">
        <v>221</v>
      </c>
      <c r="E53" s="48">
        <v>0.85</v>
      </c>
    </row>
    <row r="54" spans="1:5" ht="211.5" thickTop="1" thickBot="1" x14ac:dyDescent="0.3">
      <c r="A54" s="46">
        <v>8</v>
      </c>
      <c r="B54" s="47" t="s">
        <v>222</v>
      </c>
      <c r="C54" s="48" t="s">
        <v>223</v>
      </c>
      <c r="D54" s="49" t="s">
        <v>224</v>
      </c>
      <c r="E54" s="48">
        <v>0.95</v>
      </c>
    </row>
    <row r="55" spans="1:5" ht="91.5" thickTop="1" thickBot="1" x14ac:dyDescent="0.3">
      <c r="A55" s="46">
        <v>9</v>
      </c>
      <c r="B55" s="47" t="s">
        <v>225</v>
      </c>
      <c r="C55" s="48" t="s">
        <v>226</v>
      </c>
      <c r="D55" s="49" t="s">
        <v>227</v>
      </c>
      <c r="E55" s="48">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8">
        <v>1</v>
      </c>
      <c r="C2" s="55" t="s">
        <v>246</v>
      </c>
    </row>
    <row r="3" spans="2:3" x14ac:dyDescent="0.25">
      <c r="B3" s="38">
        <v>2</v>
      </c>
      <c r="C3" s="56" t="s">
        <v>247</v>
      </c>
    </row>
    <row r="4" spans="2:3" x14ac:dyDescent="0.25">
      <c r="B4" s="38">
        <v>3</v>
      </c>
      <c r="C4" s="38" t="s">
        <v>248</v>
      </c>
    </row>
    <row r="5" spans="2:3" x14ac:dyDescent="0.25">
      <c r="B5" s="38">
        <v>4</v>
      </c>
      <c r="C5" s="56" t="s">
        <v>249</v>
      </c>
    </row>
    <row r="6" spans="2:3" x14ac:dyDescent="0.25">
      <c r="B6" s="38">
        <v>5</v>
      </c>
      <c r="C6" s="38" t="s">
        <v>250</v>
      </c>
    </row>
    <row r="7" spans="2:3" ht="30" x14ac:dyDescent="0.25">
      <c r="B7" s="38">
        <v>6</v>
      </c>
      <c r="C7" s="56" t="s">
        <v>251</v>
      </c>
    </row>
    <row r="8" spans="2:3" ht="75" x14ac:dyDescent="0.25">
      <c r="B8" s="38">
        <v>7</v>
      </c>
      <c r="C8" s="56" t="s">
        <v>252</v>
      </c>
    </row>
    <row r="9" spans="2:3" x14ac:dyDescent="0.25">
      <c r="B9" s="38">
        <v>8</v>
      </c>
      <c r="C9" s="38" t="s">
        <v>253</v>
      </c>
    </row>
    <row r="10" spans="2:3" x14ac:dyDescent="0.25">
      <c r="B10" s="38">
        <v>9</v>
      </c>
      <c r="C10" s="38" t="s">
        <v>254</v>
      </c>
    </row>
    <row r="11" spans="2:3" x14ac:dyDescent="0.25">
      <c r="B11" s="38">
        <v>10</v>
      </c>
      <c r="C11" s="38" t="s">
        <v>255</v>
      </c>
    </row>
    <row r="12" spans="2:3" x14ac:dyDescent="0.25">
      <c r="B12" s="38">
        <v>11</v>
      </c>
      <c r="C12" s="38" t="s">
        <v>256</v>
      </c>
    </row>
    <row r="13" spans="2:3" x14ac:dyDescent="0.25">
      <c r="B13" s="38">
        <v>12</v>
      </c>
      <c r="C13" s="38" t="s">
        <v>257</v>
      </c>
    </row>
    <row r="14" spans="2:3" x14ac:dyDescent="0.25">
      <c r="B14" s="38">
        <v>13</v>
      </c>
      <c r="C14" s="38" t="s">
        <v>258</v>
      </c>
    </row>
    <row r="15" spans="2:3" x14ac:dyDescent="0.25">
      <c r="B15" s="38">
        <v>14</v>
      </c>
      <c r="C15" s="38" t="s">
        <v>248</v>
      </c>
    </row>
    <row r="16" spans="2:3" x14ac:dyDescent="0.25">
      <c r="B16" s="38">
        <v>15</v>
      </c>
      <c r="C16" s="38" t="s">
        <v>240</v>
      </c>
    </row>
    <row r="17" spans="2:3" x14ac:dyDescent="0.25">
      <c r="B17" s="57">
        <v>16</v>
      </c>
      <c r="C17" s="58" t="s">
        <v>259</v>
      </c>
    </row>
    <row r="18" spans="2:3" x14ac:dyDescent="0.25">
      <c r="B18" s="59">
        <v>17</v>
      </c>
      <c r="C18" s="58" t="s">
        <v>260</v>
      </c>
    </row>
    <row r="19" spans="2:3" x14ac:dyDescent="0.25">
      <c r="B19" s="60">
        <v>18</v>
      </c>
      <c r="C19" s="38" t="s">
        <v>261</v>
      </c>
    </row>
    <row r="20" spans="2:3" x14ac:dyDescent="0.25">
      <c r="B20" s="59">
        <v>19</v>
      </c>
      <c r="C20" s="38" t="s">
        <v>262</v>
      </c>
    </row>
    <row r="21" spans="2:3" x14ac:dyDescent="0.25">
      <c r="B21" s="38">
        <v>20</v>
      </c>
      <c r="C21" s="38" t="s">
        <v>263</v>
      </c>
    </row>
    <row r="22" spans="2:3" x14ac:dyDescent="0.25">
      <c r="B22" s="59">
        <v>21</v>
      </c>
      <c r="C22" s="38" t="s">
        <v>261</v>
      </c>
    </row>
    <row r="23" spans="2:3" s="62" customFormat="1" ht="30" x14ac:dyDescent="0.25">
      <c r="B23" s="61">
        <v>22</v>
      </c>
      <c r="C23" s="55" t="s">
        <v>264</v>
      </c>
    </row>
    <row r="24" spans="2:3" s="62" customFormat="1" ht="30" x14ac:dyDescent="0.25">
      <c r="B24" s="63">
        <v>23</v>
      </c>
      <c r="C24" s="55" t="s">
        <v>265</v>
      </c>
    </row>
    <row r="25" spans="2:3" x14ac:dyDescent="0.25">
      <c r="B25" s="38">
        <v>24</v>
      </c>
      <c r="C25" s="38" t="s">
        <v>266</v>
      </c>
    </row>
    <row r="26" spans="2:3" x14ac:dyDescent="0.25">
      <c r="B26" s="59">
        <v>25</v>
      </c>
      <c r="C26" s="38" t="s">
        <v>267</v>
      </c>
    </row>
    <row r="27" spans="2:3" x14ac:dyDescent="0.25">
      <c r="B27" s="63">
        <v>26</v>
      </c>
      <c r="C27" s="38" t="s">
        <v>268</v>
      </c>
    </row>
    <row r="28" spans="2:3" x14ac:dyDescent="0.25">
      <c r="B28" s="59">
        <v>27</v>
      </c>
      <c r="C28" s="38" t="s">
        <v>269</v>
      </c>
    </row>
    <row r="29" spans="2:3" ht="60" x14ac:dyDescent="0.25">
      <c r="B29" s="64">
        <v>28</v>
      </c>
      <c r="C29" s="56" t="s">
        <v>270</v>
      </c>
    </row>
    <row r="30" spans="2:3" x14ac:dyDescent="0.25">
      <c r="B30" s="63">
        <v>29</v>
      </c>
      <c r="C30" s="38" t="s">
        <v>271</v>
      </c>
    </row>
    <row r="31" spans="2:3" ht="30" x14ac:dyDescent="0.25">
      <c r="B31" s="63">
        <v>30</v>
      </c>
      <c r="C31" s="56" t="s">
        <v>299</v>
      </c>
    </row>
    <row r="32" spans="2:3" x14ac:dyDescent="0.25">
      <c r="B32" s="63">
        <v>31</v>
      </c>
      <c r="C32" s="38" t="s">
        <v>300</v>
      </c>
    </row>
    <row r="33" spans="2:3" x14ac:dyDescent="0.25">
      <c r="B33" s="63">
        <v>32</v>
      </c>
      <c r="C33" s="38" t="s">
        <v>301</v>
      </c>
    </row>
    <row r="34" spans="2:3" ht="30" x14ac:dyDescent="0.25">
      <c r="B34" s="63">
        <v>33</v>
      </c>
      <c r="C34" s="58" t="s">
        <v>302</v>
      </c>
    </row>
    <row r="35" spans="2:3" x14ac:dyDescent="0.25">
      <c r="B35" s="63">
        <v>34</v>
      </c>
      <c r="C35" s="38"/>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40625" defaultRowHeight="15" x14ac:dyDescent="0.25"/>
  <cols>
    <col min="1" max="1" width="9.140625" style="65"/>
    <col min="2" max="2" width="12.28515625" style="65" customWidth="1"/>
    <col min="3" max="16384" width="9.140625" style="65"/>
  </cols>
  <sheetData>
    <row r="2" spans="1:12" x14ac:dyDescent="0.25">
      <c r="B2" s="66" t="s">
        <v>272</v>
      </c>
      <c r="C2" s="185"/>
      <c r="D2" s="185"/>
    </row>
    <row r="3" spans="1:12" x14ac:dyDescent="0.25">
      <c r="D3" s="67"/>
      <c r="E3" s="67"/>
      <c r="F3" s="67"/>
      <c r="G3" s="67"/>
      <c r="H3" s="67"/>
      <c r="I3" s="67"/>
    </row>
    <row r="4" spans="1:12" x14ac:dyDescent="0.25">
      <c r="A4" s="66" t="s">
        <v>273</v>
      </c>
      <c r="B4" s="54" t="s">
        <v>274</v>
      </c>
      <c r="C4" s="186" t="s">
        <v>275</v>
      </c>
      <c r="D4" s="186"/>
      <c r="E4" s="186"/>
      <c r="F4" s="54"/>
      <c r="G4" s="187" t="s">
        <v>276</v>
      </c>
      <c r="H4" s="187"/>
      <c r="I4" s="187"/>
      <c r="J4" s="188" t="s">
        <v>277</v>
      </c>
      <c r="K4" s="188"/>
      <c r="L4" s="188"/>
    </row>
    <row r="5" spans="1:12" x14ac:dyDescent="0.25">
      <c r="A5" s="66"/>
      <c r="B5" s="54"/>
      <c r="C5" s="54" t="s">
        <v>278</v>
      </c>
      <c r="D5" s="54" t="s">
        <v>279</v>
      </c>
      <c r="E5" s="54" t="s">
        <v>280</v>
      </c>
      <c r="F5" s="54"/>
      <c r="G5" s="54" t="s">
        <v>278</v>
      </c>
      <c r="H5" s="54" t="s">
        <v>279</v>
      </c>
      <c r="I5" s="54" t="s">
        <v>280</v>
      </c>
      <c r="J5" s="54" t="s">
        <v>278</v>
      </c>
      <c r="K5" s="54" t="s">
        <v>279</v>
      </c>
      <c r="L5" s="54" t="s">
        <v>280</v>
      </c>
    </row>
    <row r="6" spans="1:12" x14ac:dyDescent="0.25">
      <c r="B6" s="53" t="s">
        <v>281</v>
      </c>
      <c r="C6" s="53"/>
      <c r="D6" s="53"/>
      <c r="E6" s="53">
        <f>C6*D6</f>
        <v>0</v>
      </c>
      <c r="F6" s="53" t="s">
        <v>282</v>
      </c>
      <c r="G6" s="53"/>
      <c r="H6" s="53"/>
      <c r="I6" s="53">
        <f>G6*H6</f>
        <v>0</v>
      </c>
      <c r="J6" s="53"/>
      <c r="K6" s="53"/>
      <c r="L6" s="53">
        <f>J6*K6</f>
        <v>0</v>
      </c>
    </row>
    <row r="7" spans="1:12" x14ac:dyDescent="0.25">
      <c r="B7" s="53"/>
      <c r="C7" s="53"/>
      <c r="D7" s="53"/>
      <c r="E7" s="53">
        <f t="shared" ref="E7:E41" si="0">C7*D7</f>
        <v>0</v>
      </c>
      <c r="F7" s="53" t="s">
        <v>282</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283</v>
      </c>
      <c r="G9" s="53"/>
      <c r="H9" s="53"/>
      <c r="I9" s="53">
        <f t="shared" si="1"/>
        <v>0</v>
      </c>
      <c r="J9" s="53"/>
      <c r="K9" s="53"/>
      <c r="L9" s="53">
        <f t="shared" si="2"/>
        <v>0</v>
      </c>
    </row>
    <row r="10" spans="1:12" x14ac:dyDescent="0.25">
      <c r="B10" s="53" t="s">
        <v>284</v>
      </c>
      <c r="C10" s="53"/>
      <c r="D10" s="53"/>
      <c r="E10" s="53">
        <f t="shared" si="0"/>
        <v>0</v>
      </c>
      <c r="F10" s="53" t="s">
        <v>283</v>
      </c>
      <c r="G10" s="53"/>
      <c r="H10" s="53"/>
      <c r="I10" s="53">
        <f t="shared" si="1"/>
        <v>0</v>
      </c>
      <c r="J10" s="53"/>
      <c r="K10" s="53"/>
      <c r="L10" s="53">
        <f t="shared" si="2"/>
        <v>0</v>
      </c>
    </row>
    <row r="11" spans="1:12" x14ac:dyDescent="0.25">
      <c r="B11" s="53"/>
      <c r="C11" s="53"/>
      <c r="D11" s="53"/>
      <c r="E11" s="53">
        <f t="shared" si="0"/>
        <v>0</v>
      </c>
      <c r="F11" s="53" t="s">
        <v>285</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286</v>
      </c>
      <c r="C14" s="53"/>
      <c r="D14" s="53"/>
      <c r="E14" s="53">
        <f t="shared" si="0"/>
        <v>0</v>
      </c>
      <c r="F14" s="53" t="s">
        <v>283</v>
      </c>
      <c r="G14" s="53"/>
      <c r="H14" s="53"/>
      <c r="I14" s="53">
        <f t="shared" si="1"/>
        <v>0</v>
      </c>
      <c r="J14" s="53"/>
      <c r="K14" s="53"/>
      <c r="L14" s="53">
        <f t="shared" si="2"/>
        <v>0</v>
      </c>
    </row>
    <row r="15" spans="1:12" x14ac:dyDescent="0.25">
      <c r="B15" s="53"/>
      <c r="C15" s="53"/>
      <c r="D15" s="53"/>
      <c r="E15" s="53">
        <f t="shared" si="0"/>
        <v>0</v>
      </c>
      <c r="F15" s="53" t="s">
        <v>285</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287</v>
      </c>
      <c r="C18" s="53"/>
      <c r="D18" s="53"/>
      <c r="E18" s="53">
        <f t="shared" si="0"/>
        <v>0</v>
      </c>
      <c r="F18" s="53" t="s">
        <v>283</v>
      </c>
      <c r="G18" s="53"/>
      <c r="H18" s="53"/>
      <c r="I18" s="53">
        <f t="shared" si="1"/>
        <v>0</v>
      </c>
      <c r="J18" s="53"/>
      <c r="K18" s="53"/>
      <c r="L18" s="53">
        <f t="shared" si="2"/>
        <v>0</v>
      </c>
    </row>
    <row r="19" spans="2:12" x14ac:dyDescent="0.25">
      <c r="B19" s="53"/>
      <c r="C19" s="53"/>
      <c r="D19" s="53"/>
      <c r="E19" s="53">
        <f t="shared" si="0"/>
        <v>0</v>
      </c>
      <c r="F19" s="53" t="s">
        <v>285</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288</v>
      </c>
      <c r="C21" s="53"/>
      <c r="D21" s="53"/>
      <c r="E21" s="53">
        <f t="shared" si="0"/>
        <v>0</v>
      </c>
      <c r="F21" s="53" t="s">
        <v>283</v>
      </c>
      <c r="G21" s="53"/>
      <c r="H21" s="53"/>
      <c r="I21" s="53">
        <f t="shared" si="1"/>
        <v>0</v>
      </c>
      <c r="J21" s="53"/>
      <c r="K21" s="53"/>
      <c r="L21" s="53">
        <f t="shared" si="2"/>
        <v>0</v>
      </c>
    </row>
    <row r="22" spans="2:12" x14ac:dyDescent="0.25">
      <c r="B22" s="53"/>
      <c r="C22" s="53"/>
      <c r="D22" s="53"/>
      <c r="E22" s="53">
        <f t="shared" si="0"/>
        <v>0</v>
      </c>
      <c r="F22" s="53" t="s">
        <v>285</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289</v>
      </c>
      <c r="C24" s="53"/>
      <c r="D24" s="53"/>
      <c r="E24" s="53">
        <f t="shared" si="0"/>
        <v>0</v>
      </c>
      <c r="F24" s="53" t="s">
        <v>290</v>
      </c>
      <c r="G24" s="53"/>
      <c r="H24" s="53"/>
      <c r="I24" s="53">
        <f t="shared" si="1"/>
        <v>0</v>
      </c>
      <c r="J24" s="53"/>
      <c r="K24" s="53"/>
      <c r="L24" s="53">
        <f t="shared" si="2"/>
        <v>0</v>
      </c>
    </row>
    <row r="25" spans="2:12" x14ac:dyDescent="0.25">
      <c r="B25" s="53"/>
      <c r="C25" s="53"/>
      <c r="D25" s="53"/>
      <c r="E25" s="53">
        <f t="shared" si="0"/>
        <v>0</v>
      </c>
      <c r="F25" s="53" t="s">
        <v>290</v>
      </c>
      <c r="G25" s="53"/>
      <c r="H25" s="53"/>
      <c r="I25" s="53">
        <f t="shared" si="1"/>
        <v>0</v>
      </c>
      <c r="J25" s="53"/>
      <c r="K25" s="53"/>
      <c r="L25" s="53">
        <f t="shared" si="2"/>
        <v>0</v>
      </c>
    </row>
    <row r="26" spans="2:12" x14ac:dyDescent="0.25">
      <c r="B26" s="53"/>
      <c r="C26" s="53"/>
      <c r="D26" s="53"/>
      <c r="E26" s="53">
        <f t="shared" si="0"/>
        <v>0</v>
      </c>
      <c r="F26" s="53" t="s">
        <v>290</v>
      </c>
      <c r="G26" s="53"/>
      <c r="H26" s="53"/>
      <c r="I26" s="53">
        <f t="shared" si="1"/>
        <v>0</v>
      </c>
      <c r="J26" s="53"/>
      <c r="K26" s="53"/>
      <c r="L26" s="53">
        <f t="shared" si="2"/>
        <v>0</v>
      </c>
    </row>
    <row r="27" spans="2:12" x14ac:dyDescent="0.25">
      <c r="B27" s="53"/>
      <c r="C27" s="53"/>
      <c r="D27" s="53"/>
      <c r="E27" s="53">
        <f t="shared" si="0"/>
        <v>0</v>
      </c>
      <c r="F27" s="53" t="s">
        <v>290</v>
      </c>
      <c r="G27" s="53"/>
      <c r="H27" s="53"/>
      <c r="I27" s="53">
        <f t="shared" si="1"/>
        <v>0</v>
      </c>
      <c r="J27" s="53"/>
      <c r="K27" s="53"/>
      <c r="L27" s="53">
        <f t="shared" si="2"/>
        <v>0</v>
      </c>
    </row>
    <row r="28" spans="2:12" x14ac:dyDescent="0.25">
      <c r="B28" s="53" t="s">
        <v>291</v>
      </c>
      <c r="C28" s="53"/>
      <c r="D28" s="53"/>
      <c r="E28" s="53">
        <f t="shared" si="0"/>
        <v>0</v>
      </c>
      <c r="F28" s="53" t="s">
        <v>290</v>
      </c>
      <c r="G28" s="53"/>
      <c r="H28" s="53"/>
      <c r="I28" s="53">
        <f t="shared" si="1"/>
        <v>0</v>
      </c>
      <c r="J28" s="53"/>
      <c r="K28" s="53"/>
      <c r="L28" s="53">
        <f t="shared" si="2"/>
        <v>0</v>
      </c>
    </row>
    <row r="29" spans="2:12" x14ac:dyDescent="0.25">
      <c r="B29" s="53" t="s">
        <v>292</v>
      </c>
      <c r="C29" s="53"/>
      <c r="D29" s="53"/>
      <c r="E29" s="53">
        <f t="shared" si="0"/>
        <v>0</v>
      </c>
      <c r="F29" s="53" t="s">
        <v>290</v>
      </c>
      <c r="G29" s="53"/>
      <c r="H29" s="53"/>
      <c r="I29" s="53">
        <f t="shared" si="1"/>
        <v>0</v>
      </c>
      <c r="J29" s="53"/>
      <c r="K29" s="53"/>
      <c r="L29" s="53">
        <f t="shared" si="2"/>
        <v>0</v>
      </c>
    </row>
    <row r="30" spans="2:12" x14ac:dyDescent="0.25">
      <c r="B30" s="53" t="s">
        <v>293</v>
      </c>
      <c r="C30" s="53"/>
      <c r="D30" s="53"/>
      <c r="E30" s="53">
        <f t="shared" si="0"/>
        <v>0</v>
      </c>
      <c r="F30" s="53"/>
      <c r="G30" s="53"/>
      <c r="H30" s="53"/>
      <c r="I30" s="53">
        <f t="shared" si="1"/>
        <v>0</v>
      </c>
      <c r="J30" s="53"/>
      <c r="K30" s="53"/>
      <c r="L30" s="53">
        <f t="shared" si="2"/>
        <v>0</v>
      </c>
    </row>
    <row r="31" spans="2:12" x14ac:dyDescent="0.25">
      <c r="B31" s="53"/>
      <c r="C31" s="53"/>
      <c r="D31" s="53"/>
      <c r="E31" s="53">
        <f t="shared" si="0"/>
        <v>0</v>
      </c>
      <c r="F31" s="53"/>
      <c r="G31" s="53"/>
      <c r="H31" s="53"/>
      <c r="I31" s="53">
        <f t="shared" si="1"/>
        <v>0</v>
      </c>
      <c r="J31" s="53"/>
      <c r="K31" s="53"/>
      <c r="L31" s="53">
        <f t="shared" si="2"/>
        <v>0</v>
      </c>
    </row>
    <row r="32" spans="2:12" x14ac:dyDescent="0.25">
      <c r="B32" s="53"/>
      <c r="C32" s="53"/>
      <c r="D32" s="53"/>
      <c r="E32" s="53">
        <f t="shared" si="0"/>
        <v>0</v>
      </c>
      <c r="F32" s="53"/>
      <c r="G32" s="53"/>
      <c r="H32" s="53"/>
      <c r="I32" s="53">
        <f t="shared" si="1"/>
        <v>0</v>
      </c>
      <c r="J32" s="53"/>
      <c r="K32" s="53"/>
      <c r="L32" s="53">
        <f t="shared" si="2"/>
        <v>0</v>
      </c>
    </row>
    <row r="33" spans="2:12" x14ac:dyDescent="0.25">
      <c r="B33" s="53" t="s">
        <v>294</v>
      </c>
      <c r="C33" s="53"/>
      <c r="D33" s="53"/>
      <c r="E33" s="53">
        <f t="shared" si="0"/>
        <v>0</v>
      </c>
      <c r="F33" s="53"/>
      <c r="G33" s="53"/>
      <c r="H33" s="53"/>
      <c r="I33" s="53">
        <f t="shared" si="1"/>
        <v>0</v>
      </c>
      <c r="J33" s="53"/>
      <c r="K33" s="53"/>
      <c r="L33" s="53">
        <f t="shared" si="2"/>
        <v>0</v>
      </c>
    </row>
    <row r="34" spans="2:12" x14ac:dyDescent="0.25">
      <c r="B34" s="53" t="s">
        <v>295</v>
      </c>
      <c r="C34" s="53"/>
      <c r="D34" s="53"/>
      <c r="E34" s="53">
        <f t="shared" si="0"/>
        <v>0</v>
      </c>
      <c r="F34" s="53"/>
      <c r="G34" s="53"/>
      <c r="H34" s="53"/>
      <c r="I34" s="53">
        <f t="shared" si="1"/>
        <v>0</v>
      </c>
      <c r="J34" s="53"/>
      <c r="K34" s="53"/>
      <c r="L34" s="53">
        <f t="shared" si="2"/>
        <v>0</v>
      </c>
    </row>
    <row r="35" spans="2:12" x14ac:dyDescent="0.25">
      <c r="B35" s="53" t="s">
        <v>296</v>
      </c>
      <c r="C35" s="53"/>
      <c r="D35" s="53"/>
      <c r="E35" s="53">
        <f t="shared" si="0"/>
        <v>0</v>
      </c>
      <c r="F35" s="53"/>
      <c r="G35" s="53"/>
      <c r="H35" s="53"/>
      <c r="I35" s="53">
        <f t="shared" si="1"/>
        <v>0</v>
      </c>
      <c r="J35" s="53"/>
      <c r="K35" s="53"/>
      <c r="L35" s="53">
        <f t="shared" si="2"/>
        <v>0</v>
      </c>
    </row>
    <row r="36" spans="2:12" x14ac:dyDescent="0.25">
      <c r="B36" s="53" t="s">
        <v>297</v>
      </c>
      <c r="C36" s="53"/>
      <c r="D36" s="53"/>
      <c r="E36" s="53">
        <f t="shared" si="0"/>
        <v>0</v>
      </c>
      <c r="F36" s="53"/>
      <c r="G36" s="53"/>
      <c r="H36" s="53"/>
      <c r="I36" s="53">
        <f>G36*H36</f>
        <v>0</v>
      </c>
      <c r="J36" s="53"/>
      <c r="K36" s="53"/>
      <c r="L36" s="53">
        <f>J36*K36</f>
        <v>0</v>
      </c>
    </row>
    <row r="37" spans="2:12" x14ac:dyDescent="0.25">
      <c r="B37" s="53"/>
      <c r="C37" s="53"/>
      <c r="D37" s="53"/>
      <c r="E37" s="53">
        <f t="shared" si="0"/>
        <v>0</v>
      </c>
      <c r="F37" s="53"/>
      <c r="G37" s="53"/>
      <c r="H37" s="53"/>
      <c r="I37" s="53">
        <f t="shared" ref="I37:I38" si="3">G37*H37</f>
        <v>0</v>
      </c>
      <c r="J37" s="53"/>
      <c r="K37" s="53"/>
      <c r="L37" s="53">
        <f t="shared" ref="L37:L38" si="4">J37*K37</f>
        <v>0</v>
      </c>
    </row>
    <row r="38" spans="2:12" x14ac:dyDescent="0.25">
      <c r="B38" s="53" t="s">
        <v>298</v>
      </c>
      <c r="C38" s="53"/>
      <c r="D38" s="53"/>
      <c r="E38" s="53">
        <f t="shared" si="0"/>
        <v>0</v>
      </c>
      <c r="F38" s="53"/>
      <c r="G38" s="53"/>
      <c r="H38" s="53"/>
      <c r="I38" s="53">
        <f t="shared" si="3"/>
        <v>0</v>
      </c>
      <c r="J38" s="53"/>
      <c r="K38" s="53"/>
      <c r="L38" s="53">
        <f t="shared" si="4"/>
        <v>0</v>
      </c>
    </row>
    <row r="39" spans="2:12" x14ac:dyDescent="0.25">
      <c r="B39" s="53"/>
      <c r="C39" s="53"/>
      <c r="D39" s="53"/>
      <c r="E39" s="53">
        <f t="shared" si="0"/>
        <v>0</v>
      </c>
      <c r="F39" s="53"/>
      <c r="G39" s="53"/>
      <c r="H39" s="53"/>
      <c r="I39" s="53">
        <f>G39*H39</f>
        <v>0</v>
      </c>
      <c r="J39" s="53"/>
      <c r="K39" s="53"/>
      <c r="L39" s="53">
        <f>J39*K39</f>
        <v>0</v>
      </c>
    </row>
    <row r="40" spans="2:12" x14ac:dyDescent="0.25">
      <c r="B40" s="53"/>
      <c r="C40" s="53"/>
      <c r="D40" s="53"/>
      <c r="E40" s="53">
        <f t="shared" si="0"/>
        <v>0</v>
      </c>
      <c r="F40" s="53"/>
      <c r="G40" s="53"/>
      <c r="H40" s="53"/>
      <c r="I40" s="53">
        <f>G40*H40</f>
        <v>0</v>
      </c>
      <c r="J40" s="53"/>
      <c r="K40" s="53"/>
      <c r="L40" s="53">
        <f>J40*K40</f>
        <v>0</v>
      </c>
    </row>
    <row r="41" spans="2:12" x14ac:dyDescent="0.25">
      <c r="B41" s="53"/>
      <c r="C41" s="53"/>
      <c r="D41" s="53"/>
      <c r="E41" s="53">
        <f t="shared" si="0"/>
        <v>0</v>
      </c>
      <c r="F41" s="53"/>
      <c r="G41" s="53"/>
      <c r="H41" s="53"/>
      <c r="I41" s="53">
        <f>G41*H41</f>
        <v>0</v>
      </c>
      <c r="J41" s="53"/>
      <c r="K41" s="53"/>
      <c r="L41" s="53">
        <f>J41*K41</f>
        <v>0</v>
      </c>
    </row>
    <row r="42" spans="2:12" x14ac:dyDescent="0.25">
      <c r="B42" s="53" t="s">
        <v>154</v>
      </c>
      <c r="C42" s="53"/>
      <c r="D42" s="53">
        <f>E42*10.764</f>
        <v>0</v>
      </c>
      <c r="E42" s="68">
        <f>SUM(E6:E41)</f>
        <v>0</v>
      </c>
      <c r="F42" s="53"/>
      <c r="G42" s="53"/>
      <c r="H42" s="53">
        <f>I42*10.764</f>
        <v>0</v>
      </c>
      <c r="I42" s="69">
        <f>SUM(I6:I41)</f>
        <v>0</v>
      </c>
      <c r="J42" s="53"/>
      <c r="K42" s="53">
        <f>L42*10.764</f>
        <v>0</v>
      </c>
      <c r="L42" s="70">
        <f>SUM(L6:L41)</f>
        <v>0</v>
      </c>
    </row>
    <row r="44" spans="2:12" x14ac:dyDescent="0.25">
      <c r="D44" s="65">
        <f>D42+H42</f>
        <v>0</v>
      </c>
      <c r="E44" s="6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2025-08-06T12:28:08Z</cp:lastPrinted>
  <dcterms:created xsi:type="dcterms:W3CDTF">2010-11-23T11:42:48Z</dcterms:created>
  <dcterms:modified xsi:type="dcterms:W3CDTF">2025-08-06T12:28:47Z</dcterms:modified>
</cp:coreProperties>
</file>