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Aug 25\GHFL\OLD\"/>
    </mc:Choice>
  </mc:AlternateContent>
  <xr:revisionPtr revIDLastSave="0" documentId="13_ncr:1_{D8629AF7-C8EF-4909-800B-BAD712A6DC09}" xr6:coauthVersionLast="36" xr6:coauthVersionMax="36" xr10:uidLastSave="{00000000-0000-0000-0000-000000000000}"/>
  <bookViews>
    <workbookView xWindow="0" yWindow="0" windowWidth="20490" windowHeight="6825" xr2:uid="{00000000-000D-0000-FFFF-FFFF00000000}"/>
  </bookViews>
  <sheets>
    <sheet name="Report" sheetId="3" r:id="rId1"/>
    <sheet name="Construction table" sheetId="4" r:id="rId2"/>
    <sheet name="Remarks" sheetId="5" r:id="rId3"/>
    <sheet name="Area Calculation" sheetId="6" r:id="rId4"/>
  </sheets>
  <definedNames>
    <definedName name="_xlnm.Print_Area" localSheetId="0">Report!$A$1:$H$415</definedName>
  </definedNames>
  <calcPr calcId="191029"/>
</workbook>
</file>

<file path=xl/calcChain.xml><?xml version="1.0" encoding="utf-8"?>
<calcChain xmlns="http://schemas.openxmlformats.org/spreadsheetml/2006/main">
  <c r="I3" i="3" l="1"/>
  <c r="F265" i="3" l="1"/>
  <c r="F261" i="3"/>
  <c r="F258" i="3"/>
  <c r="F259" i="3"/>
  <c r="F256" i="3"/>
  <c r="F254" i="3"/>
  <c r="F251" i="3"/>
  <c r="E253" i="3"/>
  <c r="F221" i="3"/>
  <c r="F222" i="3"/>
  <c r="F223" i="3"/>
  <c r="F224" i="3"/>
  <c r="F225" i="3"/>
  <c r="F226" i="3"/>
  <c r="F227" i="3"/>
  <c r="F228" i="3"/>
  <c r="E188" i="3"/>
  <c r="E182" i="3"/>
  <c r="E181" i="3"/>
  <c r="F198" i="3"/>
  <c r="E198" i="3"/>
  <c r="F197" i="3"/>
  <c r="E197" i="3"/>
  <c r="F196" i="3"/>
  <c r="E196" i="3"/>
  <c r="F195" i="3"/>
  <c r="E195" i="3"/>
  <c r="F194" i="3"/>
  <c r="E194" i="3"/>
  <c r="F193" i="3"/>
  <c r="E193" i="3"/>
  <c r="F192" i="3"/>
  <c r="E192" i="3"/>
  <c r="F191" i="3"/>
  <c r="E191" i="3"/>
  <c r="E157" i="3"/>
  <c r="E156" i="3"/>
  <c r="I156" i="3"/>
  <c r="I152" i="3"/>
  <c r="F176" i="3" l="1"/>
  <c r="E176" i="3"/>
  <c r="F175" i="3"/>
  <c r="E175" i="3"/>
  <c r="H175" i="3" s="1"/>
  <c r="F174" i="3"/>
  <c r="E174" i="3"/>
  <c r="F173" i="3"/>
  <c r="E173" i="3"/>
  <c r="F172" i="3"/>
  <c r="E172" i="3"/>
  <c r="F171" i="3"/>
  <c r="E171" i="3"/>
  <c r="H171" i="3" s="1"/>
  <c r="F170" i="3"/>
  <c r="E170" i="3"/>
  <c r="H170" i="3" s="1"/>
  <c r="I168" i="3"/>
  <c r="F167" i="3"/>
  <c r="E167" i="3"/>
  <c r="H167" i="3" s="1"/>
  <c r="F166" i="3"/>
  <c r="E166" i="3"/>
  <c r="H166" i="3" s="1"/>
  <c r="F165" i="3"/>
  <c r="E165" i="3"/>
  <c r="H165" i="3" s="1"/>
  <c r="F164" i="3"/>
  <c r="E164" i="3"/>
  <c r="F163" i="3"/>
  <c r="E163" i="3"/>
  <c r="F162" i="3"/>
  <c r="E162" i="3"/>
  <c r="H162" i="3" s="1"/>
  <c r="J162" i="3" s="1"/>
  <c r="F161" i="3"/>
  <c r="E161" i="3"/>
  <c r="H161" i="3" s="1"/>
  <c r="F160" i="3"/>
  <c r="E160" i="3"/>
  <c r="H160" i="3" s="1"/>
  <c r="I159" i="3"/>
  <c r="F158" i="3"/>
  <c r="E158" i="3"/>
  <c r="H158" i="3" s="1"/>
  <c r="F157" i="3"/>
  <c r="H157" i="3" s="1"/>
  <c r="F156" i="3"/>
  <c r="F155" i="3"/>
  <c r="E155" i="3"/>
  <c r="H155" i="3" s="1"/>
  <c r="F154" i="3"/>
  <c r="E154" i="3"/>
  <c r="H154" i="3" s="1"/>
  <c r="F153" i="3"/>
  <c r="E153" i="3"/>
  <c r="H153" i="3" s="1"/>
  <c r="J152" i="3"/>
  <c r="F152" i="3"/>
  <c r="E152" i="3"/>
  <c r="H152" i="3" s="1"/>
  <c r="J151" i="3"/>
  <c r="I151" i="3"/>
  <c r="F151" i="3"/>
  <c r="E151" i="3"/>
  <c r="I150" i="3"/>
  <c r="G131" i="3"/>
  <c r="G130" i="3"/>
  <c r="A93" i="3"/>
  <c r="A77" i="3"/>
  <c r="A61" i="3"/>
  <c r="U169" i="3"/>
  <c r="V160" i="3"/>
  <c r="U160" i="3"/>
  <c r="U151" i="3"/>
  <c r="V151" i="3"/>
  <c r="V169" i="3"/>
  <c r="H151" i="3" l="1"/>
  <c r="E139" i="3"/>
  <c r="H164" i="3"/>
  <c r="J164" i="3" s="1"/>
  <c r="H172" i="3"/>
  <c r="H174" i="3"/>
  <c r="H176" i="3"/>
  <c r="H156" i="3"/>
  <c r="G139" i="3" s="1"/>
  <c r="H173" i="3"/>
  <c r="H163" i="3"/>
  <c r="T160" i="3"/>
  <c r="U161" i="3"/>
  <c r="U152" i="3"/>
  <c r="T151" i="3"/>
  <c r="V161" i="3"/>
  <c r="V162" i="3" s="1"/>
  <c r="V163" i="3" s="1"/>
  <c r="V164" i="3" s="1"/>
  <c r="V165" i="3" s="1"/>
  <c r="V166" i="3" s="1"/>
  <c r="V167" i="3" s="1"/>
  <c r="T169" i="3"/>
  <c r="U170" i="3"/>
  <c r="V170" i="3"/>
  <c r="V171" i="3" s="1"/>
  <c r="V172" i="3" s="1"/>
  <c r="V173" i="3" s="1"/>
  <c r="V174" i="3" s="1"/>
  <c r="V175" i="3" s="1"/>
  <c r="V176" i="3" s="1"/>
  <c r="V152" i="3"/>
  <c r="V153" i="3" s="1"/>
  <c r="V154" i="3" s="1"/>
  <c r="V155" i="3" s="1"/>
  <c r="V156" i="3" s="1"/>
  <c r="V157" i="3" s="1"/>
  <c r="V158" i="3" s="1"/>
  <c r="C81" i="3"/>
  <c r="C65" i="3"/>
  <c r="D279" i="3"/>
  <c r="D277" i="3"/>
  <c r="T170" i="3" l="1"/>
  <c r="U171" i="3"/>
  <c r="T152" i="3"/>
  <c r="U153" i="3"/>
  <c r="T161" i="3"/>
  <c r="U162" i="3"/>
  <c r="I255" i="3"/>
  <c r="I260" i="3"/>
  <c r="I250" i="3"/>
  <c r="I229" i="3"/>
  <c r="I238" i="3"/>
  <c r="I220" i="3"/>
  <c r="I199" i="3"/>
  <c r="I208" i="3"/>
  <c r="I190" i="3"/>
  <c r="E265" i="3"/>
  <c r="F264" i="3"/>
  <c r="E264" i="3"/>
  <c r="F263" i="3"/>
  <c r="E263" i="3"/>
  <c r="E261" i="3"/>
  <c r="E259" i="3"/>
  <c r="H259" i="3" s="1"/>
  <c r="E258" i="3"/>
  <c r="H258" i="3" s="1"/>
  <c r="F257" i="3"/>
  <c r="E257" i="3"/>
  <c r="E256" i="3"/>
  <c r="H256" i="3" s="1"/>
  <c r="J256" i="3" s="1"/>
  <c r="E254" i="3"/>
  <c r="F253" i="3"/>
  <c r="H253" i="3"/>
  <c r="F252" i="3"/>
  <c r="E252" i="3"/>
  <c r="E251" i="3"/>
  <c r="H251" i="3" s="1"/>
  <c r="J251" i="3" s="1"/>
  <c r="F246" i="3"/>
  <c r="E246" i="3"/>
  <c r="F245" i="3"/>
  <c r="E245" i="3"/>
  <c r="F244" i="3"/>
  <c r="E244" i="3"/>
  <c r="F243" i="3"/>
  <c r="E243" i="3"/>
  <c r="F241" i="3"/>
  <c r="E241" i="3"/>
  <c r="F240" i="3"/>
  <c r="E240" i="3"/>
  <c r="F239" i="3"/>
  <c r="E239" i="3"/>
  <c r="F237" i="3"/>
  <c r="E237" i="3"/>
  <c r="F236" i="3"/>
  <c r="E236" i="3"/>
  <c r="F235" i="3"/>
  <c r="E235" i="3"/>
  <c r="F234" i="3"/>
  <c r="E234" i="3"/>
  <c r="F233" i="3"/>
  <c r="E233" i="3"/>
  <c r="F232" i="3"/>
  <c r="E232" i="3"/>
  <c r="F231" i="3"/>
  <c r="E231" i="3"/>
  <c r="F230" i="3"/>
  <c r="E230" i="3"/>
  <c r="E228" i="3"/>
  <c r="E227" i="3"/>
  <c r="E226" i="3"/>
  <c r="E225" i="3"/>
  <c r="E224" i="3"/>
  <c r="E223" i="3"/>
  <c r="E222" i="3"/>
  <c r="E221" i="3"/>
  <c r="F216" i="3"/>
  <c r="E216" i="3"/>
  <c r="F215" i="3"/>
  <c r="E215" i="3"/>
  <c r="F214" i="3"/>
  <c r="E214" i="3"/>
  <c r="F212" i="3"/>
  <c r="E212" i="3"/>
  <c r="F211" i="3"/>
  <c r="E211" i="3"/>
  <c r="F210" i="3"/>
  <c r="E210" i="3"/>
  <c r="F209" i="3"/>
  <c r="E209" i="3"/>
  <c r="F207" i="3"/>
  <c r="E207" i="3"/>
  <c r="F206" i="3"/>
  <c r="E206" i="3"/>
  <c r="F205" i="3"/>
  <c r="E205" i="3"/>
  <c r="F204" i="3"/>
  <c r="E204" i="3"/>
  <c r="F203" i="3"/>
  <c r="E203" i="3"/>
  <c r="F202" i="3"/>
  <c r="E202" i="3"/>
  <c r="F201" i="3"/>
  <c r="E201" i="3"/>
  <c r="F200" i="3"/>
  <c r="E200" i="3"/>
  <c r="E189" i="3"/>
  <c r="E187" i="3"/>
  <c r="E186" i="3"/>
  <c r="E185" i="3"/>
  <c r="E184" i="3"/>
  <c r="E183" i="3"/>
  <c r="E180" i="3"/>
  <c r="I146" i="3"/>
  <c r="V262" i="3"/>
  <c r="U262" i="3"/>
  <c r="T262" i="3" s="1"/>
  <c r="V251" i="3"/>
  <c r="U261" i="3"/>
  <c r="V256" i="3"/>
  <c r="V261" i="3"/>
  <c r="U251" i="3"/>
  <c r="U256" i="3"/>
  <c r="H252" i="3" l="1"/>
  <c r="H264" i="3"/>
  <c r="E141" i="3"/>
  <c r="T162" i="3"/>
  <c r="U163" i="3"/>
  <c r="T153" i="3"/>
  <c r="U154" i="3"/>
  <c r="T171" i="3"/>
  <c r="U172" i="3"/>
  <c r="E135" i="3"/>
  <c r="E136" i="3" s="1"/>
  <c r="E140" i="3"/>
  <c r="E142" i="3"/>
  <c r="H254" i="3"/>
  <c r="H257" i="3"/>
  <c r="H263" i="3"/>
  <c r="H265" i="3"/>
  <c r="H261" i="3"/>
  <c r="T261" i="3"/>
  <c r="U263" i="3"/>
  <c r="V263" i="3"/>
  <c r="V264" i="3" s="1"/>
  <c r="V265" i="3" s="1"/>
  <c r="T256" i="3"/>
  <c r="U257" i="3"/>
  <c r="V257" i="3"/>
  <c r="V258" i="3" s="1"/>
  <c r="V259" i="3" s="1"/>
  <c r="V252" i="3"/>
  <c r="V253" i="3" s="1"/>
  <c r="V254" i="3" s="1"/>
  <c r="U252" i="3"/>
  <c r="T251" i="3"/>
  <c r="E143" i="3" l="1"/>
  <c r="E144" i="3" s="1"/>
  <c r="T154" i="3"/>
  <c r="U155" i="3"/>
  <c r="T172" i="3"/>
  <c r="U173" i="3"/>
  <c r="T163" i="3"/>
  <c r="U164" i="3"/>
  <c r="G142" i="3"/>
  <c r="T263" i="3"/>
  <c r="U264" i="3"/>
  <c r="T257" i="3"/>
  <c r="U258" i="3"/>
  <c r="T252" i="3"/>
  <c r="U253" i="3"/>
  <c r="T164" i="3" l="1"/>
  <c r="U165" i="3"/>
  <c r="T173" i="3"/>
  <c r="U174" i="3"/>
  <c r="U156" i="3"/>
  <c r="T155" i="3"/>
  <c r="T264" i="3"/>
  <c r="U265" i="3"/>
  <c r="T265" i="3" s="1"/>
  <c r="T258" i="3"/>
  <c r="U259" i="3"/>
  <c r="T259" i="3" s="1"/>
  <c r="U254" i="3"/>
  <c r="T254" i="3" s="1"/>
  <c r="T253" i="3"/>
  <c r="T156" i="3" l="1"/>
  <c r="U157" i="3"/>
  <c r="T174" i="3"/>
  <c r="U175" i="3"/>
  <c r="T165" i="3"/>
  <c r="U166" i="3"/>
  <c r="I241" i="3"/>
  <c r="J241" i="3"/>
  <c r="H245" i="3"/>
  <c r="H243" i="3"/>
  <c r="H241" i="3"/>
  <c r="J239" i="3"/>
  <c r="I239" i="3"/>
  <c r="H239" i="3"/>
  <c r="H232" i="3"/>
  <c r="H234" i="3"/>
  <c r="H236" i="3"/>
  <c r="H230" i="3"/>
  <c r="J226" i="3"/>
  <c r="I226" i="3"/>
  <c r="H222" i="3"/>
  <c r="H223" i="3"/>
  <c r="H228" i="3"/>
  <c r="H224" i="3"/>
  <c r="J224" i="3" s="1"/>
  <c r="H221" i="3"/>
  <c r="I221" i="3"/>
  <c r="J221" i="3"/>
  <c r="H215" i="3"/>
  <c r="H211" i="3"/>
  <c r="H209" i="3"/>
  <c r="U239" i="3"/>
  <c r="U209" i="3"/>
  <c r="V209" i="3"/>
  <c r="V230" i="3"/>
  <c r="U221" i="3"/>
  <c r="V221" i="3"/>
  <c r="U200" i="3"/>
  <c r="U230" i="3"/>
  <c r="V239" i="3"/>
  <c r="V200" i="3"/>
  <c r="T166" i="3" l="1"/>
  <c r="U167" i="3"/>
  <c r="T167" i="3" s="1"/>
  <c r="T175" i="3"/>
  <c r="U176" i="3"/>
  <c r="T176" i="3" s="1"/>
  <c r="T157" i="3"/>
  <c r="U158" i="3"/>
  <c r="T158" i="3" s="1"/>
  <c r="H237" i="3"/>
  <c r="H235" i="3"/>
  <c r="H233" i="3"/>
  <c r="H231" i="3"/>
  <c r="H246" i="3"/>
  <c r="H240" i="3"/>
  <c r="H244" i="3"/>
  <c r="T239" i="3"/>
  <c r="U240" i="3"/>
  <c r="V240" i="3"/>
  <c r="V241" i="3" s="1"/>
  <c r="V242" i="3" s="1"/>
  <c r="V243" i="3" s="1"/>
  <c r="V244" i="3" s="1"/>
  <c r="V245" i="3" s="1"/>
  <c r="V246" i="3" s="1"/>
  <c r="U231" i="3"/>
  <c r="T230" i="3"/>
  <c r="V231" i="3"/>
  <c r="V232" i="3" s="1"/>
  <c r="V233" i="3" s="1"/>
  <c r="V234" i="3" s="1"/>
  <c r="V235" i="3" s="1"/>
  <c r="V236" i="3" s="1"/>
  <c r="V237" i="3" s="1"/>
  <c r="H216" i="3"/>
  <c r="H203" i="3"/>
  <c r="H205" i="3"/>
  <c r="H207" i="3"/>
  <c r="H226" i="3"/>
  <c r="H200" i="3"/>
  <c r="H202" i="3"/>
  <c r="H204" i="3"/>
  <c r="H206" i="3"/>
  <c r="H210" i="3"/>
  <c r="H212" i="3"/>
  <c r="H225" i="3"/>
  <c r="H214" i="3"/>
  <c r="H227" i="3"/>
  <c r="V222" i="3"/>
  <c r="V223" i="3" s="1"/>
  <c r="V224" i="3" s="1"/>
  <c r="V225" i="3" s="1"/>
  <c r="V226" i="3" s="1"/>
  <c r="V227" i="3" s="1"/>
  <c r="V228" i="3" s="1"/>
  <c r="U222" i="3"/>
  <c r="T221" i="3"/>
  <c r="U210" i="3"/>
  <c r="T209" i="3"/>
  <c r="V210" i="3"/>
  <c r="V211" i="3" s="1"/>
  <c r="V212" i="3" s="1"/>
  <c r="V213" i="3" s="1"/>
  <c r="V214" i="3" s="1"/>
  <c r="V215" i="3" s="1"/>
  <c r="V216" i="3" s="1"/>
  <c r="H201" i="3"/>
  <c r="V201" i="3"/>
  <c r="V202" i="3" s="1"/>
  <c r="V203" i="3" s="1"/>
  <c r="V204" i="3" s="1"/>
  <c r="V205" i="3" s="1"/>
  <c r="V206" i="3" s="1"/>
  <c r="V207" i="3" s="1"/>
  <c r="U201" i="3"/>
  <c r="T200" i="3"/>
  <c r="G141" i="3" l="1"/>
  <c r="T240" i="3"/>
  <c r="U241" i="3"/>
  <c r="T231" i="3"/>
  <c r="U232" i="3"/>
  <c r="T222" i="3"/>
  <c r="U223" i="3"/>
  <c r="T210" i="3"/>
  <c r="U211" i="3"/>
  <c r="T201" i="3"/>
  <c r="U202" i="3"/>
  <c r="T241" i="3" l="1"/>
  <c r="U242" i="3"/>
  <c r="T232" i="3"/>
  <c r="U233" i="3"/>
  <c r="T223" i="3"/>
  <c r="U224" i="3"/>
  <c r="U212" i="3"/>
  <c r="T211" i="3"/>
  <c r="U203" i="3"/>
  <c r="T202" i="3"/>
  <c r="T242" i="3" l="1"/>
  <c r="U243" i="3"/>
  <c r="T233" i="3"/>
  <c r="U234" i="3"/>
  <c r="T224" i="3"/>
  <c r="U225" i="3"/>
  <c r="T212" i="3"/>
  <c r="U213" i="3"/>
  <c r="T203" i="3"/>
  <c r="U204" i="3"/>
  <c r="T243" i="3" l="1"/>
  <c r="U244" i="3"/>
  <c r="T234" i="3"/>
  <c r="U235" i="3"/>
  <c r="U226" i="3"/>
  <c r="T225" i="3"/>
  <c r="T213" i="3"/>
  <c r="U214" i="3"/>
  <c r="U205" i="3"/>
  <c r="T204" i="3"/>
  <c r="T244" i="3" l="1"/>
  <c r="U245" i="3"/>
  <c r="T235" i="3"/>
  <c r="U236" i="3"/>
  <c r="T226" i="3"/>
  <c r="U227" i="3"/>
  <c r="U215" i="3"/>
  <c r="T214" i="3"/>
  <c r="T205" i="3"/>
  <c r="U206" i="3"/>
  <c r="T245" i="3" l="1"/>
  <c r="U246" i="3"/>
  <c r="T246" i="3" s="1"/>
  <c r="T236" i="3"/>
  <c r="U237" i="3"/>
  <c r="T237" i="3" s="1"/>
  <c r="T227" i="3"/>
  <c r="U228" i="3"/>
  <c r="T228" i="3" s="1"/>
  <c r="U216" i="3"/>
  <c r="T216" i="3" s="1"/>
  <c r="T215" i="3"/>
  <c r="U207" i="3"/>
  <c r="T207" i="3" s="1"/>
  <c r="T206" i="3"/>
  <c r="J192" i="3"/>
  <c r="J191" i="3"/>
  <c r="I192" i="3"/>
  <c r="I191" i="3"/>
  <c r="H189" i="3"/>
  <c r="H188" i="3"/>
  <c r="A109" i="3"/>
  <c r="C19" i="3" l="1"/>
  <c r="H180" i="3" l="1"/>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I42" i="6" l="1"/>
  <c r="H42" i="6" s="1"/>
  <c r="L42" i="6"/>
  <c r="K42" i="6" s="1"/>
  <c r="E44" i="6"/>
  <c r="D42" i="6"/>
  <c r="D44" i="6" s="1"/>
  <c r="C26" i="3" l="1"/>
  <c r="C18" i="3"/>
  <c r="H198" i="3"/>
  <c r="H197" i="3"/>
  <c r="H196" i="3"/>
  <c r="H195" i="3"/>
  <c r="H194" i="3"/>
  <c r="H193" i="3"/>
  <c r="H192" i="3"/>
  <c r="H191" i="3"/>
  <c r="H181" i="3"/>
  <c r="H182" i="3"/>
  <c r="H183" i="3"/>
  <c r="H184" i="3"/>
  <c r="H185" i="3"/>
  <c r="H186" i="3"/>
  <c r="H187" i="3"/>
  <c r="G135" i="3" l="1"/>
  <c r="G136" i="3" s="1"/>
  <c r="G140" i="3"/>
  <c r="G143" i="3" s="1"/>
  <c r="D94" i="3"/>
  <c r="J103" i="3" s="1"/>
  <c r="D78" i="3"/>
  <c r="D62" i="3"/>
  <c r="G144" i="3" l="1"/>
  <c r="J102" i="3"/>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H78" i="3"/>
  <c r="G38" i="4" l="1"/>
  <c r="F38" i="4"/>
  <c r="E18" i="4"/>
  <c r="E15" i="4"/>
  <c r="E17" i="4"/>
  <c r="E11" i="4"/>
  <c r="K6" i="4"/>
  <c r="E9" i="4"/>
  <c r="K8" i="4"/>
  <c r="C7" i="4" s="1"/>
  <c r="E14" i="4"/>
  <c r="E12" i="4"/>
  <c r="E16" i="4"/>
  <c r="E10" i="4"/>
  <c r="K9" i="4"/>
  <c r="K10" i="4" s="1"/>
  <c r="K11" i="4" s="1"/>
  <c r="E13" i="4"/>
  <c r="K7" i="4"/>
  <c r="J87" i="3"/>
  <c r="J86" i="3"/>
  <c r="K12" i="4" l="1"/>
  <c r="K16" i="4" s="1"/>
  <c r="C8" i="4" s="1"/>
  <c r="E8" i="4" s="1"/>
  <c r="E7" i="4"/>
  <c r="A181" i="3"/>
  <c r="A182" i="3" s="1"/>
  <c r="A183" i="3" s="1"/>
  <c r="A184" i="3" s="1"/>
  <c r="A185" i="3" s="1"/>
  <c r="A186" i="3" s="1"/>
  <c r="A187" i="3" s="1"/>
  <c r="A188" i="3" s="1"/>
  <c r="A189" i="3" s="1"/>
  <c r="F7" i="4" l="1"/>
  <c r="J4" i="4" s="1"/>
  <c r="H7" i="4" s="1"/>
  <c r="G4" i="3" l="1"/>
  <c r="D278" i="3" l="1"/>
  <c r="G132" i="3"/>
  <c r="J71" i="3"/>
  <c r="J70" i="3"/>
  <c r="H62" i="3"/>
  <c r="J66" i="3" l="1"/>
  <c r="D71" i="3"/>
  <c r="D68" i="3"/>
  <c r="D66" i="3"/>
  <c r="J64" i="3"/>
  <c r="C64" i="3" s="1"/>
  <c r="D75" i="3"/>
  <c r="D73" i="3"/>
  <c r="D70" i="3"/>
  <c r="D67" i="3"/>
  <c r="J65" i="3"/>
  <c r="J63" i="3"/>
  <c r="D74" i="3"/>
  <c r="D72" i="3"/>
  <c r="D69" i="3"/>
  <c r="D91" i="3" l="1"/>
  <c r="D83" i="3"/>
  <c r="D86" i="3"/>
  <c r="J80" i="3"/>
  <c r="C80" i="3" s="1"/>
  <c r="D90" i="3"/>
  <c r="D84" i="3"/>
  <c r="J79" i="3"/>
  <c r="D89" i="3"/>
  <c r="J82" i="3"/>
  <c r="J83" i="3" s="1"/>
  <c r="D88" i="3"/>
  <c r="D82" i="3"/>
  <c r="J81" i="3"/>
  <c r="D87" i="3"/>
  <c r="D85" i="3"/>
  <c r="J67" i="3"/>
  <c r="J72" i="3" s="1"/>
  <c r="D80" i="3" l="1"/>
  <c r="J84" i="3"/>
  <c r="J88" i="3"/>
  <c r="J85" i="3"/>
  <c r="D64" i="3"/>
  <c r="J68" i="3"/>
  <c r="H94" i="3"/>
  <c r="D110" i="3" l="1"/>
  <c r="J89" i="3"/>
  <c r="D107" i="3"/>
  <c r="D106" i="3"/>
  <c r="D100" i="3"/>
  <c r="J97" i="3"/>
  <c r="D102" i="3"/>
  <c r="D101" i="3"/>
  <c r="J95" i="3"/>
  <c r="D105" i="3"/>
  <c r="D99" i="3"/>
  <c r="J98" i="3"/>
  <c r="J99" i="3" s="1"/>
  <c r="J100" i="3" s="1"/>
  <c r="J101" i="3" s="1"/>
  <c r="D104" i="3"/>
  <c r="D98" i="3"/>
  <c r="J96" i="3"/>
  <c r="C96" i="3" s="1"/>
  <c r="D103" i="3"/>
  <c r="J69" i="3"/>
  <c r="H110" i="3"/>
  <c r="D122" i="3" l="1"/>
  <c r="D120" i="3"/>
  <c r="D118" i="3"/>
  <c r="D116" i="3"/>
  <c r="D114" i="3"/>
  <c r="J112" i="3"/>
  <c r="C112" i="3" s="1"/>
  <c r="D121" i="3"/>
  <c r="D119" i="3"/>
  <c r="D117" i="3"/>
  <c r="D115" i="3"/>
  <c r="D123" i="3"/>
  <c r="J113" i="3"/>
  <c r="J111" i="3"/>
  <c r="J119" i="3"/>
  <c r="J117" i="3"/>
  <c r="J118" i="3"/>
  <c r="J114" i="3"/>
  <c r="J115" i="3" s="1"/>
  <c r="J120" i="3" s="1"/>
  <c r="D81" i="3"/>
  <c r="E80" i="3"/>
  <c r="I77" i="3" s="1"/>
  <c r="G80" i="3" s="1"/>
  <c r="J104" i="3"/>
  <c r="J105" i="3" s="1"/>
  <c r="D97" i="3" s="1"/>
  <c r="D96" i="3"/>
  <c r="J73" i="3"/>
  <c r="U191" i="3"/>
  <c r="V191" i="3"/>
  <c r="J116" i="3" l="1"/>
  <c r="J121" i="3" s="1"/>
  <c r="D112" i="3"/>
  <c r="E96" i="3"/>
  <c r="I93" i="3" s="1"/>
  <c r="G96" i="3" s="1"/>
  <c r="E64" i="3"/>
  <c r="V192" i="3"/>
  <c r="V193" i="3" s="1"/>
  <c r="V194" i="3" s="1"/>
  <c r="V195" i="3" s="1"/>
  <c r="V196" i="3" s="1"/>
  <c r="V197" i="3" s="1"/>
  <c r="V198" i="3" s="1"/>
  <c r="U192" i="3"/>
  <c r="T191" i="3"/>
  <c r="D113" i="3" l="1"/>
  <c r="E112" i="3"/>
  <c r="G124" i="3" s="1"/>
  <c r="D65" i="3"/>
  <c r="I61" i="3"/>
  <c r="G64" i="3" s="1"/>
  <c r="U193" i="3"/>
  <c r="T192" i="3"/>
  <c r="I109" i="3" l="1"/>
  <c r="G112" i="3" s="1"/>
  <c r="U194" i="3"/>
  <c r="T193" i="3"/>
  <c r="U195" i="3" l="1"/>
  <c r="T194" i="3"/>
  <c r="U196" i="3" l="1"/>
  <c r="T195" i="3"/>
  <c r="U197" i="3" l="1"/>
  <c r="T196" i="3"/>
  <c r="U198" i="3" l="1"/>
  <c r="T197" i="3"/>
  <c r="T198"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0" authorId="0" shapeId="0" xr:uid="{00000000-0006-0000-0000-000002000000}">
      <text>
        <r>
          <rPr>
            <b/>
            <sz val="9"/>
            <color indexed="81"/>
            <rFont val="Tahoma"/>
            <family val="2"/>
          </rPr>
          <t>SACHIN:</t>
        </r>
        <r>
          <rPr>
            <sz val="9"/>
            <color indexed="81"/>
            <rFont val="Tahoma"/>
            <family val="2"/>
          </rPr>
          <t xml:space="preserve">
As per plans</t>
        </r>
      </text>
    </comment>
    <comment ref="C11" authorId="0" shapeId="0" xr:uid="{00000000-0006-0000-0000-000003000000}">
      <text>
        <r>
          <rPr>
            <b/>
            <sz val="9"/>
            <color indexed="81"/>
            <rFont val="Tahoma"/>
            <family val="2"/>
          </rPr>
          <t>SACHIN:</t>
        </r>
        <r>
          <rPr>
            <sz val="9"/>
            <color indexed="81"/>
            <rFont val="Tahoma"/>
            <family val="2"/>
          </rPr>
          <t xml:space="preserve">
As per maps</t>
        </r>
      </text>
    </comment>
    <comment ref="G17" authorId="0" shapeId="0" xr:uid="{00000000-0006-0000-0000-000004000000}">
      <text>
        <r>
          <rPr>
            <b/>
            <sz val="18"/>
            <color indexed="81"/>
            <rFont val="Tahoma"/>
            <family val="2"/>
          </rPr>
          <t>From Rera</t>
        </r>
      </text>
    </comment>
    <comment ref="G20" authorId="0" shapeId="0" xr:uid="{00000000-0006-0000-0000-000005000000}">
      <text>
        <r>
          <rPr>
            <b/>
            <sz val="16"/>
            <color indexed="81"/>
            <rFont val="Tahoma"/>
            <family val="2"/>
          </rPr>
          <t>From RERA</t>
        </r>
      </text>
    </comment>
    <comment ref="G21" authorId="0" shapeId="0" xr:uid="{00000000-0006-0000-0000-000006000000}">
      <text>
        <r>
          <rPr>
            <b/>
            <sz val="16"/>
            <color indexed="81"/>
            <rFont val="Tahoma"/>
            <family val="2"/>
          </rPr>
          <t>From RERA</t>
        </r>
      </text>
    </comment>
    <comment ref="G27" authorId="0" shapeId="0" xr:uid="{00000000-0006-0000-0000-000007000000}">
      <text>
        <r>
          <rPr>
            <b/>
            <sz val="12"/>
            <color indexed="81"/>
            <rFont val="Tahoma"/>
            <family val="2"/>
          </rPr>
          <t>SACHIN:</t>
        </r>
        <r>
          <rPr>
            <sz val="12"/>
            <color indexed="81"/>
            <rFont val="Tahoma"/>
            <family val="2"/>
          </rPr>
          <t xml:space="preserve">
Road size should be in metre</t>
        </r>
      </text>
    </comment>
    <comment ref="G130" authorId="0" shapeId="0" xr:uid="{00000000-0006-0000-0000-000008000000}">
      <text>
        <r>
          <rPr>
            <b/>
            <sz val="16"/>
            <color indexed="81"/>
            <rFont val="Tahoma"/>
            <family val="2"/>
          </rPr>
          <t>Ready Recknor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200-000001000000}">
      <text>
        <r>
          <rPr>
            <b/>
            <sz val="9"/>
            <color indexed="81"/>
            <rFont val="Tahoma"/>
            <family val="2"/>
          </rPr>
          <t>SACHIN:</t>
        </r>
        <r>
          <rPr>
            <sz val="9"/>
            <color indexed="81"/>
            <rFont val="Tahoma"/>
            <family val="2"/>
          </rPr>
          <t xml:space="preserve">
If banker changes the rate</t>
        </r>
      </text>
    </comment>
    <comment ref="C10" authorId="0" shapeId="0" xr:uid="{00000000-0006-0000-02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<sst xmlns="http://schemas.openxmlformats.org/spreadsheetml/2006/main" count="840" uniqueCount="382">
  <si>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</si>
  <si>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</si>
  <si>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</si>
  <si>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</si>
  <si>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</si>
  <si>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</si>
  <si>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</si>
  <si>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</si>
  <si>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</si>
  <si>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</si>
  <si>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</si>
  <si>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</si>
  <si>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</si>
  <si>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</si>
  <si>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</si>
  <si>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</si>
  <si>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</si>
  <si>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</si>
  <si>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</si>
  <si>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</si>
  <si>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</si>
  <si>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</si>
  <si>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</si>
  <si>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</si>
  <si>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</si>
  <si>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</si>
  <si>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</si>
  <si>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</si>
  <si>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</si>
  <si>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</si>
  <si>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</si>
  <si>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</si>
  <si>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</si>
  <si>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</si>
  <si>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</si>
  <si>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</si>
  <si>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</si>
  <si>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</si>
  <si>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</si>
  <si>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</si>
  <si>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</si>
  <si>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</si>
  <si>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</si>
  <si>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</si>
  <si>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</si>
  <si>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</si>
  <si>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</si>
  <si>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</si>
  <si>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</si>
  <si>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</si>
  <si>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</si>
  <si>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</si>
  <si>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</si>
  <si>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</si>
  <si>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</si>
  <si>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</si>
  <si>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</si>
  <si>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</si>
  <si>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</si>
  <si>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</si>
  <si>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</si>
  <si>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</si>
  <si>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</si>
  <si>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</si>
  <si>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</si>
  <si>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</si>
  <si>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</si>
  <si>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</si>
  <si>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</si>
  <si>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</si>
  <si>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</si>
  <si>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</si>
  <si>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</si>
  <si>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</si>
  <si>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</si>
  <si>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</si>
  <si>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</si>
  <si>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</si>
  <si>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</si>
  <si>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</si>
  <si>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</si>
  <si>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</si>
  <si>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</si>
  <si>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</si>
  <si>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</si>
  <si>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</si>
  <si>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</si>
  <si>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</si>
  <si>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</si>
  <si>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</si>
  <si>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</si>
  <si>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</si>
  <si>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</si>
  <si>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</si>
  <si>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</si>
  <si>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</si>
  <si>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</si>
  <si>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</si>
  <si>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</si>
  <si>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</si>
  <si>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</si>
  <si>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</si>
  <si>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</si>
  <si>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</si>
  <si>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</si>
  <si>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</si>
  <si>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</si>
  <si>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</si>
  <si>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</si>
  <si>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</si>
  <si>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</si>
  <si>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</si>
  <si>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</si>
  <si>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</si>
  <si>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</si>
  <si>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</si>
  <si>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</si>
  <si>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</si>
  <si>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</si>
  <si>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</si>
  <si>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</si>
  <si>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</si>
  <si>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</si>
  <si>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</si>
  <si>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</si>
  <si>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</si>
  <si>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</si>
  <si>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</si>
  <si>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</si>
  <si>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</si>
  <si>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</si>
  <si>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</si>
  <si>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</si>
  <si>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</si>
  <si>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</si>
  <si>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</si>
  <si>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</si>
  <si>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</si>
  <si>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</si>
  <si>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</si>
  <si>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</si>
  <si>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</si>
  <si>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</si>
  <si>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</si>
  <si>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</si>
  <si>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</si>
  <si>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</si>
  <si>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</si>
  <si>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</si>
  <si>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</si>
  <si>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</si>
  <si>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</si>
  <si>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</si>
  <si>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</si>
  <si>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</si>
  <si>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</si>
  <si>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</si>
  <si>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</si>
  <si>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</si>
  <si>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</si>
  <si>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</si>
  <si>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</si>
  <si>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</si>
  <si>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</si>
  <si>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</si>
  <si>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</si>
  <si>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</si>
  <si>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</si>
  <si>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</si>
  <si>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</si>
  <si>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</si>
  <si>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</si>
  <si>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</si>
  <si>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</si>
  <si>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</si>
  <si>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</si>
  <si>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</si>
  <si>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</si>
  <si>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</si>
  <si>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</si>
  <si>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</si>
  <si>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</si>
  <si>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</si>
  <si>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</si>
  <si>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</si>
  <si>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</si>
  <si>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</si>
  <si>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</si>
  <si>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</si>
  <si>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</si>
  <si>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</si>
  <si>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</si>
  <si>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</si>
  <si>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</si>
  <si>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</si>
  <si>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</si>
  <si>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</si>
  <si>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</si>
  <si>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</si>
  <si>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</si>
  <si>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</si>
  <si>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</si>
  <si>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</si>
  <si>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</si>
  <si>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</si>
  <si>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</si>
  <si>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</si>
  <si>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</si>
  <si>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</si>
  <si>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</si>
  <si>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</si>
  <si>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</si>
  <si>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</si>
  <si>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</si>
  <si>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</si>
  <si>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</si>
  <si>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</si>
  <si>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</si>
  <si>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</si>
  <si>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</si>
  <si>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</si>
  <si>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</si>
  <si>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</si>
  <si>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</si>
  <si>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</si>
  <si>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</si>
  <si>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</si>
  <si>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</si>
  <si>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</si>
  <si>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</si>
  <si>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</si>
  <si>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</si>
  <si>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</si>
  <si>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</si>
  <si>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</si>
  <si>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</si>
  <si>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</si>
  <si>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</si>
  <si>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</si>
  <si>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</si>
  <si>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</si>
  <si>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</si>
  <si>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 xml:space="preserve">CC Details
Valid Up to: </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</si>
  <si>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</si>
  <si>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</si>
  <si>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</si>
  <si>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</si>
  <si>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</si>
  <si>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</si>
  <si>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</si>
  <si>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</si>
  <si>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</si>
  <si>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</si>
  <si>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</si>
  <si>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</si>
  <si>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</si>
  <si>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</si>
  <si>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</si>
  <si>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</si>
  <si>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</si>
  <si>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</si>
  <si>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</si>
  <si>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</si>
  <si>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</si>
  <si>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</si>
  <si>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</si>
  <si>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</si>
  <si>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</si>
  <si>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</si>
  <si>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</si>
  <si>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</si>
  <si>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</si>
  <si>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</si>
  <si>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</si>
  <si>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</si>
  <si>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</si>
  <si>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</si>
  <si>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</si>
  <si>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</si>
  <si>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</si>
  <si>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</si>
  <si>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</si>
  <si>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</si>
  <si>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</si>
  <si>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</si>
  <si>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</si>
  <si>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</si>
  <si>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</si>
  <si>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</si>
  <si>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</si>
  <si>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</si>
  <si>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</si>
  <si>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</si>
  <si>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</si>
  <si>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</si>
  <si>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</si>
  <si>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</si>
  <si>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</si>
  <si>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</si>
  <si>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</si>
  <si>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</si>
  <si>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</si>
  <si>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M/s. Keyblue Realtors Private Limited</t>
  </si>
  <si>
    <t>Mr. Suraj Khare</t>
  </si>
  <si>
    <t>702, 7th Floor, Natraj Building, M V Road Junction, Near Western Express Highway, Tal. Andheri, Dist. Andheri 400069.</t>
  </si>
  <si>
    <t>Maple - Survey Nos 27/1A, 27/1B,27/1C of Village Bhal at Bhal, Ambarnath, Thane, 421306. 
Palm - Survey Nos 26/2/2, 26/2/3, 27/1A, 27/1B, 27/1C of Village Bhal at Bhal, Ambarnath, Thane, 421306. 
Oak - Survey Nos. 27/1A, 27/1B, 27/1C of Village Bhal at Bhal, Ambarnath, Thane, 421306. 
Walnut - Survey Nos 27/1A, 27/1B, 27/1C of Village Bhal at Bhal, Ambarnath, Thane, 421306.</t>
  </si>
  <si>
    <t>Proposed Development On Plot Bearing Survey No. 26 (Hissa No. 2/2, 2/3) &amp; 27/1 (A, B, C), Bhal Village, Taluka - Ambernath, District - Thane (KDMC).</t>
  </si>
  <si>
    <t>https://maps.app.goo.gl/bsoHEoaMFJiA8P1N9</t>
  </si>
  <si>
    <t xml:space="preserve">Club House Façade, Children's Play Area, Swimming Pool, Gymnasium, Banquet Hall, Creche, Indoor Games Area etc. </t>
  </si>
  <si>
    <t>https://www.rustomjee.com/residential-property/rustomjee-urban-woods/</t>
  </si>
  <si>
    <t>24M Wide DP Road</t>
  </si>
  <si>
    <t>Other Plot</t>
  </si>
  <si>
    <t>Open Plot</t>
  </si>
  <si>
    <t>Building No. 1 (Oak)</t>
  </si>
  <si>
    <t>Building No. 7 (Walnut)</t>
  </si>
  <si>
    <t>Building No. 6 (Maple)</t>
  </si>
  <si>
    <t>Building No. 4 (Palm)</t>
  </si>
  <si>
    <t>Kalyan Dombivli Municipal Corporation (KDMC)</t>
  </si>
  <si>
    <t>KDMC/TPD/BP/27 Village/2022-23/35/167</t>
  </si>
  <si>
    <t>2B + G + 1st to 31st Floor</t>
  </si>
  <si>
    <t>2B + G + 1st to 32nd Floor</t>
  </si>
  <si>
    <t xml:space="preserve">1st &amp; 2nd Basement Floor For Parking, Driveway </t>
  </si>
  <si>
    <t xml:space="preserve"> - </t>
  </si>
  <si>
    <t>Shop</t>
  </si>
  <si>
    <t>2 M Wide Plaza Given In Plan</t>
  </si>
  <si>
    <t>1st Floor For Residential</t>
  </si>
  <si>
    <t>2BHK</t>
  </si>
  <si>
    <t>1BHK</t>
  </si>
  <si>
    <t>AP + Deck Area</t>
  </si>
  <si>
    <t>2nd to 7th, 9th to 12th, 14th to 17th, 19th to 22nd, 24th to 27th, 29th to 31st Floor</t>
  </si>
  <si>
    <t>2nd to 7th, 9th to 12th, 14th to 17th, 19th to 22nd, 24th to 27th, 29th to 32nd Floor</t>
  </si>
  <si>
    <t>8th, 13th, 18th, 23rd &amp; 28th Floor For Residential (Part Refuge Area)</t>
  </si>
  <si>
    <t>Refuge Area</t>
  </si>
  <si>
    <t>2nd to 7th, 9th to 12th, 14th to 17th, 19th to 22nd, 24th to 27th &amp; 29th to 32nd Floor</t>
  </si>
  <si>
    <t>3BHK</t>
  </si>
  <si>
    <t>8th, 13th, 18th, 23rd &amp; 28th Floor For Residential (Refuge Area)</t>
  </si>
  <si>
    <t xml:space="preserve">We considered Gross carpet area = Net carpet + AP + Deck Area.
</t>
  </si>
  <si>
    <t>24m</t>
  </si>
  <si>
    <t>Flats = 873 &amp; 
Shop = 10</t>
  </si>
  <si>
    <t>As per RERA Site Flats = 873 &amp; Shop = 10</t>
  </si>
  <si>
    <t>5.30 KM from Dombivli Railway Station
6.80 KM from Kopar Railway Station</t>
  </si>
  <si>
    <t>Concrete</t>
  </si>
  <si>
    <t xml:space="preserve">Mr.Gangaram Parshuram Lambore </t>
  </si>
  <si>
    <t>Kohinoor Eden - Elite</t>
  </si>
  <si>
    <t>Rustomjee Urban Woods, Near Kohinoor Eden - Elite, Dwarli Talao Road, Dhokali, Bhal Village, Dombivli East, Tal. Ambernath, Dist. Thane, 421306</t>
  </si>
  <si>
    <t>RBL Bank Limited
IFSC Code - RATN0000088</t>
  </si>
  <si>
    <t>Rustomjee Urban Woods - (Oak, Palm, Maple, Walnut)</t>
  </si>
  <si>
    <t xml:space="preserve">Oak - P51700079484
Palm - P51700079096
Maple - P51700079209
Walnut - P51700079483
</t>
  </si>
  <si>
    <t xml:space="preserve">Walnut &amp; Oak - 30/04/2029
Palm &amp; Maple - 31/05/2029
</t>
  </si>
  <si>
    <t>Walnut &amp; Oak - 07/03/2025
Palm - 03/02/2025
Maple - 17/02/2025</t>
  </si>
  <si>
    <t xml:space="preserve">Walnut &amp; Oak - Mar 25
Palm &amp; Maple - Feb 25
</t>
  </si>
  <si>
    <t xml:space="preserve">Walnut &amp; Oak - April 2029
Palm &amp; Maple - May 2029
</t>
  </si>
  <si>
    <t xml:space="preserve">Oak = 251
Palm = 243
</t>
  </si>
  <si>
    <t>Walnut = 128
Maple = 251</t>
  </si>
  <si>
    <t>19.1995886,73.1298055</t>
  </si>
  <si>
    <t>1.60 KM from Dwarli Bus Stop</t>
  </si>
  <si>
    <t xml:space="preserve">About 1.30 KM from PVM / Orbit English School
</t>
  </si>
  <si>
    <t>About 3.60 KM from MD Thakur Memorial Hospital</t>
  </si>
  <si>
    <t>1. Approx. 1.50 KM from Vashi Market.
2. Approx. 3.80 KM from Chinchpada Market.</t>
  </si>
  <si>
    <t>Road</t>
  </si>
  <si>
    <t>Building No. 1 = 2B + G + 1st to 32nd Floor (Total BUA = 18034.09 Sq.M)
Building No. 4 = 2B + G + 1st to 31st Floor (Total BUA = 17687.63 Sq.M)
Building No. 6 = 2B + G + 1st to 32nd Floor (Total BUA = 21769.25 Sq.M)
Building No. 7 = 2B + G + 1st to 32nd Floor (Total BUA = 14941.42 Sq.M)</t>
  </si>
  <si>
    <t xml:space="preserve">Building No. 1 (Oak) </t>
  </si>
  <si>
    <t xml:space="preserve">Building No. 4 (Palm) </t>
  </si>
  <si>
    <t xml:space="preserve">Building No. 6 (Maple) </t>
  </si>
  <si>
    <t xml:space="preserve">Building No. 7 (Walnut) </t>
  </si>
  <si>
    <t>1st &amp; 2nd Basement Floor For Parking</t>
  </si>
  <si>
    <t>Ground Floor For Parking, Entrance Lobby, Meter Room, Driver Room, Society Office, 
Letter Box Room, ELV Room &amp; Panel Room</t>
  </si>
  <si>
    <t>1.5BHK</t>
  </si>
  <si>
    <t>1RK</t>
  </si>
  <si>
    <t>Ground Floor For Commercial, Parking, Entrance Lobby, Meter Room, Driver Room, 
ELV Room, Society Office &amp; Panel Room</t>
  </si>
  <si>
    <t>Ground Floor For Parking, Entrance Lobby, Meter Room, Driver Room, Society Office, 
Letter Box Room, ELV Room, Common Area Panel Room &amp; Panel Room</t>
  </si>
  <si>
    <t>We have referred approved plans from RERA site.</t>
  </si>
  <si>
    <t>Please provide Fire NOC.</t>
  </si>
  <si>
    <t>SIA/MH/INFRA2/448886/2023
Survey no. 26 (Hissa no. 2/2, 2/3) &amp; 27/1(A,B,C)
Net Plot Area = 30859.57 Sq.m.
Total Builtup Area = 204094.40 Sq.m.</t>
  </si>
  <si>
    <t xml:space="preserve">Environmental Clearance Details
Valid For : </t>
  </si>
  <si>
    <t>We have referred Environmental Clearance Certificate from Parivesh Site.</t>
  </si>
  <si>
    <t>9500 to 10500</t>
  </si>
  <si>
    <t>CC, Cost Sheet &amp; RERA certificate</t>
  </si>
  <si>
    <t>06/08/2025 at 11:29AM</t>
  </si>
  <si>
    <t>Mr. Atul 9167389778</t>
  </si>
  <si>
    <t>Mr. Aniket 7900123362</t>
  </si>
  <si>
    <t>Construction work is same as last visit dtd. 30/05/2025 but Work is in process at the time of Visit. (Slow Speed)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</si>
</sst>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Calibri"/>
      <family val="2"/>
    </font>
    <font>
      <b/>
      <sz val="16"/>
      <color rgb="FFFF0000"/>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n">
        <color indexed="64"/>
      </left>
      <right style="thin">
        <color indexed="64"/>
      </right>
      <top/>
      <bottom style="thin">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211">
    <xf numFmtId="0" fontId="0" fillId="0" borderId="0" xfId="0"/>
    <xf numFmtId="0" fontId="3" fillId="0" borderId="0" xfId="0" applyFont="1" applyAlignment="1">
      <alignment vertical="top"/>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4" fillId="2" borderId="1" xfId="0" applyFont="1" applyFill="1" applyBorder="1" applyAlignment="1">
      <alignment horizontal="center" vertical="top"/>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NumberFormat="1" applyFont="1" applyFill="1" applyBorder="1" applyAlignment="1">
      <alignment horizontal="center" vertical="center" wrapText="1"/>
    </xf>
    <xf numFmtId="0" fontId="4" fillId="4" borderId="0" xfId="0" applyFont="1" applyFill="1" applyBorder="1" applyAlignment="1">
      <alignment vertical="top"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 xfId="0" applyBorder="1" applyAlignment="1"/>
    <xf numFmtId="0" fontId="0" fillId="0" borderId="10" xfId="0" applyFill="1"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Fill="1" applyBorder="1"/>
    <xf numFmtId="0" fontId="0" fillId="0" borderId="1" xfId="0" applyFill="1" applyBorder="1"/>
    <xf numFmtId="0" fontId="0" fillId="0" borderId="1" xfId="0" applyFill="1"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Fill="1" applyBorder="1"/>
    <xf numFmtId="0" fontId="0" fillId="0" borderId="2" xfId="0" applyBorder="1" applyAlignment="1">
      <alignment vertical="top"/>
    </xf>
    <xf numFmtId="0" fontId="0" fillId="0" borderId="2" xfId="0" applyFill="1" applyBorder="1" applyAlignment="1">
      <alignment horizontal="lef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6" fillId="4" borderId="1" xfId="1" applyNumberFormat="1" applyFont="1" applyFill="1" applyBorder="1" applyAlignment="1">
      <alignment horizontal="center" vertical="center" wrapText="1"/>
    </xf>
    <xf numFmtId="1" fontId="4" fillId="4" borderId="1" xfId="1" applyNumberFormat="1" applyFont="1" applyFill="1" applyBorder="1" applyAlignment="1" applyProtection="1">
      <alignment horizontal="center" vertical="center" wrapText="1"/>
      <protection hidden="1"/>
    </xf>
    <xf numFmtId="14" fontId="4" fillId="4" borderId="1" xfId="0" applyNumberFormat="1" applyFont="1" applyFill="1" applyBorder="1" applyAlignment="1">
      <alignment horizontal="left" vertical="top" wrapText="1"/>
    </xf>
    <xf numFmtId="0" fontId="4" fillId="4" borderId="1" xfId="1" applyFont="1" applyFill="1" applyBorder="1" applyAlignment="1" applyProtection="1">
      <alignment horizontal="center" vertical="center" wrapText="1"/>
      <protection hidden="1"/>
    </xf>
    <xf numFmtId="0" fontId="25" fillId="0" borderId="0" xfId="2" applyAlignment="1">
      <alignment vertical="top"/>
    </xf>
    <xf numFmtId="0" fontId="9" fillId="0" borderId="0" xfId="0" applyFont="1" applyAlignment="1">
      <alignment vertical="top"/>
    </xf>
    <xf numFmtId="1" fontId="6" fillId="4" borderId="1" xfId="1" applyNumberFormat="1" applyFont="1" applyFill="1" applyBorder="1" applyAlignment="1">
      <alignment horizontal="center" vertical="center" wrapText="1"/>
    </xf>
    <xf numFmtId="0" fontId="2" fillId="0" borderId="1" xfId="0" applyFont="1" applyBorder="1" applyAlignment="1">
      <alignment horizontal="center" vertical="top" wrapText="1"/>
    </xf>
    <xf numFmtId="14" fontId="4" fillId="4" borderId="1" xfId="0" applyNumberFormat="1" applyFont="1" applyFill="1" applyBorder="1" applyAlignment="1">
      <alignment horizontal="left" vertical="top" wrapText="1"/>
    </xf>
    <xf numFmtId="0" fontId="4" fillId="4" borderId="1" xfId="0" applyFont="1" applyFill="1" applyBorder="1" applyAlignment="1">
      <alignment horizontal="center" vertical="top" wrapText="1"/>
    </xf>
    <xf numFmtId="0" fontId="3" fillId="0" borderId="0" xfId="0" applyFont="1" applyAlignment="1">
      <alignment vertical="top" wrapText="1"/>
    </xf>
    <xf numFmtId="165" fontId="3" fillId="0" borderId="0" xfId="0" applyNumberFormat="1" applyFont="1" applyAlignment="1">
      <alignment vertical="top"/>
    </xf>
    <xf numFmtId="0" fontId="27" fillId="0" borderId="0" xfId="0" applyFont="1" applyAlignment="1">
      <alignment vertical="top"/>
    </xf>
    <xf numFmtId="9" fontId="4" fillId="4" borderId="1" xfId="1" applyNumberFormat="1" applyFont="1" applyFill="1" applyBorder="1" applyAlignment="1" applyProtection="1">
      <alignment horizontal="center" vertical="center" wrapText="1"/>
      <protection hidden="1"/>
    </xf>
    <xf numFmtId="0" fontId="4" fillId="0" borderId="1" xfId="0" applyFont="1" applyBorder="1" applyAlignment="1">
      <alignment horizontal="center" vertical="top" wrapText="1"/>
    </xf>
    <xf numFmtId="0" fontId="4" fillId="4" borderId="1" xfId="0" applyFont="1" applyFill="1" applyBorder="1" applyAlignment="1">
      <alignment horizontal="left" vertical="top" wrapText="1"/>
    </xf>
    <xf numFmtId="0" fontId="4" fillId="0" borderId="1" xfId="0" applyFont="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center" vertical="center" wrapText="1"/>
    </xf>
    <xf numFmtId="0" fontId="4" fillId="0" borderId="1"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9" fillId="4" borderId="1" xfId="0" applyFont="1" applyFill="1" applyBorder="1" applyAlignment="1">
      <alignment horizontal="left" vertical="top" wrapText="1"/>
    </xf>
    <xf numFmtId="0" fontId="2" fillId="0" borderId="1" xfId="0" applyFont="1" applyBorder="1" applyAlignment="1">
      <alignment horizontal="left" vertical="top" wrapText="1"/>
    </xf>
    <xf numFmtId="0" fontId="2" fillId="4" borderId="1" xfId="0" applyFont="1" applyFill="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0" borderId="3" xfId="0" applyFont="1" applyBorder="1" applyAlignment="1">
      <alignment horizontal="left" vertical="top" wrapText="1"/>
    </xf>
    <xf numFmtId="0" fontId="4" fillId="0" borderId="2" xfId="0" applyFont="1" applyFill="1" applyBorder="1" applyAlignment="1">
      <alignment horizontal="left" vertical="top" wrapText="1"/>
    </xf>
    <xf numFmtId="0" fontId="4" fillId="0" borderId="5" xfId="0" applyFont="1" applyFill="1" applyBorder="1" applyAlignment="1">
      <alignment horizontal="left" vertical="top" wrapText="1"/>
    </xf>
    <xf numFmtId="0" fontId="9" fillId="4" borderId="2" xfId="0" applyFont="1" applyFill="1" applyBorder="1" applyAlignment="1">
      <alignment horizontal="left" vertical="top" wrapText="1"/>
    </xf>
    <xf numFmtId="0" fontId="2" fillId="2" borderId="1" xfId="0" applyFont="1" applyFill="1" applyBorder="1" applyAlignment="1">
      <alignment horizontal="center" vertical="top"/>
    </xf>
    <xf numFmtId="0" fontId="2" fillId="2" borderId="20" xfId="0" applyFont="1" applyFill="1" applyBorder="1" applyAlignment="1">
      <alignment horizontal="center" vertical="top"/>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6" fillId="4" borderId="2" xfId="1" applyNumberFormat="1" applyFont="1" applyFill="1" applyBorder="1" applyAlignment="1">
      <alignment horizontal="center" vertical="center" wrapText="1"/>
    </xf>
    <xf numFmtId="0" fontId="6" fillId="4" borderId="3" xfId="1" applyNumberFormat="1" applyFont="1" applyFill="1" applyBorder="1" applyAlignment="1">
      <alignment horizontal="center" vertical="center" wrapText="1"/>
    </xf>
    <xf numFmtId="0" fontId="6" fillId="4" borderId="5" xfId="1" applyNumberFormat="1" applyFont="1" applyFill="1" applyBorder="1" applyAlignment="1">
      <alignment horizontal="center" vertical="center" wrapText="1"/>
    </xf>
    <xf numFmtId="9" fontId="2" fillId="4" borderId="1" xfId="1" applyNumberFormat="1" applyFont="1" applyFill="1" applyBorder="1" applyAlignment="1" applyProtection="1">
      <alignment horizontal="left" vertical="top" wrapText="1"/>
      <protection hidden="1"/>
    </xf>
    <xf numFmtId="164" fontId="4" fillId="4" borderId="1" xfId="0" applyNumberFormat="1" applyFont="1" applyFill="1" applyBorder="1" applyAlignment="1">
      <alignment horizontal="left" vertical="top" wrapText="1"/>
    </xf>
    <xf numFmtId="0" fontId="26" fillId="4" borderId="1" xfId="2" applyFont="1" applyFill="1" applyBorder="1" applyAlignment="1">
      <alignment horizontal="left" vertical="top" wrapText="1"/>
    </xf>
    <xf numFmtId="0" fontId="2" fillId="2" borderId="1" xfId="0" applyFont="1" applyFill="1" applyBorder="1" applyAlignment="1">
      <alignment horizontal="center"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1" fontId="5" fillId="4" borderId="12"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0" fontId="6" fillId="4" borderId="8" xfId="1" applyNumberFormat="1" applyFont="1" applyFill="1" applyBorder="1" applyAlignment="1">
      <alignment horizontal="center" vertical="center" wrapText="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xf numFmtId="14" fontId="3" fillId="0" borderId="0" xfId="0" applyNumberFormat="1" applyFont="1" applyAlignment="1">
      <alignment vertical="top"/>
    </xf>
    <xf numFmtId="0" fontId="3" fillId="0" borderId="0" xfId="0" applyNumberFormat="1" applyFont="1" applyAlignment="1">
      <alignment vertical="top"/>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0066"/>
      <color rgb="FFFFFFFF"/>
      <color rgb="FFFCF56A"/>
      <color rgb="FFCC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jp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g"/><Relationship Id="rId22" Type="http://schemas.openxmlformats.org/officeDocument/2006/relationships/image" Target="../media/image22.png"/><Relationship Id="rId27"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8</xdr:col>
      <xdr:colOff>1086969</xdr:colOff>
      <xdr:row>8</xdr:row>
      <xdr:rowOff>739587</xdr:rowOff>
    </xdr:from>
    <xdr:to>
      <xdr:col>16</xdr:col>
      <xdr:colOff>408608</xdr:colOff>
      <xdr:row>8</xdr:row>
      <xdr:rowOff>1711016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499910" y="4975411"/>
          <a:ext cx="6428571" cy="971429"/>
        </a:xfrm>
        <a:prstGeom prst="rect">
          <a:avLst/>
        </a:prstGeom>
      </xdr:spPr>
    </xdr:pic>
    <xdr:clientData/>
  </xdr:twoCellAnchor>
  <xdr:twoCellAnchor editAs="oneCell">
    <xdr:from>
      <xdr:col>8</xdr:col>
      <xdr:colOff>1893793</xdr:colOff>
      <xdr:row>49</xdr:row>
      <xdr:rowOff>179294</xdr:rowOff>
    </xdr:from>
    <xdr:to>
      <xdr:col>12</xdr:col>
      <xdr:colOff>416856</xdr:colOff>
      <xdr:row>53</xdr:row>
      <xdr:rowOff>405947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1306734" y="24798618"/>
          <a:ext cx="3229534" cy="2142858"/>
        </a:xfrm>
        <a:prstGeom prst="rect">
          <a:avLst/>
        </a:prstGeom>
      </xdr:spPr>
    </xdr:pic>
    <xdr:clientData/>
  </xdr:twoCellAnchor>
  <xdr:twoCellAnchor editAs="oneCell">
    <xdr:from>
      <xdr:col>8</xdr:col>
      <xdr:colOff>1722504</xdr:colOff>
      <xdr:row>39</xdr:row>
      <xdr:rowOff>60832</xdr:rowOff>
    </xdr:from>
    <xdr:to>
      <xdr:col>13</xdr:col>
      <xdr:colOff>311201</xdr:colOff>
      <xdr:row>54</xdr:row>
      <xdr:rowOff>68629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11084218" y="21764225"/>
          <a:ext cx="3922697" cy="5477868"/>
        </a:xfrm>
        <a:prstGeom prst="rect">
          <a:avLst/>
        </a:prstGeom>
      </xdr:spPr>
    </xdr:pic>
    <xdr:clientData/>
  </xdr:twoCellAnchor>
  <xdr:twoCellAnchor editAs="oneCell">
    <xdr:from>
      <xdr:col>11</xdr:col>
      <xdr:colOff>246530</xdr:colOff>
      <xdr:row>53</xdr:row>
      <xdr:rowOff>190501</xdr:rowOff>
    </xdr:from>
    <xdr:to>
      <xdr:col>17</xdr:col>
      <xdr:colOff>426311</xdr:colOff>
      <xdr:row>68</xdr:row>
      <xdr:rowOff>152850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13760824" y="26726030"/>
          <a:ext cx="3810487" cy="5352379"/>
        </a:xfrm>
        <a:prstGeom prst="rect">
          <a:avLst/>
        </a:prstGeom>
      </xdr:spPr>
    </xdr:pic>
    <xdr:clientData/>
  </xdr:twoCellAnchor>
  <xdr:twoCellAnchor editAs="oneCell">
    <xdr:from>
      <xdr:col>11</xdr:col>
      <xdr:colOff>148078</xdr:colOff>
      <xdr:row>189</xdr:row>
      <xdr:rowOff>204101</xdr:rowOff>
    </xdr:from>
    <xdr:to>
      <xdr:col>17</xdr:col>
      <xdr:colOff>297523</xdr:colOff>
      <xdr:row>201</xdr:row>
      <xdr:rowOff>63657</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13619149" y="67355351"/>
          <a:ext cx="3823374" cy="2961985"/>
        </a:xfrm>
        <a:prstGeom prst="rect">
          <a:avLst/>
        </a:prstGeom>
      </xdr:spPr>
    </xdr:pic>
    <xdr:clientData/>
  </xdr:twoCellAnchor>
  <xdr:twoCellAnchor editAs="oneCell">
    <xdr:from>
      <xdr:col>9</xdr:col>
      <xdr:colOff>930890</xdr:colOff>
      <xdr:row>181</xdr:row>
      <xdr:rowOff>246528</xdr:rowOff>
    </xdr:from>
    <xdr:to>
      <xdr:col>22</xdr:col>
      <xdr:colOff>491562</xdr:colOff>
      <xdr:row>188</xdr:row>
      <xdr:rowOff>242381</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12551390" y="65329492"/>
          <a:ext cx="6309815" cy="1805603"/>
        </a:xfrm>
        <a:prstGeom prst="rect">
          <a:avLst/>
        </a:prstGeom>
      </xdr:spPr>
    </xdr:pic>
    <xdr:clientData/>
  </xdr:twoCellAnchor>
  <xdr:twoCellAnchor editAs="oneCell">
    <xdr:from>
      <xdr:col>12</xdr:col>
      <xdr:colOff>379398</xdr:colOff>
      <xdr:row>218</xdr:row>
      <xdr:rowOff>207309</xdr:rowOff>
    </xdr:from>
    <xdr:to>
      <xdr:col>23</xdr:col>
      <xdr:colOff>369738</xdr:colOff>
      <xdr:row>236</xdr:row>
      <xdr:rowOff>204108</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a:stretch>
          <a:fillRect/>
        </a:stretch>
      </xdr:blipFill>
      <xdr:spPr>
        <a:xfrm>
          <a:off x="14462791" y="74856095"/>
          <a:ext cx="4888911" cy="4908977"/>
        </a:xfrm>
        <a:prstGeom prst="rect">
          <a:avLst/>
        </a:prstGeom>
      </xdr:spPr>
    </xdr:pic>
    <xdr:clientData/>
  </xdr:twoCellAnchor>
  <xdr:twoCellAnchor editAs="oneCell">
    <xdr:from>
      <xdr:col>12</xdr:col>
      <xdr:colOff>244927</xdr:colOff>
      <xdr:row>251</xdr:row>
      <xdr:rowOff>46366</xdr:rowOff>
    </xdr:from>
    <xdr:to>
      <xdr:col>22</xdr:col>
      <xdr:colOff>223760</xdr:colOff>
      <xdr:row>262</xdr:row>
      <xdr:rowOff>143600</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8"/>
        <a:stretch>
          <a:fillRect/>
        </a:stretch>
      </xdr:blipFill>
      <xdr:spPr>
        <a:xfrm>
          <a:off x="14328320" y="83743902"/>
          <a:ext cx="4265083" cy="2941127"/>
        </a:xfrm>
        <a:prstGeom prst="rect">
          <a:avLst/>
        </a:prstGeom>
      </xdr:spPr>
    </xdr:pic>
    <xdr:clientData/>
  </xdr:twoCellAnchor>
  <xdr:twoCellAnchor>
    <xdr:from>
      <xdr:col>8</xdr:col>
      <xdr:colOff>470646</xdr:colOff>
      <xdr:row>279</xdr:row>
      <xdr:rowOff>179295</xdr:rowOff>
    </xdr:from>
    <xdr:to>
      <xdr:col>22</xdr:col>
      <xdr:colOff>268940</xdr:colOff>
      <xdr:row>313</xdr:row>
      <xdr:rowOff>176094</xdr:rowOff>
    </xdr:to>
    <xdr:grpSp>
      <xdr:nvGrpSpPr>
        <xdr:cNvPr id="12" name="Group 11">
          <a:extLst>
            <a:ext uri="{FF2B5EF4-FFF2-40B4-BE49-F238E27FC236}">
              <a16:creationId xmlns:a16="http://schemas.microsoft.com/office/drawing/2014/main" id="{00000000-0008-0000-0000-00000C000000}"/>
            </a:ext>
          </a:extLst>
        </xdr:cNvPr>
        <xdr:cNvGrpSpPr/>
      </xdr:nvGrpSpPr>
      <xdr:grpSpPr>
        <a:xfrm>
          <a:off x="9883587" y="91081413"/>
          <a:ext cx="8740588" cy="8759799"/>
          <a:chOff x="-4803" y="-6168"/>
          <a:chExt cx="6883659" cy="7106682"/>
        </a:xfrm>
      </xdr:grpSpPr>
      <xdr:grpSp>
        <xdr:nvGrpSpPr>
          <xdr:cNvPr id="13" name="Group 12">
            <a:extLst>
              <a:ext uri="{FF2B5EF4-FFF2-40B4-BE49-F238E27FC236}">
                <a16:creationId xmlns:a16="http://schemas.microsoft.com/office/drawing/2014/main" id="{00000000-0008-0000-0000-00000D000000}"/>
              </a:ext>
            </a:extLst>
          </xdr:cNvPr>
          <xdr:cNvGrpSpPr/>
        </xdr:nvGrpSpPr>
        <xdr:grpSpPr>
          <a:xfrm>
            <a:off x="205348" y="5300513"/>
            <a:ext cx="6350360" cy="1800001"/>
            <a:chOff x="389152" y="7277969"/>
            <a:chExt cx="6350360" cy="1800001"/>
          </a:xfrm>
        </xdr:grpSpPr>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90918" y="7277970"/>
              <a:ext cx="1348594" cy="1800000"/>
            </a:xfrm>
            <a:prstGeom prst="rect">
              <a:avLst/>
            </a:prstGeom>
            <a:ln>
              <a:solidFill>
                <a:schemeClr val="tx1"/>
              </a:solidFill>
            </a:ln>
          </xdr:spPr>
        </xdr:pic>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89152" y="7277970"/>
              <a:ext cx="2398096" cy="1800000"/>
            </a:xfrm>
            <a:prstGeom prst="rect">
              <a:avLst/>
            </a:prstGeom>
            <a:ln>
              <a:solidFill>
                <a:schemeClr val="tx1"/>
              </a:solidFill>
            </a:ln>
          </xdr:spPr>
        </xdr:pic>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888445" y="7277969"/>
              <a:ext cx="2390506" cy="1800000"/>
            </a:xfrm>
            <a:prstGeom prst="rect">
              <a:avLst/>
            </a:prstGeom>
            <a:ln>
              <a:solidFill>
                <a:schemeClr val="tx1"/>
              </a:solidFill>
            </a:ln>
          </xdr:spPr>
        </xdr:pic>
      </xdr:grpSp>
      <xdr:grpSp>
        <xdr:nvGrpSpPr>
          <xdr:cNvPr id="14" name="Group 13">
            <a:extLst>
              <a:ext uri="{FF2B5EF4-FFF2-40B4-BE49-F238E27FC236}">
                <a16:creationId xmlns:a16="http://schemas.microsoft.com/office/drawing/2014/main" id="{00000000-0008-0000-0000-00000E000000}"/>
              </a:ext>
            </a:extLst>
          </xdr:cNvPr>
          <xdr:cNvGrpSpPr/>
        </xdr:nvGrpSpPr>
        <xdr:grpSpPr>
          <a:xfrm>
            <a:off x="-3686" y="-6168"/>
            <a:ext cx="6881424" cy="2520000"/>
            <a:chOff x="0" y="-6168"/>
            <a:chExt cx="6881424" cy="2520000"/>
          </a:xfrm>
        </xdr:grpSpPr>
        <xdr:grpSp>
          <xdr:nvGrpSpPr>
            <xdr:cNvPr id="22" name="Group 21">
              <a:extLst>
                <a:ext uri="{FF2B5EF4-FFF2-40B4-BE49-F238E27FC236}">
                  <a16:creationId xmlns:a16="http://schemas.microsoft.com/office/drawing/2014/main" id="{00000000-0008-0000-0000-000016000000}"/>
                </a:ext>
              </a:extLst>
            </xdr:cNvPr>
            <xdr:cNvGrpSpPr/>
          </xdr:nvGrpSpPr>
          <xdr:grpSpPr>
            <a:xfrm>
              <a:off x="0" y="-6168"/>
              <a:ext cx="3357334" cy="2520000"/>
              <a:chOff x="0" y="33286"/>
              <a:chExt cx="3357334" cy="2520000"/>
            </a:xfrm>
          </xdr:grpSpPr>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33286"/>
                <a:ext cx="3357334" cy="2520000"/>
              </a:xfrm>
              <a:prstGeom prst="rect">
                <a:avLst/>
              </a:prstGeom>
              <a:ln>
                <a:solidFill>
                  <a:schemeClr val="tx1"/>
                </a:solidFill>
              </a:ln>
            </xdr:spPr>
          </xdr:pic>
          <xdr:sp macro="" textlink="">
            <xdr:nvSpPr>
              <xdr:cNvPr id="27" name="TextBox 19">
                <a:extLst>
                  <a:ext uri="{FF2B5EF4-FFF2-40B4-BE49-F238E27FC236}">
                    <a16:creationId xmlns:a16="http://schemas.microsoft.com/office/drawing/2014/main" id="{00000000-0008-0000-0000-00001B000000}"/>
                  </a:ext>
                </a:extLst>
              </xdr:cNvPr>
              <xdr:cNvSpPr txBox="1"/>
            </xdr:nvSpPr>
            <xdr:spPr>
              <a:xfrm>
                <a:off x="1617117" y="346710"/>
                <a:ext cx="978666" cy="55399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3000" b="1"/>
                  <a:t>Palm</a:t>
                </a:r>
                <a:endParaRPr lang="en-IN" sz="3000" b="1"/>
              </a:p>
            </xdr:txBody>
          </xdr:sp>
        </xdr:grpSp>
        <xdr:grpSp>
          <xdr:nvGrpSpPr>
            <xdr:cNvPr id="23" name="Group 22">
              <a:extLst>
                <a:ext uri="{FF2B5EF4-FFF2-40B4-BE49-F238E27FC236}">
                  <a16:creationId xmlns:a16="http://schemas.microsoft.com/office/drawing/2014/main" id="{00000000-0008-0000-0000-000017000000}"/>
                </a:ext>
              </a:extLst>
            </xdr:cNvPr>
            <xdr:cNvGrpSpPr/>
          </xdr:nvGrpSpPr>
          <xdr:grpSpPr>
            <a:xfrm>
              <a:off x="3524090" y="-6168"/>
              <a:ext cx="3357334" cy="2520000"/>
              <a:chOff x="3450938" y="33286"/>
              <a:chExt cx="3357334" cy="2520000"/>
            </a:xfrm>
          </xdr:grpSpPr>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450938" y="33286"/>
                <a:ext cx="3357334" cy="2520000"/>
              </a:xfrm>
              <a:prstGeom prst="rect">
                <a:avLst/>
              </a:prstGeom>
              <a:ln>
                <a:solidFill>
                  <a:schemeClr val="tx1"/>
                </a:solidFill>
              </a:ln>
            </xdr:spPr>
          </xdr:pic>
          <xdr:sp macro="" textlink="">
            <xdr:nvSpPr>
              <xdr:cNvPr id="25" name="TextBox 22">
                <a:extLst>
                  <a:ext uri="{FF2B5EF4-FFF2-40B4-BE49-F238E27FC236}">
                    <a16:creationId xmlns:a16="http://schemas.microsoft.com/office/drawing/2014/main" id="{00000000-0008-0000-0000-000019000000}"/>
                  </a:ext>
                </a:extLst>
              </xdr:cNvPr>
              <xdr:cNvSpPr txBox="1"/>
            </xdr:nvSpPr>
            <xdr:spPr>
              <a:xfrm>
                <a:off x="4640272" y="346710"/>
                <a:ext cx="817853" cy="55399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3000" b="1"/>
                  <a:t>Oak</a:t>
                </a:r>
                <a:endParaRPr lang="en-IN" sz="3000" b="1"/>
              </a:p>
            </xdr:txBody>
          </xdr:sp>
        </xdr:grpSp>
      </xdr:grpSp>
      <xdr:grpSp>
        <xdr:nvGrpSpPr>
          <xdr:cNvPr id="15" name="Group 14">
            <a:extLst>
              <a:ext uri="{FF2B5EF4-FFF2-40B4-BE49-F238E27FC236}">
                <a16:creationId xmlns:a16="http://schemas.microsoft.com/office/drawing/2014/main" id="{00000000-0008-0000-0000-00000F000000}"/>
              </a:ext>
            </a:extLst>
          </xdr:cNvPr>
          <xdr:cNvGrpSpPr/>
        </xdr:nvGrpSpPr>
        <xdr:grpSpPr>
          <a:xfrm>
            <a:off x="-4803" y="2668243"/>
            <a:ext cx="6883659" cy="2520000"/>
            <a:chOff x="-7371" y="2668243"/>
            <a:chExt cx="6883659" cy="2520000"/>
          </a:xfrm>
        </xdr:grpSpPr>
        <xdr:grpSp>
          <xdr:nvGrpSpPr>
            <xdr:cNvPr id="16" name="Group 15">
              <a:extLst>
                <a:ext uri="{FF2B5EF4-FFF2-40B4-BE49-F238E27FC236}">
                  <a16:creationId xmlns:a16="http://schemas.microsoft.com/office/drawing/2014/main" id="{00000000-0008-0000-0000-000010000000}"/>
                </a:ext>
              </a:extLst>
            </xdr:cNvPr>
            <xdr:cNvGrpSpPr/>
          </xdr:nvGrpSpPr>
          <xdr:grpSpPr>
            <a:xfrm>
              <a:off x="3518954" y="2668243"/>
              <a:ext cx="3357334" cy="2520000"/>
              <a:chOff x="3450938" y="2668243"/>
              <a:chExt cx="3357334" cy="2520000"/>
            </a:xfrm>
          </xdr:grpSpPr>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450938" y="2668243"/>
                <a:ext cx="3357334" cy="2520000"/>
              </a:xfrm>
              <a:prstGeom prst="rect">
                <a:avLst/>
              </a:prstGeom>
              <a:ln>
                <a:solidFill>
                  <a:schemeClr val="tx1"/>
                </a:solidFill>
              </a:ln>
            </xdr:spPr>
          </xdr:pic>
          <xdr:sp macro="" textlink="">
            <xdr:nvSpPr>
              <xdr:cNvPr id="21" name="TextBox 23">
                <a:extLst>
                  <a:ext uri="{FF2B5EF4-FFF2-40B4-BE49-F238E27FC236}">
                    <a16:creationId xmlns:a16="http://schemas.microsoft.com/office/drawing/2014/main" id="{00000000-0008-0000-0000-000015000000}"/>
                  </a:ext>
                </a:extLst>
              </xdr:cNvPr>
              <xdr:cNvSpPr txBox="1"/>
            </xdr:nvSpPr>
            <xdr:spPr>
              <a:xfrm>
                <a:off x="4446308" y="3134845"/>
                <a:ext cx="1205779" cy="55399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3000" b="1"/>
                  <a:t>Maple</a:t>
                </a:r>
                <a:endParaRPr lang="en-IN" sz="3000" b="1"/>
              </a:p>
            </xdr:txBody>
          </xdr:sp>
        </xdr:grpSp>
        <xdr:grpSp>
          <xdr:nvGrpSpPr>
            <xdr:cNvPr id="17" name="Group 16">
              <a:extLst>
                <a:ext uri="{FF2B5EF4-FFF2-40B4-BE49-F238E27FC236}">
                  <a16:creationId xmlns:a16="http://schemas.microsoft.com/office/drawing/2014/main" id="{00000000-0008-0000-0000-000011000000}"/>
                </a:ext>
              </a:extLst>
            </xdr:cNvPr>
            <xdr:cNvGrpSpPr/>
          </xdr:nvGrpSpPr>
          <xdr:grpSpPr>
            <a:xfrm>
              <a:off x="-7371" y="2668243"/>
              <a:ext cx="3357334" cy="2520000"/>
              <a:chOff x="0" y="2668243"/>
              <a:chExt cx="3357334" cy="2520000"/>
            </a:xfrm>
          </xdr:grpSpPr>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2668243"/>
                <a:ext cx="3357334" cy="2520000"/>
              </a:xfrm>
              <a:prstGeom prst="rect">
                <a:avLst/>
              </a:prstGeom>
              <a:ln>
                <a:solidFill>
                  <a:schemeClr val="tx1"/>
                </a:solidFill>
              </a:ln>
            </xdr:spPr>
          </xdr:pic>
          <xdr:sp macro="" textlink="">
            <xdr:nvSpPr>
              <xdr:cNvPr id="19" name="TextBox 24">
                <a:extLst>
                  <a:ext uri="{FF2B5EF4-FFF2-40B4-BE49-F238E27FC236}">
                    <a16:creationId xmlns:a16="http://schemas.microsoft.com/office/drawing/2014/main" id="{00000000-0008-0000-0000-000013000000}"/>
                  </a:ext>
                </a:extLst>
              </xdr:cNvPr>
              <xdr:cNvSpPr txBox="1"/>
            </xdr:nvSpPr>
            <xdr:spPr>
              <a:xfrm>
                <a:off x="900671" y="3102576"/>
                <a:ext cx="1350563" cy="55399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3000" b="1"/>
                  <a:t>Walnut</a:t>
                </a:r>
                <a:endParaRPr lang="en-IN" sz="3000" b="1"/>
              </a:p>
            </xdr:txBody>
          </xdr:sp>
        </xdr:grpSp>
      </xdr:grpSp>
    </xdr:grpSp>
    <xdr:clientData/>
  </xdr:twoCellAnchor>
  <xdr:twoCellAnchor>
    <xdr:from>
      <xdr:col>0</xdr:col>
      <xdr:colOff>739588</xdr:colOff>
      <xdr:row>324</xdr:row>
      <xdr:rowOff>156883</xdr:rowOff>
    </xdr:from>
    <xdr:to>
      <xdr:col>7</xdr:col>
      <xdr:colOff>739587</xdr:colOff>
      <xdr:row>368</xdr:row>
      <xdr:rowOff>44823</xdr:rowOff>
    </xdr:to>
    <xdr:grpSp>
      <xdr:nvGrpSpPr>
        <xdr:cNvPr id="31" name="Group 30">
          <a:extLst>
            <a:ext uri="{FF2B5EF4-FFF2-40B4-BE49-F238E27FC236}">
              <a16:creationId xmlns:a16="http://schemas.microsoft.com/office/drawing/2014/main" id="{00000000-0008-0000-0000-00001F000000}"/>
            </a:ext>
          </a:extLst>
        </xdr:cNvPr>
        <xdr:cNvGrpSpPr/>
      </xdr:nvGrpSpPr>
      <xdr:grpSpPr>
        <a:xfrm>
          <a:off x="739588" y="102657089"/>
          <a:ext cx="8236323" cy="11228293"/>
          <a:chOff x="0" y="281360"/>
          <a:chExt cx="6858000" cy="9914361"/>
        </a:xfrm>
      </xdr:grpSpPr>
      <xdr:grpSp>
        <xdr:nvGrpSpPr>
          <xdr:cNvPr id="32" name="Group 31">
            <a:extLst>
              <a:ext uri="{FF2B5EF4-FFF2-40B4-BE49-F238E27FC236}">
                <a16:creationId xmlns:a16="http://schemas.microsoft.com/office/drawing/2014/main" id="{00000000-0008-0000-0000-000020000000}"/>
              </a:ext>
            </a:extLst>
          </xdr:cNvPr>
          <xdr:cNvGrpSpPr/>
        </xdr:nvGrpSpPr>
        <xdr:grpSpPr>
          <a:xfrm>
            <a:off x="0" y="281360"/>
            <a:ext cx="6858000" cy="7243512"/>
            <a:chOff x="0" y="0"/>
            <a:chExt cx="6858000" cy="7243512"/>
          </a:xfrm>
        </xdr:grpSpPr>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0"/>
              <a:ext cx="6858000" cy="7243512"/>
            </a:xfrm>
            <a:prstGeom prst="rect">
              <a:avLst/>
            </a:prstGeom>
            <a:ln>
              <a:solidFill>
                <a:schemeClr val="tx1"/>
              </a:solidFill>
            </a:ln>
          </xdr:spPr>
        </xdr:pic>
        <xdr:sp macro="" textlink="">
          <xdr:nvSpPr>
            <xdr:cNvPr id="35" name="Rectangle 34">
              <a:extLst>
                <a:ext uri="{FF2B5EF4-FFF2-40B4-BE49-F238E27FC236}">
                  <a16:creationId xmlns:a16="http://schemas.microsoft.com/office/drawing/2014/main" id="{00000000-0008-0000-0000-000023000000}"/>
                </a:ext>
              </a:extLst>
            </xdr:cNvPr>
            <xdr:cNvSpPr/>
          </xdr:nvSpPr>
          <xdr:spPr>
            <a:xfrm rot="21409046">
              <a:off x="2787298" y="1640330"/>
              <a:ext cx="820272" cy="53218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6" name="Rectangle 35">
              <a:extLst>
                <a:ext uri="{FF2B5EF4-FFF2-40B4-BE49-F238E27FC236}">
                  <a16:creationId xmlns:a16="http://schemas.microsoft.com/office/drawing/2014/main" id="{00000000-0008-0000-0000-000024000000}"/>
                </a:ext>
              </a:extLst>
            </xdr:cNvPr>
            <xdr:cNvSpPr/>
          </xdr:nvSpPr>
          <xdr:spPr>
            <a:xfrm rot="178987">
              <a:off x="3621627" y="2103565"/>
              <a:ext cx="947151" cy="54514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7" name="Rectangle 36">
              <a:extLst>
                <a:ext uri="{FF2B5EF4-FFF2-40B4-BE49-F238E27FC236}">
                  <a16:creationId xmlns:a16="http://schemas.microsoft.com/office/drawing/2014/main" id="{00000000-0008-0000-0000-000025000000}"/>
                </a:ext>
              </a:extLst>
            </xdr:cNvPr>
            <xdr:cNvSpPr/>
          </xdr:nvSpPr>
          <xdr:spPr>
            <a:xfrm rot="156656">
              <a:off x="4596330" y="2138094"/>
              <a:ext cx="845549" cy="56037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8" name="Rectangle 37">
              <a:extLst>
                <a:ext uri="{FF2B5EF4-FFF2-40B4-BE49-F238E27FC236}">
                  <a16:creationId xmlns:a16="http://schemas.microsoft.com/office/drawing/2014/main" id="{00000000-0008-0000-0000-000026000000}"/>
                </a:ext>
              </a:extLst>
            </xdr:cNvPr>
            <xdr:cNvSpPr/>
          </xdr:nvSpPr>
          <xdr:spPr>
            <a:xfrm rot="6156695">
              <a:off x="4403185" y="2888067"/>
              <a:ext cx="928816" cy="56037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9" name="TextBox 37">
              <a:extLst>
                <a:ext uri="{FF2B5EF4-FFF2-40B4-BE49-F238E27FC236}">
                  <a16:creationId xmlns:a16="http://schemas.microsoft.com/office/drawing/2014/main" id="{00000000-0008-0000-0000-000027000000}"/>
                </a:ext>
              </a:extLst>
            </xdr:cNvPr>
            <xdr:cNvSpPr txBox="1"/>
          </xdr:nvSpPr>
          <xdr:spPr>
            <a:xfrm>
              <a:off x="2099857" y="1139855"/>
              <a:ext cx="2195153"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Building No. 4 (Palm)</a:t>
              </a:r>
              <a:endParaRPr lang="en-IN" b="1">
                <a:solidFill>
                  <a:srgbClr val="FF0000"/>
                </a:solidFill>
              </a:endParaRPr>
            </a:p>
          </xdr:txBody>
        </xdr:sp>
        <xdr:sp macro="" textlink="">
          <xdr:nvSpPr>
            <xdr:cNvPr id="40" name="TextBox 38">
              <a:extLst>
                <a:ext uri="{FF2B5EF4-FFF2-40B4-BE49-F238E27FC236}">
                  <a16:creationId xmlns:a16="http://schemas.microsoft.com/office/drawing/2014/main" id="{00000000-0008-0000-0000-000028000000}"/>
                </a:ext>
              </a:extLst>
            </xdr:cNvPr>
            <xdr:cNvSpPr txBox="1"/>
          </xdr:nvSpPr>
          <xdr:spPr>
            <a:xfrm>
              <a:off x="2667307" y="2643304"/>
              <a:ext cx="232948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Building No. 6 (Maple)</a:t>
              </a:r>
              <a:endParaRPr lang="en-IN" b="1">
                <a:solidFill>
                  <a:srgbClr val="FF0000"/>
                </a:solidFill>
              </a:endParaRPr>
            </a:p>
          </xdr:txBody>
        </xdr:sp>
        <xdr:sp macro="" textlink="">
          <xdr:nvSpPr>
            <xdr:cNvPr id="41" name="TextBox 39">
              <a:extLst>
                <a:ext uri="{FF2B5EF4-FFF2-40B4-BE49-F238E27FC236}">
                  <a16:creationId xmlns:a16="http://schemas.microsoft.com/office/drawing/2014/main" id="{00000000-0008-0000-0000-000029000000}"/>
                </a:ext>
              </a:extLst>
            </xdr:cNvPr>
            <xdr:cNvSpPr txBox="1"/>
          </xdr:nvSpPr>
          <xdr:spPr>
            <a:xfrm>
              <a:off x="4456637" y="1729875"/>
              <a:ext cx="209865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Building No. 1 (Oak)</a:t>
              </a:r>
              <a:endParaRPr lang="en-IN" b="1">
                <a:solidFill>
                  <a:srgbClr val="FF0000"/>
                </a:solidFill>
              </a:endParaRPr>
            </a:p>
          </xdr:txBody>
        </xdr:sp>
        <xdr:sp macro="" textlink="">
          <xdr:nvSpPr>
            <xdr:cNvPr id="42" name="TextBox 40">
              <a:extLst>
                <a:ext uri="{FF2B5EF4-FFF2-40B4-BE49-F238E27FC236}">
                  <a16:creationId xmlns:a16="http://schemas.microsoft.com/office/drawing/2014/main" id="{00000000-0008-0000-0000-00002A000000}"/>
                </a:ext>
              </a:extLst>
            </xdr:cNvPr>
            <xdr:cNvSpPr txBox="1"/>
          </xdr:nvSpPr>
          <xdr:spPr>
            <a:xfrm>
              <a:off x="3667289" y="3791416"/>
              <a:ext cx="2417328"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Building No. 7 (Walnut)</a:t>
              </a:r>
              <a:endParaRPr lang="en-IN" b="1">
                <a:solidFill>
                  <a:srgbClr val="FF0000"/>
                </a:solidFill>
              </a:endParaRPr>
            </a:p>
          </xdr:txBody>
        </xdr:sp>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53124" y="5532934"/>
              <a:ext cx="1080000" cy="1080000"/>
            </a:xfrm>
            <a:prstGeom prst="rect">
              <a:avLst/>
            </a:prstGeom>
          </xdr:spPr>
        </xdr:pic>
      </xdr:grpSp>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8"/>
          <a:stretch>
            <a:fillRect/>
          </a:stretch>
        </xdr:blipFill>
        <xdr:spPr>
          <a:xfrm>
            <a:off x="1602913" y="7675721"/>
            <a:ext cx="3652174" cy="2520000"/>
          </a:xfrm>
          <a:prstGeom prst="rect">
            <a:avLst/>
          </a:prstGeom>
          <a:ln>
            <a:solidFill>
              <a:schemeClr val="tx1"/>
            </a:solidFill>
          </a:ln>
        </xdr:spPr>
      </xdr:pic>
    </xdr:grpSp>
    <xdr:clientData/>
  </xdr:twoCellAnchor>
  <xdr:twoCellAnchor>
    <xdr:from>
      <xdr:col>0</xdr:col>
      <xdr:colOff>448235</xdr:colOff>
      <xdr:row>374</xdr:row>
      <xdr:rowOff>100853</xdr:rowOff>
    </xdr:from>
    <xdr:to>
      <xdr:col>7</xdr:col>
      <xdr:colOff>986117</xdr:colOff>
      <xdr:row>403</xdr:row>
      <xdr:rowOff>145676</xdr:rowOff>
    </xdr:to>
    <xdr:grpSp>
      <xdr:nvGrpSpPr>
        <xdr:cNvPr id="80" name="Group 79">
          <a:extLst>
            <a:ext uri="{FF2B5EF4-FFF2-40B4-BE49-F238E27FC236}">
              <a16:creationId xmlns:a16="http://schemas.microsoft.com/office/drawing/2014/main" id="{00000000-0008-0000-0000-000050000000}"/>
            </a:ext>
          </a:extLst>
        </xdr:cNvPr>
        <xdr:cNvGrpSpPr/>
      </xdr:nvGrpSpPr>
      <xdr:grpSpPr>
        <a:xfrm>
          <a:off x="448235" y="115487824"/>
          <a:ext cx="8774206" cy="7519146"/>
          <a:chOff x="-1614098" y="-1549431"/>
          <a:chExt cx="8640000" cy="10148304"/>
        </a:xfrm>
      </xdr:grpSpPr>
      <xdr:pic>
        <xdr:nvPicPr>
          <xdr:cNvPr id="81" name="Picture 80">
            <a:extLst>
              <a:ext uri="{FF2B5EF4-FFF2-40B4-BE49-F238E27FC236}">
                <a16:creationId xmlns:a16="http://schemas.microsoft.com/office/drawing/2014/main" id="{00000000-0008-0000-0000-000051000000}"/>
              </a:ext>
            </a:extLst>
          </xdr:cNvPr>
          <xdr:cNvPicPr>
            <a:picLocks noChangeAspect="1"/>
          </xdr:cNvPicPr>
        </xdr:nvPicPr>
        <xdr:blipFill rotWithShape="1">
          <a:blip xmlns:r="http://schemas.openxmlformats.org/officeDocument/2006/relationships" r:embed="rId19"/>
          <a:srcRect l="8149" t="19551" r="11167" b="12420"/>
          <a:stretch/>
        </xdr:blipFill>
        <xdr:spPr>
          <a:xfrm>
            <a:off x="-1614098" y="-1549431"/>
            <a:ext cx="8640000" cy="4994031"/>
          </a:xfrm>
          <a:prstGeom prst="rect">
            <a:avLst/>
          </a:prstGeom>
          <a:ln>
            <a:solidFill>
              <a:schemeClr val="tx1"/>
            </a:solidFill>
          </a:ln>
        </xdr:spPr>
      </xdr:pic>
      <xdr:grpSp>
        <xdr:nvGrpSpPr>
          <xdr:cNvPr id="82" name="Group 81">
            <a:extLst>
              <a:ext uri="{FF2B5EF4-FFF2-40B4-BE49-F238E27FC236}">
                <a16:creationId xmlns:a16="http://schemas.microsoft.com/office/drawing/2014/main" id="{00000000-0008-0000-0000-000052000000}"/>
              </a:ext>
            </a:extLst>
          </xdr:cNvPr>
          <xdr:cNvGrpSpPr/>
        </xdr:nvGrpSpPr>
        <xdr:grpSpPr>
          <a:xfrm>
            <a:off x="-1614098" y="3604842"/>
            <a:ext cx="8640000" cy="4994031"/>
            <a:chOff x="-1863969" y="2497015"/>
            <a:chExt cx="10445262" cy="4994031"/>
          </a:xfrm>
        </xdr:grpSpPr>
        <xdr:pic>
          <xdr:nvPicPr>
            <xdr:cNvPr id="83" name="Picture 82">
              <a:extLst>
                <a:ext uri="{FF2B5EF4-FFF2-40B4-BE49-F238E27FC236}">
                  <a16:creationId xmlns:a16="http://schemas.microsoft.com/office/drawing/2014/main" id="{00000000-0008-0000-0000-000053000000}"/>
                </a:ext>
              </a:extLst>
            </xdr:cNvPr>
            <xdr:cNvPicPr>
              <a:picLocks noChangeAspect="1"/>
            </xdr:cNvPicPr>
          </xdr:nvPicPr>
          <xdr:blipFill rotWithShape="1">
            <a:blip xmlns:r="http://schemas.openxmlformats.org/officeDocument/2006/relationships" r:embed="rId20"/>
            <a:srcRect l="9050" t="19711" r="10671" b="12020"/>
            <a:stretch/>
          </xdr:blipFill>
          <xdr:spPr>
            <a:xfrm>
              <a:off x="-1863969" y="2497015"/>
              <a:ext cx="10445262" cy="4994031"/>
            </a:xfrm>
            <a:prstGeom prst="rect">
              <a:avLst/>
            </a:prstGeom>
            <a:ln>
              <a:solidFill>
                <a:schemeClr val="tx1"/>
              </a:solidFill>
            </a:ln>
          </xdr:spPr>
        </xdr:pic>
        <xdr:sp macro="" textlink="">
          <xdr:nvSpPr>
            <xdr:cNvPr id="84" name="Rectangle 83">
              <a:extLst>
                <a:ext uri="{FF2B5EF4-FFF2-40B4-BE49-F238E27FC236}">
                  <a16:creationId xmlns:a16="http://schemas.microsoft.com/office/drawing/2014/main" id="{00000000-0008-0000-0000-000054000000}"/>
                </a:ext>
              </a:extLst>
            </xdr:cNvPr>
            <xdr:cNvSpPr/>
          </xdr:nvSpPr>
          <xdr:spPr>
            <a:xfrm rot="560620">
              <a:off x="5089395" y="4611951"/>
              <a:ext cx="428752" cy="307819"/>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85" name="Rectangle 84">
              <a:extLst>
                <a:ext uri="{FF2B5EF4-FFF2-40B4-BE49-F238E27FC236}">
                  <a16:creationId xmlns:a16="http://schemas.microsoft.com/office/drawing/2014/main" id="{00000000-0008-0000-0000-000055000000}"/>
                </a:ext>
              </a:extLst>
            </xdr:cNvPr>
            <xdr:cNvSpPr/>
          </xdr:nvSpPr>
          <xdr:spPr>
            <a:xfrm rot="6160852">
              <a:off x="4994145" y="5004348"/>
              <a:ext cx="428752" cy="307819"/>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86" name="Rectangle 85">
              <a:extLst>
                <a:ext uri="{FF2B5EF4-FFF2-40B4-BE49-F238E27FC236}">
                  <a16:creationId xmlns:a16="http://schemas.microsoft.com/office/drawing/2014/main" id="{00000000-0008-0000-0000-000056000000}"/>
                </a:ext>
              </a:extLst>
            </xdr:cNvPr>
            <xdr:cNvSpPr/>
          </xdr:nvSpPr>
          <xdr:spPr>
            <a:xfrm rot="560620">
              <a:off x="4616355" y="4535751"/>
              <a:ext cx="428752" cy="307819"/>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87" name="Rectangle 86">
              <a:extLst>
                <a:ext uri="{FF2B5EF4-FFF2-40B4-BE49-F238E27FC236}">
                  <a16:creationId xmlns:a16="http://schemas.microsoft.com/office/drawing/2014/main" id="{00000000-0008-0000-0000-000057000000}"/>
                </a:ext>
              </a:extLst>
            </xdr:cNvPr>
            <xdr:cNvSpPr/>
          </xdr:nvSpPr>
          <xdr:spPr>
            <a:xfrm>
              <a:off x="4071732" y="4312805"/>
              <a:ext cx="428752" cy="307819"/>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88" name="TextBox 8">
              <a:extLst>
                <a:ext uri="{FF2B5EF4-FFF2-40B4-BE49-F238E27FC236}">
                  <a16:creationId xmlns:a16="http://schemas.microsoft.com/office/drawing/2014/main" id="{00000000-0008-0000-0000-000058000000}"/>
                </a:ext>
              </a:extLst>
            </xdr:cNvPr>
            <xdr:cNvSpPr txBox="1"/>
          </xdr:nvSpPr>
          <xdr:spPr>
            <a:xfrm>
              <a:off x="2974153" y="3872774"/>
              <a:ext cx="2965807" cy="50496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Building No. 4 (Palm)</a:t>
              </a:r>
              <a:endParaRPr lang="en-IN" b="1">
                <a:solidFill>
                  <a:srgbClr val="FFFF00"/>
                </a:solidFill>
              </a:endParaRPr>
            </a:p>
          </xdr:txBody>
        </xdr:sp>
        <xdr:sp macro="" textlink="">
          <xdr:nvSpPr>
            <xdr:cNvPr id="89" name="TextBox 9">
              <a:extLst>
                <a:ext uri="{FF2B5EF4-FFF2-40B4-BE49-F238E27FC236}">
                  <a16:creationId xmlns:a16="http://schemas.microsoft.com/office/drawing/2014/main" id="{00000000-0008-0000-0000-000059000000}"/>
                </a:ext>
              </a:extLst>
            </xdr:cNvPr>
            <xdr:cNvSpPr txBox="1"/>
          </xdr:nvSpPr>
          <xdr:spPr>
            <a:xfrm>
              <a:off x="4503645" y="5516337"/>
              <a:ext cx="3265982" cy="50496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Building No. 7 (Walnut)</a:t>
              </a:r>
              <a:endParaRPr lang="en-IN" b="1">
                <a:solidFill>
                  <a:srgbClr val="FFFF00"/>
                </a:solidFill>
              </a:endParaRPr>
            </a:p>
          </xdr:txBody>
        </xdr:sp>
        <xdr:sp macro="" textlink="">
          <xdr:nvSpPr>
            <xdr:cNvPr id="90" name="TextBox 10">
              <a:extLst>
                <a:ext uri="{FF2B5EF4-FFF2-40B4-BE49-F238E27FC236}">
                  <a16:creationId xmlns:a16="http://schemas.microsoft.com/office/drawing/2014/main" id="{00000000-0008-0000-0000-00005A000000}"/>
                </a:ext>
              </a:extLst>
            </xdr:cNvPr>
            <xdr:cNvSpPr txBox="1"/>
          </xdr:nvSpPr>
          <xdr:spPr>
            <a:xfrm>
              <a:off x="5169308" y="4193257"/>
              <a:ext cx="2835426" cy="50496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Building No. 1 (Oak)</a:t>
              </a:r>
              <a:endParaRPr lang="en-IN" b="1">
                <a:solidFill>
                  <a:srgbClr val="FFFF00"/>
                </a:solidFill>
              </a:endParaRPr>
            </a:p>
          </xdr:txBody>
        </xdr:sp>
        <xdr:sp macro="" textlink="">
          <xdr:nvSpPr>
            <xdr:cNvPr id="91" name="TextBox 11">
              <a:extLst>
                <a:ext uri="{FF2B5EF4-FFF2-40B4-BE49-F238E27FC236}">
                  <a16:creationId xmlns:a16="http://schemas.microsoft.com/office/drawing/2014/main" id="{00000000-0008-0000-0000-00005B000000}"/>
                </a:ext>
              </a:extLst>
            </xdr:cNvPr>
            <xdr:cNvSpPr txBox="1"/>
          </xdr:nvSpPr>
          <xdr:spPr>
            <a:xfrm>
              <a:off x="2129563" y="4866960"/>
              <a:ext cx="3147298" cy="50496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Building No. 6 (Maple)</a:t>
              </a:r>
              <a:endParaRPr lang="en-IN" b="1">
                <a:solidFill>
                  <a:srgbClr val="FFFF00"/>
                </a:solidFill>
              </a:endParaRPr>
            </a:p>
          </xdr:txBody>
        </xdr:sp>
      </xdr:grpSp>
    </xdr:grpSp>
    <xdr:clientData/>
  </xdr:twoCellAnchor>
  <xdr:twoCellAnchor editAs="oneCell">
    <xdr:from>
      <xdr:col>8</xdr:col>
      <xdr:colOff>1030942</xdr:colOff>
      <xdr:row>135</xdr:row>
      <xdr:rowOff>190502</xdr:rowOff>
    </xdr:from>
    <xdr:to>
      <xdr:col>23</xdr:col>
      <xdr:colOff>401168</xdr:colOff>
      <xdr:row>147</xdr:row>
      <xdr:rowOff>176918</xdr:rowOff>
    </xdr:to>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21"/>
        <a:stretch>
          <a:fillRect/>
        </a:stretch>
      </xdr:blipFill>
      <xdr:spPr>
        <a:xfrm>
          <a:off x="10443883" y="50762649"/>
          <a:ext cx="8917638" cy="3661945"/>
        </a:xfrm>
        <a:prstGeom prst="rect">
          <a:avLst/>
        </a:prstGeom>
      </xdr:spPr>
    </xdr:pic>
    <xdr:clientData/>
  </xdr:twoCellAnchor>
  <xdr:oneCellAnchor>
    <xdr:from>
      <xdr:col>11</xdr:col>
      <xdr:colOff>375644</xdr:colOff>
      <xdr:row>147</xdr:row>
      <xdr:rowOff>189269</xdr:rowOff>
    </xdr:from>
    <xdr:ext cx="4486909" cy="3570430"/>
    <xdr:pic>
      <xdr:nvPicPr>
        <xdr:cNvPr id="57" name="Pictur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2"/>
        <a:stretch>
          <a:fillRect/>
        </a:stretch>
      </xdr:blipFill>
      <xdr:spPr>
        <a:xfrm>
          <a:off x="13846715" y="55964948"/>
          <a:ext cx="4486909" cy="3570430"/>
        </a:xfrm>
        <a:prstGeom prst="rect">
          <a:avLst/>
        </a:prstGeom>
      </xdr:spPr>
    </xdr:pic>
    <xdr:clientData/>
  </xdr:oneCellAnchor>
  <xdr:twoCellAnchor>
    <xdr:from>
      <xdr:col>0</xdr:col>
      <xdr:colOff>280147</xdr:colOff>
      <xdr:row>280</xdr:row>
      <xdr:rowOff>0</xdr:rowOff>
    </xdr:from>
    <xdr:to>
      <xdr:col>7</xdr:col>
      <xdr:colOff>858868</xdr:colOff>
      <xdr:row>314</xdr:row>
      <xdr:rowOff>41298</xdr:rowOff>
    </xdr:to>
    <xdr:grpSp>
      <xdr:nvGrpSpPr>
        <xdr:cNvPr id="56" name="Group 55">
          <a:extLst>
            <a:ext uri="{FF2B5EF4-FFF2-40B4-BE49-F238E27FC236}">
              <a16:creationId xmlns:a16="http://schemas.microsoft.com/office/drawing/2014/main" id="{9F8B21C6-6576-48BD-BBA2-CBDF065677B1}"/>
            </a:ext>
          </a:extLst>
        </xdr:cNvPr>
        <xdr:cNvGrpSpPr/>
      </xdr:nvGrpSpPr>
      <xdr:grpSpPr>
        <a:xfrm>
          <a:off x="280147" y="91159853"/>
          <a:ext cx="8815045" cy="8804298"/>
          <a:chOff x="-1374323" y="-276906"/>
          <a:chExt cx="8815045" cy="8804298"/>
        </a:xfrm>
      </xdr:grpSpPr>
      <xdr:grpSp>
        <xdr:nvGrpSpPr>
          <xdr:cNvPr id="58" name="Group 57">
            <a:extLst>
              <a:ext uri="{FF2B5EF4-FFF2-40B4-BE49-F238E27FC236}">
                <a16:creationId xmlns:a16="http://schemas.microsoft.com/office/drawing/2014/main" id="{1EA39348-6D6C-44D1-8CEA-5DC4AB44F8A4}"/>
              </a:ext>
            </a:extLst>
          </xdr:cNvPr>
          <xdr:cNvGrpSpPr/>
        </xdr:nvGrpSpPr>
        <xdr:grpSpPr>
          <a:xfrm>
            <a:off x="-1374323" y="-276906"/>
            <a:ext cx="8815045" cy="8804298"/>
            <a:chOff x="-1374323" y="-276906"/>
            <a:chExt cx="8815045" cy="8804298"/>
          </a:xfrm>
        </xdr:grpSpPr>
        <xdr:pic>
          <xdr:nvPicPr>
            <xdr:cNvPr id="63" name="Picture 62">
              <a:extLst>
                <a:ext uri="{FF2B5EF4-FFF2-40B4-BE49-F238E27FC236}">
                  <a16:creationId xmlns:a16="http://schemas.microsoft.com/office/drawing/2014/main" id="{43894172-A980-4550-8CD6-A283DE57EF83}"/>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374323" y="-273943"/>
              <a:ext cx="4316572" cy="3240000"/>
            </a:xfrm>
            <a:prstGeom prst="rect">
              <a:avLst/>
            </a:prstGeom>
            <a:ln>
              <a:solidFill>
                <a:schemeClr val="tx1"/>
              </a:solidFill>
            </a:ln>
          </xdr:spPr>
        </xdr:pic>
        <xdr:pic>
          <xdr:nvPicPr>
            <xdr:cNvPr id="64" name="Picture 63">
              <a:extLst>
                <a:ext uri="{FF2B5EF4-FFF2-40B4-BE49-F238E27FC236}">
                  <a16:creationId xmlns:a16="http://schemas.microsoft.com/office/drawing/2014/main" id="{45317254-DD73-457A-A622-AD0B69CFCA90}"/>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3124150" y="-276906"/>
              <a:ext cx="4316572" cy="3240000"/>
            </a:xfrm>
            <a:prstGeom prst="rect">
              <a:avLst/>
            </a:prstGeom>
            <a:ln>
              <a:solidFill>
                <a:schemeClr val="tx1"/>
              </a:solidFill>
            </a:ln>
          </xdr:spPr>
        </xdr:pic>
        <xdr:pic>
          <xdr:nvPicPr>
            <xdr:cNvPr id="65" name="Picture 64">
              <a:extLst>
                <a:ext uri="{FF2B5EF4-FFF2-40B4-BE49-F238E27FC236}">
                  <a16:creationId xmlns:a16="http://schemas.microsoft.com/office/drawing/2014/main" id="{1D72A85D-F3A1-4806-A8D1-60B2D5B1CE58}"/>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497560" y="3145689"/>
              <a:ext cx="4316572" cy="3240000"/>
            </a:xfrm>
            <a:prstGeom prst="rect">
              <a:avLst/>
            </a:prstGeom>
            <a:ln>
              <a:solidFill>
                <a:schemeClr val="tx1"/>
              </a:solidFill>
            </a:ln>
          </xdr:spPr>
        </xdr:pic>
        <xdr:pic>
          <xdr:nvPicPr>
            <xdr:cNvPr id="66" name="Picture 65">
              <a:extLst>
                <a:ext uri="{FF2B5EF4-FFF2-40B4-BE49-F238E27FC236}">
                  <a16:creationId xmlns:a16="http://schemas.microsoft.com/office/drawing/2014/main" id="{6771AEC4-C5AE-4360-9383-90950E955D36}"/>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3967860" y="3145689"/>
              <a:ext cx="2427468" cy="3240000"/>
            </a:xfrm>
            <a:prstGeom prst="rect">
              <a:avLst/>
            </a:prstGeom>
            <a:ln>
              <a:solidFill>
                <a:schemeClr val="tx1"/>
              </a:solidFill>
            </a:ln>
          </xdr:spPr>
        </xdr:pic>
        <xdr:pic>
          <xdr:nvPicPr>
            <xdr:cNvPr id="67" name="Picture 66">
              <a:extLst>
                <a:ext uri="{FF2B5EF4-FFF2-40B4-BE49-F238E27FC236}">
                  <a16:creationId xmlns:a16="http://schemas.microsoft.com/office/drawing/2014/main" id="{F8380025-72A8-469E-8419-399EEE081F2C}"/>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563671" y="6547392"/>
              <a:ext cx="2637906" cy="1980000"/>
            </a:xfrm>
            <a:prstGeom prst="rect">
              <a:avLst/>
            </a:prstGeom>
            <a:ln>
              <a:solidFill>
                <a:schemeClr val="tx1"/>
              </a:solidFill>
            </a:ln>
          </xdr:spPr>
        </xdr:pic>
        <xdr:pic>
          <xdr:nvPicPr>
            <xdr:cNvPr id="68" name="Picture 67">
              <a:extLst>
                <a:ext uri="{FF2B5EF4-FFF2-40B4-BE49-F238E27FC236}">
                  <a16:creationId xmlns:a16="http://schemas.microsoft.com/office/drawing/2014/main" id="{877B36DD-721A-4B41-A732-DA88466DAF97}"/>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2219918" y="6547392"/>
              <a:ext cx="2629558" cy="1980000"/>
            </a:xfrm>
            <a:prstGeom prst="rect">
              <a:avLst/>
            </a:prstGeom>
            <a:ln>
              <a:solidFill>
                <a:schemeClr val="tx1"/>
              </a:solidFill>
            </a:ln>
          </xdr:spPr>
        </xdr:pic>
        <xdr:pic>
          <xdr:nvPicPr>
            <xdr:cNvPr id="69" name="Picture 68">
              <a:extLst>
                <a:ext uri="{FF2B5EF4-FFF2-40B4-BE49-F238E27FC236}">
                  <a16:creationId xmlns:a16="http://schemas.microsoft.com/office/drawing/2014/main" id="{F8B7EB42-BEF9-4D4E-BF2A-DA70B50D1192}"/>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4995159" y="6547392"/>
              <a:ext cx="1483453" cy="1980000"/>
            </a:xfrm>
            <a:prstGeom prst="rect">
              <a:avLst/>
            </a:prstGeom>
            <a:ln>
              <a:solidFill>
                <a:schemeClr val="tx1"/>
              </a:solidFill>
            </a:ln>
          </xdr:spPr>
        </xdr:pic>
      </xdr:grpSp>
      <xdr:sp macro="" textlink="">
        <xdr:nvSpPr>
          <xdr:cNvPr id="59" name="TextBox 16">
            <a:extLst>
              <a:ext uri="{FF2B5EF4-FFF2-40B4-BE49-F238E27FC236}">
                <a16:creationId xmlns:a16="http://schemas.microsoft.com/office/drawing/2014/main" id="{A36041F6-18D8-4DAA-855C-847FF41BBF31}"/>
              </a:ext>
            </a:extLst>
          </xdr:cNvPr>
          <xdr:cNvSpPr txBox="1"/>
        </xdr:nvSpPr>
        <xdr:spPr>
          <a:xfrm>
            <a:off x="840886" y="117082"/>
            <a:ext cx="819840"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t>Palm</a:t>
            </a:r>
            <a:endParaRPr lang="en-IN" sz="2400" b="1"/>
          </a:p>
        </xdr:txBody>
      </xdr:sp>
      <xdr:sp macro="" textlink="">
        <xdr:nvSpPr>
          <xdr:cNvPr id="60" name="TextBox 18">
            <a:extLst>
              <a:ext uri="{FF2B5EF4-FFF2-40B4-BE49-F238E27FC236}">
                <a16:creationId xmlns:a16="http://schemas.microsoft.com/office/drawing/2014/main" id="{C7D9D7AA-8D4E-4F1D-A980-53BA0C2B812D}"/>
              </a:ext>
            </a:extLst>
          </xdr:cNvPr>
          <xdr:cNvSpPr txBox="1"/>
        </xdr:nvSpPr>
        <xdr:spPr>
          <a:xfrm>
            <a:off x="4819979" y="467229"/>
            <a:ext cx="692818"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t>Oak</a:t>
            </a:r>
            <a:endParaRPr lang="en-IN" sz="2400" b="1"/>
          </a:p>
        </xdr:txBody>
      </xdr:sp>
      <xdr:sp macro="" textlink="">
        <xdr:nvSpPr>
          <xdr:cNvPr id="61" name="TextBox 19">
            <a:extLst>
              <a:ext uri="{FF2B5EF4-FFF2-40B4-BE49-F238E27FC236}">
                <a16:creationId xmlns:a16="http://schemas.microsoft.com/office/drawing/2014/main" id="{0CF7304E-4D91-4239-B25D-53C7F0A965E7}"/>
              </a:ext>
            </a:extLst>
          </xdr:cNvPr>
          <xdr:cNvSpPr txBox="1"/>
        </xdr:nvSpPr>
        <xdr:spPr>
          <a:xfrm>
            <a:off x="2006408" y="4110335"/>
            <a:ext cx="1117742"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t>Walnut</a:t>
            </a:r>
            <a:endParaRPr lang="en-IN" sz="2400" b="1"/>
          </a:p>
        </xdr:txBody>
      </xdr:sp>
      <xdr:sp macro="" textlink="">
        <xdr:nvSpPr>
          <xdr:cNvPr id="62" name="TextBox 20">
            <a:extLst>
              <a:ext uri="{FF2B5EF4-FFF2-40B4-BE49-F238E27FC236}">
                <a16:creationId xmlns:a16="http://schemas.microsoft.com/office/drawing/2014/main" id="{48AF6F9D-F609-4439-9961-B6658842A9AC}"/>
              </a:ext>
            </a:extLst>
          </xdr:cNvPr>
          <xdr:cNvSpPr txBox="1"/>
        </xdr:nvSpPr>
        <xdr:spPr>
          <a:xfrm>
            <a:off x="4464563" y="4110335"/>
            <a:ext cx="1002197"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t>Maple</a:t>
            </a:r>
            <a:endParaRPr lang="en-IN" sz="2400" b="1"/>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40821</xdr:colOff>
      <xdr:row>20</xdr:row>
      <xdr:rowOff>122464</xdr:rowOff>
    </xdr:from>
    <xdr:to>
      <xdr:col>16</xdr:col>
      <xdr:colOff>573190</xdr:colOff>
      <xdr:row>35</xdr:row>
      <xdr:rowOff>145096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0681607" y="5606143"/>
          <a:ext cx="8247619" cy="4009524"/>
        </a:xfrm>
        <a:prstGeom prst="rect">
          <a:avLst/>
        </a:prstGeom>
      </xdr:spPr>
    </xdr:pic>
    <xdr:clientData/>
  </xdr:twoCellAnchor>
  <xdr:twoCellAnchor editAs="oneCell">
    <xdr:from>
      <xdr:col>7</xdr:col>
      <xdr:colOff>81643</xdr:colOff>
      <xdr:row>35</xdr:row>
      <xdr:rowOff>340179</xdr:rowOff>
    </xdr:from>
    <xdr:to>
      <xdr:col>17</xdr:col>
      <xdr:colOff>163596</xdr:colOff>
      <xdr:row>46</xdr:row>
      <xdr:rowOff>237750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0722429" y="9810750"/>
          <a:ext cx="8409524" cy="300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www.rustomjee.com/residential-property/rustomjee-urban-woods/" TargetMode="External"/><Relationship Id="rId1" Type="http://schemas.openxmlformats.org/officeDocument/2006/relationships/hyperlink" Target="https://maps.app.goo.gl/bsoHEoaMFJiA8P1N9"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415"/>
  <sheetViews>
    <sheetView tabSelected="1" view="pageBreakPreview" topLeftCell="A261" zoomScale="85" zoomScaleNormal="85" zoomScaleSheetLayoutView="85" zoomScalePageLayoutView="70" workbookViewId="0">
      <selection activeCell="I268" sqref="I268"/>
    </sheetView>
  </sheetViews>
  <sheetFormatPr defaultColWidth="9.140625" defaultRowHeight="17.100000000000001" customHeight="1" x14ac:dyDescent="0.25"/>
  <cols>
    <col min="1" max="7" width="17.5703125" style="1" customWidth="1"/>
    <col min="8" max="8" width="17.5703125" style="3" customWidth="1"/>
    <col min="9" max="9" width="33.85546875" style="1" customWidth="1"/>
    <col min="10" max="10" width="18.5703125" style="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31" t="s">
        <v>38</v>
      </c>
      <c r="B1" s="132"/>
      <c r="C1" s="132"/>
      <c r="D1" s="132"/>
      <c r="E1" s="132"/>
      <c r="F1" s="132"/>
      <c r="G1" s="132"/>
      <c r="H1" s="133"/>
    </row>
    <row r="2" spans="1:11" ht="42" customHeight="1" x14ac:dyDescent="0.25">
      <c r="A2" s="107" t="s">
        <v>10</v>
      </c>
      <c r="B2" s="107"/>
      <c r="C2" s="106" t="s">
        <v>86</v>
      </c>
      <c r="D2" s="106"/>
      <c r="E2" s="107" t="s">
        <v>12</v>
      </c>
      <c r="F2" s="107"/>
      <c r="G2" s="120">
        <v>45874</v>
      </c>
      <c r="H2" s="106"/>
      <c r="I2" s="209">
        <v>45874</v>
      </c>
      <c r="J2" s="120">
        <v>45806</v>
      </c>
      <c r="K2" s="106"/>
    </row>
    <row r="3" spans="1:11" ht="62.25" customHeight="1" x14ac:dyDescent="0.25">
      <c r="A3" s="122" t="s">
        <v>39</v>
      </c>
      <c r="B3" s="122"/>
      <c r="C3" s="123" t="s">
        <v>346</v>
      </c>
      <c r="D3" s="123"/>
      <c r="E3" s="107" t="s">
        <v>156</v>
      </c>
      <c r="F3" s="107"/>
      <c r="G3" s="106" t="s">
        <v>378</v>
      </c>
      <c r="H3" s="106"/>
      <c r="I3" s="210">
        <f>I2-J2</f>
        <v>68</v>
      </c>
    </row>
    <row r="4" spans="1:11" ht="44.25" customHeight="1" x14ac:dyDescent="0.25">
      <c r="A4" s="107" t="s">
        <v>36</v>
      </c>
      <c r="B4" s="107"/>
      <c r="C4" s="106" t="s">
        <v>379</v>
      </c>
      <c r="D4" s="106"/>
      <c r="E4" s="107" t="s">
        <v>33</v>
      </c>
      <c r="F4" s="107"/>
      <c r="G4" s="106" t="str">
        <f ca="1">TEXT(TODAY(),"DD/MM/YYYY")</f>
        <v>06/08/2025</v>
      </c>
      <c r="H4" s="106"/>
      <c r="I4" s="1" t="s">
        <v>380</v>
      </c>
    </row>
    <row r="5" spans="1:11" ht="20.25" x14ac:dyDescent="0.25">
      <c r="A5" s="147" t="s">
        <v>40</v>
      </c>
      <c r="B5" s="147"/>
      <c r="C5" s="147"/>
      <c r="D5" s="147"/>
      <c r="E5" s="147"/>
      <c r="F5" s="147"/>
      <c r="G5" s="147"/>
      <c r="H5" s="147"/>
    </row>
    <row r="6" spans="1:11" ht="43.5" customHeight="1" x14ac:dyDescent="0.25">
      <c r="A6" s="107" t="s">
        <v>29</v>
      </c>
      <c r="B6" s="107"/>
      <c r="C6" s="106" t="s">
        <v>92</v>
      </c>
      <c r="D6" s="106"/>
      <c r="E6" s="107" t="s">
        <v>35</v>
      </c>
      <c r="F6" s="107"/>
      <c r="G6" s="106" t="s">
        <v>303</v>
      </c>
      <c r="H6" s="106"/>
    </row>
    <row r="7" spans="1:11" ht="51.75" customHeight="1" x14ac:dyDescent="0.25">
      <c r="A7" s="107" t="s">
        <v>42</v>
      </c>
      <c r="B7" s="107"/>
      <c r="C7" s="106" t="s">
        <v>302</v>
      </c>
      <c r="D7" s="106"/>
      <c r="E7" s="107" t="s">
        <v>43</v>
      </c>
      <c r="F7" s="107"/>
      <c r="G7" s="106" t="s">
        <v>302</v>
      </c>
      <c r="H7" s="106"/>
    </row>
    <row r="8" spans="1:11" ht="48.75" customHeight="1" x14ac:dyDescent="0.25">
      <c r="A8" s="107" t="s">
        <v>44</v>
      </c>
      <c r="B8" s="107"/>
      <c r="C8" s="106" t="s">
        <v>304</v>
      </c>
      <c r="D8" s="106"/>
      <c r="E8" s="106"/>
      <c r="F8" s="106"/>
      <c r="G8" s="106"/>
      <c r="H8" s="106"/>
    </row>
    <row r="9" spans="1:11" ht="169.5" customHeight="1" x14ac:dyDescent="0.25">
      <c r="A9" s="118" t="s">
        <v>147</v>
      </c>
      <c r="B9" s="45" t="s">
        <v>41</v>
      </c>
      <c r="C9" s="106" t="s">
        <v>305</v>
      </c>
      <c r="D9" s="106"/>
      <c r="E9" s="106"/>
      <c r="F9" s="106"/>
      <c r="G9" s="106"/>
      <c r="H9" s="106"/>
    </row>
    <row r="10" spans="1:11" ht="42.75" customHeight="1" x14ac:dyDescent="0.25">
      <c r="A10" s="118"/>
      <c r="B10" s="45" t="s">
        <v>11</v>
      </c>
      <c r="C10" s="106" t="s">
        <v>306</v>
      </c>
      <c r="D10" s="106"/>
      <c r="E10" s="106"/>
      <c r="F10" s="106"/>
      <c r="G10" s="106"/>
      <c r="H10" s="106"/>
    </row>
    <row r="11" spans="1:11" ht="42" customHeight="1" x14ac:dyDescent="0.25">
      <c r="A11" s="118"/>
      <c r="B11" s="45" t="s">
        <v>5</v>
      </c>
      <c r="C11" s="106" t="s">
        <v>344</v>
      </c>
      <c r="D11" s="106"/>
      <c r="E11" s="106"/>
      <c r="F11" s="106"/>
      <c r="G11" s="106"/>
      <c r="H11" s="106"/>
    </row>
    <row r="12" spans="1:11" ht="40.5" customHeight="1" x14ac:dyDescent="0.25">
      <c r="A12" s="119" t="s">
        <v>34</v>
      </c>
      <c r="B12" s="119"/>
      <c r="C12" s="106" t="s">
        <v>377</v>
      </c>
      <c r="D12" s="121"/>
      <c r="E12" s="121"/>
      <c r="F12" s="121"/>
      <c r="G12" s="121"/>
      <c r="H12" s="121"/>
    </row>
    <row r="13" spans="1:11" ht="20.100000000000001" customHeight="1" x14ac:dyDescent="0.25">
      <c r="A13" s="147" t="s">
        <v>45</v>
      </c>
      <c r="B13" s="147"/>
      <c r="C13" s="147"/>
      <c r="D13" s="147"/>
      <c r="E13" s="147"/>
      <c r="F13" s="147"/>
      <c r="G13" s="147"/>
      <c r="H13" s="147"/>
    </row>
    <row r="14" spans="1:11" ht="41.25" customHeight="1" x14ac:dyDescent="0.25">
      <c r="A14" s="107" t="s">
        <v>27</v>
      </c>
      <c r="B14" s="107" t="s">
        <v>4</v>
      </c>
      <c r="C14" s="106" t="s">
        <v>87</v>
      </c>
      <c r="D14" s="106"/>
      <c r="E14" s="107" t="s">
        <v>46</v>
      </c>
      <c r="F14" s="107" t="s">
        <v>4</v>
      </c>
      <c r="G14" s="106" t="s">
        <v>317</v>
      </c>
      <c r="H14" s="106"/>
    </row>
    <row r="15" spans="1:11" ht="82.5" customHeight="1" x14ac:dyDescent="0.25">
      <c r="A15" s="107" t="s">
        <v>47</v>
      </c>
      <c r="B15" s="107" t="s">
        <v>4</v>
      </c>
      <c r="C15" s="106" t="s">
        <v>347</v>
      </c>
      <c r="D15" s="106"/>
      <c r="E15" s="107" t="s">
        <v>48</v>
      </c>
      <c r="F15" s="107" t="s">
        <v>4</v>
      </c>
      <c r="G15" s="106" t="s">
        <v>348</v>
      </c>
      <c r="H15" s="106"/>
    </row>
    <row r="16" spans="1:11" ht="65.25" customHeight="1" x14ac:dyDescent="0.25">
      <c r="A16" s="107" t="s">
        <v>49</v>
      </c>
      <c r="B16" s="107" t="s">
        <v>4</v>
      </c>
      <c r="C16" s="106" t="s">
        <v>349</v>
      </c>
      <c r="D16" s="106"/>
      <c r="E16" s="107" t="s">
        <v>50</v>
      </c>
      <c r="F16" s="107" t="s">
        <v>4</v>
      </c>
      <c r="G16" s="106" t="s">
        <v>350</v>
      </c>
      <c r="H16" s="106"/>
    </row>
    <row r="17" spans="1:10" ht="63.75" customHeight="1" x14ac:dyDescent="0.25">
      <c r="A17" s="107" t="s">
        <v>51</v>
      </c>
      <c r="B17" s="107" t="s">
        <v>4</v>
      </c>
      <c r="C17" s="106" t="s">
        <v>351</v>
      </c>
      <c r="D17" s="106"/>
      <c r="E17" s="107" t="s">
        <v>52</v>
      </c>
      <c r="F17" s="107" t="s">
        <v>4</v>
      </c>
      <c r="G17" s="106" t="s">
        <v>345</v>
      </c>
      <c r="H17" s="106"/>
    </row>
    <row r="18" spans="1:10" ht="41.25" customHeight="1" x14ac:dyDescent="0.25">
      <c r="A18" s="107" t="s">
        <v>53</v>
      </c>
      <c r="B18" s="107" t="s">
        <v>4</v>
      </c>
      <c r="C18" s="106"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106"/>
      <c r="E18" s="107" t="s">
        <v>95</v>
      </c>
      <c r="F18" s="107" t="s">
        <v>4</v>
      </c>
      <c r="G18" s="153">
        <v>47400</v>
      </c>
      <c r="H18" s="153"/>
    </row>
    <row r="19" spans="1:10" ht="41.25" customHeight="1" x14ac:dyDescent="0.25">
      <c r="A19" s="107" t="s">
        <v>54</v>
      </c>
      <c r="B19" s="107" t="s">
        <v>4</v>
      </c>
      <c r="C19" s="182">
        <f>43389.03/G19</f>
        <v>1.4060153786977589</v>
      </c>
      <c r="D19" s="182"/>
      <c r="E19" s="107" t="s">
        <v>241</v>
      </c>
      <c r="F19" s="107" t="s">
        <v>4</v>
      </c>
      <c r="G19" s="106">
        <v>30859.57</v>
      </c>
      <c r="H19" s="106"/>
    </row>
    <row r="20" spans="1:10" ht="41.25" customHeight="1" x14ac:dyDescent="0.25">
      <c r="A20" s="119" t="s">
        <v>93</v>
      </c>
      <c r="B20" s="119" t="s">
        <v>4</v>
      </c>
      <c r="C20" s="108">
        <v>84669.86</v>
      </c>
      <c r="D20" s="110"/>
      <c r="E20" s="107" t="s">
        <v>94</v>
      </c>
      <c r="F20" s="107" t="s">
        <v>4</v>
      </c>
      <c r="G20" s="108">
        <v>84669.86</v>
      </c>
      <c r="H20" s="110"/>
    </row>
    <row r="21" spans="1:10" ht="41.25" customHeight="1" x14ac:dyDescent="0.25">
      <c r="A21" s="107" t="s">
        <v>56</v>
      </c>
      <c r="B21" s="107" t="s">
        <v>4</v>
      </c>
      <c r="C21" s="106" t="s">
        <v>338</v>
      </c>
      <c r="D21" s="106"/>
      <c r="E21" s="107" t="s">
        <v>55</v>
      </c>
      <c r="F21" s="107" t="s">
        <v>4</v>
      </c>
      <c r="G21" s="106" t="s">
        <v>339</v>
      </c>
      <c r="H21" s="106"/>
      <c r="I21" s="101" t="s">
        <v>352</v>
      </c>
      <c r="J21" s="101" t="s">
        <v>353</v>
      </c>
    </row>
    <row r="22" spans="1:10" ht="41.25" customHeight="1" x14ac:dyDescent="0.25">
      <c r="A22" s="107" t="s">
        <v>160</v>
      </c>
      <c r="B22" s="107" t="s">
        <v>4</v>
      </c>
      <c r="C22" s="106" t="s">
        <v>354</v>
      </c>
      <c r="D22" s="106"/>
      <c r="E22" s="107" t="s">
        <v>161</v>
      </c>
      <c r="F22" s="107" t="s">
        <v>4</v>
      </c>
      <c r="G22" s="106" t="s">
        <v>343</v>
      </c>
      <c r="H22" s="106"/>
    </row>
    <row r="23" spans="1:10" ht="38.25" customHeight="1" x14ac:dyDescent="0.25">
      <c r="A23" s="107" t="s">
        <v>158</v>
      </c>
      <c r="B23" s="107" t="s">
        <v>4</v>
      </c>
      <c r="C23" s="183" t="s">
        <v>307</v>
      </c>
      <c r="D23" s="106"/>
      <c r="E23" s="106"/>
      <c r="F23" s="106"/>
      <c r="G23" s="106"/>
      <c r="H23" s="106"/>
    </row>
    <row r="24" spans="1:10" ht="46.5" customHeight="1" x14ac:dyDescent="0.25">
      <c r="A24" s="119" t="s">
        <v>25</v>
      </c>
      <c r="B24" s="119" t="s">
        <v>4</v>
      </c>
      <c r="C24" s="106" t="s">
        <v>308</v>
      </c>
      <c r="D24" s="106"/>
      <c r="E24" s="106"/>
      <c r="F24" s="106"/>
      <c r="G24" s="106"/>
      <c r="H24" s="106"/>
      <c r="I24" s="95" t="s">
        <v>309</v>
      </c>
    </row>
    <row r="25" spans="1:10" ht="24" customHeight="1" x14ac:dyDescent="0.25">
      <c r="A25" s="147" t="s">
        <v>20</v>
      </c>
      <c r="B25" s="147"/>
      <c r="C25" s="147"/>
      <c r="D25" s="147"/>
      <c r="E25" s="147"/>
      <c r="F25" s="147"/>
      <c r="G25" s="147"/>
      <c r="H25" s="147"/>
    </row>
    <row r="26" spans="1:10" ht="43.5" customHeight="1" x14ac:dyDescent="0.25">
      <c r="A26" s="107" t="s">
        <v>26</v>
      </c>
      <c r="B26" s="107" t="s">
        <v>4</v>
      </c>
      <c r="C26" s="106" t="str">
        <f>IF(AND(G26="Upper"),"Developed","Developing")</f>
        <v>Developing</v>
      </c>
      <c r="D26" s="106"/>
      <c r="E26" s="107" t="s">
        <v>13</v>
      </c>
      <c r="F26" s="107" t="s">
        <v>4</v>
      </c>
      <c r="G26" s="106" t="s">
        <v>162</v>
      </c>
      <c r="H26" s="106"/>
    </row>
    <row r="27" spans="1:10" ht="43.5" customHeight="1" x14ac:dyDescent="0.25">
      <c r="A27" s="107" t="s">
        <v>14</v>
      </c>
      <c r="B27" s="107" t="s">
        <v>4</v>
      </c>
      <c r="C27" s="106" t="s">
        <v>341</v>
      </c>
      <c r="D27" s="106"/>
      <c r="E27" s="107" t="s">
        <v>148</v>
      </c>
      <c r="F27" s="107" t="s">
        <v>4</v>
      </c>
      <c r="G27" s="106" t="s">
        <v>337</v>
      </c>
      <c r="H27" s="106"/>
    </row>
    <row r="28" spans="1:10" ht="43.5" customHeight="1" x14ac:dyDescent="0.25">
      <c r="A28" s="107" t="s">
        <v>23</v>
      </c>
      <c r="B28" s="107" t="s">
        <v>4</v>
      </c>
      <c r="C28" s="106" t="s">
        <v>97</v>
      </c>
      <c r="D28" s="106"/>
      <c r="E28" s="107" t="s">
        <v>16</v>
      </c>
      <c r="F28" s="107" t="s">
        <v>4</v>
      </c>
      <c r="G28" s="106" t="s">
        <v>355</v>
      </c>
      <c r="H28" s="106"/>
    </row>
    <row r="29" spans="1:10" ht="43.5" customHeight="1" x14ac:dyDescent="0.25">
      <c r="A29" s="107" t="s">
        <v>106</v>
      </c>
      <c r="B29" s="107" t="s">
        <v>4</v>
      </c>
      <c r="C29" s="106" t="s">
        <v>356</v>
      </c>
      <c r="D29" s="106"/>
      <c r="E29" s="107" t="s">
        <v>107</v>
      </c>
      <c r="F29" s="107" t="s">
        <v>4</v>
      </c>
      <c r="G29" s="106" t="s">
        <v>357</v>
      </c>
      <c r="H29" s="106"/>
    </row>
    <row r="30" spans="1:10" ht="84" customHeight="1" x14ac:dyDescent="0.25">
      <c r="A30" s="107" t="s">
        <v>17</v>
      </c>
      <c r="B30" s="107" t="s">
        <v>4</v>
      </c>
      <c r="C30" s="106" t="s">
        <v>358</v>
      </c>
      <c r="D30" s="106"/>
      <c r="E30" s="107" t="s">
        <v>15</v>
      </c>
      <c r="F30" s="107" t="s">
        <v>4</v>
      </c>
      <c r="G30" s="106" t="s">
        <v>340</v>
      </c>
      <c r="H30" s="106"/>
    </row>
    <row r="31" spans="1:10" ht="20.25" x14ac:dyDescent="0.25">
      <c r="A31" s="107" t="s">
        <v>112</v>
      </c>
      <c r="B31" s="107" t="s">
        <v>4</v>
      </c>
      <c r="C31" s="106" t="s">
        <v>113</v>
      </c>
      <c r="D31" s="106"/>
      <c r="E31" s="107" t="s">
        <v>114</v>
      </c>
      <c r="F31" s="107" t="s">
        <v>4</v>
      </c>
      <c r="G31" s="106" t="s">
        <v>113</v>
      </c>
      <c r="H31" s="106"/>
    </row>
    <row r="32" spans="1:10" ht="21.75" customHeight="1" x14ac:dyDescent="0.25">
      <c r="A32" s="107" t="s">
        <v>115</v>
      </c>
      <c r="B32" s="107" t="s">
        <v>4</v>
      </c>
      <c r="C32" s="106" t="s">
        <v>113</v>
      </c>
      <c r="D32" s="106"/>
      <c r="E32" s="106"/>
      <c r="F32" s="106"/>
      <c r="G32" s="106"/>
      <c r="H32" s="106"/>
    </row>
    <row r="33" spans="1:15" ht="20.25" x14ac:dyDescent="0.25">
      <c r="A33" s="184" t="s">
        <v>37</v>
      </c>
      <c r="B33" s="184"/>
      <c r="C33" s="184"/>
      <c r="D33" s="184"/>
      <c r="E33" s="184"/>
      <c r="F33" s="184"/>
      <c r="G33" s="184"/>
      <c r="H33" s="184"/>
    </row>
    <row r="34" spans="1:15" ht="43.5" customHeight="1" x14ac:dyDescent="0.25">
      <c r="A34" s="107" t="s">
        <v>18</v>
      </c>
      <c r="B34" s="107"/>
      <c r="C34" s="106" t="s">
        <v>98</v>
      </c>
      <c r="D34" s="106"/>
      <c r="E34" s="107" t="s">
        <v>19</v>
      </c>
      <c r="F34" s="107" t="s">
        <v>4</v>
      </c>
      <c r="G34" s="106" t="s">
        <v>99</v>
      </c>
      <c r="H34" s="106"/>
    </row>
    <row r="35" spans="1:15" ht="43.5" customHeight="1" x14ac:dyDescent="0.25">
      <c r="A35" s="107" t="s">
        <v>22</v>
      </c>
      <c r="B35" s="107"/>
      <c r="C35" s="106" t="s">
        <v>99</v>
      </c>
      <c r="D35" s="106"/>
      <c r="E35" s="107" t="s">
        <v>32</v>
      </c>
      <c r="F35" s="107" t="s">
        <v>4</v>
      </c>
      <c r="G35" s="106" t="s">
        <v>99</v>
      </c>
      <c r="H35" s="106"/>
    </row>
    <row r="36" spans="1:15" ht="20.25" x14ac:dyDescent="0.25">
      <c r="A36" s="107" t="s">
        <v>31</v>
      </c>
      <c r="B36" s="107"/>
      <c r="C36" s="106" t="s">
        <v>100</v>
      </c>
      <c r="D36" s="106"/>
      <c r="E36" s="107" t="s">
        <v>21</v>
      </c>
      <c r="F36" s="107" t="s">
        <v>4</v>
      </c>
      <c r="G36" s="106" t="s">
        <v>101</v>
      </c>
      <c r="H36" s="106"/>
    </row>
    <row r="37" spans="1:15" ht="20.25" x14ac:dyDescent="0.25">
      <c r="A37" s="147" t="s">
        <v>0</v>
      </c>
      <c r="B37" s="147"/>
      <c r="C37" s="147"/>
      <c r="D37" s="147"/>
      <c r="E37" s="147"/>
      <c r="F37" s="147"/>
      <c r="G37" s="147"/>
      <c r="H37" s="147"/>
    </row>
    <row r="38" spans="1:15" ht="20.25" x14ac:dyDescent="0.25">
      <c r="A38" s="116" t="s">
        <v>0</v>
      </c>
      <c r="B38" s="116"/>
      <c r="C38" s="116" t="s">
        <v>227</v>
      </c>
      <c r="D38" s="116"/>
      <c r="E38" s="116"/>
      <c r="F38" s="116" t="s">
        <v>7</v>
      </c>
      <c r="G38" s="116"/>
      <c r="H38" s="116"/>
      <c r="J38" s="114" t="s">
        <v>1</v>
      </c>
      <c r="K38" s="115"/>
      <c r="L38" s="47" t="s">
        <v>6</v>
      </c>
      <c r="M38" s="114" t="s">
        <v>2</v>
      </c>
      <c r="N38" s="115"/>
      <c r="O38" s="47" t="s">
        <v>3</v>
      </c>
    </row>
    <row r="39" spans="1:15" ht="20.25" x14ac:dyDescent="0.25">
      <c r="A39" s="118" t="s">
        <v>2</v>
      </c>
      <c r="B39" s="118"/>
      <c r="C39" s="117" t="s">
        <v>311</v>
      </c>
      <c r="D39" s="117"/>
      <c r="E39" s="117"/>
      <c r="F39" s="117" t="s">
        <v>312</v>
      </c>
      <c r="G39" s="117"/>
      <c r="H39" s="117"/>
    </row>
    <row r="40" spans="1:15" ht="20.25" x14ac:dyDescent="0.25">
      <c r="A40" s="118" t="s">
        <v>3</v>
      </c>
      <c r="B40" s="118"/>
      <c r="C40" s="117" t="s">
        <v>310</v>
      </c>
      <c r="D40" s="117"/>
      <c r="E40" s="117"/>
      <c r="F40" s="117" t="s">
        <v>359</v>
      </c>
      <c r="G40" s="117"/>
      <c r="H40" s="117"/>
    </row>
    <row r="41" spans="1:15" ht="20.25" x14ac:dyDescent="0.25">
      <c r="A41" s="118" t="s">
        <v>1</v>
      </c>
      <c r="B41" s="118"/>
      <c r="C41" s="117" t="s">
        <v>310</v>
      </c>
      <c r="D41" s="117"/>
      <c r="E41" s="117"/>
      <c r="F41" s="117" t="s">
        <v>359</v>
      </c>
      <c r="G41" s="117"/>
      <c r="H41" s="117"/>
    </row>
    <row r="42" spans="1:15" ht="20.25" x14ac:dyDescent="0.25">
      <c r="A42" s="118" t="s">
        <v>6</v>
      </c>
      <c r="B42" s="118"/>
      <c r="C42" s="117" t="s">
        <v>311</v>
      </c>
      <c r="D42" s="117"/>
      <c r="E42" s="117"/>
      <c r="F42" s="117" t="s">
        <v>312</v>
      </c>
      <c r="G42" s="117"/>
      <c r="H42" s="117"/>
    </row>
    <row r="43" spans="1:15" ht="51" customHeight="1" x14ac:dyDescent="0.25">
      <c r="A43" s="107" t="s">
        <v>228</v>
      </c>
      <c r="B43" s="107"/>
      <c r="C43" s="106" t="s">
        <v>97</v>
      </c>
      <c r="D43" s="106"/>
      <c r="E43" s="106"/>
      <c r="F43" s="106"/>
      <c r="G43" s="106"/>
      <c r="H43" s="106"/>
    </row>
    <row r="44" spans="1:15" ht="20.25" x14ac:dyDescent="0.25">
      <c r="A44" s="147" t="s">
        <v>57</v>
      </c>
      <c r="B44" s="147"/>
      <c r="C44" s="147"/>
      <c r="D44" s="147"/>
      <c r="E44" s="147"/>
      <c r="F44" s="147"/>
      <c r="G44" s="147"/>
      <c r="H44" s="147"/>
    </row>
    <row r="45" spans="1:15" ht="21" customHeight="1" x14ac:dyDescent="0.25">
      <c r="A45" s="116" t="s">
        <v>58</v>
      </c>
      <c r="B45" s="116"/>
      <c r="C45" s="47" t="s">
        <v>59</v>
      </c>
      <c r="D45" s="116" t="s">
        <v>146</v>
      </c>
      <c r="E45" s="116"/>
      <c r="F45" s="116"/>
      <c r="G45" s="116" t="s">
        <v>60</v>
      </c>
      <c r="H45" s="116"/>
    </row>
    <row r="46" spans="1:15" ht="20.25" customHeight="1" x14ac:dyDescent="0.25">
      <c r="A46" s="105" t="s">
        <v>361</v>
      </c>
      <c r="B46" s="105"/>
      <c r="C46" s="100" t="s">
        <v>88</v>
      </c>
      <c r="D46" s="106" t="s">
        <v>320</v>
      </c>
      <c r="E46" s="106"/>
      <c r="F46" s="106"/>
      <c r="G46" s="106" t="s">
        <v>320</v>
      </c>
      <c r="H46" s="106"/>
    </row>
    <row r="47" spans="1:15" ht="20.25" customHeight="1" x14ac:dyDescent="0.25">
      <c r="A47" s="105" t="s">
        <v>362</v>
      </c>
      <c r="B47" s="105"/>
      <c r="C47" s="44" t="s">
        <v>88</v>
      </c>
      <c r="D47" s="106" t="s">
        <v>319</v>
      </c>
      <c r="E47" s="106"/>
      <c r="F47" s="106"/>
      <c r="G47" s="106" t="s">
        <v>319</v>
      </c>
      <c r="H47" s="106"/>
    </row>
    <row r="48" spans="1:15" ht="20.25" customHeight="1" x14ac:dyDescent="0.25">
      <c r="A48" s="105" t="s">
        <v>363</v>
      </c>
      <c r="B48" s="105"/>
      <c r="C48" s="44" t="s">
        <v>88</v>
      </c>
      <c r="D48" s="106" t="s">
        <v>320</v>
      </c>
      <c r="E48" s="106"/>
      <c r="F48" s="106"/>
      <c r="G48" s="106" t="s">
        <v>320</v>
      </c>
      <c r="H48" s="106"/>
    </row>
    <row r="49" spans="1:10" ht="20.25" customHeight="1" x14ac:dyDescent="0.25">
      <c r="A49" s="105" t="s">
        <v>364</v>
      </c>
      <c r="B49" s="105"/>
      <c r="C49" s="44" t="s">
        <v>88</v>
      </c>
      <c r="D49" s="106" t="s">
        <v>320</v>
      </c>
      <c r="E49" s="106"/>
      <c r="F49" s="106"/>
      <c r="G49" s="106" t="s">
        <v>320</v>
      </c>
      <c r="H49" s="106"/>
    </row>
    <row r="50" spans="1:10" ht="20.25" x14ac:dyDescent="0.25">
      <c r="A50" s="147" t="s">
        <v>61</v>
      </c>
      <c r="B50" s="147"/>
      <c r="C50" s="147"/>
      <c r="D50" s="147"/>
      <c r="E50" s="147"/>
      <c r="F50" s="147"/>
      <c r="G50" s="147"/>
      <c r="H50" s="147"/>
    </row>
    <row r="51" spans="1:10" ht="42.75" customHeight="1" x14ac:dyDescent="0.25">
      <c r="A51" s="107" t="s">
        <v>62</v>
      </c>
      <c r="B51" s="107" t="s">
        <v>4</v>
      </c>
      <c r="C51" s="106" t="s">
        <v>97</v>
      </c>
      <c r="D51" s="106"/>
      <c r="E51" s="106"/>
      <c r="F51" s="106"/>
      <c r="G51" s="106"/>
      <c r="H51" s="106"/>
    </row>
    <row r="52" spans="1:10" ht="44.25" customHeight="1" x14ac:dyDescent="0.25">
      <c r="A52" s="107" t="s">
        <v>63</v>
      </c>
      <c r="B52" s="107" t="s">
        <v>4</v>
      </c>
      <c r="C52" s="106" t="s">
        <v>318</v>
      </c>
      <c r="D52" s="106"/>
      <c r="E52" s="106"/>
      <c r="F52" s="106"/>
      <c r="G52" s="62" t="s">
        <v>229</v>
      </c>
      <c r="H52" s="93">
        <v>45645</v>
      </c>
    </row>
    <row r="53" spans="1:10" ht="44.25" customHeight="1" x14ac:dyDescent="0.25">
      <c r="A53" s="107" t="s">
        <v>64</v>
      </c>
      <c r="B53" s="107" t="s">
        <v>4</v>
      </c>
      <c r="C53" s="106" t="s">
        <v>318</v>
      </c>
      <c r="D53" s="106"/>
      <c r="E53" s="106"/>
      <c r="F53" s="106"/>
      <c r="G53" s="62" t="s">
        <v>229</v>
      </c>
      <c r="H53" s="93">
        <v>45645</v>
      </c>
    </row>
    <row r="54" spans="1:10" ht="44.25" customHeight="1" x14ac:dyDescent="0.25">
      <c r="A54" s="107" t="s">
        <v>242</v>
      </c>
      <c r="B54" s="107"/>
      <c r="C54" s="106" t="s">
        <v>318</v>
      </c>
      <c r="D54" s="106"/>
      <c r="E54" s="106"/>
      <c r="F54" s="106"/>
      <c r="G54" s="62" t="s">
        <v>229</v>
      </c>
      <c r="H54" s="93">
        <v>45645</v>
      </c>
    </row>
    <row r="55" spans="1:10" ht="87" customHeight="1" x14ac:dyDescent="0.25">
      <c r="A55" s="107"/>
      <c r="B55" s="107"/>
      <c r="C55" s="108" t="s">
        <v>360</v>
      </c>
      <c r="D55" s="109"/>
      <c r="E55" s="109"/>
      <c r="F55" s="109"/>
      <c r="G55" s="109"/>
      <c r="H55" s="110"/>
    </row>
    <row r="56" spans="1:10" ht="106.5" customHeight="1" x14ac:dyDescent="0.25">
      <c r="A56" s="107" t="s">
        <v>374</v>
      </c>
      <c r="B56" s="107" t="s">
        <v>4</v>
      </c>
      <c r="C56" s="106" t="s">
        <v>373</v>
      </c>
      <c r="D56" s="106"/>
      <c r="E56" s="106"/>
      <c r="F56" s="106"/>
      <c r="G56" s="62" t="s">
        <v>230</v>
      </c>
      <c r="H56" s="99">
        <v>45330</v>
      </c>
    </row>
    <row r="57" spans="1:10" ht="45" hidden="1" customHeight="1" x14ac:dyDescent="0.25">
      <c r="A57" s="107" t="s">
        <v>66</v>
      </c>
      <c r="B57" s="107" t="s">
        <v>4</v>
      </c>
      <c r="C57" s="106"/>
      <c r="D57" s="106"/>
      <c r="E57" s="106"/>
      <c r="F57" s="106"/>
      <c r="G57" s="62" t="s">
        <v>230</v>
      </c>
      <c r="H57" s="46"/>
    </row>
    <row r="58" spans="1:10" ht="46.5" hidden="1" customHeight="1" x14ac:dyDescent="0.25">
      <c r="A58" s="107" t="s">
        <v>65</v>
      </c>
      <c r="B58" s="107" t="s">
        <v>4</v>
      </c>
      <c r="C58" s="106"/>
      <c r="D58" s="106"/>
      <c r="E58" s="106"/>
      <c r="F58" s="106"/>
      <c r="G58" s="62" t="s">
        <v>230</v>
      </c>
      <c r="H58" s="46"/>
    </row>
    <row r="59" spans="1:10" ht="45" hidden="1" customHeight="1" x14ac:dyDescent="0.25">
      <c r="A59" s="107" t="s">
        <v>67</v>
      </c>
      <c r="B59" s="107" t="s">
        <v>4</v>
      </c>
      <c r="C59" s="106"/>
      <c r="D59" s="106"/>
      <c r="E59" s="106"/>
      <c r="F59" s="106"/>
      <c r="G59" s="62" t="s">
        <v>230</v>
      </c>
      <c r="H59" s="46"/>
    </row>
    <row r="60" spans="1:10" ht="21" thickBot="1" x14ac:dyDescent="0.3">
      <c r="A60" s="147" t="s">
        <v>68</v>
      </c>
      <c r="B60" s="147"/>
      <c r="C60" s="147"/>
      <c r="D60" s="147"/>
      <c r="E60" s="147"/>
      <c r="F60" s="147"/>
      <c r="G60" s="147"/>
      <c r="H60" s="147"/>
    </row>
    <row r="61" spans="1:10" ht="20.25" customHeight="1" x14ac:dyDescent="0.3">
      <c r="A61" s="181" t="str">
        <f>CONCATENATE((IF(OR(A46="",A46="NA"),"",A46)),"= ",(IF(OR(D46="",D46="NA"),"",D46)),".")</f>
        <v>Building No. 1 (Oak) = 2B + G + 1st to 32nd Floor.</v>
      </c>
      <c r="B61" s="181"/>
      <c r="C61" s="181"/>
      <c r="D61" s="29" t="s">
        <v>116</v>
      </c>
      <c r="E61" s="173" t="s">
        <v>103</v>
      </c>
      <c r="F61" s="173"/>
      <c r="G61" s="29" t="s">
        <v>117</v>
      </c>
      <c r="H61" s="29" t="s">
        <v>118</v>
      </c>
      <c r="I61" s="15" t="str">
        <f ca="1">(IF(E64&gt;99%,"All work completed. Please provide OC.",IF(E64&gt;89.8%,"Plinth, RCC, Brick, Plaster, Flooring, Wooden, Plumbing, Electrification, etc.,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completed","0")))))))))))&amp;(IF(C66=(E62+G62+H62),", RCC Slab",IF(C66&gt;0,", RCC upto "&amp;C66&amp;" Slab",""))&amp;(IF(C67=H62,", Brickwork",IF(C67&gt;0,", Brickwork upto "&amp;C67&amp;" Floor",""))&amp;(IF(C68=H62,", Internal Plaster",IF(C68&gt;0,", Internal Plaster upto "&amp;C68&amp;" Floor",""))&amp;(IF(C69=H62,", External Plaster",IF(C69&gt;0,", External Plaster upto "&amp;C69&amp;" Floor",""))&amp;(IF(C70=H62,", External Plumbing, Elevation and Waterproofing",IF(C70&gt;0,", External Plumbing, Elevation and Waterproofing upto "&amp;C70&amp;" Floor",""))&amp;(IF(C71=H62,", Flooring &amp; Fitting",IF(C71&gt;0,", Flooring &amp; Fitting upto "&amp;C71&amp;" Floor",""))&amp;(IF(C72=H62,", Wooden Work",IF(C72&gt;0,", Wooden Work upto "&amp;C72&amp;" Floor",""))&amp;(IF(C73=H62,", Electrical &amp; Sanitary fittings",IF(C73&gt;0,", Electrical &amp; Sanitary fittings upto "&amp;C73&amp;" Floor",""))&amp;(IF(C74&gt;0,", Finishing upto "&amp;C74&amp;" Floor","")&amp;(IF(C66&gt;0.5," Completed",""))))))))))))))))</f>
        <v>Excavation work in process</v>
      </c>
      <c r="J61" s="17"/>
    </row>
    <row r="62" spans="1:10" ht="20.25" x14ac:dyDescent="0.3">
      <c r="A62" s="181"/>
      <c r="B62" s="181"/>
      <c r="C62" s="181"/>
      <c r="D62" s="94">
        <f>IF(AND(ISNUMBER(SEARCH("1B",A61))),1,IF(AND(ISNUMBER(SEARCH("2B",A61))),2,IF(AND(ISNUMBER(SEARCH("3B",A61))),3,IF(AND(ISNUMBER(SEARCH("4B",A61))),4,IF(ISNUMBER(SEARCH("5B",A61)),5,0)))))</f>
        <v>2</v>
      </c>
      <c r="E62" s="173">
        <v>1</v>
      </c>
      <c r="F62" s="173"/>
      <c r="G62" s="94">
        <v>0</v>
      </c>
      <c r="H62" s="29">
        <f ca="1">--TRIM(RIGHT(SUBSTITUTE(LEFT(A61,_xlfn.AGGREGATE(16,6,FIND({0,1,2,3,4,5,6,7,8,9},A61,ROW(INDIRECT("1:"&amp;LEN(A61)))),1))," ",REPT(" ",LEN(A61))),LEN(A61)))</f>
        <v>32</v>
      </c>
      <c r="I62" s="16" t="s">
        <v>122</v>
      </c>
      <c r="J62" s="17"/>
    </row>
    <row r="63" spans="1:10" ht="20.25" customHeight="1" x14ac:dyDescent="0.3">
      <c r="A63" s="113" t="s">
        <v>120</v>
      </c>
      <c r="B63" s="113"/>
      <c r="C63" s="43" t="s">
        <v>130</v>
      </c>
      <c r="D63" s="27" t="s">
        <v>131</v>
      </c>
      <c r="E63" s="113" t="s">
        <v>121</v>
      </c>
      <c r="F63" s="113"/>
      <c r="G63" s="28" t="s">
        <v>119</v>
      </c>
      <c r="H63" s="28"/>
      <c r="I63" s="19" t="s">
        <v>132</v>
      </c>
      <c r="J63" s="18">
        <f ca="1">H62*25%</f>
        <v>8</v>
      </c>
    </row>
    <row r="64" spans="1:10" ht="20.25" customHeight="1" x14ac:dyDescent="0.3">
      <c r="A64" s="104" t="s">
        <v>133</v>
      </c>
      <c r="B64" s="104"/>
      <c r="C64" s="37">
        <f ca="1">J64</f>
        <v>16</v>
      </c>
      <c r="D64" s="4">
        <f ca="1">((100/H62)*C64)/100</f>
        <v>0.5</v>
      </c>
      <c r="E64" s="124">
        <f ca="1">(((C64/H62*10)+(C65/H62*15)+(25/(E62+G62+H62)*C66)+(5/(H62)*C67)+(2.5/(H62)*C68)+(2.5/(H62)*C69)+(5/H62*C70)+(10/H62*C71)+(2.5/H62*C72)+(2.5/H62*C73)+(10/H62*C74)+(10/H62*C75))/100)</f>
        <v>0.05</v>
      </c>
      <c r="F64" s="125"/>
      <c r="G64" s="104" t="str">
        <f ca="1">I61</f>
        <v>Excavation work in process</v>
      </c>
      <c r="H64" s="104"/>
      <c r="I64" s="19" t="s">
        <v>123</v>
      </c>
      <c r="J64" s="23">
        <f ca="1">H62*50%</f>
        <v>16</v>
      </c>
    </row>
    <row r="65" spans="1:10" ht="20.25" x14ac:dyDescent="0.3">
      <c r="A65" s="104" t="s">
        <v>104</v>
      </c>
      <c r="B65" s="104"/>
      <c r="C65" s="39">
        <f>0</f>
        <v>0</v>
      </c>
      <c r="D65" s="4">
        <f ca="1">((100/H62)*C65)/100</f>
        <v>0</v>
      </c>
      <c r="E65" s="126"/>
      <c r="F65" s="127"/>
      <c r="G65" s="104"/>
      <c r="H65" s="104"/>
      <c r="I65" s="19" t="s">
        <v>124</v>
      </c>
      <c r="J65" s="23">
        <f ca="1">H62</f>
        <v>32</v>
      </c>
    </row>
    <row r="66" spans="1:10" ht="21" customHeight="1" x14ac:dyDescent="0.35">
      <c r="A66" s="104" t="s">
        <v>134</v>
      </c>
      <c r="B66" s="104"/>
      <c r="C66" s="37">
        <v>0</v>
      </c>
      <c r="D66" s="4">
        <f ca="1">((100/(E62+G62+H62))*C66)/100</f>
        <v>0</v>
      </c>
      <c r="E66" s="126"/>
      <c r="F66" s="127"/>
      <c r="G66" s="104"/>
      <c r="H66" s="104"/>
      <c r="I66" s="19" t="s">
        <v>125</v>
      </c>
      <c r="J66" s="24">
        <f ca="1">(IF(D62&gt;1,(H62/(D62+2)),H62*0.2))</f>
        <v>8</v>
      </c>
    </row>
    <row r="67" spans="1:10" ht="21" customHeight="1" x14ac:dyDescent="0.35">
      <c r="A67" s="104" t="s">
        <v>135</v>
      </c>
      <c r="B67" s="104"/>
      <c r="C67" s="37">
        <v>0</v>
      </c>
      <c r="D67" s="4">
        <f ca="1">((100/H62)*C67)/100</f>
        <v>0</v>
      </c>
      <c r="E67" s="126"/>
      <c r="F67" s="127"/>
      <c r="G67" s="104"/>
      <c r="H67" s="104"/>
      <c r="I67" s="19" t="s">
        <v>126</v>
      </c>
      <c r="J67" s="24">
        <f ca="1">(IF(D62&gt;1,(H62/(D62+2)+J66),H62*0.2+J66))</f>
        <v>16</v>
      </c>
    </row>
    <row r="68" spans="1:10" ht="21" customHeight="1" x14ac:dyDescent="0.35">
      <c r="A68" s="111" t="s">
        <v>136</v>
      </c>
      <c r="B68" s="112"/>
      <c r="C68" s="37">
        <v>0</v>
      </c>
      <c r="D68" s="4">
        <f ca="1">((100/H62)*C68)/100</f>
        <v>0</v>
      </c>
      <c r="E68" s="126"/>
      <c r="F68" s="127"/>
      <c r="G68" s="104"/>
      <c r="H68" s="104"/>
      <c r="I68" s="19" t="s">
        <v>137</v>
      </c>
      <c r="J68" s="24">
        <f ca="1">(IF(D62&gt;1,(H62/(D62+2)+J67),0))</f>
        <v>24</v>
      </c>
    </row>
    <row r="69" spans="1:10" ht="21" customHeight="1" x14ac:dyDescent="0.35">
      <c r="A69" s="111" t="s">
        <v>168</v>
      </c>
      <c r="B69" s="112"/>
      <c r="C69" s="37">
        <v>0</v>
      </c>
      <c r="D69" s="4">
        <f ca="1">((100/H62)*C69)/100</f>
        <v>0</v>
      </c>
      <c r="E69" s="126"/>
      <c r="F69" s="127"/>
      <c r="G69" s="104"/>
      <c r="H69" s="104"/>
      <c r="I69" s="19" t="s">
        <v>138</v>
      </c>
      <c r="J69" s="24">
        <f>(IF(D62&gt;2,(H62/(D62+2)+J68),0))</f>
        <v>0</v>
      </c>
    </row>
    <row r="70" spans="1:10" ht="21" x14ac:dyDescent="0.35">
      <c r="A70" s="111" t="s">
        <v>165</v>
      </c>
      <c r="B70" s="112"/>
      <c r="C70" s="37">
        <v>0</v>
      </c>
      <c r="D70" s="4">
        <f ca="1">((100/(H62))*C70)/100</f>
        <v>0</v>
      </c>
      <c r="E70" s="126"/>
      <c r="F70" s="127"/>
      <c r="G70" s="104"/>
      <c r="H70" s="104"/>
      <c r="I70" s="19" t="s">
        <v>140</v>
      </c>
      <c r="J70" s="25">
        <f>(IF(D62&gt;3,(H62/(D62+2)+J69),0))</f>
        <v>0</v>
      </c>
    </row>
    <row r="71" spans="1:10" ht="21" x14ac:dyDescent="0.35">
      <c r="A71" s="104" t="s">
        <v>139</v>
      </c>
      <c r="B71" s="104"/>
      <c r="C71" s="37">
        <v>0</v>
      </c>
      <c r="D71" s="4">
        <f ca="1">((100/(H62))*C71)/100</f>
        <v>0</v>
      </c>
      <c r="E71" s="126"/>
      <c r="F71" s="127"/>
      <c r="G71" s="104"/>
      <c r="H71" s="104"/>
      <c r="I71" s="19" t="s">
        <v>141</v>
      </c>
      <c r="J71" s="24">
        <f>(IF(D62&gt;4,(H62/(D62+2)+J70),0))</f>
        <v>0</v>
      </c>
    </row>
    <row r="72" spans="1:10" ht="21" customHeight="1" x14ac:dyDescent="0.35">
      <c r="A72" s="104" t="s">
        <v>167</v>
      </c>
      <c r="B72" s="104"/>
      <c r="C72" s="37">
        <v>0</v>
      </c>
      <c r="D72" s="4">
        <f ca="1">((100/H62)*C72)/100</f>
        <v>0</v>
      </c>
      <c r="E72" s="126"/>
      <c r="F72" s="127"/>
      <c r="G72" s="104"/>
      <c r="H72" s="104"/>
      <c r="I72" s="19" t="s">
        <v>127</v>
      </c>
      <c r="J72" s="24">
        <f>(IF(D62=1,(H62/(D62+3)+J67),IF(D62=0,(H62*0.3+J67),IF(D62&gt;1,0))))</f>
        <v>0</v>
      </c>
    </row>
    <row r="73" spans="1:10" ht="21.75" thickBot="1" x14ac:dyDescent="0.4">
      <c r="A73" s="104" t="s">
        <v>166</v>
      </c>
      <c r="B73" s="104"/>
      <c r="C73" s="37">
        <v>0</v>
      </c>
      <c r="D73" s="4">
        <f ca="1">((100/H62)*C73)/100</f>
        <v>0</v>
      </c>
      <c r="E73" s="126"/>
      <c r="F73" s="127"/>
      <c r="G73" s="104"/>
      <c r="H73" s="104"/>
      <c r="I73" s="21" t="s">
        <v>128</v>
      </c>
      <c r="J73" s="26">
        <f ca="1">(IF(D62&gt;1.5,(H62/(D62+2)+J67+MAX(0,J68-J67)+MAX(0,J69-J68)+MAX(0,J70-J69)+MAX(0,J71-J70)+MAX(0,J72-J71)),IF(D62=1,(H62/(D62+3)+J72),IF(D62=0,H62*0.3+J72))))</f>
        <v>32</v>
      </c>
    </row>
    <row r="74" spans="1:10" ht="20.25" x14ac:dyDescent="0.25">
      <c r="A74" s="104" t="s">
        <v>142</v>
      </c>
      <c r="B74" s="104"/>
      <c r="C74" s="37">
        <v>0</v>
      </c>
      <c r="D74" s="4">
        <f ca="1">((100/(H62))*C74)/100</f>
        <v>0</v>
      </c>
      <c r="E74" s="126"/>
      <c r="F74" s="127"/>
      <c r="G74" s="104"/>
      <c r="H74" s="104"/>
    </row>
    <row r="75" spans="1:10" ht="20.25" x14ac:dyDescent="0.25">
      <c r="A75" s="104" t="s">
        <v>143</v>
      </c>
      <c r="B75" s="104"/>
      <c r="C75" s="37">
        <v>0</v>
      </c>
      <c r="D75" s="4">
        <f ca="1">((100/(H62))*C75)/100</f>
        <v>0</v>
      </c>
      <c r="E75" s="128"/>
      <c r="F75" s="129"/>
      <c r="G75" s="104"/>
      <c r="H75" s="104"/>
    </row>
    <row r="76" spans="1:10" ht="21" thickBot="1" x14ac:dyDescent="0.3">
      <c r="A76" s="147" t="s">
        <v>68</v>
      </c>
      <c r="B76" s="147"/>
      <c r="C76" s="147"/>
      <c r="D76" s="147"/>
      <c r="E76" s="147"/>
      <c r="F76" s="147"/>
      <c r="G76" s="147"/>
      <c r="H76" s="147"/>
    </row>
    <row r="77" spans="1:10" ht="20.25" customHeight="1" x14ac:dyDescent="0.3">
      <c r="A77" s="181" t="str">
        <f>CONCATENATE((IF(OR(A47="",A47="NA"),"",A47)),"= ",(IF(OR(D47="",D47="NA"),"",D47)),".")</f>
        <v>Building No. 4 (Palm) = 2B + G + 1st to 31st Floor.</v>
      </c>
      <c r="B77" s="181"/>
      <c r="C77" s="181"/>
      <c r="D77" s="31" t="s">
        <v>116</v>
      </c>
      <c r="E77" s="173" t="s">
        <v>103</v>
      </c>
      <c r="F77" s="173"/>
      <c r="G77" s="31" t="s">
        <v>117</v>
      </c>
      <c r="H77" s="31" t="s">
        <v>118</v>
      </c>
      <c r="I77" s="15" t="str">
        <f ca="1">(IF(E80&gt;99%,"All work completed. Please provide OC.",IF(E80&gt;89.8%,"Plinth, RCC, Brick, Plaster, Flooring, Wooden, Plumbing, Electrification, etc., work Completed. Finishing work is in process.",IF(E80&lt;94%,(IF(C80=0,"Work not yet Started.",IF(D80=25%,"Piling work in process",IF(D80=50%,"Excavation work in process",IF(D80=100%,"Excavation work Completed. ","0")))&amp;(IF(C81=0%,"",IF(C81=J82,"Footing work is process",IF(C81=J83,"Footing work Completed",IF(C81=J84,"1st Basement Completed",IF(C81=J85,"1st &amp; 2nd Basement Completed",IF(C81=J86,"1st to 3rd Basement Completed",IF(C81=J87,"1st to 4th Basement Completed",IF(C81=J88,"Plinth work is process",IF(C81=J89,"Plinth work completed","0")))))))))))&amp;(IF(C82=(E78+G78+H78),", RCC Slab",IF(C82&gt;0,", RCC upto "&amp;C82&amp;" Slab",""))&amp;(IF(C83=H78,", Brickwork",IF(C83&gt;0,", Brickwork upto "&amp;C83&amp;" Floor",""))&amp;(IF(C84=H78,", Internal Plaster",IF(C84&gt;0,", Internal Plaster upto "&amp;C84&amp;" Floor",""))&amp;(IF(C85=H78,", External Plaster",IF(C85&gt;0,", External Plaster upto "&amp;C85&amp;" Floor",""))&amp;(IF(C86=H78,", External Plumbing, Elevation and Waterproofing",IF(C86&gt;0,", External Plumbing, Elevation and Waterproofing upto "&amp;C86&amp;" Floor",""))&amp;(IF(C87=H78,", Flooring &amp; Fitting",IF(C87&gt;0,", Flooring &amp; Fitting upto "&amp;C87&amp;" Floor",""))&amp;(IF(C88=H78,", Wooden Work",IF(C88&gt;0,", Wooden Work upto "&amp;C88&amp;" Floor",""))&amp;(IF(C89=H78,", Electrical &amp; Sanitary fittings",IF(C89&gt;0,", Electrical &amp; Sanitary fittings upto "&amp;C89&amp;" Floor",""))&amp;(IF(C90&gt;0,", Finishing upto "&amp;C90&amp;" Floor","")&amp;(IF(C82&gt;0.5," Completed",""))))))))))))))))</f>
        <v>Excavation work in process</v>
      </c>
      <c r="J77" s="17"/>
    </row>
    <row r="78" spans="1:10" ht="20.25" x14ac:dyDescent="0.3">
      <c r="A78" s="181"/>
      <c r="B78" s="181"/>
      <c r="C78" s="181"/>
      <c r="D78" s="94">
        <f>IF(AND(ISNUMBER(SEARCH("1B",A77))),1,IF(AND(ISNUMBER(SEARCH("2B",A77))),2,IF(AND(ISNUMBER(SEARCH("3B",A77))),3,IF(AND(ISNUMBER(SEARCH("4B",A77))),4,IF(ISNUMBER(SEARCH("5B",A77)),5,0)))))</f>
        <v>2</v>
      </c>
      <c r="E78" s="173">
        <v>1</v>
      </c>
      <c r="F78" s="173"/>
      <c r="G78" s="94">
        <v>0</v>
      </c>
      <c r="H78" s="31">
        <f ca="1">--TRIM(RIGHT(SUBSTITUTE(LEFT(A77,_xlfn.AGGREGATE(16,6,FIND({0,1,2,3,4,5,6,7,8,9},A77,ROW(INDIRECT("1:"&amp;LEN(A77)))),1))," ",REPT(" ",LEN(A77))),LEN(A77)))</f>
        <v>31</v>
      </c>
      <c r="I78" s="16" t="s">
        <v>122</v>
      </c>
      <c r="J78" s="17"/>
    </row>
    <row r="79" spans="1:10" ht="20.25" customHeight="1" x14ac:dyDescent="0.3">
      <c r="A79" s="113" t="s">
        <v>120</v>
      </c>
      <c r="B79" s="113"/>
      <c r="C79" s="43" t="s">
        <v>130</v>
      </c>
      <c r="D79" s="32" t="s">
        <v>131</v>
      </c>
      <c r="E79" s="113" t="s">
        <v>121</v>
      </c>
      <c r="F79" s="113"/>
      <c r="G79" s="28" t="s">
        <v>119</v>
      </c>
      <c r="H79" s="28"/>
      <c r="I79" s="19" t="s">
        <v>132</v>
      </c>
      <c r="J79" s="18">
        <f ca="1">H78*25%</f>
        <v>7.75</v>
      </c>
    </row>
    <row r="80" spans="1:10" ht="20.25" customHeight="1" x14ac:dyDescent="0.3">
      <c r="A80" s="104" t="s">
        <v>133</v>
      </c>
      <c r="B80" s="104"/>
      <c r="C80" s="37">
        <f ca="1">J80</f>
        <v>15.5</v>
      </c>
      <c r="D80" s="33">
        <f ca="1">((100/H78)*C80)/100</f>
        <v>0.5</v>
      </c>
      <c r="E80" s="124">
        <f ca="1">(((C80/H78*10)+(C81/H78*15)+(25/(E78+G78+H78)*C82)+(5/(H78)*C83)+(2.5/(H78)*C84)+(2.5/(H78)*C85)+(5/H78*C86)+(10/H78*C87)+(2.5/H78*C88)+(2.5/H78*C89)+(10/H78*C90)+(10/H78*C91))/100)</f>
        <v>0.05</v>
      </c>
      <c r="F80" s="125"/>
      <c r="G80" s="104" t="str">
        <f ca="1">I77</f>
        <v>Excavation work in process</v>
      </c>
      <c r="H80" s="104"/>
      <c r="I80" s="19" t="s">
        <v>123</v>
      </c>
      <c r="J80" s="23">
        <f ca="1">H78*50%</f>
        <v>15.5</v>
      </c>
    </row>
    <row r="81" spans="1:10" ht="20.25" x14ac:dyDescent="0.3">
      <c r="A81" s="104" t="s">
        <v>104</v>
      </c>
      <c r="B81" s="104"/>
      <c r="C81" s="39">
        <f>0</f>
        <v>0</v>
      </c>
      <c r="D81" s="33">
        <f ca="1">((100/H78)*C81)/100</f>
        <v>0</v>
      </c>
      <c r="E81" s="126"/>
      <c r="F81" s="127"/>
      <c r="G81" s="104"/>
      <c r="H81" s="104"/>
      <c r="I81" s="19" t="s">
        <v>124</v>
      </c>
      <c r="J81" s="23">
        <f ca="1">H78</f>
        <v>31</v>
      </c>
    </row>
    <row r="82" spans="1:10" ht="21" customHeight="1" x14ac:dyDescent="0.35">
      <c r="A82" s="104" t="s">
        <v>134</v>
      </c>
      <c r="B82" s="104"/>
      <c r="C82" s="37">
        <v>0</v>
      </c>
      <c r="D82" s="33">
        <f ca="1">((100/(E78+G78+H78))*C82)/100</f>
        <v>0</v>
      </c>
      <c r="E82" s="126"/>
      <c r="F82" s="127"/>
      <c r="G82" s="104"/>
      <c r="H82" s="104"/>
      <c r="I82" s="19" t="s">
        <v>125</v>
      </c>
      <c r="J82" s="24">
        <f ca="1">(IF(D78&gt;1,(H78/(D78+2)),H78*0.2))</f>
        <v>7.75</v>
      </c>
    </row>
    <row r="83" spans="1:10" ht="21" customHeight="1" x14ac:dyDescent="0.35">
      <c r="A83" s="104" t="s">
        <v>135</v>
      </c>
      <c r="B83" s="104"/>
      <c r="C83" s="37">
        <v>0</v>
      </c>
      <c r="D83" s="33">
        <f ca="1">((100/H78)*C83)/100</f>
        <v>0</v>
      </c>
      <c r="E83" s="126"/>
      <c r="F83" s="127"/>
      <c r="G83" s="104"/>
      <c r="H83" s="104"/>
      <c r="I83" s="19" t="s">
        <v>126</v>
      </c>
      <c r="J83" s="24">
        <f ca="1">(IF(D78&gt;1,(H78/(D78+2)+J82),H78*0.2+J82))</f>
        <v>15.5</v>
      </c>
    </row>
    <row r="84" spans="1:10" ht="21" customHeight="1" x14ac:dyDescent="0.35">
      <c r="A84" s="111" t="s">
        <v>136</v>
      </c>
      <c r="B84" s="112"/>
      <c r="C84" s="37">
        <v>0</v>
      </c>
      <c r="D84" s="33">
        <f ca="1">((100/H78)*C84)/100</f>
        <v>0</v>
      </c>
      <c r="E84" s="126"/>
      <c r="F84" s="127"/>
      <c r="G84" s="104"/>
      <c r="H84" s="104"/>
      <c r="I84" s="19" t="s">
        <v>137</v>
      </c>
      <c r="J84" s="24">
        <f ca="1">(IF(D78&gt;1,(H78/(D78+2)+J83),0))</f>
        <v>23.25</v>
      </c>
    </row>
    <row r="85" spans="1:10" ht="21" customHeight="1" x14ac:dyDescent="0.35">
      <c r="A85" s="111" t="s">
        <v>168</v>
      </c>
      <c r="B85" s="112"/>
      <c r="C85" s="37">
        <v>0</v>
      </c>
      <c r="D85" s="33">
        <f ca="1">((100/H78)*C85)/100</f>
        <v>0</v>
      </c>
      <c r="E85" s="126"/>
      <c r="F85" s="127"/>
      <c r="G85" s="104"/>
      <c r="H85" s="104"/>
      <c r="I85" s="19" t="s">
        <v>138</v>
      </c>
      <c r="J85" s="24">
        <f>(IF(D78&gt;2,(H78/(D78+2)+J84),0))</f>
        <v>0</v>
      </c>
    </row>
    <row r="86" spans="1:10" ht="57.75" customHeight="1" x14ac:dyDescent="0.35">
      <c r="A86" s="111" t="s">
        <v>165</v>
      </c>
      <c r="B86" s="112"/>
      <c r="C86" s="37">
        <v>0</v>
      </c>
      <c r="D86" s="33">
        <f ca="1">((100/(H78))*C86)/100</f>
        <v>0</v>
      </c>
      <c r="E86" s="126"/>
      <c r="F86" s="127"/>
      <c r="G86" s="104"/>
      <c r="H86" s="104"/>
      <c r="I86" s="19" t="s">
        <v>140</v>
      </c>
      <c r="J86" s="25">
        <f>(IF(D78&gt;3,(H78/(D78+2)+J85),0))</f>
        <v>0</v>
      </c>
    </row>
    <row r="87" spans="1:10" ht="21" x14ac:dyDescent="0.35">
      <c r="A87" s="104" t="s">
        <v>139</v>
      </c>
      <c r="B87" s="104"/>
      <c r="C87" s="37">
        <v>0</v>
      </c>
      <c r="D87" s="33">
        <f ca="1">((100/(H78))*C87)/100</f>
        <v>0</v>
      </c>
      <c r="E87" s="126"/>
      <c r="F87" s="127"/>
      <c r="G87" s="104"/>
      <c r="H87" s="104"/>
      <c r="I87" s="19" t="s">
        <v>141</v>
      </c>
      <c r="J87" s="24">
        <f>(IF(D78&gt;4,(H78/(D78+2)+J86),0))</f>
        <v>0</v>
      </c>
    </row>
    <row r="88" spans="1:10" ht="21" customHeight="1" x14ac:dyDescent="0.35">
      <c r="A88" s="104" t="s">
        <v>167</v>
      </c>
      <c r="B88" s="104"/>
      <c r="C88" s="37">
        <v>0</v>
      </c>
      <c r="D88" s="33">
        <f ca="1">((100/H78)*C88)/100</f>
        <v>0</v>
      </c>
      <c r="E88" s="126"/>
      <c r="F88" s="127"/>
      <c r="G88" s="104"/>
      <c r="H88" s="104"/>
      <c r="I88" s="19" t="s">
        <v>127</v>
      </c>
      <c r="J88" s="24">
        <f>(IF(D78=1,(H78/(D78+3)+J83),IF(D78=0,(H78*0.3+J83),IF(D78&gt;1,0))))</f>
        <v>0</v>
      </c>
    </row>
    <row r="89" spans="1:10" ht="21.75" thickBot="1" x14ac:dyDescent="0.4">
      <c r="A89" s="104" t="s">
        <v>166</v>
      </c>
      <c r="B89" s="104"/>
      <c r="C89" s="37">
        <v>0</v>
      </c>
      <c r="D89" s="33">
        <f ca="1">((100/H78)*C89)/100</f>
        <v>0</v>
      </c>
      <c r="E89" s="126"/>
      <c r="F89" s="127"/>
      <c r="G89" s="104"/>
      <c r="H89" s="104"/>
      <c r="I89" s="21" t="s">
        <v>128</v>
      </c>
      <c r="J89" s="26">
        <f ca="1">(IF(D78&gt;1.5,(H78/(D78+2)+J83+MAX(0,J84-J83)+MAX(0,J85-J84)+MAX(0,J86-J85)+MAX(0,J87-J86)+MAX(0,J88-J87)),IF(D78=1,(H78/(D78+3)+J88),IF(D78=0,H78*0.3+J88))))</f>
        <v>31</v>
      </c>
    </row>
    <row r="90" spans="1:10" ht="20.25" x14ac:dyDescent="0.25">
      <c r="A90" s="104" t="s">
        <v>142</v>
      </c>
      <c r="B90" s="104"/>
      <c r="C90" s="37">
        <v>0</v>
      </c>
      <c r="D90" s="33">
        <f ca="1">((100/(H78))*C90)/100</f>
        <v>0</v>
      </c>
      <c r="E90" s="126"/>
      <c r="F90" s="127"/>
      <c r="G90" s="104"/>
      <c r="H90" s="104"/>
    </row>
    <row r="91" spans="1:10" ht="20.25" x14ac:dyDescent="0.25">
      <c r="A91" s="104" t="s">
        <v>143</v>
      </c>
      <c r="B91" s="104"/>
      <c r="C91" s="37">
        <v>0</v>
      </c>
      <c r="D91" s="33">
        <f ca="1">((100/(H78))*C91)/100</f>
        <v>0</v>
      </c>
      <c r="E91" s="128"/>
      <c r="F91" s="129"/>
      <c r="G91" s="104"/>
      <c r="H91" s="104"/>
    </row>
    <row r="92" spans="1:10" ht="21" thickBot="1" x14ac:dyDescent="0.3">
      <c r="A92" s="147" t="s">
        <v>68</v>
      </c>
      <c r="B92" s="147"/>
      <c r="C92" s="147"/>
      <c r="D92" s="147"/>
      <c r="E92" s="147"/>
      <c r="F92" s="147"/>
      <c r="G92" s="147"/>
      <c r="H92" s="147"/>
    </row>
    <row r="93" spans="1:10" ht="20.25" customHeight="1" x14ac:dyDescent="0.3">
      <c r="A93" s="181" t="str">
        <f>CONCATENATE((IF(OR(A48="",A48="NA"),"",A48)),"= ",(IF(OR(D48="",D48="NA"),"",D48)),".")</f>
        <v>Building No. 6 (Maple) = 2B + G + 1st to 32nd Floor.</v>
      </c>
      <c r="B93" s="181"/>
      <c r="C93" s="181"/>
      <c r="D93" s="37" t="s">
        <v>116</v>
      </c>
      <c r="E93" s="173" t="s">
        <v>103</v>
      </c>
      <c r="F93" s="173"/>
      <c r="G93" s="37" t="s">
        <v>117</v>
      </c>
      <c r="H93" s="37" t="s">
        <v>118</v>
      </c>
      <c r="I93" s="15" t="str">
        <f ca="1">(IF(E96&gt;99%,"All work completed. Please provide OC.",IF(E96&gt;89.8%,"Plinth, RCC, Brick, Plaster, Flooring, Wooden, Plumbing, Electrification, etc., work Completed. Finishing work is in process.",IF(E96&lt;94%,(IF(C96=0,"Work not yet Started.",IF(D96=25%,"Piling work in process",IF(D96=50%,"Excavation work in process",IF(D96=100%,"Excavation work Completed. ","0")))&amp;(IF(C97=0%,"",IF(C97=J98,"Footing work is process",IF(C97=J99,"Footing work Completed",IF(C97=J100,"1st Basement Completed",IF(C97=J101,"1st &amp; 2nd Basement Completed",IF(C97=J102,"1st to 3rd Basement Completed",IF(C97=J103,"1st to 4th Basement Completed",IF(C97=J104,"Plinth work is process",IF(C97=J105,"Plinth work completed","0")))))))))))&amp;(IF(C98=(E94+G94+H94),", RCC Slab",IF(C98&gt;0,", RCC upto "&amp;C98&amp;" Slab",""))&amp;(IF(C99=H94,", Brickwork",IF(C99&gt;0,", Brickwork upto "&amp;C99&amp;" Floor",""))&amp;(IF(C100=H94,", Internal Plaster",IF(C100&gt;0,", Internal Plaster upto "&amp;C100&amp;" Floor",""))&amp;(IF(C101=H94,", External Plaster",IF(C101&gt;0,", External Plaster upto "&amp;C101&amp;" Floor",""))&amp;(IF(C102=H94,", External Plumbing, Elevation and Waterproofing",IF(C102&gt;0,", External Plumbing, Elevation and Waterproofing upto "&amp;C102&amp;" Floor",""))&amp;(IF(C103=H94,", Flooring &amp; Fitting",IF(C103&gt;0,", Flooring &amp; Fitting upto "&amp;C103&amp;" Floor",""))&amp;(IF(C104=H94,", Wooden Work",IF(C104&gt;0,", Wooden Work upto "&amp;C104&amp;" Floor",""))&amp;(IF(C105=H94,", Electrical &amp; Sanitary fittings",IF(C105&gt;0,", Electrical &amp; Sanitary fittings upto "&amp;C105&amp;" Floor",""))&amp;(IF(C106&gt;0,", Finishing upto "&amp;C106&amp;" Floor","")&amp;(IF(C98&gt;0.5," Completed",""))))))))))))))))</f>
        <v>Excavation work in process</v>
      </c>
      <c r="J93" s="17"/>
    </row>
    <row r="94" spans="1:10" ht="20.25" x14ac:dyDescent="0.3">
      <c r="A94" s="181"/>
      <c r="B94" s="181"/>
      <c r="C94" s="181"/>
      <c r="D94" s="94">
        <f>IF(AND(ISNUMBER(SEARCH("1B",A93))),1,IF(AND(ISNUMBER(SEARCH("2B",A93))),2,IF(AND(ISNUMBER(SEARCH("3B",A93))),3,IF(AND(ISNUMBER(SEARCH("4B",A93))),4,IF(ISNUMBER(SEARCH("5B",A93)),5,0)))))</f>
        <v>2</v>
      </c>
      <c r="E94" s="173">
        <v>1</v>
      </c>
      <c r="F94" s="173"/>
      <c r="G94" s="94">
        <v>0</v>
      </c>
      <c r="H94" s="37">
        <f ca="1">--TRIM(RIGHT(SUBSTITUTE(LEFT(A93,_xlfn.AGGREGATE(16,6,FIND({0,1,2,3,4,5,6,7,8,9},A93,ROW(INDIRECT("1:"&amp;LEN(A93)))),1))," ",REPT(" ",LEN(A93))),LEN(A93)))</f>
        <v>32</v>
      </c>
      <c r="I94" s="16" t="s">
        <v>122</v>
      </c>
      <c r="J94" s="17"/>
    </row>
    <row r="95" spans="1:10" ht="20.25" customHeight="1" x14ac:dyDescent="0.3">
      <c r="A95" s="113" t="s">
        <v>120</v>
      </c>
      <c r="B95" s="113"/>
      <c r="C95" s="43" t="s">
        <v>130</v>
      </c>
      <c r="D95" s="43" t="s">
        <v>131</v>
      </c>
      <c r="E95" s="113" t="s">
        <v>121</v>
      </c>
      <c r="F95" s="113"/>
      <c r="G95" s="28" t="s">
        <v>119</v>
      </c>
      <c r="H95" s="28"/>
      <c r="I95" s="19" t="s">
        <v>132</v>
      </c>
      <c r="J95" s="18">
        <f ca="1">H94*25%</f>
        <v>8</v>
      </c>
    </row>
    <row r="96" spans="1:10" ht="20.25" customHeight="1" x14ac:dyDescent="0.3">
      <c r="A96" s="104" t="s">
        <v>133</v>
      </c>
      <c r="B96" s="104"/>
      <c r="C96" s="37">
        <f ca="1">J96</f>
        <v>16</v>
      </c>
      <c r="D96" s="38">
        <f ca="1">((100/H94)*C96)/100</f>
        <v>0.5</v>
      </c>
      <c r="E96" s="124">
        <f ca="1">(((C96/H94*10)+(C97/H94*15)+(25/(E94+G94+H94)*C98)+(5/(H94)*C99)+(2.5/(H94)*C100)+(2.5/(H94)*C101)+(5/H94*C102)+(10/H94*C103)+(2.5/H94*C104)+(2.5/H94*C105)+(10/H94*C106)+(10/H94*C107))/100)</f>
        <v>0.05</v>
      </c>
      <c r="F96" s="125"/>
      <c r="G96" s="104" t="str">
        <f ca="1">I93</f>
        <v>Excavation work in process</v>
      </c>
      <c r="H96" s="104"/>
      <c r="I96" s="19" t="s">
        <v>123</v>
      </c>
      <c r="J96" s="23">
        <f ca="1">H94*50%</f>
        <v>16</v>
      </c>
    </row>
    <row r="97" spans="1:10" ht="20.25" x14ac:dyDescent="0.3">
      <c r="A97" s="104" t="s">
        <v>104</v>
      </c>
      <c r="B97" s="104"/>
      <c r="C97" s="39">
        <v>0</v>
      </c>
      <c r="D97" s="38">
        <f ca="1">((100/H94)*C97)/100</f>
        <v>0</v>
      </c>
      <c r="E97" s="126"/>
      <c r="F97" s="127"/>
      <c r="G97" s="104"/>
      <c r="H97" s="104"/>
      <c r="I97" s="19" t="s">
        <v>124</v>
      </c>
      <c r="J97" s="23">
        <f ca="1">H94</f>
        <v>32</v>
      </c>
    </row>
    <row r="98" spans="1:10" ht="21" customHeight="1" x14ac:dyDescent="0.35">
      <c r="A98" s="104" t="s">
        <v>134</v>
      </c>
      <c r="B98" s="104"/>
      <c r="C98" s="37">
        <v>0</v>
      </c>
      <c r="D98" s="38">
        <f ca="1">((100/(E94+G94+H94))*C98)/100</f>
        <v>0</v>
      </c>
      <c r="E98" s="126"/>
      <c r="F98" s="127"/>
      <c r="G98" s="104"/>
      <c r="H98" s="104"/>
      <c r="I98" s="19" t="s">
        <v>125</v>
      </c>
      <c r="J98" s="24">
        <f ca="1">(IF(D94&gt;1,(H94/(D94+2)),H94*0.2))</f>
        <v>8</v>
      </c>
    </row>
    <row r="99" spans="1:10" ht="21" customHeight="1" x14ac:dyDescent="0.35">
      <c r="A99" s="104" t="s">
        <v>135</v>
      </c>
      <c r="B99" s="104"/>
      <c r="C99" s="37">
        <v>0</v>
      </c>
      <c r="D99" s="38">
        <f ca="1">((100/H94)*C99)/100</f>
        <v>0</v>
      </c>
      <c r="E99" s="126"/>
      <c r="F99" s="127"/>
      <c r="G99" s="104"/>
      <c r="H99" s="104"/>
      <c r="I99" s="19" t="s">
        <v>126</v>
      </c>
      <c r="J99" s="24">
        <f ca="1">(IF(D94&gt;1,(H94/(D94+2)+J98),H94*0.2+J98))</f>
        <v>16</v>
      </c>
    </row>
    <row r="100" spans="1:10" ht="21" customHeight="1" x14ac:dyDescent="0.35">
      <c r="A100" s="111" t="s">
        <v>136</v>
      </c>
      <c r="B100" s="112"/>
      <c r="C100" s="37">
        <v>0</v>
      </c>
      <c r="D100" s="38">
        <f ca="1">((100/H94)*C100)/100</f>
        <v>0</v>
      </c>
      <c r="E100" s="126"/>
      <c r="F100" s="127"/>
      <c r="G100" s="104"/>
      <c r="H100" s="104"/>
      <c r="I100" s="19" t="s">
        <v>137</v>
      </c>
      <c r="J100" s="24">
        <f ca="1">(IF(D94&gt;1,(H94/(D94+2)+J99),0))</f>
        <v>24</v>
      </c>
    </row>
    <row r="101" spans="1:10" ht="21" customHeight="1" x14ac:dyDescent="0.35">
      <c r="A101" s="111" t="s">
        <v>168</v>
      </c>
      <c r="B101" s="112"/>
      <c r="C101" s="37">
        <v>0</v>
      </c>
      <c r="D101" s="38">
        <f ca="1">((100/H94)*C101)/100</f>
        <v>0</v>
      </c>
      <c r="E101" s="126"/>
      <c r="F101" s="127"/>
      <c r="G101" s="104"/>
      <c r="H101" s="104"/>
      <c r="I101" s="19" t="s">
        <v>138</v>
      </c>
      <c r="J101" s="24">
        <f>(IF(D94&gt;2,(H94/(D94+2)+J100),0))</f>
        <v>0</v>
      </c>
    </row>
    <row r="102" spans="1:10" ht="57.75" customHeight="1" x14ac:dyDescent="0.35">
      <c r="A102" s="111" t="s">
        <v>165</v>
      </c>
      <c r="B102" s="112"/>
      <c r="C102" s="37">
        <v>0</v>
      </c>
      <c r="D102" s="38">
        <f ca="1">((100/(H94))*C102)/100</f>
        <v>0</v>
      </c>
      <c r="E102" s="126"/>
      <c r="F102" s="127"/>
      <c r="G102" s="104"/>
      <c r="H102" s="104"/>
      <c r="I102" s="19" t="s">
        <v>140</v>
      </c>
      <c r="J102" s="25">
        <f>(IF(D94&gt;3,(H94/(D94+2)+J101),0))</f>
        <v>0</v>
      </c>
    </row>
    <row r="103" spans="1:10" ht="21" x14ac:dyDescent="0.35">
      <c r="A103" s="104" t="s">
        <v>139</v>
      </c>
      <c r="B103" s="104"/>
      <c r="C103" s="37">
        <v>0</v>
      </c>
      <c r="D103" s="38">
        <f ca="1">((100/(H94))*C103)/100</f>
        <v>0</v>
      </c>
      <c r="E103" s="126"/>
      <c r="F103" s="127"/>
      <c r="G103" s="104"/>
      <c r="H103" s="104"/>
      <c r="I103" s="19" t="s">
        <v>141</v>
      </c>
      <c r="J103" s="24">
        <f>(IF(D94&gt;4,(H94/(D94+2)+J102),0))</f>
        <v>0</v>
      </c>
    </row>
    <row r="104" spans="1:10" ht="21" customHeight="1" x14ac:dyDescent="0.35">
      <c r="A104" s="104" t="s">
        <v>167</v>
      </c>
      <c r="B104" s="104"/>
      <c r="C104" s="37">
        <v>0</v>
      </c>
      <c r="D104" s="38">
        <f ca="1">((100/H94)*C104)/100</f>
        <v>0</v>
      </c>
      <c r="E104" s="126"/>
      <c r="F104" s="127"/>
      <c r="G104" s="104"/>
      <c r="H104" s="104"/>
      <c r="I104" s="19" t="s">
        <v>127</v>
      </c>
      <c r="J104" s="24">
        <f>(IF(D94=1,(H94/(D94+3)+J99),IF(D94=0,(H94*0.3+J99),IF(D94&gt;1,0))))</f>
        <v>0</v>
      </c>
    </row>
    <row r="105" spans="1:10" ht="21.75" thickBot="1" x14ac:dyDescent="0.4">
      <c r="A105" s="104" t="s">
        <v>166</v>
      </c>
      <c r="B105" s="104"/>
      <c r="C105" s="37">
        <v>0</v>
      </c>
      <c r="D105" s="38">
        <f ca="1">((100/H94)*C105)/100</f>
        <v>0</v>
      </c>
      <c r="E105" s="126"/>
      <c r="F105" s="127"/>
      <c r="G105" s="104"/>
      <c r="H105" s="104"/>
      <c r="I105" s="21" t="s">
        <v>128</v>
      </c>
      <c r="J105" s="26">
        <f ca="1">(IF(D94&gt;1.5,(H94/(D94+2)+J99+MAX(0,J100-J99)+MAX(0,J101-J100)+MAX(0,J102-J101)+MAX(0,J103-J102)+MAX(0,J104-J103)),IF(D94=1,(H94/(D94+3)+J104),IF(D94=0,H94*0.3+J104))))</f>
        <v>32</v>
      </c>
    </row>
    <row r="106" spans="1:10" ht="20.25" x14ac:dyDescent="0.25">
      <c r="A106" s="104" t="s">
        <v>142</v>
      </c>
      <c r="B106" s="104"/>
      <c r="C106" s="37">
        <v>0</v>
      </c>
      <c r="D106" s="38">
        <f ca="1">((100/(H94))*C106)/100</f>
        <v>0</v>
      </c>
      <c r="E106" s="126"/>
      <c r="F106" s="127"/>
      <c r="G106" s="104"/>
      <c r="H106" s="104"/>
    </row>
    <row r="107" spans="1:10" ht="20.25" x14ac:dyDescent="0.25">
      <c r="A107" s="104" t="s">
        <v>143</v>
      </c>
      <c r="B107" s="104"/>
      <c r="C107" s="37">
        <v>0</v>
      </c>
      <c r="D107" s="38">
        <f ca="1">((100/(H94))*C107)/100</f>
        <v>0</v>
      </c>
      <c r="E107" s="128"/>
      <c r="F107" s="129"/>
      <c r="G107" s="104"/>
      <c r="H107" s="104"/>
    </row>
    <row r="108" spans="1:10" ht="21" thickBot="1" x14ac:dyDescent="0.3">
      <c r="A108" s="147" t="s">
        <v>68</v>
      </c>
      <c r="B108" s="147"/>
      <c r="C108" s="147"/>
      <c r="D108" s="147"/>
      <c r="E108" s="147"/>
      <c r="F108" s="147"/>
      <c r="G108" s="147"/>
      <c r="H108" s="147"/>
    </row>
    <row r="109" spans="1:10" ht="20.25" customHeight="1" x14ac:dyDescent="0.3">
      <c r="A109" s="181" t="str">
        <f>CONCATENATE((IF(OR(A49="",A49="NA"),"",A49)),"= ",(IF(OR(D49="",D49="NA"),"",D49)),".")</f>
        <v>Building No. 7 (Walnut) = 2B + G + 1st to 32nd Floor.</v>
      </c>
      <c r="B109" s="181"/>
      <c r="C109" s="181"/>
      <c r="D109" s="89" t="s">
        <v>116</v>
      </c>
      <c r="E109" s="173" t="s">
        <v>103</v>
      </c>
      <c r="F109" s="173"/>
      <c r="G109" s="89" t="s">
        <v>117</v>
      </c>
      <c r="H109" s="89" t="s">
        <v>118</v>
      </c>
      <c r="I109" s="15" t="str">
        <f ca="1">(IF(E112&gt;99%,"All work completed. Please provide OC.",IF(E112&gt;89.8%,"Plinth, RCC, Brick, Plaster, Flooring, Wooden, Plumbing, Electrification, etc., work Completed. Finishing work is in process.",IF(E112&lt;94%,(IF(C112=0,"Work not yet Started.",IF(D112=25%,"Piling work in process",IF(D112=50%,"Excavation work in process",IF(D112=100%,"Excavation work Completed. ","0")))&amp;(IF(C113=0%,"",IF(C113=J114,"Footing work is process",IF(C113=J115,"Footing work Completed",IF(C113=J116,"1st Basement Completed",IF(C113=J117,"1st &amp; 2nd Basement Completed",IF(C113=J118,"1st to 3rd Basement Completed",IF(C113=J119,"1st to 4th Basement Completed",IF(C113=J120,"Plinth work is process",IF(C113=J121,"Plinth work completed","0")))))))))))&amp;(IF(C114=(E110+G110+H110),", RCC Slab",IF(C114&gt;0,", RCC upto "&amp;C114&amp;" Slab",""))&amp;(IF(C115=H110,", Brickwork",IF(C115&gt;0,", Brickwork upto "&amp;C115&amp;" Floor",""))&amp;(IF(C116=H110,", Internal Plaster",IF(C116&gt;0,", Internal Plaster upto "&amp;C116&amp;" Floor",""))&amp;(IF(C117=H110,", External Plaster",IF(C117&gt;0,", External Plaster upto "&amp;C117&amp;" Floor",""))&amp;(IF(C118=H110,", External Plumbing, Elevation and Waterproofing",IF(C118&gt;0,", External Plumbing, Elevation and Waterproofing upto "&amp;C118&amp;" Floor",""))&amp;(IF(C119=H110,", Flooring &amp; Fitting",IF(C119&gt;0,", Flooring &amp; Fitting upto "&amp;C119&amp;" Floor",""))&amp;(IF(C120=H110,", Wooden Work",IF(C120&gt;0,", Wooden Work upto "&amp;C120&amp;" Floor",""))&amp;(IF(C121=H110,", Electrical &amp; Sanitary fittings",IF(C121&gt;0,", Electrical &amp; Sanitary fittings upto "&amp;C121&amp;" Floor",""))&amp;(IF(C122&gt;0,", Finishing upto "&amp;C122&amp;" Floor","")&amp;(IF(C114&gt;0.5," Completed",""))))))))))))))))</f>
        <v>Excavation work in process</v>
      </c>
      <c r="J109" s="17"/>
    </row>
    <row r="110" spans="1:10" ht="20.25" x14ac:dyDescent="0.3">
      <c r="A110" s="181"/>
      <c r="B110" s="181"/>
      <c r="C110" s="181"/>
      <c r="D110" s="94">
        <f>IF(AND(ISNUMBER(SEARCH("1B",A109))),1,IF(AND(ISNUMBER(SEARCH("2B",A109))),2,IF(AND(ISNUMBER(SEARCH("3B",A109))),3,IF(AND(ISNUMBER(SEARCH("4B",A109))),4,IF(ISNUMBER(SEARCH("5B",A109)),5,0)))))</f>
        <v>2</v>
      </c>
      <c r="E110" s="173">
        <v>1</v>
      </c>
      <c r="F110" s="173"/>
      <c r="G110" s="94">
        <v>0</v>
      </c>
      <c r="H110" s="89">
        <f ca="1">--TRIM(RIGHT(SUBSTITUTE(LEFT(A109,_xlfn.AGGREGATE(16,6,FIND({0,1,2,3,4,5,6,7,8,9},A109,ROW(INDIRECT("1:"&amp;LEN(A109)))),1))," ",REPT(" ",LEN(A109))),LEN(A109)))</f>
        <v>32</v>
      </c>
      <c r="I110" s="16" t="s">
        <v>122</v>
      </c>
      <c r="J110" s="17"/>
    </row>
    <row r="111" spans="1:10" ht="20.25" customHeight="1" x14ac:dyDescent="0.3">
      <c r="A111" s="113" t="s">
        <v>120</v>
      </c>
      <c r="B111" s="113"/>
      <c r="C111" s="90" t="s">
        <v>130</v>
      </c>
      <c r="D111" s="90" t="s">
        <v>131</v>
      </c>
      <c r="E111" s="113" t="s">
        <v>121</v>
      </c>
      <c r="F111" s="113"/>
      <c r="G111" s="28" t="s">
        <v>119</v>
      </c>
      <c r="H111" s="28"/>
      <c r="I111" s="19" t="s">
        <v>132</v>
      </c>
      <c r="J111" s="18">
        <f ca="1">H110*25%</f>
        <v>8</v>
      </c>
    </row>
    <row r="112" spans="1:10" ht="20.25" customHeight="1" x14ac:dyDescent="0.3">
      <c r="A112" s="104" t="s">
        <v>133</v>
      </c>
      <c r="B112" s="104"/>
      <c r="C112" s="89">
        <f ca="1">J112</f>
        <v>16</v>
      </c>
      <c r="D112" s="88">
        <f ca="1">((100/H110)*C112)/100</f>
        <v>0.5</v>
      </c>
      <c r="E112" s="124">
        <f ca="1">(((C112/H110*10)+(C113/H110*15)+(25/(E110+G110+H110)*C114)+(5/(H110)*C115)+(2.5/(H110)*C116)+(2.5/(H110)*C117)+(5/H110*C118)+(10/H110*C119)+(2.5/H110*C120)+(2.5/H110*C121)+(10/H110*C122)+(10/H110*C123))/100)</f>
        <v>0.05</v>
      </c>
      <c r="F112" s="125"/>
      <c r="G112" s="104" t="str">
        <f ca="1">I109</f>
        <v>Excavation work in process</v>
      </c>
      <c r="H112" s="104"/>
      <c r="I112" s="19" t="s">
        <v>123</v>
      </c>
      <c r="J112" s="23">
        <f ca="1">H110*50%</f>
        <v>16</v>
      </c>
    </row>
    <row r="113" spans="1:11" ht="20.25" x14ac:dyDescent="0.3">
      <c r="A113" s="104" t="s">
        <v>104</v>
      </c>
      <c r="B113" s="104"/>
      <c r="C113" s="92">
        <v>0</v>
      </c>
      <c r="D113" s="88">
        <f ca="1">((100/H110)*C113)/100</f>
        <v>0</v>
      </c>
      <c r="E113" s="126"/>
      <c r="F113" s="127"/>
      <c r="G113" s="104"/>
      <c r="H113" s="104"/>
      <c r="I113" s="19" t="s">
        <v>124</v>
      </c>
      <c r="J113" s="23">
        <f ca="1">H110</f>
        <v>32</v>
      </c>
    </row>
    <row r="114" spans="1:11" ht="21" customHeight="1" x14ac:dyDescent="0.35">
      <c r="A114" s="104" t="s">
        <v>134</v>
      </c>
      <c r="B114" s="104"/>
      <c r="C114" s="89">
        <v>0</v>
      </c>
      <c r="D114" s="88">
        <f ca="1">((100/(E110+G110+H110))*C114)/100</f>
        <v>0</v>
      </c>
      <c r="E114" s="126"/>
      <c r="F114" s="127"/>
      <c r="G114" s="104"/>
      <c r="H114" s="104"/>
      <c r="I114" s="19" t="s">
        <v>125</v>
      </c>
      <c r="J114" s="24">
        <f ca="1">(IF(D110&gt;1,(H110/(D110+2)),H110*0.2))</f>
        <v>8</v>
      </c>
    </row>
    <row r="115" spans="1:11" ht="21" customHeight="1" x14ac:dyDescent="0.35">
      <c r="A115" s="104" t="s">
        <v>135</v>
      </c>
      <c r="B115" s="104"/>
      <c r="C115" s="89">
        <v>0</v>
      </c>
      <c r="D115" s="88">
        <f ca="1">((100/H110)*C115)/100</f>
        <v>0</v>
      </c>
      <c r="E115" s="126"/>
      <c r="F115" s="127"/>
      <c r="G115" s="104"/>
      <c r="H115" s="104"/>
      <c r="I115" s="19" t="s">
        <v>126</v>
      </c>
      <c r="J115" s="24">
        <f ca="1">(IF(D110&gt;1,(H110/(D110+2)+J114),H110*0.2+J114))</f>
        <v>16</v>
      </c>
    </row>
    <row r="116" spans="1:11" ht="21" customHeight="1" x14ac:dyDescent="0.35">
      <c r="A116" s="111" t="s">
        <v>136</v>
      </c>
      <c r="B116" s="112"/>
      <c r="C116" s="89">
        <v>0</v>
      </c>
      <c r="D116" s="88">
        <f ca="1">((100/H110)*C116)/100</f>
        <v>0</v>
      </c>
      <c r="E116" s="126"/>
      <c r="F116" s="127"/>
      <c r="G116" s="104"/>
      <c r="H116" s="104"/>
      <c r="I116" s="19" t="s">
        <v>137</v>
      </c>
      <c r="J116" s="24">
        <f ca="1">(IF(D110&gt;1,(H110/(D110+2)+J115),0))</f>
        <v>24</v>
      </c>
    </row>
    <row r="117" spans="1:11" ht="21" customHeight="1" x14ac:dyDescent="0.35">
      <c r="A117" s="111" t="s">
        <v>168</v>
      </c>
      <c r="B117" s="112"/>
      <c r="C117" s="89">
        <v>0</v>
      </c>
      <c r="D117" s="88">
        <f ca="1">((100/H110)*C117)/100</f>
        <v>0</v>
      </c>
      <c r="E117" s="126"/>
      <c r="F117" s="127"/>
      <c r="G117" s="104"/>
      <c r="H117" s="104"/>
      <c r="I117" s="19" t="s">
        <v>138</v>
      </c>
      <c r="J117" s="24">
        <f>(IF(D110&gt;2,(H110/(D110+2)+J116),0))</f>
        <v>0</v>
      </c>
    </row>
    <row r="118" spans="1:11" ht="57.75" customHeight="1" x14ac:dyDescent="0.35">
      <c r="A118" s="111" t="s">
        <v>165</v>
      </c>
      <c r="B118" s="112"/>
      <c r="C118" s="89">
        <v>0</v>
      </c>
      <c r="D118" s="88">
        <f ca="1">((100/(H110))*C118)/100</f>
        <v>0</v>
      </c>
      <c r="E118" s="126"/>
      <c r="F118" s="127"/>
      <c r="G118" s="104"/>
      <c r="H118" s="104"/>
      <c r="I118" s="19" t="s">
        <v>140</v>
      </c>
      <c r="J118" s="25">
        <f>(IF(D110&gt;3,(H110/(D110+2)+J117),0))</f>
        <v>0</v>
      </c>
    </row>
    <row r="119" spans="1:11" ht="21" x14ac:dyDescent="0.35">
      <c r="A119" s="104" t="s">
        <v>139</v>
      </c>
      <c r="B119" s="104"/>
      <c r="C119" s="89">
        <v>0</v>
      </c>
      <c r="D119" s="88">
        <f ca="1">((100/(H110))*C119)/100</f>
        <v>0</v>
      </c>
      <c r="E119" s="126"/>
      <c r="F119" s="127"/>
      <c r="G119" s="104"/>
      <c r="H119" s="104"/>
      <c r="I119" s="19" t="s">
        <v>141</v>
      </c>
      <c r="J119" s="24">
        <f>(IF(D110&gt;4,(H110/(D110+2)+J118),0))</f>
        <v>0</v>
      </c>
    </row>
    <row r="120" spans="1:11" ht="21" customHeight="1" x14ac:dyDescent="0.35">
      <c r="A120" s="104" t="s">
        <v>167</v>
      </c>
      <c r="B120" s="104"/>
      <c r="C120" s="89">
        <v>0</v>
      </c>
      <c r="D120" s="88">
        <f ca="1">((100/H110)*C120)/100</f>
        <v>0</v>
      </c>
      <c r="E120" s="126"/>
      <c r="F120" s="127"/>
      <c r="G120" s="104"/>
      <c r="H120" s="104"/>
      <c r="I120" s="19" t="s">
        <v>127</v>
      </c>
      <c r="J120" s="24">
        <f>(IF(D110=1,(H110/(D110+3)+J115),IF(D110=0,(H110*0.3+J115),IF(D110&gt;1,0))))</f>
        <v>0</v>
      </c>
    </row>
    <row r="121" spans="1:11" ht="21.75" thickBot="1" x14ac:dyDescent="0.4">
      <c r="A121" s="104" t="s">
        <v>166</v>
      </c>
      <c r="B121" s="104"/>
      <c r="C121" s="89">
        <v>0</v>
      </c>
      <c r="D121" s="88">
        <f ca="1">((100/H110)*C121)/100</f>
        <v>0</v>
      </c>
      <c r="E121" s="126"/>
      <c r="F121" s="127"/>
      <c r="G121" s="104"/>
      <c r="H121" s="104"/>
      <c r="I121" s="21" t="s">
        <v>128</v>
      </c>
      <c r="J121" s="26">
        <f ca="1">(IF(D110&gt;1.5,(H110/(D110+2)+J115+MAX(0,J116-J115)+MAX(0,J117-J116)+MAX(0,J118-J117)+MAX(0,J119-J118)+MAX(0,J120-J119)),IF(D110=1,(H110/(D110+3)+J120),IF(D110=0,H110*0.3+J120))))</f>
        <v>32</v>
      </c>
    </row>
    <row r="122" spans="1:11" ht="20.25" x14ac:dyDescent="0.25">
      <c r="A122" s="104" t="s">
        <v>142</v>
      </c>
      <c r="B122" s="104"/>
      <c r="C122" s="89">
        <v>0</v>
      </c>
      <c r="D122" s="88">
        <f ca="1">((100/(H110))*C122)/100</f>
        <v>0</v>
      </c>
      <c r="E122" s="126"/>
      <c r="F122" s="127"/>
      <c r="G122" s="104"/>
      <c r="H122" s="104"/>
    </row>
    <row r="123" spans="1:11" ht="20.25" x14ac:dyDescent="0.25">
      <c r="A123" s="104" t="s">
        <v>143</v>
      </c>
      <c r="B123" s="104"/>
      <c r="C123" s="89">
        <v>0</v>
      </c>
      <c r="D123" s="88">
        <f ca="1">((100/(H110))*C123)/100</f>
        <v>0</v>
      </c>
      <c r="E123" s="128"/>
      <c r="F123" s="129"/>
      <c r="G123" s="104"/>
      <c r="H123" s="104"/>
    </row>
    <row r="124" spans="1:11" ht="36.75" customHeight="1" x14ac:dyDescent="0.3">
      <c r="A124" s="185" t="s">
        <v>129</v>
      </c>
      <c r="B124" s="186"/>
      <c r="C124" s="186"/>
      <c r="D124" s="186"/>
      <c r="E124" s="186"/>
      <c r="F124" s="186"/>
      <c r="G124" s="189">
        <f ca="1">AVERAGE(E64,E80,E96,E112)</f>
        <v>0.05</v>
      </c>
      <c r="H124" s="190"/>
      <c r="I124" s="19"/>
      <c r="J124" s="20"/>
      <c r="K124" s="20"/>
    </row>
    <row r="125" spans="1:11" ht="20.25" x14ac:dyDescent="0.25">
      <c r="A125" s="131" t="s">
        <v>72</v>
      </c>
      <c r="B125" s="132"/>
      <c r="C125" s="132"/>
      <c r="D125" s="132"/>
      <c r="E125" s="132"/>
      <c r="F125" s="132"/>
      <c r="G125" s="132"/>
      <c r="H125" s="133"/>
    </row>
    <row r="126" spans="1:11" ht="54.75" customHeight="1" x14ac:dyDescent="0.25">
      <c r="A126" s="135" t="s">
        <v>73</v>
      </c>
      <c r="B126" s="136"/>
      <c r="C126" s="141" t="s">
        <v>108</v>
      </c>
      <c r="D126" s="142"/>
      <c r="E126" s="135" t="s">
        <v>144</v>
      </c>
      <c r="F126" s="136" t="s">
        <v>4</v>
      </c>
      <c r="G126" s="134" t="s">
        <v>157</v>
      </c>
      <c r="H126" s="134"/>
    </row>
    <row r="127" spans="1:11" ht="44.25" customHeight="1" x14ac:dyDescent="0.25">
      <c r="A127" s="144" t="s">
        <v>154</v>
      </c>
      <c r="B127" s="145"/>
      <c r="C127" s="141" t="s">
        <v>376</v>
      </c>
      <c r="D127" s="142"/>
      <c r="E127" s="135" t="s">
        <v>155</v>
      </c>
      <c r="F127" s="136" t="s">
        <v>4</v>
      </c>
      <c r="G127" s="106" t="s">
        <v>145</v>
      </c>
      <c r="H127" s="106"/>
    </row>
    <row r="128" spans="1:11" ht="20.25" x14ac:dyDescent="0.25">
      <c r="A128" s="135" t="s">
        <v>74</v>
      </c>
      <c r="B128" s="136"/>
      <c r="C128" s="108">
        <v>300000</v>
      </c>
      <c r="D128" s="110"/>
      <c r="E128" s="135" t="s">
        <v>102</v>
      </c>
      <c r="F128" s="136" t="s">
        <v>4</v>
      </c>
      <c r="G128" s="141" t="s">
        <v>109</v>
      </c>
      <c r="H128" s="142"/>
    </row>
    <row r="129" spans="1:150 16226:16383" ht="20.25" x14ac:dyDescent="0.25">
      <c r="A129" s="131" t="s">
        <v>71</v>
      </c>
      <c r="B129" s="132"/>
      <c r="C129" s="132"/>
      <c r="D129" s="132"/>
      <c r="E129" s="132"/>
      <c r="F129" s="132"/>
      <c r="G129" s="132"/>
      <c r="H129" s="133"/>
    </row>
    <row r="130" spans="1:150 16226:16383" ht="20.25" customHeight="1" x14ac:dyDescent="0.25">
      <c r="A130" s="135" t="s">
        <v>8</v>
      </c>
      <c r="B130" s="143"/>
      <c r="C130" s="143"/>
      <c r="D130" s="143"/>
      <c r="E130" s="143"/>
      <c r="F130" s="136"/>
      <c r="G130" s="174">
        <f>4300/10.764</f>
        <v>399.47974730583428</v>
      </c>
      <c r="H130" s="175"/>
    </row>
    <row r="131" spans="1:150 16226:16383" ht="20.25" customHeight="1" x14ac:dyDescent="0.25">
      <c r="A131" s="135" t="s">
        <v>28</v>
      </c>
      <c r="B131" s="143"/>
      <c r="C131" s="143"/>
      <c r="D131" s="143"/>
      <c r="E131" s="143"/>
      <c r="F131" s="136" t="s">
        <v>4</v>
      </c>
      <c r="G131" s="153">
        <f>31300/10.764</f>
        <v>2907.8409513192123</v>
      </c>
      <c r="H131" s="153"/>
    </row>
    <row r="132" spans="1:150 16226:16383" ht="20.25" customHeight="1" x14ac:dyDescent="0.25">
      <c r="A132" s="135" t="s">
        <v>110</v>
      </c>
      <c r="B132" s="143"/>
      <c r="C132" s="143"/>
      <c r="D132" s="143"/>
      <c r="E132" s="143"/>
      <c r="F132" s="136" t="s">
        <v>4</v>
      </c>
      <c r="G132" s="153">
        <f>G130*0.8</f>
        <v>319.58379784466746</v>
      </c>
      <c r="H132" s="153"/>
    </row>
    <row r="133" spans="1:150 16226:16383" ht="20.25" x14ac:dyDescent="0.25">
      <c r="A133" s="170" t="s">
        <v>243</v>
      </c>
      <c r="B133" s="171"/>
      <c r="C133" s="171"/>
      <c r="D133" s="171"/>
      <c r="E133" s="171"/>
      <c r="F133" s="171"/>
      <c r="G133" s="171"/>
      <c r="H133" s="172"/>
    </row>
    <row r="134" spans="1:150 16226:16383" s="2" customFormat="1" ht="20.25" x14ac:dyDescent="0.25">
      <c r="A134" s="149" t="s">
        <v>151</v>
      </c>
      <c r="B134" s="150"/>
      <c r="C134" s="149" t="s">
        <v>152</v>
      </c>
      <c r="D134" s="150"/>
      <c r="E134" s="149" t="s">
        <v>150</v>
      </c>
      <c r="F134" s="150"/>
      <c r="G134" s="149" t="s">
        <v>163</v>
      </c>
      <c r="H134" s="150"/>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2" customFormat="1" ht="20.25" customHeight="1" x14ac:dyDescent="0.25">
      <c r="A135" s="151" t="s">
        <v>316</v>
      </c>
      <c r="B135" s="152"/>
      <c r="C135" s="151" t="s">
        <v>322</v>
      </c>
      <c r="D135" s="152"/>
      <c r="E135" s="151">
        <f>COUNT(E180:E189)</f>
        <v>10</v>
      </c>
      <c r="F135" s="152"/>
      <c r="G135" s="151">
        <f>SUM(H180:H189)</f>
        <v>2320.2017279999995</v>
      </c>
      <c r="H135" s="152"/>
      <c r="I135" s="96"/>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2" customFormat="1" ht="20.25" x14ac:dyDescent="0.25">
      <c r="A136" s="149" t="s">
        <v>153</v>
      </c>
      <c r="B136" s="150"/>
      <c r="C136" s="149" t="s">
        <v>96</v>
      </c>
      <c r="D136" s="150"/>
      <c r="E136" s="149">
        <f>SUM(E135)</f>
        <v>10</v>
      </c>
      <c r="F136" s="150"/>
      <c r="G136" s="149">
        <f>SUM(G135)</f>
        <v>2320.2017279999995</v>
      </c>
      <c r="H136" s="150"/>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ht="20.25" x14ac:dyDescent="0.25">
      <c r="A137" s="170" t="s">
        <v>231</v>
      </c>
      <c r="B137" s="171"/>
      <c r="C137" s="171"/>
      <c r="D137" s="171"/>
      <c r="E137" s="171"/>
      <c r="F137" s="171"/>
      <c r="G137" s="171"/>
      <c r="H137" s="172"/>
    </row>
    <row r="138" spans="1:150 16226:16383" s="2" customFormat="1" ht="20.25" x14ac:dyDescent="0.25">
      <c r="A138" s="149" t="s">
        <v>151</v>
      </c>
      <c r="B138" s="150"/>
      <c r="C138" s="149" t="s">
        <v>152</v>
      </c>
      <c r="D138" s="150"/>
      <c r="E138" s="149" t="s">
        <v>150</v>
      </c>
      <c r="F138" s="150"/>
      <c r="G138" s="149" t="s">
        <v>163</v>
      </c>
      <c r="H138" s="150"/>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2" customFormat="1" ht="20.25" customHeight="1" x14ac:dyDescent="0.25">
      <c r="A139" s="151" t="s">
        <v>313</v>
      </c>
      <c r="B139" s="152"/>
      <c r="C139" s="151" t="s">
        <v>322</v>
      </c>
      <c r="D139" s="152"/>
      <c r="E139" s="151">
        <f>COUNT(E151:E158)+COUNT(E160:E167)*26+COUNT(E170:E176)*5</f>
        <v>251</v>
      </c>
      <c r="F139" s="152"/>
      <c r="G139" s="151">
        <f>SUM(H151:H158)+SUM(H160:H167)*26+SUM(H170:H176)*5</f>
        <v>141188.3611632</v>
      </c>
      <c r="H139" s="152"/>
      <c r="I139" s="96"/>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2" customFormat="1" ht="20.25" customHeight="1" x14ac:dyDescent="0.25">
      <c r="A140" s="151" t="s">
        <v>316</v>
      </c>
      <c r="B140" s="152"/>
      <c r="C140" s="151" t="s">
        <v>322</v>
      </c>
      <c r="D140" s="152"/>
      <c r="E140" s="151">
        <f>COUNT(E191:E198)+COUNT(E200:E207)*25+COUNT(E209:E212,E214:E216)*5</f>
        <v>243</v>
      </c>
      <c r="F140" s="152"/>
      <c r="G140" s="151">
        <f>SUM(H191:H198)+SUM(H200:H207)*25+SUM(H209:H212,H214:H216)*5</f>
        <v>136806.65537759999</v>
      </c>
      <c r="H140" s="152"/>
      <c r="I140" s="96"/>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2" customFormat="1" ht="20.25" x14ac:dyDescent="0.25">
      <c r="A141" s="151" t="s">
        <v>315</v>
      </c>
      <c r="B141" s="152"/>
      <c r="C141" s="151" t="s">
        <v>322</v>
      </c>
      <c r="D141" s="152"/>
      <c r="E141" s="151">
        <f>COUNT(E221:E228)+COUNT(E230:E237)*26+COUNT(E239:E241,E243:E246)*5</f>
        <v>251</v>
      </c>
      <c r="F141" s="152"/>
      <c r="G141" s="151">
        <f>SUM(H221:H228)+SUM(H230:H237)*26+SUM(H239:H241,H243:H246)*5</f>
        <v>176093.68813920001</v>
      </c>
      <c r="H141" s="152"/>
      <c r="I141" s="96"/>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2" customFormat="1" ht="20.25" x14ac:dyDescent="0.25">
      <c r="A142" s="151" t="s">
        <v>314</v>
      </c>
      <c r="B142" s="152"/>
      <c r="C142" s="151" t="s">
        <v>322</v>
      </c>
      <c r="D142" s="152"/>
      <c r="E142" s="151">
        <f>COUNT(E251:E254)+COUNT(E256:E259)*26+COUNT(E261,E263:E265)*5</f>
        <v>128</v>
      </c>
      <c r="F142" s="152"/>
      <c r="G142" s="151">
        <f>SUM(H251:H254)+SUM(H256:H259)*26+SUM(H261,H263:H265)*5</f>
        <v>119654.7165216</v>
      </c>
      <c r="H142" s="152"/>
      <c r="I142" s="96"/>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2" customFormat="1" ht="20.25" x14ac:dyDescent="0.25">
      <c r="A143" s="149" t="s">
        <v>153</v>
      </c>
      <c r="B143" s="150"/>
      <c r="C143" s="149" t="s">
        <v>96</v>
      </c>
      <c r="D143" s="150"/>
      <c r="E143" s="149">
        <f>SUM(E139:F142)</f>
        <v>873</v>
      </c>
      <c r="F143" s="150"/>
      <c r="G143" s="149">
        <f>SUM(G139:H142)</f>
        <v>573743.42120159999</v>
      </c>
      <c r="H143" s="150"/>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2" customFormat="1" ht="20.25" x14ac:dyDescent="0.25">
      <c r="A144" s="149" t="s">
        <v>244</v>
      </c>
      <c r="B144" s="150"/>
      <c r="C144" s="149" t="s">
        <v>96</v>
      </c>
      <c r="D144" s="150"/>
      <c r="E144" s="149">
        <f>E136+E143</f>
        <v>883</v>
      </c>
      <c r="F144" s="150"/>
      <c r="G144" s="149">
        <f>G136+G143</f>
        <v>576063.62292959995</v>
      </c>
      <c r="H144" s="150"/>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ht="20.25" x14ac:dyDescent="0.25">
      <c r="A145" s="187" t="s">
        <v>149</v>
      </c>
      <c r="B145" s="188"/>
      <c r="C145" s="188"/>
      <c r="D145" s="188"/>
      <c r="E145" s="188"/>
      <c r="F145" s="188"/>
      <c r="G145" s="188"/>
      <c r="H145" s="172"/>
    </row>
    <row r="146" spans="1:150 16226:16383" ht="66" customHeight="1" x14ac:dyDescent="0.25">
      <c r="A146" s="63" t="s">
        <v>232</v>
      </c>
      <c r="B146" s="42" t="s">
        <v>233</v>
      </c>
      <c r="C146" s="41" t="s">
        <v>234</v>
      </c>
      <c r="D146" s="30" t="s">
        <v>89</v>
      </c>
      <c r="E146" s="42" t="s">
        <v>164</v>
      </c>
      <c r="F146" s="41" t="s">
        <v>328</v>
      </c>
      <c r="G146" s="30" t="s">
        <v>91</v>
      </c>
      <c r="H146" s="30" t="s">
        <v>90</v>
      </c>
      <c r="I146" s="1">
        <f>10.764</f>
        <v>10.763999999999999</v>
      </c>
    </row>
    <row r="147" spans="1:150 16226:16383" s="2" customFormat="1" ht="20.25" x14ac:dyDescent="0.25">
      <c r="A147" s="191" t="s">
        <v>313</v>
      </c>
      <c r="B147" s="139"/>
      <c r="C147" s="139"/>
      <c r="D147" s="139"/>
      <c r="E147" s="139"/>
      <c r="F147" s="139"/>
      <c r="G147" s="139"/>
      <c r="H147" s="192"/>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2" customFormat="1" ht="20.25" x14ac:dyDescent="0.25">
      <c r="A148" s="191" t="s">
        <v>365</v>
      </c>
      <c r="B148" s="139"/>
      <c r="C148" s="139"/>
      <c r="D148" s="139"/>
      <c r="E148" s="139"/>
      <c r="F148" s="139"/>
      <c r="G148" s="139"/>
      <c r="H148" s="192"/>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2" customFormat="1" ht="40.5" customHeight="1" x14ac:dyDescent="0.25">
      <c r="A149" s="191" t="s">
        <v>366</v>
      </c>
      <c r="B149" s="139"/>
      <c r="C149" s="139"/>
      <c r="D149" s="139"/>
      <c r="E149" s="139"/>
      <c r="F149" s="139"/>
      <c r="G149" s="139"/>
      <c r="H149" s="192"/>
      <c r="I149" s="103"/>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2" customFormat="1" ht="20.25" x14ac:dyDescent="0.25">
      <c r="A150" s="137" t="s">
        <v>325</v>
      </c>
      <c r="B150" s="138"/>
      <c r="C150" s="138"/>
      <c r="D150" s="138"/>
      <c r="E150" s="138"/>
      <c r="F150" s="138"/>
      <c r="G150" s="138"/>
      <c r="H150" s="140"/>
      <c r="I150" s="1">
        <f>1</f>
        <v>1</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2" customFormat="1" ht="20.25" customHeight="1" x14ac:dyDescent="0.25">
      <c r="A151" s="130">
        <v>1</v>
      </c>
      <c r="B151" s="130"/>
      <c r="C151" s="64" t="s">
        <v>322</v>
      </c>
      <c r="D151" s="64" t="s">
        <v>367</v>
      </c>
      <c r="E151" s="97">
        <f>(51.05)*(10.764)</f>
        <v>549.5021999999999</v>
      </c>
      <c r="F151" s="97">
        <f t="shared" ref="F151:F158" si="0">(1.13*2.8+2.02*1.24)*(10.764)</f>
        <v>61.018963199999988</v>
      </c>
      <c r="G151" s="97">
        <v>0</v>
      </c>
      <c r="H151" s="97">
        <f>E151+F151+(IF(G151&lt;101,G151,IF(G151&lt;201,G151/2,IF(G151&lt;=301,G151/3,G151/4))))</f>
        <v>610.52116319999993</v>
      </c>
      <c r="I151" s="1">
        <f>2.89*5.03+2.14*2.64+2.43*2.74+3.05*3.34+1.22*2.33+1.52*2.34+4.1*0.9+1.13*1.3</f>
        <v>48.5899</v>
      </c>
      <c r="J151" s="1">
        <f>1.13*2.8+2.02*1.24</f>
        <v>5.6687999999999992</v>
      </c>
      <c r="K151" s="1"/>
      <c r="L151" s="1"/>
      <c r="M151" s="1"/>
      <c r="N151" s="1"/>
      <c r="O151" s="1"/>
      <c r="P151" s="1"/>
      <c r="Q151" s="1"/>
      <c r="R151" s="1"/>
      <c r="S151" s="1"/>
      <c r="T151" s="22" t="str">
        <f t="shared" ref="T151:T158" ca="1" si="1">U151&amp;""&amp;",..,"&amp;""&amp;V151</f>
        <v>101,..,101</v>
      </c>
      <c r="U151" s="22">
        <f ca="1">(SUMPRODUCT(MID(0&amp;(LEFT(A150,SUM(LEN(A150)-LEN(SUBSTITUTE(A150,{"0","1","2","3"},""))))), LARGE(INDEX(ISNUMBER(--MID((LEFT(A150,SUM(LEN(A150)-LEN(SUBSTITUTE(A150,{"0","1","2","3"},""))))), ROW(INDIRECT("1:"&amp;LEN((LEFT(A150,SUM(LEN(A150)-LEN(SUBSTITUTE(A150,{"0","1","2","3"},"")))))))), 1)) * ROW(INDIRECT("1:"&amp;LEN((LEFT(A150,SUM(LEN(A150)-LEN(SUBSTITUTE(A150,{"0","1","2","3"},"")))))))), 0), ROW(INDIRECT("1:"&amp;LEN((LEFT(A150,SUM(LEN(A150)-LEN(SUBSTITUTE(A150,{"0","1","2","3"},"")))))))))+1, 1) * 10^ROW(INDIRECT("1:"&amp;LEN((LEFT(A150,SUM(LEN(A150)-LEN(SUBSTITUTE(A150,{"0","1","2","3"},""))))))))/10))*100+1</f>
        <v>101</v>
      </c>
      <c r="V151" s="22">
        <f ca="1">(SUMPRODUCT(MID(0&amp;(--TRIM(RIGHT(SUBSTITUTE(LEFT(A150,_xlfn.AGGREGATE(16,6,FIND({0,1,2,3,4,5,6,7,8,9},A150,ROW(INDIRECT("1:"&amp;LEN(A150)))),1))," ",REPT(" ",LEN(A150))),LEN(A150)))), LARGE(INDEX(ISNUMBER(--MID((--TRIM(RIGHT(SUBSTITUTE(LEFT(A150,_xlfn.AGGREGATE(16,6,FIND({0,1,2,3,4,5,6,7,8,9},A150,ROW(INDIRECT("1:"&amp;LEN(A150)))),1))," ",REPT(" ",LEN(A150))),LEN(A150)))), ROW(INDIRECT("1:"&amp;LEN((--TRIM(RIGHT(SUBSTITUTE(LEFT(A150,_xlfn.AGGREGATE(16,6,FIND({0,1,2,3,4,5,6,7,8,9},A150,ROW(INDIRECT("1:"&amp;LEN(A150)))),1))," ",REPT(" ",LEN(A150))),LEN(A150))))))), 1)) * ROW(INDIRECT("1:"&amp;LEN((--TRIM(RIGHT(SUBSTITUTE(LEFT(A150,_xlfn.AGGREGATE(16,6,FIND({0,1,2,3,4,5,6,7,8,9},A150,ROW(INDIRECT("1:"&amp;LEN(A150)))),1))," ",REPT(" ",LEN(A150))),LEN(A150))))))), 0), ROW(INDIRECT("1:"&amp;LEN((--TRIM(RIGHT(SUBSTITUTE(LEFT(A150,_xlfn.AGGREGATE(16,6,FIND({0,1,2,3,4,5,6,7,8,9},A150,ROW(INDIRECT("1:"&amp;LEN(A150)))),1))," ",REPT(" ",LEN(A150))),LEN(A150))))))))+1, 1) * 10^ROW(INDIRECT("1:"&amp;LEN((--TRIM(RIGHT(SUBSTITUTE(LEFT(A150,_xlfn.AGGREGATE(16,6,FIND({0,1,2,3,4,5,6,7,8,9},A150,ROW(INDIRECT("1:"&amp;LEN(A150)))),1))," ",REPT(" ",LEN(A150))),LEN(A150)))))))/10))*100+1</f>
        <v>101</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2" customFormat="1" ht="20.25" customHeight="1" x14ac:dyDescent="0.25">
      <c r="A152" s="130">
        <v>2</v>
      </c>
      <c r="B152" s="130"/>
      <c r="C152" s="64" t="s">
        <v>322</v>
      </c>
      <c r="D152" s="64" t="s">
        <v>327</v>
      </c>
      <c r="E152" s="97">
        <f>(42.38)*(10.764)</f>
        <v>456.17831999999999</v>
      </c>
      <c r="F152" s="97">
        <f t="shared" si="0"/>
        <v>61.018963199999988</v>
      </c>
      <c r="G152" s="97">
        <v>0</v>
      </c>
      <c r="H152" s="97">
        <f t="shared" ref="H152:H158" si="2">E152+F152+(IF(G152&lt;101,G152,IF(G152&lt;201,G152/2,IF(G152&lt;=301,G152/3,G152/4))))</f>
        <v>517.19728320000002</v>
      </c>
      <c r="I152" s="102">
        <f>2.9*5.03+2.14*2.49+3.05*2.99+1.38*2.44+1.52*2.14+2.4*0.9+0.5*0.2+1.13*1.3+1.8*0.9</f>
        <v>41.004100000000001</v>
      </c>
      <c r="J152" s="1">
        <f>1.13*2.8+2.02*1.24</f>
        <v>5.6687999999999992</v>
      </c>
      <c r="K152" s="1"/>
      <c r="L152" s="1"/>
      <c r="M152" s="1"/>
      <c r="N152" s="1"/>
      <c r="O152" s="1"/>
      <c r="P152" s="1"/>
      <c r="Q152" s="1"/>
      <c r="R152" s="1"/>
      <c r="S152" s="1"/>
      <c r="T152" s="22" t="str">
        <f t="shared" ca="1" si="1"/>
        <v>102,..,102</v>
      </c>
      <c r="U152" s="22">
        <f ca="1">U151+1</f>
        <v>102</v>
      </c>
      <c r="V152" s="22">
        <f ca="1">V151+1</f>
        <v>102</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2" customFormat="1" ht="20.25" customHeight="1" x14ac:dyDescent="0.25">
      <c r="A153" s="130">
        <v>3</v>
      </c>
      <c r="B153" s="130"/>
      <c r="C153" s="64" t="s">
        <v>322</v>
      </c>
      <c r="D153" s="64" t="s">
        <v>327</v>
      </c>
      <c r="E153" s="97">
        <f>(42.38)*(10.764)</f>
        <v>456.17831999999999</v>
      </c>
      <c r="F153" s="97">
        <f t="shared" si="0"/>
        <v>61.018963199999988</v>
      </c>
      <c r="G153" s="97">
        <v>0</v>
      </c>
      <c r="H153" s="97">
        <f t="shared" si="2"/>
        <v>517.19728320000002</v>
      </c>
      <c r="I153" s="1"/>
      <c r="J153" s="1"/>
      <c r="K153" s="1"/>
      <c r="L153" s="1"/>
      <c r="M153" s="1"/>
      <c r="N153" s="1"/>
      <c r="O153" s="1"/>
      <c r="P153" s="1"/>
      <c r="Q153" s="1"/>
      <c r="R153" s="1"/>
      <c r="S153" s="1"/>
      <c r="T153" s="22" t="str">
        <f t="shared" ca="1" si="1"/>
        <v>103,..,103</v>
      </c>
      <c r="U153" s="22">
        <f t="shared" ref="U153:V153" ca="1" si="3">U152+1</f>
        <v>103</v>
      </c>
      <c r="V153" s="22">
        <f t="shared" ca="1" si="3"/>
        <v>103</v>
      </c>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2" customFormat="1" ht="20.25" customHeight="1" x14ac:dyDescent="0.25">
      <c r="A154" s="130">
        <v>4</v>
      </c>
      <c r="B154" s="130"/>
      <c r="C154" s="64" t="s">
        <v>322</v>
      </c>
      <c r="D154" s="64" t="s">
        <v>367</v>
      </c>
      <c r="E154" s="97">
        <f>(51.05)*(10.764)</f>
        <v>549.5021999999999</v>
      </c>
      <c r="F154" s="97">
        <f t="shared" si="0"/>
        <v>61.018963199999988</v>
      </c>
      <c r="G154" s="97">
        <v>0</v>
      </c>
      <c r="H154" s="97">
        <f t="shared" si="2"/>
        <v>610.52116319999993</v>
      </c>
      <c r="I154" s="1"/>
      <c r="J154" s="1"/>
      <c r="K154" s="1"/>
      <c r="L154" s="1"/>
      <c r="M154" s="1"/>
      <c r="N154" s="1"/>
      <c r="O154" s="1"/>
      <c r="P154" s="1"/>
      <c r="Q154" s="1"/>
      <c r="R154" s="1"/>
      <c r="S154" s="1"/>
      <c r="T154" s="22" t="str">
        <f t="shared" ca="1" si="1"/>
        <v>104,..,104</v>
      </c>
      <c r="U154" s="22">
        <f t="shared" ref="U154:V154" ca="1" si="4">U153+1</f>
        <v>104</v>
      </c>
      <c r="V154" s="22">
        <f t="shared" ca="1" si="4"/>
        <v>104</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2" customFormat="1" ht="20.25" customHeight="1" x14ac:dyDescent="0.25">
      <c r="A155" s="130">
        <v>5</v>
      </c>
      <c r="B155" s="130"/>
      <c r="C155" s="64" t="s">
        <v>322</v>
      </c>
      <c r="D155" s="64" t="s">
        <v>367</v>
      </c>
      <c r="E155" s="97">
        <f>(51.05)*(10.764)</f>
        <v>549.5021999999999</v>
      </c>
      <c r="F155" s="97">
        <f t="shared" si="0"/>
        <v>61.018963199999988</v>
      </c>
      <c r="G155" s="97">
        <v>0</v>
      </c>
      <c r="H155" s="97">
        <f t="shared" si="2"/>
        <v>610.52116319999993</v>
      </c>
      <c r="I155" s="1"/>
      <c r="J155" s="1"/>
      <c r="K155" s="1"/>
      <c r="L155" s="1"/>
      <c r="M155" s="1"/>
      <c r="N155" s="1"/>
      <c r="O155" s="1"/>
      <c r="P155" s="1"/>
      <c r="Q155" s="1"/>
      <c r="R155" s="1"/>
      <c r="S155" s="1"/>
      <c r="T155" s="22" t="str">
        <f t="shared" ca="1" si="1"/>
        <v>105,..,105</v>
      </c>
      <c r="U155" s="22">
        <f t="shared" ref="U155:V155" ca="1" si="5">U154+1</f>
        <v>105</v>
      </c>
      <c r="V155" s="22">
        <f t="shared" ca="1" si="5"/>
        <v>105</v>
      </c>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2" customFormat="1" ht="20.25" customHeight="1" x14ac:dyDescent="0.25">
      <c r="A156" s="130">
        <v>6</v>
      </c>
      <c r="B156" s="130"/>
      <c r="C156" s="64" t="s">
        <v>322</v>
      </c>
      <c r="D156" s="64" t="s">
        <v>368</v>
      </c>
      <c r="E156" s="97">
        <f>(28.41)*(10.764)</f>
        <v>305.80523999999997</v>
      </c>
      <c r="F156" s="97">
        <f t="shared" si="0"/>
        <v>61.018963199999988</v>
      </c>
      <c r="G156" s="97">
        <v>0</v>
      </c>
      <c r="H156" s="97">
        <f t="shared" si="2"/>
        <v>366.82420319999994</v>
      </c>
      <c r="I156" s="1">
        <f>2.9*5.03+2.14*2.49+1.38*2.44+1.13*1.3+2.14*0.9+0.5*0.2</f>
        <v>26.777800000000006</v>
      </c>
      <c r="J156" s="1"/>
      <c r="K156" s="1"/>
      <c r="L156" s="1"/>
      <c r="M156" s="1"/>
      <c r="N156" s="1"/>
      <c r="O156" s="1"/>
      <c r="P156" s="1"/>
      <c r="Q156" s="1"/>
      <c r="R156" s="1"/>
      <c r="S156" s="1"/>
      <c r="T156" s="22" t="str">
        <f t="shared" ca="1" si="1"/>
        <v>106,..,106</v>
      </c>
      <c r="U156" s="22">
        <f t="shared" ref="U156:V156" ca="1" si="6">U155+1</f>
        <v>106</v>
      </c>
      <c r="V156" s="22">
        <f t="shared" ca="1" si="6"/>
        <v>106</v>
      </c>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2" customFormat="1" ht="20.25" customHeight="1" x14ac:dyDescent="0.25">
      <c r="A157" s="130">
        <v>7</v>
      </c>
      <c r="B157" s="130"/>
      <c r="C157" s="64" t="s">
        <v>322</v>
      </c>
      <c r="D157" s="64" t="s">
        <v>368</v>
      </c>
      <c r="E157" s="97">
        <f>(28.41)*(10.764)</f>
        <v>305.80523999999997</v>
      </c>
      <c r="F157" s="97">
        <f t="shared" si="0"/>
        <v>61.018963199999988</v>
      </c>
      <c r="G157" s="97">
        <v>0</v>
      </c>
      <c r="H157" s="97">
        <f t="shared" si="2"/>
        <v>366.82420319999994</v>
      </c>
      <c r="I157" s="1"/>
      <c r="J157" s="1"/>
      <c r="K157" s="1"/>
      <c r="L157" s="1"/>
      <c r="M157" s="1"/>
      <c r="N157" s="1"/>
      <c r="O157" s="1"/>
      <c r="P157" s="1"/>
      <c r="Q157" s="1"/>
      <c r="R157" s="1"/>
      <c r="S157" s="1"/>
      <c r="T157" s="22" t="str">
        <f t="shared" ca="1" si="1"/>
        <v>107,..,107</v>
      </c>
      <c r="U157" s="22">
        <f t="shared" ref="U157:V157" ca="1" si="7">U156+1</f>
        <v>107</v>
      </c>
      <c r="V157" s="22">
        <f t="shared" ca="1" si="7"/>
        <v>107</v>
      </c>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2" customFormat="1" ht="20.25" customHeight="1" x14ac:dyDescent="0.25">
      <c r="A158" s="130">
        <v>8</v>
      </c>
      <c r="B158" s="130"/>
      <c r="C158" s="64" t="s">
        <v>322</v>
      </c>
      <c r="D158" s="64" t="s">
        <v>367</v>
      </c>
      <c r="E158" s="97">
        <f>(51.05)*(10.764)</f>
        <v>549.5021999999999</v>
      </c>
      <c r="F158" s="97">
        <f t="shared" si="0"/>
        <v>61.018963199999988</v>
      </c>
      <c r="G158" s="97">
        <v>0</v>
      </c>
      <c r="H158" s="97">
        <f t="shared" si="2"/>
        <v>610.52116319999993</v>
      </c>
      <c r="I158" s="1"/>
      <c r="J158" s="1"/>
      <c r="K158" s="1"/>
      <c r="L158" s="1"/>
      <c r="M158" s="1"/>
      <c r="N158" s="1"/>
      <c r="O158" s="1"/>
      <c r="P158" s="1"/>
      <c r="Q158" s="1"/>
      <c r="R158" s="1"/>
      <c r="S158" s="1"/>
      <c r="T158" s="22" t="str">
        <f t="shared" ca="1" si="1"/>
        <v>108,..,108</v>
      </c>
      <c r="U158" s="22">
        <f t="shared" ref="U158:V158" ca="1" si="8">U157+1</f>
        <v>108</v>
      </c>
      <c r="V158" s="22">
        <f t="shared" ca="1" si="8"/>
        <v>108</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2" customFormat="1" ht="20.25" x14ac:dyDescent="0.25">
      <c r="A159" s="137" t="s">
        <v>330</v>
      </c>
      <c r="B159" s="138"/>
      <c r="C159" s="138"/>
      <c r="D159" s="138"/>
      <c r="E159" s="139"/>
      <c r="F159" s="139"/>
      <c r="G159" s="138"/>
      <c r="H159" s="140"/>
      <c r="I159" s="1">
        <f>26</f>
        <v>26</v>
      </c>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2" customFormat="1" ht="20.25" customHeight="1" x14ac:dyDescent="0.25">
      <c r="A160" s="130">
        <v>1</v>
      </c>
      <c r="B160" s="130"/>
      <c r="C160" s="64" t="s">
        <v>322</v>
      </c>
      <c r="D160" s="64" t="s">
        <v>367</v>
      </c>
      <c r="E160" s="97">
        <f>(51.05)*(10.764)</f>
        <v>549.5021999999999</v>
      </c>
      <c r="F160" s="97">
        <f t="shared" ref="F160:F167" si="9">(1.13*2.8+2.02*1.24)*(10.764)</f>
        <v>61.018963199999988</v>
      </c>
      <c r="G160" s="97">
        <v>0</v>
      </c>
      <c r="H160" s="97">
        <f>E160+F160+(IF(G160&lt;101,G160,IF(G160&lt;201,G160/2,IF(G160&lt;=301,G160/3,G160/4))))</f>
        <v>610.52116319999993</v>
      </c>
      <c r="I160" s="1"/>
      <c r="J160" s="1"/>
      <c r="K160" s="1"/>
      <c r="L160" s="1"/>
      <c r="M160" s="1"/>
      <c r="N160" s="1"/>
      <c r="O160" s="1"/>
      <c r="P160" s="1"/>
      <c r="Q160" s="1"/>
      <c r="R160" s="1"/>
      <c r="S160" s="1"/>
      <c r="T160" s="22" t="str">
        <f t="shared" ref="T160:T167" ca="1" si="10">U160&amp;""&amp;",..,"&amp;""&amp;V160</f>
        <v>27901,..,3201</v>
      </c>
      <c r="U160" s="22">
        <f ca="1">(SUMPRODUCT(MID(0&amp;(LEFT(A159,SUM(LEN(A159)-LEN(SUBSTITUTE(A159,{"0","1","2","3"},""))))), LARGE(INDEX(ISNUMBER(--MID((LEFT(A159,SUM(LEN(A159)-LEN(SUBSTITUTE(A159,{"0","1","2","3"},""))))), ROW(INDIRECT("1:"&amp;LEN((LEFT(A159,SUM(LEN(A159)-LEN(SUBSTITUTE(A159,{"0","1","2","3"},"")))))))), 1)) * ROW(INDIRECT("1:"&amp;LEN((LEFT(A159,SUM(LEN(A159)-LEN(SUBSTITUTE(A159,{"0","1","2","3"},"")))))))), 0), ROW(INDIRECT("1:"&amp;LEN((LEFT(A159,SUM(LEN(A159)-LEN(SUBSTITUTE(A159,{"0","1","2","3"},"")))))))))+1, 1) * 10^ROW(INDIRECT("1:"&amp;LEN((LEFT(A159,SUM(LEN(A159)-LEN(SUBSTITUTE(A159,{"0","1","2","3"},""))))))))/10))*100+1</f>
        <v>27901</v>
      </c>
      <c r="V160" s="22">
        <f ca="1">(SUMPRODUCT(MID(0&amp;(--TRIM(RIGHT(SUBSTITUTE(LEFT(A159,_xlfn.AGGREGATE(16,6,FIND({0,1,2,3,4,5,6,7,8,9},A159,ROW(INDIRECT("1:"&amp;LEN(A159)))),1))," ",REPT(" ",LEN(A159))),LEN(A159)))), LARGE(INDEX(ISNUMBER(--MID((--TRIM(RIGHT(SUBSTITUTE(LEFT(A159,_xlfn.AGGREGATE(16,6,FIND({0,1,2,3,4,5,6,7,8,9},A159,ROW(INDIRECT("1:"&amp;LEN(A159)))),1))," ",REPT(" ",LEN(A159))),LEN(A159)))), ROW(INDIRECT("1:"&amp;LEN((--TRIM(RIGHT(SUBSTITUTE(LEFT(A159,_xlfn.AGGREGATE(16,6,FIND({0,1,2,3,4,5,6,7,8,9},A159,ROW(INDIRECT("1:"&amp;LEN(A159)))),1))," ",REPT(" ",LEN(A159))),LEN(A159))))))), 1)) * ROW(INDIRECT("1:"&amp;LEN((--TRIM(RIGHT(SUBSTITUTE(LEFT(A159,_xlfn.AGGREGATE(16,6,FIND({0,1,2,3,4,5,6,7,8,9},A159,ROW(INDIRECT("1:"&amp;LEN(A159)))),1))," ",REPT(" ",LEN(A159))),LEN(A159))))))), 0), ROW(INDIRECT("1:"&amp;LEN((--TRIM(RIGHT(SUBSTITUTE(LEFT(A159,_xlfn.AGGREGATE(16,6,FIND({0,1,2,3,4,5,6,7,8,9},A159,ROW(INDIRECT("1:"&amp;LEN(A159)))),1))," ",REPT(" ",LEN(A159))),LEN(A159))))))))+1, 1) * 10^ROW(INDIRECT("1:"&amp;LEN((--TRIM(RIGHT(SUBSTITUTE(LEFT(A159,_xlfn.AGGREGATE(16,6,FIND({0,1,2,3,4,5,6,7,8,9},A159,ROW(INDIRECT("1:"&amp;LEN(A159)))),1))," ",REPT(" ",LEN(A159))),LEN(A159)))))))/10))*100+1</f>
        <v>3201</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2" customFormat="1" ht="20.25" customHeight="1" x14ac:dyDescent="0.25">
      <c r="A161" s="130">
        <v>2</v>
      </c>
      <c r="B161" s="130"/>
      <c r="C161" s="64" t="s">
        <v>322</v>
      </c>
      <c r="D161" s="64" t="s">
        <v>327</v>
      </c>
      <c r="E161" s="97">
        <f>(42.38)*(10.764)</f>
        <v>456.17831999999999</v>
      </c>
      <c r="F161" s="97">
        <f t="shared" si="9"/>
        <v>61.018963199999988</v>
      </c>
      <c r="G161" s="97">
        <v>0</v>
      </c>
      <c r="H161" s="97">
        <f t="shared" ref="H161:H167" si="11">E161+F161+(IF(G161&lt;101,G161,IF(G161&lt;201,G161/2,IF(G161&lt;=301,G161/3,G161/4))))</f>
        <v>517.19728320000002</v>
      </c>
      <c r="I161" s="1"/>
      <c r="J161" s="1"/>
      <c r="K161" s="1"/>
      <c r="L161" s="1"/>
      <c r="M161" s="1"/>
      <c r="N161" s="1"/>
      <c r="O161" s="1"/>
      <c r="P161" s="1"/>
      <c r="Q161" s="1"/>
      <c r="R161" s="1"/>
      <c r="S161" s="1"/>
      <c r="T161" s="22" t="str">
        <f t="shared" ca="1" si="10"/>
        <v>27902,..,3202</v>
      </c>
      <c r="U161" s="22">
        <f ca="1">U160+1</f>
        <v>27902</v>
      </c>
      <c r="V161" s="22">
        <f ca="1">V160+1</f>
        <v>3202</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2" customFormat="1" ht="20.25" customHeight="1" x14ac:dyDescent="0.25">
      <c r="A162" s="130">
        <v>3</v>
      </c>
      <c r="B162" s="130"/>
      <c r="C162" s="64" t="s">
        <v>322</v>
      </c>
      <c r="D162" s="64" t="s">
        <v>327</v>
      </c>
      <c r="E162" s="97">
        <f>(42.38)*(10.764)</f>
        <v>456.17831999999999</v>
      </c>
      <c r="F162" s="97">
        <f t="shared" si="9"/>
        <v>61.018963199999988</v>
      </c>
      <c r="G162" s="97">
        <v>0</v>
      </c>
      <c r="H162" s="97">
        <f t="shared" si="11"/>
        <v>517.19728320000002</v>
      </c>
      <c r="I162" s="1"/>
      <c r="J162" s="1">
        <f>5000000/H162</f>
        <v>9667.490844236514</v>
      </c>
      <c r="K162" s="1"/>
      <c r="L162" s="1"/>
      <c r="M162" s="1"/>
      <c r="N162" s="1"/>
      <c r="O162" s="1"/>
      <c r="P162" s="1"/>
      <c r="Q162" s="1"/>
      <c r="R162" s="1"/>
      <c r="S162" s="1"/>
      <c r="T162" s="22" t="str">
        <f t="shared" ca="1" si="10"/>
        <v>27903,..,3203</v>
      </c>
      <c r="U162" s="22">
        <f t="shared" ref="U162:V162" ca="1" si="12">U161+1</f>
        <v>27903</v>
      </c>
      <c r="V162" s="22">
        <f t="shared" ca="1" si="12"/>
        <v>3203</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2" customFormat="1" ht="20.25" customHeight="1" x14ac:dyDescent="0.25">
      <c r="A163" s="130">
        <v>4</v>
      </c>
      <c r="B163" s="130"/>
      <c r="C163" s="64" t="s">
        <v>322</v>
      </c>
      <c r="D163" s="64" t="s">
        <v>367</v>
      </c>
      <c r="E163" s="97">
        <f>(51.05)*(10.764)</f>
        <v>549.5021999999999</v>
      </c>
      <c r="F163" s="97">
        <f t="shared" si="9"/>
        <v>61.018963199999988</v>
      </c>
      <c r="G163" s="97">
        <v>0</v>
      </c>
      <c r="H163" s="97">
        <f t="shared" si="11"/>
        <v>610.52116319999993</v>
      </c>
      <c r="I163" s="1"/>
      <c r="J163" s="1"/>
      <c r="K163" s="1"/>
      <c r="L163" s="1"/>
      <c r="M163" s="1"/>
      <c r="N163" s="1"/>
      <c r="O163" s="1"/>
      <c r="P163" s="1"/>
      <c r="Q163" s="1"/>
      <c r="R163" s="1"/>
      <c r="S163" s="1"/>
      <c r="T163" s="22" t="str">
        <f t="shared" ca="1" si="10"/>
        <v>27904,..,3204</v>
      </c>
      <c r="U163" s="22">
        <f t="shared" ref="U163:V163" ca="1" si="13">U162+1</f>
        <v>27904</v>
      </c>
      <c r="V163" s="22">
        <f t="shared" ca="1" si="13"/>
        <v>3204</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2" customFormat="1" ht="20.25" customHeight="1" x14ac:dyDescent="0.25">
      <c r="A164" s="130">
        <v>5</v>
      </c>
      <c r="B164" s="130"/>
      <c r="C164" s="64" t="s">
        <v>322</v>
      </c>
      <c r="D164" s="64" t="s">
        <v>367</v>
      </c>
      <c r="E164" s="97">
        <f>(51.05)*(10.764)</f>
        <v>549.5021999999999</v>
      </c>
      <c r="F164" s="97">
        <f t="shared" si="9"/>
        <v>61.018963199999988</v>
      </c>
      <c r="G164" s="97">
        <v>0</v>
      </c>
      <c r="H164" s="97">
        <f t="shared" si="11"/>
        <v>610.52116319999993</v>
      </c>
      <c r="I164" s="1"/>
      <c r="J164" s="1">
        <f>6500000/H164</f>
        <v>10646.641577387338</v>
      </c>
      <c r="K164" s="1"/>
      <c r="L164" s="1"/>
      <c r="M164" s="1"/>
      <c r="N164" s="1"/>
      <c r="O164" s="1"/>
      <c r="P164" s="1"/>
      <c r="Q164" s="1"/>
      <c r="R164" s="1"/>
      <c r="S164" s="1"/>
      <c r="T164" s="22" t="str">
        <f t="shared" ca="1" si="10"/>
        <v>27905,..,3205</v>
      </c>
      <c r="U164" s="22">
        <f t="shared" ref="U164:V164" ca="1" si="14">U163+1</f>
        <v>27905</v>
      </c>
      <c r="V164" s="22">
        <f t="shared" ca="1" si="14"/>
        <v>3205</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2" customFormat="1" ht="20.25" customHeight="1" x14ac:dyDescent="0.25">
      <c r="A165" s="130">
        <v>6</v>
      </c>
      <c r="B165" s="130"/>
      <c r="C165" s="64" t="s">
        <v>322</v>
      </c>
      <c r="D165" s="64" t="s">
        <v>327</v>
      </c>
      <c r="E165" s="97">
        <f>(42.63)*(10.764)</f>
        <v>458.86932000000002</v>
      </c>
      <c r="F165" s="97">
        <f t="shared" si="9"/>
        <v>61.018963199999988</v>
      </c>
      <c r="G165" s="97">
        <v>0</v>
      </c>
      <c r="H165" s="97">
        <f t="shared" si="11"/>
        <v>519.88828320000005</v>
      </c>
      <c r="I165" s="1"/>
      <c r="J165" s="1"/>
      <c r="K165" s="1"/>
      <c r="L165" s="1"/>
      <c r="M165" s="1"/>
      <c r="N165" s="1"/>
      <c r="O165" s="1"/>
      <c r="P165" s="1"/>
      <c r="Q165" s="1"/>
      <c r="R165" s="1"/>
      <c r="S165" s="1"/>
      <c r="T165" s="22" t="str">
        <f t="shared" ca="1" si="10"/>
        <v>27906,..,3206</v>
      </c>
      <c r="U165" s="22">
        <f t="shared" ref="U165:V165" ca="1" si="15">U164+1</f>
        <v>27906</v>
      </c>
      <c r="V165" s="22">
        <f t="shared" ca="1" si="15"/>
        <v>3206</v>
      </c>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2" customFormat="1" ht="20.25" customHeight="1" x14ac:dyDescent="0.25">
      <c r="A166" s="130">
        <v>7</v>
      </c>
      <c r="B166" s="130"/>
      <c r="C166" s="64" t="s">
        <v>322</v>
      </c>
      <c r="D166" s="64" t="s">
        <v>327</v>
      </c>
      <c r="E166" s="97">
        <f>(42.63)*(10.764)</f>
        <v>458.86932000000002</v>
      </c>
      <c r="F166" s="97">
        <f t="shared" si="9"/>
        <v>61.018963199999988</v>
      </c>
      <c r="G166" s="97">
        <v>0</v>
      </c>
      <c r="H166" s="97">
        <f t="shared" si="11"/>
        <v>519.88828320000005</v>
      </c>
      <c r="I166" s="1"/>
      <c r="J166" s="1"/>
      <c r="K166" s="1"/>
      <c r="L166" s="1"/>
      <c r="M166" s="1"/>
      <c r="N166" s="1"/>
      <c r="O166" s="1"/>
      <c r="P166" s="1"/>
      <c r="Q166" s="1"/>
      <c r="R166" s="1"/>
      <c r="S166" s="1"/>
      <c r="T166" s="22" t="str">
        <f t="shared" ca="1" si="10"/>
        <v>27907,..,3207</v>
      </c>
      <c r="U166" s="22">
        <f t="shared" ref="U166:V166" ca="1" si="16">U165+1</f>
        <v>27907</v>
      </c>
      <c r="V166" s="22">
        <f t="shared" ca="1" si="16"/>
        <v>3207</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2" customFormat="1" ht="20.25" customHeight="1" x14ac:dyDescent="0.25">
      <c r="A167" s="130">
        <v>8</v>
      </c>
      <c r="B167" s="130"/>
      <c r="C167" s="64" t="s">
        <v>322</v>
      </c>
      <c r="D167" s="64" t="s">
        <v>367</v>
      </c>
      <c r="E167" s="97">
        <f>(51.05)*(10.764)</f>
        <v>549.5021999999999</v>
      </c>
      <c r="F167" s="97">
        <f t="shared" si="9"/>
        <v>61.018963199999988</v>
      </c>
      <c r="G167" s="97">
        <v>0</v>
      </c>
      <c r="H167" s="97">
        <f t="shared" si="11"/>
        <v>610.52116319999993</v>
      </c>
      <c r="I167" s="1"/>
      <c r="J167" s="1"/>
      <c r="K167" s="1"/>
      <c r="L167" s="1"/>
      <c r="M167" s="1"/>
      <c r="N167" s="1"/>
      <c r="O167" s="1"/>
      <c r="P167" s="1"/>
      <c r="Q167" s="1"/>
      <c r="R167" s="1"/>
      <c r="S167" s="1"/>
      <c r="T167" s="22" t="str">
        <f t="shared" ca="1" si="10"/>
        <v>27908,..,3208</v>
      </c>
      <c r="U167" s="22">
        <f t="shared" ref="U167:V167" ca="1" si="17">U166+1</f>
        <v>27908</v>
      </c>
      <c r="V167" s="22">
        <f t="shared" ca="1" si="17"/>
        <v>3208</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2" customFormat="1" ht="20.25" x14ac:dyDescent="0.25">
      <c r="A168" s="137" t="s">
        <v>331</v>
      </c>
      <c r="B168" s="138"/>
      <c r="C168" s="138"/>
      <c r="D168" s="138"/>
      <c r="E168" s="139"/>
      <c r="F168" s="139"/>
      <c r="G168" s="138"/>
      <c r="H168" s="140"/>
      <c r="I168" s="1">
        <f>5</f>
        <v>5</v>
      </c>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2" customFormat="1" ht="20.25" customHeight="1" x14ac:dyDescent="0.25">
      <c r="A169" s="130" t="s">
        <v>322</v>
      </c>
      <c r="B169" s="130"/>
      <c r="C169" s="64" t="s">
        <v>322</v>
      </c>
      <c r="D169" s="178" t="s">
        <v>332</v>
      </c>
      <c r="E169" s="179"/>
      <c r="F169" s="179"/>
      <c r="G169" s="179"/>
      <c r="H169" s="180"/>
      <c r="I169" s="1"/>
      <c r="J169" s="1"/>
      <c r="K169" s="1"/>
      <c r="L169" s="1"/>
      <c r="M169" s="1"/>
      <c r="N169" s="1"/>
      <c r="O169" s="1"/>
      <c r="P169" s="1"/>
      <c r="Q169" s="1"/>
      <c r="R169" s="1"/>
      <c r="S169" s="1"/>
      <c r="T169" s="22" t="str">
        <f t="shared" ref="T169:T176" ca="1" si="18">U169&amp;""&amp;",..,"&amp;""&amp;V169</f>
        <v>8101,..,2801</v>
      </c>
      <c r="U169" s="22">
        <f ca="1">(SUMPRODUCT(MID(0&amp;(LEFT(A168,SUM(LEN(A168)-LEN(SUBSTITUTE(A168,{"0","1","2","3"},""))))), LARGE(INDEX(ISNUMBER(--MID((LEFT(A168,SUM(LEN(A168)-LEN(SUBSTITUTE(A168,{"0","1","2","3"},""))))), ROW(INDIRECT("1:"&amp;LEN((LEFT(A168,SUM(LEN(A168)-LEN(SUBSTITUTE(A168,{"0","1","2","3"},"")))))))), 1)) * ROW(INDIRECT("1:"&amp;LEN((LEFT(A168,SUM(LEN(A168)-LEN(SUBSTITUTE(A168,{"0","1","2","3"},"")))))))), 0), ROW(INDIRECT("1:"&amp;LEN((LEFT(A168,SUM(LEN(A168)-LEN(SUBSTITUTE(A168,{"0","1","2","3"},"")))))))))+1, 1) * 10^ROW(INDIRECT("1:"&amp;LEN((LEFT(A168,SUM(LEN(A168)-LEN(SUBSTITUTE(A168,{"0","1","2","3"},""))))))))/10))*100+1</f>
        <v>8101</v>
      </c>
      <c r="V169" s="22">
        <f ca="1">(SUMPRODUCT(MID(0&amp;(--TRIM(RIGHT(SUBSTITUTE(LEFT(A168,_xlfn.AGGREGATE(16,6,FIND({0,1,2,3,4,5,6,7,8,9},A168,ROW(INDIRECT("1:"&amp;LEN(A168)))),1))," ",REPT(" ",LEN(A168))),LEN(A168)))), LARGE(INDEX(ISNUMBER(--MID((--TRIM(RIGHT(SUBSTITUTE(LEFT(A168,_xlfn.AGGREGATE(16,6,FIND({0,1,2,3,4,5,6,7,8,9},A168,ROW(INDIRECT("1:"&amp;LEN(A168)))),1))," ",REPT(" ",LEN(A168))),LEN(A168)))), ROW(INDIRECT("1:"&amp;LEN((--TRIM(RIGHT(SUBSTITUTE(LEFT(A168,_xlfn.AGGREGATE(16,6,FIND({0,1,2,3,4,5,6,7,8,9},A168,ROW(INDIRECT("1:"&amp;LEN(A168)))),1))," ",REPT(" ",LEN(A168))),LEN(A168))))))), 1)) * ROW(INDIRECT("1:"&amp;LEN((--TRIM(RIGHT(SUBSTITUTE(LEFT(A168,_xlfn.AGGREGATE(16,6,FIND({0,1,2,3,4,5,6,7,8,9},A168,ROW(INDIRECT("1:"&amp;LEN(A168)))),1))," ",REPT(" ",LEN(A168))),LEN(A168))))))), 0), ROW(INDIRECT("1:"&amp;LEN((--TRIM(RIGHT(SUBSTITUTE(LEFT(A168,_xlfn.AGGREGATE(16,6,FIND({0,1,2,3,4,5,6,7,8,9},A168,ROW(INDIRECT("1:"&amp;LEN(A168)))),1))," ",REPT(" ",LEN(A168))),LEN(A168))))))))+1, 1) * 10^ROW(INDIRECT("1:"&amp;LEN((--TRIM(RIGHT(SUBSTITUTE(LEFT(A168,_xlfn.AGGREGATE(16,6,FIND({0,1,2,3,4,5,6,7,8,9},A168,ROW(INDIRECT("1:"&amp;LEN(A168)))),1))," ",REPT(" ",LEN(A168))),LEN(A168)))))))/10))*100+1</f>
        <v>2801</v>
      </c>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2" customFormat="1" ht="20.25" customHeight="1" x14ac:dyDescent="0.25">
      <c r="A170" s="130">
        <v>2</v>
      </c>
      <c r="B170" s="130"/>
      <c r="C170" s="64" t="s">
        <v>322</v>
      </c>
      <c r="D170" s="64" t="s">
        <v>327</v>
      </c>
      <c r="E170" s="97">
        <f>(42.63)*(10.764)</f>
        <v>458.86932000000002</v>
      </c>
      <c r="F170" s="97">
        <f t="shared" ref="F170:F176" si="19">(1.13*2.8+2.02*1.24)*(10.764)</f>
        <v>61.018963199999988</v>
      </c>
      <c r="G170" s="97">
        <v>0</v>
      </c>
      <c r="H170" s="97">
        <f t="shared" ref="H170:H176" si="20">E170+F170+(IF(G170&lt;101,G170,IF(G170&lt;201,G170/2,IF(G170&lt;=301,G170/3,G170/4))))</f>
        <v>519.88828320000005</v>
      </c>
      <c r="I170" s="1"/>
      <c r="J170" s="1"/>
      <c r="K170" s="1"/>
      <c r="L170" s="1"/>
      <c r="M170" s="1"/>
      <c r="N170" s="1"/>
      <c r="O170" s="1"/>
      <c r="P170" s="1"/>
      <c r="Q170" s="1"/>
      <c r="R170" s="1"/>
      <c r="S170" s="1"/>
      <c r="T170" s="22" t="str">
        <f t="shared" ca="1" si="18"/>
        <v>8102,..,2802</v>
      </c>
      <c r="U170" s="22">
        <f ca="1">U169+1</f>
        <v>8102</v>
      </c>
      <c r="V170" s="22">
        <f ca="1">V169+1</f>
        <v>2802</v>
      </c>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2" customFormat="1" ht="20.25" customHeight="1" x14ac:dyDescent="0.25">
      <c r="A171" s="130">
        <v>3</v>
      </c>
      <c r="B171" s="130"/>
      <c r="C171" s="64" t="s">
        <v>322</v>
      </c>
      <c r="D171" s="64" t="s">
        <v>327</v>
      </c>
      <c r="E171" s="97">
        <f>(42.63)*(10.764)</f>
        <v>458.86932000000002</v>
      </c>
      <c r="F171" s="97">
        <f t="shared" si="19"/>
        <v>61.018963199999988</v>
      </c>
      <c r="G171" s="97">
        <v>0</v>
      </c>
      <c r="H171" s="97">
        <f t="shared" si="20"/>
        <v>519.88828320000005</v>
      </c>
      <c r="I171" s="1"/>
      <c r="J171" s="1"/>
      <c r="K171" s="1"/>
      <c r="L171" s="1"/>
      <c r="M171" s="1"/>
      <c r="N171" s="1"/>
      <c r="O171" s="1"/>
      <c r="P171" s="1"/>
      <c r="Q171" s="1"/>
      <c r="R171" s="1"/>
      <c r="S171" s="1"/>
      <c r="T171" s="22" t="str">
        <f t="shared" ca="1" si="18"/>
        <v>8103,..,2803</v>
      </c>
      <c r="U171" s="22">
        <f t="shared" ref="U171:V171" ca="1" si="21">U170+1</f>
        <v>8103</v>
      </c>
      <c r="V171" s="22">
        <f t="shared" ca="1" si="21"/>
        <v>2803</v>
      </c>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2" customFormat="1" ht="20.25" customHeight="1" x14ac:dyDescent="0.25">
      <c r="A172" s="130">
        <v>4</v>
      </c>
      <c r="B172" s="130"/>
      <c r="C172" s="64" t="s">
        <v>322</v>
      </c>
      <c r="D172" s="64" t="s">
        <v>367</v>
      </c>
      <c r="E172" s="97">
        <f>(51.05)*(10.764)</f>
        <v>549.5021999999999</v>
      </c>
      <c r="F172" s="97">
        <f t="shared" si="19"/>
        <v>61.018963199999988</v>
      </c>
      <c r="G172" s="97">
        <v>0</v>
      </c>
      <c r="H172" s="97">
        <f t="shared" si="20"/>
        <v>610.52116319999993</v>
      </c>
      <c r="I172" s="1"/>
      <c r="J172" s="1"/>
      <c r="K172" s="1"/>
      <c r="L172" s="1"/>
      <c r="M172" s="1"/>
      <c r="N172" s="1"/>
      <c r="O172" s="1"/>
      <c r="P172" s="1"/>
      <c r="Q172" s="1"/>
      <c r="R172" s="1"/>
      <c r="S172" s="1"/>
      <c r="T172" s="22" t="str">
        <f t="shared" ca="1" si="18"/>
        <v>8104,..,2804</v>
      </c>
      <c r="U172" s="22">
        <f t="shared" ref="U172:V172" ca="1" si="22">U171+1</f>
        <v>8104</v>
      </c>
      <c r="V172" s="22">
        <f t="shared" ca="1" si="22"/>
        <v>2804</v>
      </c>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2" customFormat="1" ht="20.25" customHeight="1" x14ac:dyDescent="0.25">
      <c r="A173" s="130">
        <v>5</v>
      </c>
      <c r="B173" s="130"/>
      <c r="C173" s="64" t="s">
        <v>322</v>
      </c>
      <c r="D173" s="64" t="s">
        <v>367</v>
      </c>
      <c r="E173" s="97">
        <f>(51.05)*(10.764)</f>
        <v>549.5021999999999</v>
      </c>
      <c r="F173" s="97">
        <f t="shared" si="19"/>
        <v>61.018963199999988</v>
      </c>
      <c r="G173" s="97">
        <v>0</v>
      </c>
      <c r="H173" s="97">
        <f t="shared" si="20"/>
        <v>610.52116319999993</v>
      </c>
      <c r="I173" s="1"/>
      <c r="J173" s="1"/>
      <c r="K173" s="1"/>
      <c r="L173" s="1"/>
      <c r="M173" s="1"/>
      <c r="N173" s="1"/>
      <c r="O173" s="1"/>
      <c r="P173" s="1"/>
      <c r="Q173" s="1"/>
      <c r="R173" s="1"/>
      <c r="S173" s="1"/>
      <c r="T173" s="22" t="str">
        <f t="shared" ca="1" si="18"/>
        <v>8105,..,2805</v>
      </c>
      <c r="U173" s="22">
        <f t="shared" ref="U173:V173" ca="1" si="23">U172+1</f>
        <v>8105</v>
      </c>
      <c r="V173" s="22">
        <f t="shared" ca="1" si="23"/>
        <v>2805</v>
      </c>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2" customFormat="1" ht="20.25" customHeight="1" x14ac:dyDescent="0.25">
      <c r="A174" s="130">
        <v>6</v>
      </c>
      <c r="B174" s="130"/>
      <c r="C174" s="64" t="s">
        <v>322</v>
      </c>
      <c r="D174" s="64" t="s">
        <v>327</v>
      </c>
      <c r="E174" s="97">
        <f>(42.63)*(10.764)</f>
        <v>458.86932000000002</v>
      </c>
      <c r="F174" s="97">
        <f t="shared" si="19"/>
        <v>61.018963199999988</v>
      </c>
      <c r="G174" s="97">
        <v>0</v>
      </c>
      <c r="H174" s="97">
        <f t="shared" si="20"/>
        <v>519.88828320000005</v>
      </c>
      <c r="I174" s="1"/>
      <c r="J174" s="1"/>
      <c r="K174" s="1"/>
      <c r="L174" s="1"/>
      <c r="M174" s="1"/>
      <c r="N174" s="1"/>
      <c r="O174" s="1"/>
      <c r="P174" s="1"/>
      <c r="Q174" s="1"/>
      <c r="R174" s="1"/>
      <c r="S174" s="1"/>
      <c r="T174" s="22" t="str">
        <f t="shared" ca="1" si="18"/>
        <v>8106,..,2806</v>
      </c>
      <c r="U174" s="22">
        <f t="shared" ref="U174:V174" ca="1" si="24">U173+1</f>
        <v>8106</v>
      </c>
      <c r="V174" s="22">
        <f t="shared" ca="1" si="24"/>
        <v>2806</v>
      </c>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2" customFormat="1" ht="20.25" customHeight="1" x14ac:dyDescent="0.25">
      <c r="A175" s="130">
        <v>7</v>
      </c>
      <c r="B175" s="130"/>
      <c r="C175" s="64" t="s">
        <v>322</v>
      </c>
      <c r="D175" s="64" t="s">
        <v>327</v>
      </c>
      <c r="E175" s="97">
        <f>(42.63)*(10.764)</f>
        <v>458.86932000000002</v>
      </c>
      <c r="F175" s="97">
        <f t="shared" si="19"/>
        <v>61.018963199999988</v>
      </c>
      <c r="G175" s="97">
        <v>0</v>
      </c>
      <c r="H175" s="97">
        <f t="shared" si="20"/>
        <v>519.88828320000005</v>
      </c>
      <c r="I175" s="1"/>
      <c r="J175" s="1"/>
      <c r="K175" s="1"/>
      <c r="L175" s="1"/>
      <c r="M175" s="1"/>
      <c r="N175" s="1"/>
      <c r="O175" s="1"/>
      <c r="P175" s="1"/>
      <c r="Q175" s="1"/>
      <c r="R175" s="1"/>
      <c r="S175" s="1"/>
      <c r="T175" s="22" t="str">
        <f t="shared" ca="1" si="18"/>
        <v>8107,..,2807</v>
      </c>
      <c r="U175" s="22">
        <f t="shared" ref="U175:V175" ca="1" si="25">U174+1</f>
        <v>8107</v>
      </c>
      <c r="V175" s="22">
        <f t="shared" ca="1" si="25"/>
        <v>2807</v>
      </c>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2" customFormat="1" ht="20.25" customHeight="1" x14ac:dyDescent="0.25">
      <c r="A176" s="130">
        <v>8</v>
      </c>
      <c r="B176" s="130"/>
      <c r="C176" s="64" t="s">
        <v>322</v>
      </c>
      <c r="D176" s="64" t="s">
        <v>367</v>
      </c>
      <c r="E176" s="97">
        <f>(51.05)*(10.764)</f>
        <v>549.5021999999999</v>
      </c>
      <c r="F176" s="97">
        <f t="shared" si="19"/>
        <v>61.018963199999988</v>
      </c>
      <c r="G176" s="97">
        <v>0</v>
      </c>
      <c r="H176" s="97">
        <f t="shared" si="20"/>
        <v>610.52116319999993</v>
      </c>
      <c r="I176" s="1"/>
      <c r="J176" s="1"/>
      <c r="K176" s="1"/>
      <c r="L176" s="1"/>
      <c r="M176" s="1"/>
      <c r="N176" s="1"/>
      <c r="O176" s="1"/>
      <c r="P176" s="1"/>
      <c r="Q176" s="1"/>
      <c r="R176" s="1"/>
      <c r="S176" s="1"/>
      <c r="T176" s="22" t="str">
        <f t="shared" ca="1" si="18"/>
        <v>8108,..,2808</v>
      </c>
      <c r="U176" s="22">
        <f t="shared" ref="U176:V176" ca="1" si="26">U175+1</f>
        <v>8108</v>
      </c>
      <c r="V176" s="22">
        <f t="shared" ca="1" si="26"/>
        <v>2808</v>
      </c>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2" customFormat="1" ht="20.25" x14ac:dyDescent="0.25">
      <c r="A177" s="191" t="s">
        <v>316</v>
      </c>
      <c r="B177" s="139"/>
      <c r="C177" s="139"/>
      <c r="D177" s="139"/>
      <c r="E177" s="139"/>
      <c r="F177" s="139"/>
      <c r="G177" s="139"/>
      <c r="H177" s="192"/>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2" customFormat="1" ht="20.25" x14ac:dyDescent="0.25">
      <c r="A178" s="191" t="s">
        <v>321</v>
      </c>
      <c r="B178" s="139"/>
      <c r="C178" s="139"/>
      <c r="D178" s="139"/>
      <c r="E178" s="139"/>
      <c r="F178" s="139"/>
      <c r="G178" s="139"/>
      <c r="H178" s="192"/>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2" customFormat="1" ht="40.5" customHeight="1" x14ac:dyDescent="0.25">
      <c r="A179" s="191" t="s">
        <v>369</v>
      </c>
      <c r="B179" s="139"/>
      <c r="C179" s="139"/>
      <c r="D179" s="139"/>
      <c r="E179" s="139"/>
      <c r="F179" s="139"/>
      <c r="G179" s="139"/>
      <c r="H179" s="192"/>
      <c r="I179" s="96" t="s">
        <v>324</v>
      </c>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2" customFormat="1" ht="20.25" x14ac:dyDescent="0.25">
      <c r="A180" s="130">
        <v>1</v>
      </c>
      <c r="B180" s="130"/>
      <c r="C180" s="64" t="s">
        <v>322</v>
      </c>
      <c r="D180" s="64" t="s">
        <v>323</v>
      </c>
      <c r="E180" s="91">
        <f>(3.9*2.1+2.1*1.1)*(10.764)</f>
        <v>113.02199999999999</v>
      </c>
      <c r="F180" s="40">
        <v>0</v>
      </c>
      <c r="G180" s="40">
        <v>0</v>
      </c>
      <c r="H180" s="5">
        <f>E180+F180+(IF(G180&lt;101,G180,IF(G180&lt;201,G180/2,IF(G180&lt;=301,G180/3,G180/4))))</f>
        <v>113.02199999999999</v>
      </c>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2" customFormat="1" ht="20.25" x14ac:dyDescent="0.25">
      <c r="A181" s="176">
        <f>A180+1</f>
        <v>2</v>
      </c>
      <c r="B181" s="177"/>
      <c r="C181" s="64" t="s">
        <v>322</v>
      </c>
      <c r="D181" s="64" t="s">
        <v>323</v>
      </c>
      <c r="E181" s="91">
        <f>(5.2*2.4+2.4*1.1)*(10.764)</f>
        <v>162.75167999999999</v>
      </c>
      <c r="F181" s="91">
        <v>0</v>
      </c>
      <c r="G181" s="91">
        <v>0</v>
      </c>
      <c r="H181" s="40">
        <f t="shared" ref="H181:H187" si="27">E181+F181+(IF(G181&lt;101,G181,IF(G181&lt;201,G181/2,IF(G181&lt;=301,G181/3,G181/4))))</f>
        <v>162.75167999999999</v>
      </c>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2" customFormat="1" ht="20.25" x14ac:dyDescent="0.25">
      <c r="A182" s="176">
        <f t="shared" ref="A182:A189" si="28">A181+1</f>
        <v>3</v>
      </c>
      <c r="B182" s="177"/>
      <c r="C182" s="64" t="s">
        <v>322</v>
      </c>
      <c r="D182" s="64" t="s">
        <v>323</v>
      </c>
      <c r="E182" s="91">
        <f>(5.2*5.1+5.2*1.1)*(10.764)</f>
        <v>347.03136000000001</v>
      </c>
      <c r="F182" s="91">
        <v>0</v>
      </c>
      <c r="G182" s="91">
        <v>0</v>
      </c>
      <c r="H182" s="40">
        <f t="shared" si="27"/>
        <v>347.03136000000001</v>
      </c>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2" customFormat="1" ht="20.25" customHeight="1" x14ac:dyDescent="0.25">
      <c r="A183" s="176">
        <f t="shared" si="28"/>
        <v>4</v>
      </c>
      <c r="B183" s="177"/>
      <c r="C183" s="64" t="s">
        <v>322</v>
      </c>
      <c r="D183" s="64" t="s">
        <v>323</v>
      </c>
      <c r="E183" s="91">
        <f>(5.2*4.9+1.5*1.1+1.1*3.3)*(10.764)</f>
        <v>331.10064</v>
      </c>
      <c r="F183" s="91">
        <v>0</v>
      </c>
      <c r="G183" s="91">
        <v>0</v>
      </c>
      <c r="H183" s="40">
        <f t="shared" si="27"/>
        <v>331.10064</v>
      </c>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2" customFormat="1" ht="20.25" customHeight="1" x14ac:dyDescent="0.25">
      <c r="A184" s="176">
        <f t="shared" si="28"/>
        <v>5</v>
      </c>
      <c r="B184" s="177"/>
      <c r="C184" s="64" t="s">
        <v>322</v>
      </c>
      <c r="D184" s="64" t="s">
        <v>323</v>
      </c>
      <c r="E184" s="91">
        <f>(5.2*3.1+1.5*1.1+1.5*1.1)*(10.764)</f>
        <v>209.03687999999997</v>
      </c>
      <c r="F184" s="91">
        <v>0</v>
      </c>
      <c r="G184" s="91">
        <v>0</v>
      </c>
      <c r="H184" s="40">
        <f t="shared" si="27"/>
        <v>209.03687999999997</v>
      </c>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2" customFormat="1" ht="20.25" customHeight="1" x14ac:dyDescent="0.25">
      <c r="A185" s="176">
        <f t="shared" si="28"/>
        <v>6</v>
      </c>
      <c r="B185" s="177"/>
      <c r="C185" s="64" t="s">
        <v>322</v>
      </c>
      <c r="D185" s="64" t="s">
        <v>323</v>
      </c>
      <c r="E185" s="91">
        <f>(5.2*3.1+1.5*1.1+1.5*1.1)*(10.764)</f>
        <v>209.03687999999997</v>
      </c>
      <c r="F185" s="91">
        <v>0</v>
      </c>
      <c r="G185" s="91">
        <v>0</v>
      </c>
      <c r="H185" s="40">
        <f t="shared" si="27"/>
        <v>209.03687999999997</v>
      </c>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2" customFormat="1" ht="20.25" customHeight="1" x14ac:dyDescent="0.25">
      <c r="A186" s="176">
        <f t="shared" si="28"/>
        <v>7</v>
      </c>
      <c r="B186" s="177"/>
      <c r="C186" s="64" t="s">
        <v>322</v>
      </c>
      <c r="D186" s="64" t="s">
        <v>323</v>
      </c>
      <c r="E186" s="91">
        <f>(5.2*4.9+1.5*1.1+1.1*3.3)*(10.764)</f>
        <v>331.10064</v>
      </c>
      <c r="F186" s="91">
        <v>0</v>
      </c>
      <c r="G186" s="91">
        <v>0</v>
      </c>
      <c r="H186" s="40">
        <f t="shared" si="27"/>
        <v>331.10064</v>
      </c>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2" customFormat="1" ht="20.25" customHeight="1" x14ac:dyDescent="0.25">
      <c r="A187" s="176">
        <f t="shared" si="28"/>
        <v>8</v>
      </c>
      <c r="B187" s="177"/>
      <c r="C187" s="64" t="s">
        <v>322</v>
      </c>
      <c r="D187" s="64" t="s">
        <v>323</v>
      </c>
      <c r="E187" s="91">
        <f>(5.2*5.1+1.8*1.1+1.1*3)*(10.764)</f>
        <v>342.29519999999997</v>
      </c>
      <c r="F187" s="91">
        <v>0</v>
      </c>
      <c r="G187" s="91">
        <v>0</v>
      </c>
      <c r="H187" s="40">
        <f t="shared" si="27"/>
        <v>342.29519999999997</v>
      </c>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2" customFormat="1" ht="20.25" customHeight="1" x14ac:dyDescent="0.25">
      <c r="A188" s="176">
        <f t="shared" si="28"/>
        <v>9</v>
      </c>
      <c r="B188" s="177"/>
      <c r="C188" s="64" t="s">
        <v>322</v>
      </c>
      <c r="D188" s="64" t="s">
        <v>323</v>
      </c>
      <c r="E188" s="91">
        <f>(5.2*2.4+1.42*1.1+1.1*0.9)*(10.764)</f>
        <v>161.80444799999998</v>
      </c>
      <c r="F188" s="91">
        <v>0</v>
      </c>
      <c r="G188" s="91">
        <v>0</v>
      </c>
      <c r="H188" s="91">
        <f t="shared" ref="H188:H189" si="29">E188+F188+(IF(G188&lt;101,G188,IF(G188&lt;201,G188/2,IF(G188&lt;=301,G188/3,G188/4))))</f>
        <v>161.80444799999998</v>
      </c>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2" customFormat="1" ht="20.25" customHeight="1" x14ac:dyDescent="0.25">
      <c r="A189" s="176">
        <f t="shared" si="28"/>
        <v>10</v>
      </c>
      <c r="B189" s="177"/>
      <c r="C189" s="64" t="s">
        <v>322</v>
      </c>
      <c r="D189" s="64" t="s">
        <v>323</v>
      </c>
      <c r="E189" s="91">
        <f>(3.9*2.1+2.1*1.1)*(10.764)</f>
        <v>113.02199999999999</v>
      </c>
      <c r="F189" s="91">
        <v>0</v>
      </c>
      <c r="G189" s="91">
        <v>0</v>
      </c>
      <c r="H189" s="91">
        <f t="shared" si="29"/>
        <v>113.02199999999999</v>
      </c>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2" customFormat="1" ht="20.25" x14ac:dyDescent="0.25">
      <c r="A190" s="137" t="s">
        <v>325</v>
      </c>
      <c r="B190" s="138"/>
      <c r="C190" s="138"/>
      <c r="D190" s="138"/>
      <c r="E190" s="139"/>
      <c r="F190" s="138"/>
      <c r="G190" s="138"/>
      <c r="H190" s="140"/>
      <c r="I190" s="1">
        <f>1</f>
        <v>1</v>
      </c>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2" customFormat="1" ht="20.25" customHeight="1" x14ac:dyDescent="0.25">
      <c r="A191" s="130">
        <v>1</v>
      </c>
      <c r="B191" s="130"/>
      <c r="C191" s="64" t="s">
        <v>322</v>
      </c>
      <c r="D191" s="64" t="s">
        <v>367</v>
      </c>
      <c r="E191" s="97">
        <f>(51.05)*(10.764)</f>
        <v>549.5021999999999</v>
      </c>
      <c r="F191" s="97">
        <f t="shared" ref="F191:F198" si="30">(1.13*2.8+2.02*1.24)*(10.764)</f>
        <v>61.018963199999988</v>
      </c>
      <c r="G191" s="40">
        <v>0</v>
      </c>
      <c r="H191" s="40">
        <f>E191+F191+(IF(G191&lt;101,G191,IF(G191&lt;201,G191/2,IF(G191&lt;=301,G191/3,G191/4))))</f>
        <v>610.52116319999993</v>
      </c>
      <c r="I191" s="1">
        <f>2.89*5.03+2.14*2.64+2.43*2.74+3.05*3.34+1.22*2.33+1.52*2.34+4.1*0.9+1.13*1.3</f>
        <v>48.5899</v>
      </c>
      <c r="J191" s="1">
        <f>1.13*2.8+4.82*1.24</f>
        <v>9.1407999999999987</v>
      </c>
      <c r="K191" s="1"/>
      <c r="L191" s="1"/>
      <c r="M191" s="1"/>
      <c r="N191" s="1"/>
      <c r="O191" s="1"/>
      <c r="P191" s="1"/>
      <c r="Q191" s="1"/>
      <c r="R191" s="1"/>
      <c r="S191" s="1"/>
      <c r="T191" s="22" t="str">
        <f t="shared" ref="T191:T198" ca="1" si="31">U191&amp;""&amp;",..,"&amp;""&amp;V191</f>
        <v>101,..,101</v>
      </c>
      <c r="U191" s="22">
        <f ca="1">(SUMPRODUCT(MID(0&amp;(LEFT(A190,SUM(LEN(A190)-LEN(SUBSTITUTE(A190,{"0","1","2","3"},""))))), LARGE(INDEX(ISNUMBER(--MID((LEFT(A190,SUM(LEN(A190)-LEN(SUBSTITUTE(A190,{"0","1","2","3"},""))))), ROW(INDIRECT("1:"&amp;LEN((LEFT(A190,SUM(LEN(A190)-LEN(SUBSTITUTE(A190,{"0","1","2","3"},"")))))))), 1)) * ROW(INDIRECT("1:"&amp;LEN((LEFT(A190,SUM(LEN(A190)-LEN(SUBSTITUTE(A190,{"0","1","2","3"},"")))))))), 0), ROW(INDIRECT("1:"&amp;LEN((LEFT(A190,SUM(LEN(A190)-LEN(SUBSTITUTE(A190,{"0","1","2","3"},"")))))))))+1, 1) * 10^ROW(INDIRECT("1:"&amp;LEN((LEFT(A190,SUM(LEN(A190)-LEN(SUBSTITUTE(A190,{"0","1","2","3"},""))))))))/10))*100+1</f>
        <v>101</v>
      </c>
      <c r="V191" s="22">
        <f ca="1">(SUMPRODUCT(MID(0&amp;(--TRIM(RIGHT(SUBSTITUTE(LEFT(A190,_xlfn.AGGREGATE(16,6,FIND({0,1,2,3,4,5,6,7,8,9},A190,ROW(INDIRECT("1:"&amp;LEN(A190)))),1))," ",REPT(" ",LEN(A190))),LEN(A190)))), LARGE(INDEX(ISNUMBER(--MID((--TRIM(RIGHT(SUBSTITUTE(LEFT(A190,_xlfn.AGGREGATE(16,6,FIND({0,1,2,3,4,5,6,7,8,9},A190,ROW(INDIRECT("1:"&amp;LEN(A190)))),1))," ",REPT(" ",LEN(A190))),LEN(A190)))), ROW(INDIRECT("1:"&amp;LEN((--TRIM(RIGHT(SUBSTITUTE(LEFT(A190,_xlfn.AGGREGATE(16,6,FIND({0,1,2,3,4,5,6,7,8,9},A190,ROW(INDIRECT("1:"&amp;LEN(A190)))),1))," ",REPT(" ",LEN(A190))),LEN(A190))))))), 1)) * ROW(INDIRECT("1:"&amp;LEN((--TRIM(RIGHT(SUBSTITUTE(LEFT(A190,_xlfn.AGGREGATE(16,6,FIND({0,1,2,3,4,5,6,7,8,9},A190,ROW(INDIRECT("1:"&amp;LEN(A190)))),1))," ",REPT(" ",LEN(A190))),LEN(A190))))))), 0), ROW(INDIRECT("1:"&amp;LEN((--TRIM(RIGHT(SUBSTITUTE(LEFT(A190,_xlfn.AGGREGATE(16,6,FIND({0,1,2,3,4,5,6,7,8,9},A190,ROW(INDIRECT("1:"&amp;LEN(A190)))),1))," ",REPT(" ",LEN(A190))),LEN(A190))))))))+1, 1) * 10^ROW(INDIRECT("1:"&amp;LEN((--TRIM(RIGHT(SUBSTITUTE(LEFT(A190,_xlfn.AGGREGATE(16,6,FIND({0,1,2,3,4,5,6,7,8,9},A190,ROW(INDIRECT("1:"&amp;LEN(A190)))),1))," ",REPT(" ",LEN(A190))),LEN(A190)))))))/10))*100+1</f>
        <v>101</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2" customFormat="1" ht="20.25" customHeight="1" x14ac:dyDescent="0.25">
      <c r="A192" s="130">
        <v>2</v>
      </c>
      <c r="B192" s="130"/>
      <c r="C192" s="64" t="s">
        <v>322</v>
      </c>
      <c r="D192" s="64" t="s">
        <v>327</v>
      </c>
      <c r="E192" s="97">
        <f>(42.38)*(10.764)</f>
        <v>456.17831999999999</v>
      </c>
      <c r="F192" s="97">
        <f t="shared" si="30"/>
        <v>61.018963199999988</v>
      </c>
      <c r="G192" s="91">
        <v>0</v>
      </c>
      <c r="H192" s="40">
        <f t="shared" ref="H192:H198" si="32">E192+F192+(IF(G192&lt;101,G192,IF(G192&lt;201,G192/2,IF(G192&lt;=301,G192/3,G192/4))))</f>
        <v>517.19728320000002</v>
      </c>
      <c r="I192" s="1">
        <f>2.9*5.03+2.14*2.49+3.05*2.99+1.38*2.44+1.52*2.14+2.4*0.9+0.5*0.2+1.13*1.3</f>
        <v>39.384100000000004</v>
      </c>
      <c r="J192" s="1">
        <f>1.13*2.8+2.02*1.24</f>
        <v>5.6687999999999992</v>
      </c>
      <c r="K192" s="1"/>
      <c r="L192" s="1"/>
      <c r="M192" s="1"/>
      <c r="N192" s="1"/>
      <c r="O192" s="1"/>
      <c r="P192" s="1"/>
      <c r="Q192" s="1"/>
      <c r="R192" s="1"/>
      <c r="S192" s="1"/>
      <c r="T192" s="22" t="str">
        <f t="shared" ca="1" si="31"/>
        <v>102,..,102</v>
      </c>
      <c r="U192" s="22">
        <f ca="1">U191+1</f>
        <v>102</v>
      </c>
      <c r="V192" s="22">
        <f ca="1">V191+1</f>
        <v>102</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2" customFormat="1" ht="20.25" customHeight="1" x14ac:dyDescent="0.25">
      <c r="A193" s="130">
        <v>3</v>
      </c>
      <c r="B193" s="130"/>
      <c r="C193" s="64" t="s">
        <v>322</v>
      </c>
      <c r="D193" s="64" t="s">
        <v>327</v>
      </c>
      <c r="E193" s="97">
        <f>(42.38)*(10.764)</f>
        <v>456.17831999999999</v>
      </c>
      <c r="F193" s="97">
        <f t="shared" si="30"/>
        <v>61.018963199999988</v>
      </c>
      <c r="G193" s="91">
        <v>0</v>
      </c>
      <c r="H193" s="40">
        <f t="shared" si="32"/>
        <v>517.19728320000002</v>
      </c>
      <c r="I193" s="1"/>
      <c r="J193" s="1"/>
      <c r="K193" s="1"/>
      <c r="L193" s="1"/>
      <c r="M193" s="1"/>
      <c r="N193" s="1"/>
      <c r="O193" s="1"/>
      <c r="P193" s="1"/>
      <c r="Q193" s="1"/>
      <c r="R193" s="1"/>
      <c r="S193" s="1"/>
      <c r="T193" s="22" t="str">
        <f t="shared" ca="1" si="31"/>
        <v>103,..,103</v>
      </c>
      <c r="U193" s="22">
        <f t="shared" ref="U193:U198" ca="1" si="33">U192+1</f>
        <v>103</v>
      </c>
      <c r="V193" s="22">
        <f t="shared" ref="V193:V198" ca="1" si="34">V192+1</f>
        <v>103</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2" customFormat="1" ht="20.25" customHeight="1" x14ac:dyDescent="0.25">
      <c r="A194" s="130">
        <v>4</v>
      </c>
      <c r="B194" s="130"/>
      <c r="C194" s="64" t="s">
        <v>322</v>
      </c>
      <c r="D194" s="64" t="s">
        <v>367</v>
      </c>
      <c r="E194" s="97">
        <f>(51.05)*(10.764)</f>
        <v>549.5021999999999</v>
      </c>
      <c r="F194" s="97">
        <f t="shared" si="30"/>
        <v>61.018963199999988</v>
      </c>
      <c r="G194" s="91">
        <v>0</v>
      </c>
      <c r="H194" s="40">
        <f t="shared" si="32"/>
        <v>610.52116319999993</v>
      </c>
      <c r="I194" s="1"/>
      <c r="J194" s="1"/>
      <c r="K194" s="1"/>
      <c r="L194" s="1"/>
      <c r="M194" s="1"/>
      <c r="N194" s="1"/>
      <c r="O194" s="1"/>
      <c r="P194" s="1"/>
      <c r="Q194" s="1"/>
      <c r="R194" s="1"/>
      <c r="S194" s="1"/>
      <c r="T194" s="22" t="str">
        <f t="shared" ca="1" si="31"/>
        <v>104,..,104</v>
      </c>
      <c r="U194" s="22">
        <f t="shared" ca="1" si="33"/>
        <v>104</v>
      </c>
      <c r="V194" s="22">
        <f t="shared" ca="1" si="34"/>
        <v>104</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2" customFormat="1" ht="20.25" customHeight="1" x14ac:dyDescent="0.25">
      <c r="A195" s="130">
        <v>5</v>
      </c>
      <c r="B195" s="130"/>
      <c r="C195" s="64" t="s">
        <v>322</v>
      </c>
      <c r="D195" s="64" t="s">
        <v>367</v>
      </c>
      <c r="E195" s="97">
        <f>(51.05)*(10.764)</f>
        <v>549.5021999999999</v>
      </c>
      <c r="F195" s="97">
        <f t="shared" si="30"/>
        <v>61.018963199999988</v>
      </c>
      <c r="G195" s="91">
        <v>0</v>
      </c>
      <c r="H195" s="40">
        <f t="shared" si="32"/>
        <v>610.52116319999993</v>
      </c>
      <c r="I195" s="1"/>
      <c r="J195" s="1"/>
      <c r="K195" s="1"/>
      <c r="L195" s="1"/>
      <c r="M195" s="1"/>
      <c r="N195" s="1"/>
      <c r="O195" s="1"/>
      <c r="P195" s="1"/>
      <c r="Q195" s="1"/>
      <c r="R195" s="1"/>
      <c r="S195" s="1"/>
      <c r="T195" s="22" t="str">
        <f t="shared" ca="1" si="31"/>
        <v>105,..,105</v>
      </c>
      <c r="U195" s="22">
        <f t="shared" ca="1" si="33"/>
        <v>105</v>
      </c>
      <c r="V195" s="22">
        <f t="shared" ca="1" si="34"/>
        <v>105</v>
      </c>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2" customFormat="1" ht="20.25" customHeight="1" x14ac:dyDescent="0.25">
      <c r="A196" s="130">
        <v>6</v>
      </c>
      <c r="B196" s="130"/>
      <c r="C196" s="64" t="s">
        <v>322</v>
      </c>
      <c r="D196" s="64" t="s">
        <v>368</v>
      </c>
      <c r="E196" s="97">
        <f>(28.41)*(10.764)</f>
        <v>305.80523999999997</v>
      </c>
      <c r="F196" s="97">
        <f t="shared" si="30"/>
        <v>61.018963199999988</v>
      </c>
      <c r="G196" s="91">
        <v>0</v>
      </c>
      <c r="H196" s="40">
        <f t="shared" si="32"/>
        <v>366.82420319999994</v>
      </c>
      <c r="I196" s="1"/>
      <c r="J196" s="1"/>
      <c r="K196" s="1"/>
      <c r="L196" s="1"/>
      <c r="M196" s="1"/>
      <c r="N196" s="1"/>
      <c r="O196" s="1"/>
      <c r="P196" s="1"/>
      <c r="Q196" s="1"/>
      <c r="R196" s="1"/>
      <c r="S196" s="1"/>
      <c r="T196" s="22" t="str">
        <f t="shared" ca="1" si="31"/>
        <v>106,..,106</v>
      </c>
      <c r="U196" s="22">
        <f t="shared" ca="1" si="33"/>
        <v>106</v>
      </c>
      <c r="V196" s="22">
        <f t="shared" ca="1" si="34"/>
        <v>106</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2" customFormat="1" ht="20.25" customHeight="1" x14ac:dyDescent="0.25">
      <c r="A197" s="130">
        <v>7</v>
      </c>
      <c r="B197" s="130"/>
      <c r="C197" s="64" t="s">
        <v>322</v>
      </c>
      <c r="D197" s="64" t="s">
        <v>368</v>
      </c>
      <c r="E197" s="97">
        <f>(28.41)*(10.764)</f>
        <v>305.80523999999997</v>
      </c>
      <c r="F197" s="97">
        <f t="shared" si="30"/>
        <v>61.018963199999988</v>
      </c>
      <c r="G197" s="91">
        <v>0</v>
      </c>
      <c r="H197" s="40">
        <f t="shared" si="32"/>
        <v>366.82420319999994</v>
      </c>
      <c r="I197" s="1"/>
      <c r="J197" s="1"/>
      <c r="K197" s="1"/>
      <c r="L197" s="1"/>
      <c r="M197" s="1"/>
      <c r="N197" s="1"/>
      <c r="O197" s="1"/>
      <c r="P197" s="1"/>
      <c r="Q197" s="1"/>
      <c r="R197" s="1"/>
      <c r="S197" s="1"/>
      <c r="T197" s="22" t="str">
        <f t="shared" ca="1" si="31"/>
        <v>107,..,107</v>
      </c>
      <c r="U197" s="22">
        <f t="shared" ca="1" si="33"/>
        <v>107</v>
      </c>
      <c r="V197" s="22">
        <f t="shared" ca="1" si="34"/>
        <v>107</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2" customFormat="1" ht="20.25" customHeight="1" x14ac:dyDescent="0.25">
      <c r="A198" s="130">
        <v>8</v>
      </c>
      <c r="B198" s="130"/>
      <c r="C198" s="64" t="s">
        <v>322</v>
      </c>
      <c r="D198" s="64" t="s">
        <v>367</v>
      </c>
      <c r="E198" s="97">
        <f>(51.05)*(10.764)</f>
        <v>549.5021999999999</v>
      </c>
      <c r="F198" s="97">
        <f t="shared" si="30"/>
        <v>61.018963199999988</v>
      </c>
      <c r="G198" s="91">
        <v>0</v>
      </c>
      <c r="H198" s="40">
        <f t="shared" si="32"/>
        <v>610.52116319999993</v>
      </c>
      <c r="I198" s="1"/>
      <c r="J198" s="1"/>
      <c r="K198" s="1"/>
      <c r="L198" s="1"/>
      <c r="M198" s="1"/>
      <c r="N198" s="1"/>
      <c r="O198" s="1"/>
      <c r="P198" s="1"/>
      <c r="Q198" s="1"/>
      <c r="R198" s="1"/>
      <c r="S198" s="1"/>
      <c r="T198" s="22" t="str">
        <f t="shared" ca="1" si="31"/>
        <v>108,..,108</v>
      </c>
      <c r="U198" s="22">
        <f t="shared" ca="1" si="33"/>
        <v>108</v>
      </c>
      <c r="V198" s="22">
        <f t="shared" ca="1" si="34"/>
        <v>108</v>
      </c>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2" customFormat="1" ht="20.25" x14ac:dyDescent="0.25">
      <c r="A199" s="137" t="s">
        <v>329</v>
      </c>
      <c r="B199" s="138"/>
      <c r="C199" s="138"/>
      <c r="D199" s="138"/>
      <c r="E199" s="139"/>
      <c r="F199" s="139"/>
      <c r="G199" s="138"/>
      <c r="H199" s="140"/>
      <c r="I199" s="1">
        <f>25</f>
        <v>25</v>
      </c>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2" customFormat="1" ht="20.25" customHeight="1" x14ac:dyDescent="0.25">
      <c r="A200" s="130">
        <v>1</v>
      </c>
      <c r="B200" s="130"/>
      <c r="C200" s="64" t="s">
        <v>322</v>
      </c>
      <c r="D200" s="64" t="s">
        <v>367</v>
      </c>
      <c r="E200" s="91">
        <f>(51.05)*(10.764)</f>
        <v>549.5021999999999</v>
      </c>
      <c r="F200" s="91">
        <f t="shared" ref="F200:F207" si="35">(1.13*2.8+2.02*1.24)*(10.764)</f>
        <v>61.018963199999988</v>
      </c>
      <c r="G200" s="91">
        <v>0</v>
      </c>
      <c r="H200" s="91">
        <f>E200+F200+(IF(G200&lt;101,G200,IF(G200&lt;201,G200/2,IF(G200&lt;=301,G200/3,G200/4))))</f>
        <v>610.52116319999993</v>
      </c>
      <c r="I200" s="1"/>
      <c r="J200" s="1"/>
      <c r="K200" s="1"/>
      <c r="L200" s="1"/>
      <c r="M200" s="1"/>
      <c r="N200" s="1"/>
      <c r="O200" s="1"/>
      <c r="P200" s="1"/>
      <c r="Q200" s="1"/>
      <c r="R200" s="1"/>
      <c r="S200" s="1"/>
      <c r="T200" s="22" t="str">
        <f t="shared" ref="T200:T207" ca="1" si="36">U200&amp;""&amp;",..,"&amp;""&amp;V200</f>
        <v>27901,..,3101</v>
      </c>
      <c r="U200" s="22">
        <f ca="1">(SUMPRODUCT(MID(0&amp;(LEFT(A199,SUM(LEN(A199)-LEN(SUBSTITUTE(A199,{"0","1","2","3"},""))))), LARGE(INDEX(ISNUMBER(--MID((LEFT(A199,SUM(LEN(A199)-LEN(SUBSTITUTE(A199,{"0","1","2","3"},""))))), ROW(INDIRECT("1:"&amp;LEN((LEFT(A199,SUM(LEN(A199)-LEN(SUBSTITUTE(A199,{"0","1","2","3"},"")))))))), 1)) * ROW(INDIRECT("1:"&amp;LEN((LEFT(A199,SUM(LEN(A199)-LEN(SUBSTITUTE(A199,{"0","1","2","3"},"")))))))), 0), ROW(INDIRECT("1:"&amp;LEN((LEFT(A199,SUM(LEN(A199)-LEN(SUBSTITUTE(A199,{"0","1","2","3"},"")))))))))+1, 1) * 10^ROW(INDIRECT("1:"&amp;LEN((LEFT(A199,SUM(LEN(A199)-LEN(SUBSTITUTE(A199,{"0","1","2","3"},""))))))))/10))*100+1</f>
        <v>27901</v>
      </c>
      <c r="V200" s="22">
        <f ca="1">(SUMPRODUCT(MID(0&amp;(--TRIM(RIGHT(SUBSTITUTE(LEFT(A199,_xlfn.AGGREGATE(16,6,FIND({0,1,2,3,4,5,6,7,8,9},A199,ROW(INDIRECT("1:"&amp;LEN(A199)))),1))," ",REPT(" ",LEN(A199))),LEN(A199)))), LARGE(INDEX(ISNUMBER(--MID((--TRIM(RIGHT(SUBSTITUTE(LEFT(A199,_xlfn.AGGREGATE(16,6,FIND({0,1,2,3,4,5,6,7,8,9},A199,ROW(INDIRECT("1:"&amp;LEN(A199)))),1))," ",REPT(" ",LEN(A199))),LEN(A199)))), ROW(INDIRECT("1:"&amp;LEN((--TRIM(RIGHT(SUBSTITUTE(LEFT(A199,_xlfn.AGGREGATE(16,6,FIND({0,1,2,3,4,5,6,7,8,9},A199,ROW(INDIRECT("1:"&amp;LEN(A199)))),1))," ",REPT(" ",LEN(A199))),LEN(A199))))))), 1)) * ROW(INDIRECT("1:"&amp;LEN((--TRIM(RIGHT(SUBSTITUTE(LEFT(A199,_xlfn.AGGREGATE(16,6,FIND({0,1,2,3,4,5,6,7,8,9},A199,ROW(INDIRECT("1:"&amp;LEN(A199)))),1))," ",REPT(" ",LEN(A199))),LEN(A199))))))), 0), ROW(INDIRECT("1:"&amp;LEN((--TRIM(RIGHT(SUBSTITUTE(LEFT(A199,_xlfn.AGGREGATE(16,6,FIND({0,1,2,3,4,5,6,7,8,9},A199,ROW(INDIRECT("1:"&amp;LEN(A199)))),1))," ",REPT(" ",LEN(A199))),LEN(A199))))))))+1, 1) * 10^ROW(INDIRECT("1:"&amp;LEN((--TRIM(RIGHT(SUBSTITUTE(LEFT(A199,_xlfn.AGGREGATE(16,6,FIND({0,1,2,3,4,5,6,7,8,9},A199,ROW(INDIRECT("1:"&amp;LEN(A199)))),1))," ",REPT(" ",LEN(A199))),LEN(A199)))))))/10))*100+1</f>
        <v>3101</v>
      </c>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2" customFormat="1" ht="20.25" customHeight="1" x14ac:dyDescent="0.25">
      <c r="A201" s="130">
        <v>2</v>
      </c>
      <c r="B201" s="130"/>
      <c r="C201" s="64" t="s">
        <v>322</v>
      </c>
      <c r="D201" s="64" t="s">
        <v>327</v>
      </c>
      <c r="E201" s="91">
        <f>(42.63)*(10.764)</f>
        <v>458.86932000000002</v>
      </c>
      <c r="F201" s="91">
        <f t="shared" si="35"/>
        <v>61.018963199999988</v>
      </c>
      <c r="G201" s="91">
        <v>0</v>
      </c>
      <c r="H201" s="91">
        <f t="shared" ref="H201:H207" si="37">E201+F201+(IF(G201&lt;101,G201,IF(G201&lt;201,G201/2,IF(G201&lt;=301,G201/3,G201/4))))</f>
        <v>519.88828320000005</v>
      </c>
      <c r="I201" s="1"/>
      <c r="J201" s="1"/>
      <c r="K201" s="1"/>
      <c r="L201" s="1"/>
      <c r="M201" s="1"/>
      <c r="N201" s="1"/>
      <c r="O201" s="1"/>
      <c r="P201" s="1"/>
      <c r="Q201" s="1"/>
      <c r="R201" s="1"/>
      <c r="S201" s="1"/>
      <c r="T201" s="22" t="str">
        <f t="shared" ca="1" si="36"/>
        <v>27902,..,3102</v>
      </c>
      <c r="U201" s="22">
        <f ca="1">U200+1</f>
        <v>27902</v>
      </c>
      <c r="V201" s="22">
        <f ca="1">V200+1</f>
        <v>3102</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2" customFormat="1" ht="20.25" customHeight="1" x14ac:dyDescent="0.25">
      <c r="A202" s="130">
        <v>3</v>
      </c>
      <c r="B202" s="130"/>
      <c r="C202" s="64" t="s">
        <v>322</v>
      </c>
      <c r="D202" s="64" t="s">
        <v>327</v>
      </c>
      <c r="E202" s="91">
        <f>(42.63)*(10.764)</f>
        <v>458.86932000000002</v>
      </c>
      <c r="F202" s="91">
        <f t="shared" si="35"/>
        <v>61.018963199999988</v>
      </c>
      <c r="G202" s="91">
        <v>0</v>
      </c>
      <c r="H202" s="91">
        <f t="shared" si="37"/>
        <v>519.88828320000005</v>
      </c>
      <c r="I202" s="1"/>
      <c r="J202" s="1"/>
      <c r="K202" s="1"/>
      <c r="L202" s="1"/>
      <c r="M202" s="1"/>
      <c r="N202" s="1"/>
      <c r="O202" s="1"/>
      <c r="P202" s="1"/>
      <c r="Q202" s="1"/>
      <c r="R202" s="1"/>
      <c r="S202" s="1"/>
      <c r="T202" s="22" t="str">
        <f t="shared" ca="1" si="36"/>
        <v>27903,..,3103</v>
      </c>
      <c r="U202" s="22">
        <f t="shared" ref="U202:V207" ca="1" si="38">U201+1</f>
        <v>27903</v>
      </c>
      <c r="V202" s="22">
        <f t="shared" ca="1" si="38"/>
        <v>3103</v>
      </c>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2" customFormat="1" ht="20.25" customHeight="1" x14ac:dyDescent="0.25">
      <c r="A203" s="130">
        <v>4</v>
      </c>
      <c r="B203" s="130"/>
      <c r="C203" s="64" t="s">
        <v>322</v>
      </c>
      <c r="D203" s="64" t="s">
        <v>367</v>
      </c>
      <c r="E203" s="91">
        <f>(51.05)*(10.764)</f>
        <v>549.5021999999999</v>
      </c>
      <c r="F203" s="91">
        <f t="shared" si="35"/>
        <v>61.018963199999988</v>
      </c>
      <c r="G203" s="91">
        <v>0</v>
      </c>
      <c r="H203" s="91">
        <f t="shared" si="37"/>
        <v>610.52116319999993</v>
      </c>
      <c r="I203" s="1"/>
      <c r="J203" s="1"/>
      <c r="K203" s="1"/>
      <c r="L203" s="1"/>
      <c r="M203" s="1"/>
      <c r="N203" s="1"/>
      <c r="O203" s="1"/>
      <c r="P203" s="1"/>
      <c r="Q203" s="1"/>
      <c r="R203" s="1"/>
      <c r="S203" s="1"/>
      <c r="T203" s="22" t="str">
        <f t="shared" ca="1" si="36"/>
        <v>27904,..,3104</v>
      </c>
      <c r="U203" s="22">
        <f t="shared" ca="1" si="38"/>
        <v>27904</v>
      </c>
      <c r="V203" s="22">
        <f t="shared" ca="1" si="38"/>
        <v>3104</v>
      </c>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2" customFormat="1" ht="20.25" customHeight="1" x14ac:dyDescent="0.25">
      <c r="A204" s="130">
        <v>5</v>
      </c>
      <c r="B204" s="130"/>
      <c r="C204" s="64" t="s">
        <v>322</v>
      </c>
      <c r="D204" s="64" t="s">
        <v>367</v>
      </c>
      <c r="E204" s="91">
        <f>(51.05)*(10.764)</f>
        <v>549.5021999999999</v>
      </c>
      <c r="F204" s="91">
        <f t="shared" si="35"/>
        <v>61.018963199999988</v>
      </c>
      <c r="G204" s="91">
        <v>0</v>
      </c>
      <c r="H204" s="91">
        <f t="shared" si="37"/>
        <v>610.52116319999993</v>
      </c>
      <c r="I204" s="1"/>
      <c r="J204" s="1"/>
      <c r="K204" s="1"/>
      <c r="L204" s="1"/>
      <c r="M204" s="1"/>
      <c r="N204" s="1"/>
      <c r="O204" s="1"/>
      <c r="P204" s="1"/>
      <c r="Q204" s="1"/>
      <c r="R204" s="1"/>
      <c r="S204" s="1"/>
      <c r="T204" s="22" t="str">
        <f t="shared" ca="1" si="36"/>
        <v>27905,..,3105</v>
      </c>
      <c r="U204" s="22">
        <f t="shared" ca="1" si="38"/>
        <v>27905</v>
      </c>
      <c r="V204" s="22">
        <f t="shared" ca="1" si="38"/>
        <v>3105</v>
      </c>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2" customFormat="1" ht="20.25" customHeight="1" x14ac:dyDescent="0.25">
      <c r="A205" s="130">
        <v>6</v>
      </c>
      <c r="B205" s="130"/>
      <c r="C205" s="64" t="s">
        <v>322</v>
      </c>
      <c r="D205" s="64" t="s">
        <v>327</v>
      </c>
      <c r="E205" s="91">
        <f>(42.63)*(10.764)</f>
        <v>458.86932000000002</v>
      </c>
      <c r="F205" s="91">
        <f t="shared" si="35"/>
        <v>61.018963199999988</v>
      </c>
      <c r="G205" s="91">
        <v>0</v>
      </c>
      <c r="H205" s="91">
        <f t="shared" si="37"/>
        <v>519.88828320000005</v>
      </c>
      <c r="I205" s="1"/>
      <c r="J205" s="1"/>
      <c r="K205" s="1"/>
      <c r="L205" s="1"/>
      <c r="M205" s="1"/>
      <c r="N205" s="1"/>
      <c r="O205" s="1"/>
      <c r="P205" s="1"/>
      <c r="Q205" s="1"/>
      <c r="R205" s="1"/>
      <c r="S205" s="1"/>
      <c r="T205" s="22" t="str">
        <f t="shared" ca="1" si="36"/>
        <v>27906,..,3106</v>
      </c>
      <c r="U205" s="22">
        <f t="shared" ca="1" si="38"/>
        <v>27906</v>
      </c>
      <c r="V205" s="22">
        <f t="shared" ca="1" si="38"/>
        <v>3106</v>
      </c>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2" customFormat="1" ht="20.25" customHeight="1" x14ac:dyDescent="0.25">
      <c r="A206" s="130">
        <v>7</v>
      </c>
      <c r="B206" s="130"/>
      <c r="C206" s="64" t="s">
        <v>322</v>
      </c>
      <c r="D206" s="64" t="s">
        <v>327</v>
      </c>
      <c r="E206" s="91">
        <f>(42.63)*(10.764)</f>
        <v>458.86932000000002</v>
      </c>
      <c r="F206" s="91">
        <f t="shared" si="35"/>
        <v>61.018963199999988</v>
      </c>
      <c r="G206" s="91">
        <v>0</v>
      </c>
      <c r="H206" s="91">
        <f t="shared" si="37"/>
        <v>519.88828320000005</v>
      </c>
      <c r="I206" s="1"/>
      <c r="J206" s="1"/>
      <c r="K206" s="1"/>
      <c r="L206" s="1"/>
      <c r="M206" s="1"/>
      <c r="N206" s="1"/>
      <c r="O206" s="1"/>
      <c r="P206" s="1"/>
      <c r="Q206" s="1"/>
      <c r="R206" s="1"/>
      <c r="S206" s="1"/>
      <c r="T206" s="22" t="str">
        <f t="shared" ca="1" si="36"/>
        <v>27907,..,3107</v>
      </c>
      <c r="U206" s="22">
        <f t="shared" ca="1" si="38"/>
        <v>27907</v>
      </c>
      <c r="V206" s="22">
        <f t="shared" ca="1" si="38"/>
        <v>3107</v>
      </c>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2" customFormat="1" ht="20.25" customHeight="1" x14ac:dyDescent="0.25">
      <c r="A207" s="130">
        <v>8</v>
      </c>
      <c r="B207" s="130"/>
      <c r="C207" s="64" t="s">
        <v>322</v>
      </c>
      <c r="D207" s="64" t="s">
        <v>367</v>
      </c>
      <c r="E207" s="91">
        <f>(51.05)*(10.764)</f>
        <v>549.5021999999999</v>
      </c>
      <c r="F207" s="91">
        <f t="shared" si="35"/>
        <v>61.018963199999988</v>
      </c>
      <c r="G207" s="91">
        <v>0</v>
      </c>
      <c r="H207" s="91">
        <f t="shared" si="37"/>
        <v>610.52116319999993</v>
      </c>
      <c r="I207" s="1"/>
      <c r="J207" s="1"/>
      <c r="K207" s="1"/>
      <c r="L207" s="1"/>
      <c r="M207" s="1"/>
      <c r="N207" s="1"/>
      <c r="O207" s="1"/>
      <c r="P207" s="1"/>
      <c r="Q207" s="1"/>
      <c r="R207" s="1"/>
      <c r="S207" s="1"/>
      <c r="T207" s="22" t="str">
        <f t="shared" ca="1" si="36"/>
        <v>27908,..,3108</v>
      </c>
      <c r="U207" s="22">
        <f t="shared" ca="1" si="38"/>
        <v>27908</v>
      </c>
      <c r="V207" s="22">
        <f t="shared" ca="1" si="38"/>
        <v>3108</v>
      </c>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2" customFormat="1" ht="20.25" x14ac:dyDescent="0.25">
      <c r="A208" s="137" t="s">
        <v>331</v>
      </c>
      <c r="B208" s="138"/>
      <c r="C208" s="138"/>
      <c r="D208" s="138"/>
      <c r="E208" s="139"/>
      <c r="F208" s="139"/>
      <c r="G208" s="138"/>
      <c r="H208" s="140"/>
      <c r="I208" s="1">
        <f>5</f>
        <v>5</v>
      </c>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2" customFormat="1" ht="20.25" customHeight="1" x14ac:dyDescent="0.25">
      <c r="A209" s="130">
        <v>1</v>
      </c>
      <c r="B209" s="130"/>
      <c r="C209" s="64" t="s">
        <v>322</v>
      </c>
      <c r="D209" s="64" t="s">
        <v>367</v>
      </c>
      <c r="E209" s="91">
        <f>(51.05)*(10.764)</f>
        <v>549.5021999999999</v>
      </c>
      <c r="F209" s="91">
        <f>(1.13*2.8+2.02*1.24)*(10.764)</f>
        <v>61.018963199999988</v>
      </c>
      <c r="G209" s="91">
        <v>0</v>
      </c>
      <c r="H209" s="91">
        <f>E209+F209+(IF(G209&lt;101,G209,IF(G209&lt;201,G209/2,IF(G209&lt;=301,G209/3,G209/4))))</f>
        <v>610.52116319999993</v>
      </c>
      <c r="I209" s="1"/>
      <c r="J209" s="1"/>
      <c r="K209" s="1"/>
      <c r="L209" s="1"/>
      <c r="M209" s="1"/>
      <c r="N209" s="1"/>
      <c r="O209" s="1"/>
      <c r="P209" s="1"/>
      <c r="Q209" s="1"/>
      <c r="R209" s="1"/>
      <c r="S209" s="1"/>
      <c r="T209" s="22" t="str">
        <f t="shared" ref="T209:T216" ca="1" si="39">U209&amp;""&amp;",..,"&amp;""&amp;V209</f>
        <v>8101,..,2801</v>
      </c>
      <c r="U209" s="22">
        <f ca="1">(SUMPRODUCT(MID(0&amp;(LEFT(A208,SUM(LEN(A208)-LEN(SUBSTITUTE(A208,{"0","1","2","3"},""))))), LARGE(INDEX(ISNUMBER(--MID((LEFT(A208,SUM(LEN(A208)-LEN(SUBSTITUTE(A208,{"0","1","2","3"},""))))), ROW(INDIRECT("1:"&amp;LEN((LEFT(A208,SUM(LEN(A208)-LEN(SUBSTITUTE(A208,{"0","1","2","3"},"")))))))), 1)) * ROW(INDIRECT("1:"&amp;LEN((LEFT(A208,SUM(LEN(A208)-LEN(SUBSTITUTE(A208,{"0","1","2","3"},"")))))))), 0), ROW(INDIRECT("1:"&amp;LEN((LEFT(A208,SUM(LEN(A208)-LEN(SUBSTITUTE(A208,{"0","1","2","3"},"")))))))))+1, 1) * 10^ROW(INDIRECT("1:"&amp;LEN((LEFT(A208,SUM(LEN(A208)-LEN(SUBSTITUTE(A208,{"0","1","2","3"},""))))))))/10))*100+1</f>
        <v>8101</v>
      </c>
      <c r="V209" s="22">
        <f ca="1">(SUMPRODUCT(MID(0&amp;(--TRIM(RIGHT(SUBSTITUTE(LEFT(A208,_xlfn.AGGREGATE(16,6,FIND({0,1,2,3,4,5,6,7,8,9},A208,ROW(INDIRECT("1:"&amp;LEN(A208)))),1))," ",REPT(" ",LEN(A208))),LEN(A208)))), LARGE(INDEX(ISNUMBER(--MID((--TRIM(RIGHT(SUBSTITUTE(LEFT(A208,_xlfn.AGGREGATE(16,6,FIND({0,1,2,3,4,5,6,7,8,9},A208,ROW(INDIRECT("1:"&amp;LEN(A208)))),1))," ",REPT(" ",LEN(A208))),LEN(A208)))), ROW(INDIRECT("1:"&amp;LEN((--TRIM(RIGHT(SUBSTITUTE(LEFT(A208,_xlfn.AGGREGATE(16,6,FIND({0,1,2,3,4,5,6,7,8,9},A208,ROW(INDIRECT("1:"&amp;LEN(A208)))),1))," ",REPT(" ",LEN(A208))),LEN(A208))))))), 1)) * ROW(INDIRECT("1:"&amp;LEN((--TRIM(RIGHT(SUBSTITUTE(LEFT(A208,_xlfn.AGGREGATE(16,6,FIND({0,1,2,3,4,5,6,7,8,9},A208,ROW(INDIRECT("1:"&amp;LEN(A208)))),1))," ",REPT(" ",LEN(A208))),LEN(A208))))))), 0), ROW(INDIRECT("1:"&amp;LEN((--TRIM(RIGHT(SUBSTITUTE(LEFT(A208,_xlfn.AGGREGATE(16,6,FIND({0,1,2,3,4,5,6,7,8,9},A208,ROW(INDIRECT("1:"&amp;LEN(A208)))),1))," ",REPT(" ",LEN(A208))),LEN(A208))))))))+1, 1) * 10^ROW(INDIRECT("1:"&amp;LEN((--TRIM(RIGHT(SUBSTITUTE(LEFT(A208,_xlfn.AGGREGATE(16,6,FIND({0,1,2,3,4,5,6,7,8,9},A208,ROW(INDIRECT("1:"&amp;LEN(A208)))),1))," ",REPT(" ",LEN(A208))),LEN(A208)))))))/10))*100+1</f>
        <v>2801</v>
      </c>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2" customFormat="1" ht="20.25" customHeight="1" x14ac:dyDescent="0.25">
      <c r="A210" s="130">
        <v>2</v>
      </c>
      <c r="B210" s="130"/>
      <c r="C210" s="64" t="s">
        <v>322</v>
      </c>
      <c r="D210" s="64" t="s">
        <v>327</v>
      </c>
      <c r="E210" s="91">
        <f>(42.63)*(10.764)</f>
        <v>458.86932000000002</v>
      </c>
      <c r="F210" s="91">
        <f>(1.13*2.8+2.02*1.24)*(10.764)</f>
        <v>61.018963199999988</v>
      </c>
      <c r="G210" s="91">
        <v>0</v>
      </c>
      <c r="H210" s="91">
        <f t="shared" ref="H210:H216" si="40">E210+F210+(IF(G210&lt;101,G210,IF(G210&lt;201,G210/2,IF(G210&lt;=301,G210/3,G210/4))))</f>
        <v>519.88828320000005</v>
      </c>
      <c r="I210" s="1"/>
      <c r="J210" s="1"/>
      <c r="K210" s="1"/>
      <c r="L210" s="1"/>
      <c r="M210" s="1"/>
      <c r="N210" s="1"/>
      <c r="O210" s="1"/>
      <c r="P210" s="1"/>
      <c r="Q210" s="1"/>
      <c r="R210" s="1"/>
      <c r="S210" s="1"/>
      <c r="T210" s="22" t="str">
        <f t="shared" ca="1" si="39"/>
        <v>8102,..,2802</v>
      </c>
      <c r="U210" s="22">
        <f ca="1">U209+1</f>
        <v>8102</v>
      </c>
      <c r="V210" s="22">
        <f ca="1">V209+1</f>
        <v>2802</v>
      </c>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2" customFormat="1" ht="20.25" customHeight="1" x14ac:dyDescent="0.25">
      <c r="A211" s="130">
        <v>3</v>
      </c>
      <c r="B211" s="130"/>
      <c r="C211" s="64" t="s">
        <v>322</v>
      </c>
      <c r="D211" s="64" t="s">
        <v>327</v>
      </c>
      <c r="E211" s="91">
        <f>(42.63)*(10.764)</f>
        <v>458.86932000000002</v>
      </c>
      <c r="F211" s="91">
        <f>(1.13*2.8+2.02*1.24)*(10.764)</f>
        <v>61.018963199999988</v>
      </c>
      <c r="G211" s="91">
        <v>0</v>
      </c>
      <c r="H211" s="91">
        <f t="shared" si="40"/>
        <v>519.88828320000005</v>
      </c>
      <c r="I211" s="1"/>
      <c r="J211" s="1"/>
      <c r="K211" s="1"/>
      <c r="L211" s="1"/>
      <c r="M211" s="1"/>
      <c r="N211" s="1"/>
      <c r="O211" s="1"/>
      <c r="P211" s="1"/>
      <c r="Q211" s="1"/>
      <c r="R211" s="1"/>
      <c r="S211" s="1"/>
      <c r="T211" s="22" t="str">
        <f t="shared" ca="1" si="39"/>
        <v>8103,..,2803</v>
      </c>
      <c r="U211" s="22">
        <f t="shared" ref="U211:V211" ca="1" si="41">U210+1</f>
        <v>8103</v>
      </c>
      <c r="V211" s="22">
        <f t="shared" ca="1" si="41"/>
        <v>2803</v>
      </c>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2" customFormat="1" ht="20.25" customHeight="1" x14ac:dyDescent="0.25">
      <c r="A212" s="130">
        <v>4</v>
      </c>
      <c r="B212" s="130"/>
      <c r="C212" s="64" t="s">
        <v>322</v>
      </c>
      <c r="D212" s="64" t="s">
        <v>367</v>
      </c>
      <c r="E212" s="91">
        <f>(51.05)*(10.764)</f>
        <v>549.5021999999999</v>
      </c>
      <c r="F212" s="91">
        <f>(1.13*2.8+2.02*1.24)*(10.764)</f>
        <v>61.018963199999988</v>
      </c>
      <c r="G212" s="91">
        <v>0</v>
      </c>
      <c r="H212" s="91">
        <f t="shared" si="40"/>
        <v>610.52116319999993</v>
      </c>
      <c r="I212" s="1"/>
      <c r="J212" s="1"/>
      <c r="K212" s="1"/>
      <c r="L212" s="1"/>
      <c r="M212" s="1"/>
      <c r="N212" s="1"/>
      <c r="O212" s="1"/>
      <c r="P212" s="1"/>
      <c r="Q212" s="1"/>
      <c r="R212" s="1"/>
      <c r="S212" s="1"/>
      <c r="T212" s="22" t="str">
        <f t="shared" ca="1" si="39"/>
        <v>8104,..,2804</v>
      </c>
      <c r="U212" s="22">
        <f t="shared" ref="U212:V212" ca="1" si="42">U211+1</f>
        <v>8104</v>
      </c>
      <c r="V212" s="22">
        <f t="shared" ca="1" si="42"/>
        <v>2804</v>
      </c>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2" customFormat="1" ht="20.25" customHeight="1" x14ac:dyDescent="0.25">
      <c r="A213" s="130">
        <v>5</v>
      </c>
      <c r="B213" s="130"/>
      <c r="C213" s="64" t="s">
        <v>322</v>
      </c>
      <c r="D213" s="178" t="s">
        <v>332</v>
      </c>
      <c r="E213" s="193"/>
      <c r="F213" s="193"/>
      <c r="G213" s="179"/>
      <c r="H213" s="180"/>
      <c r="I213" s="1"/>
      <c r="J213" s="1"/>
      <c r="K213" s="1"/>
      <c r="L213" s="1"/>
      <c r="M213" s="1"/>
      <c r="N213" s="1"/>
      <c r="O213" s="1"/>
      <c r="P213" s="1"/>
      <c r="Q213" s="1"/>
      <c r="R213" s="1"/>
      <c r="S213" s="1"/>
      <c r="T213" s="22" t="str">
        <f t="shared" ca="1" si="39"/>
        <v>8105,..,2805</v>
      </c>
      <c r="U213" s="22">
        <f t="shared" ref="U213:V213" ca="1" si="43">U212+1</f>
        <v>8105</v>
      </c>
      <c r="V213" s="22">
        <f t="shared" ca="1" si="43"/>
        <v>2805</v>
      </c>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2" customFormat="1" ht="20.25" customHeight="1" x14ac:dyDescent="0.25">
      <c r="A214" s="130">
        <v>6</v>
      </c>
      <c r="B214" s="130"/>
      <c r="C214" s="64" t="s">
        <v>322</v>
      </c>
      <c r="D214" s="64" t="s">
        <v>327</v>
      </c>
      <c r="E214" s="91">
        <f>(42.63)*(10.764)</f>
        <v>458.86932000000002</v>
      </c>
      <c r="F214" s="91">
        <f>(1.13*2.8+2.02*1.24)*(10.764)</f>
        <v>61.018963199999988</v>
      </c>
      <c r="G214" s="91">
        <v>0</v>
      </c>
      <c r="H214" s="91">
        <f t="shared" si="40"/>
        <v>519.88828320000005</v>
      </c>
      <c r="I214" s="1"/>
      <c r="J214" s="1"/>
      <c r="K214" s="1"/>
      <c r="L214" s="1"/>
      <c r="M214" s="1"/>
      <c r="N214" s="1"/>
      <c r="O214" s="1"/>
      <c r="P214" s="1"/>
      <c r="Q214" s="1"/>
      <c r="R214" s="1"/>
      <c r="S214" s="1"/>
      <c r="T214" s="22" t="str">
        <f t="shared" ca="1" si="39"/>
        <v>8106,..,2806</v>
      </c>
      <c r="U214" s="22">
        <f t="shared" ref="U214:V214" ca="1" si="44">U213+1</f>
        <v>8106</v>
      </c>
      <c r="V214" s="22">
        <f t="shared" ca="1" si="44"/>
        <v>2806</v>
      </c>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2" customFormat="1" ht="20.25" customHeight="1" x14ac:dyDescent="0.25">
      <c r="A215" s="130">
        <v>7</v>
      </c>
      <c r="B215" s="130"/>
      <c r="C215" s="64" t="s">
        <v>322</v>
      </c>
      <c r="D215" s="64" t="s">
        <v>327</v>
      </c>
      <c r="E215" s="91">
        <f>(42.63)*(10.764)</f>
        <v>458.86932000000002</v>
      </c>
      <c r="F215" s="91">
        <f>(1.13*2.8+2.02*1.24)*(10.764)</f>
        <v>61.018963199999988</v>
      </c>
      <c r="G215" s="91">
        <v>0</v>
      </c>
      <c r="H215" s="91">
        <f t="shared" si="40"/>
        <v>519.88828320000005</v>
      </c>
      <c r="I215" s="1"/>
      <c r="J215" s="1"/>
      <c r="K215" s="1"/>
      <c r="L215" s="1"/>
      <c r="M215" s="1"/>
      <c r="N215" s="1"/>
      <c r="O215" s="1"/>
      <c r="P215" s="1"/>
      <c r="Q215" s="1"/>
      <c r="R215" s="1"/>
      <c r="S215" s="1"/>
      <c r="T215" s="22" t="str">
        <f t="shared" ca="1" si="39"/>
        <v>8107,..,2807</v>
      </c>
      <c r="U215" s="22">
        <f t="shared" ref="U215:V215" ca="1" si="45">U214+1</f>
        <v>8107</v>
      </c>
      <c r="V215" s="22">
        <f t="shared" ca="1" si="45"/>
        <v>2807</v>
      </c>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2" customFormat="1" ht="20.25" customHeight="1" x14ac:dyDescent="0.25">
      <c r="A216" s="130">
        <v>8</v>
      </c>
      <c r="B216" s="130"/>
      <c r="C216" s="64" t="s">
        <v>322</v>
      </c>
      <c r="D216" s="64" t="s">
        <v>367</v>
      </c>
      <c r="E216" s="91">
        <f>(51.05)*(10.764)</f>
        <v>549.5021999999999</v>
      </c>
      <c r="F216" s="91">
        <f>(1.13*2.8+2.02*1.24)*(10.764)</f>
        <v>61.018963199999988</v>
      </c>
      <c r="G216" s="91">
        <v>0</v>
      </c>
      <c r="H216" s="91">
        <f t="shared" si="40"/>
        <v>610.52116319999993</v>
      </c>
      <c r="I216" s="1"/>
      <c r="J216" s="1"/>
      <c r="K216" s="1"/>
      <c r="L216" s="1"/>
      <c r="M216" s="1"/>
      <c r="N216" s="1"/>
      <c r="O216" s="1"/>
      <c r="P216" s="1"/>
      <c r="Q216" s="1"/>
      <c r="R216" s="1"/>
      <c r="S216" s="1"/>
      <c r="T216" s="22" t="str">
        <f t="shared" ca="1" si="39"/>
        <v>8108,..,2808</v>
      </c>
      <c r="U216" s="22">
        <f t="shared" ref="U216:V216" ca="1" si="46">U215+1</f>
        <v>8108</v>
      </c>
      <c r="V216" s="22">
        <f t="shared" ca="1" si="46"/>
        <v>2808</v>
      </c>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2" customFormat="1" ht="20.25" x14ac:dyDescent="0.25">
      <c r="A217" s="191" t="s">
        <v>315</v>
      </c>
      <c r="B217" s="139"/>
      <c r="C217" s="139"/>
      <c r="D217" s="139"/>
      <c r="E217" s="139"/>
      <c r="F217" s="139"/>
      <c r="G217" s="139"/>
      <c r="H217" s="192"/>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2" customFormat="1" ht="20.25" x14ac:dyDescent="0.25">
      <c r="A218" s="191" t="s">
        <v>321</v>
      </c>
      <c r="B218" s="139"/>
      <c r="C218" s="139"/>
      <c r="D218" s="139"/>
      <c r="E218" s="139"/>
      <c r="F218" s="139"/>
      <c r="G218" s="139"/>
      <c r="H218" s="192"/>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2" customFormat="1" ht="40.5" customHeight="1" x14ac:dyDescent="0.25">
      <c r="A219" s="191" t="s">
        <v>370</v>
      </c>
      <c r="B219" s="139"/>
      <c r="C219" s="139"/>
      <c r="D219" s="139"/>
      <c r="E219" s="139"/>
      <c r="F219" s="139"/>
      <c r="G219" s="139"/>
      <c r="H219" s="192"/>
      <c r="I219" s="96"/>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2" customFormat="1" ht="20.25" x14ac:dyDescent="0.25">
      <c r="A220" s="137" t="s">
        <v>325</v>
      </c>
      <c r="B220" s="138"/>
      <c r="C220" s="138"/>
      <c r="D220" s="138"/>
      <c r="E220" s="138"/>
      <c r="F220" s="138"/>
      <c r="G220" s="138"/>
      <c r="H220" s="140"/>
      <c r="I220" s="1">
        <f>1</f>
        <v>1</v>
      </c>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2" customFormat="1" ht="20.25" customHeight="1" x14ac:dyDescent="0.25">
      <c r="A221" s="130">
        <v>1</v>
      </c>
      <c r="B221" s="130"/>
      <c r="C221" s="64" t="s">
        <v>322</v>
      </c>
      <c r="D221" s="64" t="s">
        <v>326</v>
      </c>
      <c r="E221" s="91">
        <f>(59.18)*(10.764)</f>
        <v>637.01351999999997</v>
      </c>
      <c r="F221" s="91">
        <f t="shared" ref="F221:F228" si="47">(1.12*2.94+2.04*1.25)*(10.764)</f>
        <v>62.891899199999997</v>
      </c>
      <c r="G221" s="91">
        <v>0</v>
      </c>
      <c r="H221" s="91">
        <f>E221+F221+(IF(G221&lt;101,G221,IF(G221&lt;201,G221/2,IF(G221&lt;=301,G221/3,G221/4))))</f>
        <v>699.90541919999998</v>
      </c>
      <c r="I221" s="1">
        <f>3.04*4.97+2.13*2.71+3.04*3.35+3.35*3.65+1.37*2.33+1.52*2.38+3.5*0.9+0.9*2.1+0.5*0.2+1.18*1.32</f>
        <v>56.799900000000001</v>
      </c>
      <c r="J221" s="1">
        <f>1.12*2.94+2.04*1.25</f>
        <v>5.8428000000000004</v>
      </c>
      <c r="K221" s="1"/>
      <c r="L221" s="1"/>
      <c r="M221" s="1"/>
      <c r="N221" s="1"/>
      <c r="O221" s="1"/>
      <c r="P221" s="1"/>
      <c r="Q221" s="1"/>
      <c r="R221" s="1"/>
      <c r="S221" s="1"/>
      <c r="T221" s="22" t="str">
        <f t="shared" ref="T221:T228" ca="1" si="48">U221&amp;""&amp;",..,"&amp;""&amp;V221</f>
        <v>101,..,101</v>
      </c>
      <c r="U221" s="22">
        <f ca="1">(SUMPRODUCT(MID(0&amp;(LEFT(A220,SUM(LEN(A220)-LEN(SUBSTITUTE(A220,{"0","1","2","3"},""))))), LARGE(INDEX(ISNUMBER(--MID((LEFT(A220,SUM(LEN(A220)-LEN(SUBSTITUTE(A220,{"0","1","2","3"},""))))), ROW(INDIRECT("1:"&amp;LEN((LEFT(A220,SUM(LEN(A220)-LEN(SUBSTITUTE(A220,{"0","1","2","3"},"")))))))), 1)) * ROW(INDIRECT("1:"&amp;LEN((LEFT(A220,SUM(LEN(A220)-LEN(SUBSTITUTE(A220,{"0","1","2","3"},"")))))))), 0), ROW(INDIRECT("1:"&amp;LEN((LEFT(A220,SUM(LEN(A220)-LEN(SUBSTITUTE(A220,{"0","1","2","3"},"")))))))))+1, 1) * 10^ROW(INDIRECT("1:"&amp;LEN((LEFT(A220,SUM(LEN(A220)-LEN(SUBSTITUTE(A220,{"0","1","2","3"},""))))))))/10))*100+1</f>
        <v>101</v>
      </c>
      <c r="V221" s="22">
        <f ca="1">(SUMPRODUCT(MID(0&amp;(--TRIM(RIGHT(SUBSTITUTE(LEFT(A220,_xlfn.AGGREGATE(16,6,FIND({0,1,2,3,4,5,6,7,8,9},A220,ROW(INDIRECT("1:"&amp;LEN(A220)))),1))," ",REPT(" ",LEN(A220))),LEN(A220)))), LARGE(INDEX(ISNUMBER(--MID((--TRIM(RIGHT(SUBSTITUTE(LEFT(A220,_xlfn.AGGREGATE(16,6,FIND({0,1,2,3,4,5,6,7,8,9},A220,ROW(INDIRECT("1:"&amp;LEN(A220)))),1))," ",REPT(" ",LEN(A220))),LEN(A220)))), ROW(INDIRECT("1:"&amp;LEN((--TRIM(RIGHT(SUBSTITUTE(LEFT(A220,_xlfn.AGGREGATE(16,6,FIND({0,1,2,3,4,5,6,7,8,9},A220,ROW(INDIRECT("1:"&amp;LEN(A220)))),1))," ",REPT(" ",LEN(A220))),LEN(A220))))))), 1)) * ROW(INDIRECT("1:"&amp;LEN((--TRIM(RIGHT(SUBSTITUTE(LEFT(A220,_xlfn.AGGREGATE(16,6,FIND({0,1,2,3,4,5,6,7,8,9},A220,ROW(INDIRECT("1:"&amp;LEN(A220)))),1))," ",REPT(" ",LEN(A220))),LEN(A220))))))), 0), ROW(INDIRECT("1:"&amp;LEN((--TRIM(RIGHT(SUBSTITUTE(LEFT(A220,_xlfn.AGGREGATE(16,6,FIND({0,1,2,3,4,5,6,7,8,9},A220,ROW(INDIRECT("1:"&amp;LEN(A220)))),1))," ",REPT(" ",LEN(A220))),LEN(A220))))))))+1, 1) * 10^ROW(INDIRECT("1:"&amp;LEN((--TRIM(RIGHT(SUBSTITUTE(LEFT(A220,_xlfn.AGGREGATE(16,6,FIND({0,1,2,3,4,5,6,7,8,9},A220,ROW(INDIRECT("1:"&amp;LEN(A220)))),1))," ",REPT(" ",LEN(A220))),LEN(A220)))))))/10))*100+1</f>
        <v>101</v>
      </c>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2" customFormat="1" ht="20.25" customHeight="1" x14ac:dyDescent="0.25">
      <c r="A222" s="130">
        <v>2</v>
      </c>
      <c r="B222" s="130"/>
      <c r="C222" s="64" t="s">
        <v>322</v>
      </c>
      <c r="D222" s="64" t="s">
        <v>326</v>
      </c>
      <c r="E222" s="91">
        <f>(59.18)*(10.764)</f>
        <v>637.01351999999997</v>
      </c>
      <c r="F222" s="91">
        <f t="shared" si="47"/>
        <v>62.891899199999997</v>
      </c>
      <c r="G222" s="91">
        <v>0</v>
      </c>
      <c r="H222" s="91">
        <f t="shared" ref="H222:H228" si="49">E222+F222+(IF(G222&lt;101,G222,IF(G222&lt;201,G222/2,IF(G222&lt;=301,G222/3,G222/4))))</f>
        <v>699.90541919999998</v>
      </c>
      <c r="I222" s="1"/>
      <c r="J222" s="1"/>
      <c r="K222" s="1"/>
      <c r="L222" s="1"/>
      <c r="M222" s="1"/>
      <c r="N222" s="1"/>
      <c r="O222" s="1"/>
      <c r="P222" s="1"/>
      <c r="Q222" s="1"/>
      <c r="R222" s="1"/>
      <c r="S222" s="1"/>
      <c r="T222" s="22" t="str">
        <f t="shared" ca="1" si="48"/>
        <v>102,..,102</v>
      </c>
      <c r="U222" s="22">
        <f ca="1">U221+1</f>
        <v>102</v>
      </c>
      <c r="V222" s="22">
        <f ca="1">V221+1</f>
        <v>102</v>
      </c>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2" customFormat="1" ht="20.25" customHeight="1" x14ac:dyDescent="0.25">
      <c r="A223" s="130">
        <v>3</v>
      </c>
      <c r="B223" s="130"/>
      <c r="C223" s="64" t="s">
        <v>322</v>
      </c>
      <c r="D223" s="64" t="s">
        <v>326</v>
      </c>
      <c r="E223" s="91">
        <f>(59.18)*(10.764)</f>
        <v>637.01351999999997</v>
      </c>
      <c r="F223" s="91">
        <f t="shared" si="47"/>
        <v>62.891899199999997</v>
      </c>
      <c r="G223" s="91">
        <v>0</v>
      </c>
      <c r="H223" s="91">
        <f t="shared" si="49"/>
        <v>699.90541919999998</v>
      </c>
      <c r="I223" s="1"/>
      <c r="J223" s="1"/>
      <c r="K223" s="1"/>
      <c r="L223" s="1"/>
      <c r="M223" s="1"/>
      <c r="N223" s="1"/>
      <c r="O223" s="1"/>
      <c r="P223" s="1"/>
      <c r="Q223" s="1"/>
      <c r="R223" s="1"/>
      <c r="S223" s="1"/>
      <c r="T223" s="22" t="str">
        <f t="shared" ca="1" si="48"/>
        <v>103,..,103</v>
      </c>
      <c r="U223" s="22">
        <f t="shared" ref="U223:V223" ca="1" si="50">U222+1</f>
        <v>103</v>
      </c>
      <c r="V223" s="22">
        <f t="shared" ca="1" si="50"/>
        <v>103</v>
      </c>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2" customFormat="1" ht="20.25" customHeight="1" x14ac:dyDescent="0.25">
      <c r="A224" s="130">
        <v>4</v>
      </c>
      <c r="B224" s="130"/>
      <c r="C224" s="64" t="s">
        <v>322</v>
      </c>
      <c r="D224" s="64" t="s">
        <v>326</v>
      </c>
      <c r="E224" s="91">
        <f>(59.18)*(10.764)</f>
        <v>637.01351999999997</v>
      </c>
      <c r="F224" s="91">
        <f t="shared" si="47"/>
        <v>62.891899199999997</v>
      </c>
      <c r="G224" s="91">
        <v>0</v>
      </c>
      <c r="H224" s="91">
        <f t="shared" si="49"/>
        <v>699.90541919999998</v>
      </c>
      <c r="I224" s="1"/>
      <c r="J224" s="1">
        <f>7000000/H224</f>
        <v>10001.351336872176</v>
      </c>
      <c r="K224" s="1"/>
      <c r="L224" s="1"/>
      <c r="M224" s="1"/>
      <c r="N224" s="1"/>
      <c r="O224" s="1"/>
      <c r="P224" s="1"/>
      <c r="Q224" s="1"/>
      <c r="R224" s="1"/>
      <c r="S224" s="1"/>
      <c r="T224" s="22" t="str">
        <f t="shared" ca="1" si="48"/>
        <v>104,..,104</v>
      </c>
      <c r="U224" s="22">
        <f t="shared" ref="U224:V224" ca="1" si="51">U223+1</f>
        <v>104</v>
      </c>
      <c r="V224" s="22">
        <f t="shared" ca="1" si="51"/>
        <v>104</v>
      </c>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2" customFormat="1" ht="20.25" customHeight="1" x14ac:dyDescent="0.25">
      <c r="A225" s="130">
        <v>5</v>
      </c>
      <c r="B225" s="130"/>
      <c r="C225" s="64" t="s">
        <v>322</v>
      </c>
      <c r="D225" s="64" t="s">
        <v>326</v>
      </c>
      <c r="E225" s="91">
        <f>(59.18)*(10.764)</f>
        <v>637.01351999999997</v>
      </c>
      <c r="F225" s="91">
        <f t="shared" si="47"/>
        <v>62.891899199999997</v>
      </c>
      <c r="G225" s="91">
        <v>0</v>
      </c>
      <c r="H225" s="91">
        <f t="shared" si="49"/>
        <v>699.90541919999998</v>
      </c>
      <c r="I225" s="1"/>
      <c r="J225" s="1"/>
      <c r="K225" s="1"/>
      <c r="L225" s="1"/>
      <c r="M225" s="1"/>
      <c r="N225" s="1"/>
      <c r="O225" s="1"/>
      <c r="P225" s="1"/>
      <c r="Q225" s="1"/>
      <c r="R225" s="1"/>
      <c r="S225" s="1"/>
      <c r="T225" s="22" t="str">
        <f t="shared" ca="1" si="48"/>
        <v>105,..,105</v>
      </c>
      <c r="U225" s="22">
        <f t="shared" ref="U225:V225" ca="1" si="52">U224+1</f>
        <v>105</v>
      </c>
      <c r="V225" s="22">
        <f t="shared" ca="1" si="52"/>
        <v>105</v>
      </c>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2" customFormat="1" ht="20.25" customHeight="1" x14ac:dyDescent="0.25">
      <c r="A226" s="130">
        <v>6</v>
      </c>
      <c r="B226" s="130"/>
      <c r="C226" s="64" t="s">
        <v>322</v>
      </c>
      <c r="D226" s="64" t="s">
        <v>327</v>
      </c>
      <c r="E226" s="91">
        <f>(45.58)*(10.764)</f>
        <v>490.62311999999997</v>
      </c>
      <c r="F226" s="91">
        <f t="shared" si="47"/>
        <v>62.891899199999997</v>
      </c>
      <c r="G226" s="91">
        <v>0</v>
      </c>
      <c r="H226" s="91">
        <f t="shared" si="49"/>
        <v>553.51501919999998</v>
      </c>
      <c r="I226" s="1">
        <f>3.04*4.97+2.13*2.71+3.04*3.35+1.37*2.33+1.52*2.38+4.2*0.9+1.18*1.32</f>
        <v>43.212400000000002</v>
      </c>
      <c r="J226" s="1">
        <f>1.12*2.94+2.04*1.25</f>
        <v>5.8428000000000004</v>
      </c>
      <c r="K226" s="1"/>
      <c r="L226" s="1"/>
      <c r="M226" s="1"/>
      <c r="N226" s="1"/>
      <c r="O226" s="1"/>
      <c r="P226" s="1"/>
      <c r="Q226" s="1"/>
      <c r="R226" s="1"/>
      <c r="S226" s="1"/>
      <c r="T226" s="22" t="str">
        <f t="shared" ca="1" si="48"/>
        <v>106,..,106</v>
      </c>
      <c r="U226" s="22">
        <f t="shared" ref="U226:V226" ca="1" si="53">U225+1</f>
        <v>106</v>
      </c>
      <c r="V226" s="22">
        <f t="shared" ca="1" si="53"/>
        <v>106</v>
      </c>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2" customFormat="1" ht="20.25" customHeight="1" x14ac:dyDescent="0.25">
      <c r="A227" s="130">
        <v>7</v>
      </c>
      <c r="B227" s="130"/>
      <c r="C227" s="64" t="s">
        <v>322</v>
      </c>
      <c r="D227" s="64" t="s">
        <v>327</v>
      </c>
      <c r="E227" s="91">
        <f>(45.58)*(10.764)</f>
        <v>490.62311999999997</v>
      </c>
      <c r="F227" s="91">
        <f t="shared" si="47"/>
        <v>62.891899199999997</v>
      </c>
      <c r="G227" s="91">
        <v>0</v>
      </c>
      <c r="H227" s="91">
        <f t="shared" si="49"/>
        <v>553.51501919999998</v>
      </c>
      <c r="I227" s="1"/>
      <c r="J227" s="1"/>
      <c r="K227" s="1"/>
      <c r="L227" s="1"/>
      <c r="M227" s="1"/>
      <c r="N227" s="1"/>
      <c r="O227" s="1"/>
      <c r="P227" s="1"/>
      <c r="Q227" s="1"/>
      <c r="R227" s="1"/>
      <c r="S227" s="1"/>
      <c r="T227" s="22" t="str">
        <f t="shared" ca="1" si="48"/>
        <v>107,..,107</v>
      </c>
      <c r="U227" s="22">
        <f t="shared" ref="U227:V227" ca="1" si="54">U226+1</f>
        <v>107</v>
      </c>
      <c r="V227" s="22">
        <f t="shared" ca="1" si="54"/>
        <v>107</v>
      </c>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2" customFormat="1" ht="20.25" customHeight="1" x14ac:dyDescent="0.25">
      <c r="A228" s="130">
        <v>8</v>
      </c>
      <c r="B228" s="130"/>
      <c r="C228" s="64" t="s">
        <v>322</v>
      </c>
      <c r="D228" s="64" t="s">
        <v>326</v>
      </c>
      <c r="E228" s="91">
        <f>(59.18)*(10.764)</f>
        <v>637.01351999999997</v>
      </c>
      <c r="F228" s="91">
        <f t="shared" si="47"/>
        <v>62.891899199999997</v>
      </c>
      <c r="G228" s="91">
        <v>0</v>
      </c>
      <c r="H228" s="91">
        <f t="shared" si="49"/>
        <v>699.90541919999998</v>
      </c>
      <c r="I228" s="1"/>
      <c r="J228" s="1"/>
      <c r="K228" s="1"/>
      <c r="L228" s="1"/>
      <c r="M228" s="1"/>
      <c r="N228" s="1"/>
      <c r="O228" s="1"/>
      <c r="P228" s="1"/>
      <c r="Q228" s="1"/>
      <c r="R228" s="1"/>
      <c r="S228" s="1"/>
      <c r="T228" s="22" t="str">
        <f t="shared" ca="1" si="48"/>
        <v>108,..,108</v>
      </c>
      <c r="U228" s="22">
        <f t="shared" ref="U228:V228" ca="1" si="55">U227+1</f>
        <v>108</v>
      </c>
      <c r="V228" s="22">
        <f t="shared" ca="1" si="55"/>
        <v>108</v>
      </c>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2" customFormat="1" ht="20.25" x14ac:dyDescent="0.25">
      <c r="A229" s="137" t="s">
        <v>333</v>
      </c>
      <c r="B229" s="138"/>
      <c r="C229" s="138"/>
      <c r="D229" s="138"/>
      <c r="E229" s="139"/>
      <c r="F229" s="139"/>
      <c r="G229" s="138"/>
      <c r="H229" s="140"/>
      <c r="I229" s="1">
        <f>26</f>
        <v>26</v>
      </c>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2" customFormat="1" ht="20.25" customHeight="1" x14ac:dyDescent="0.25">
      <c r="A230" s="130">
        <v>1</v>
      </c>
      <c r="B230" s="130"/>
      <c r="C230" s="64" t="s">
        <v>322</v>
      </c>
      <c r="D230" s="64" t="s">
        <v>326</v>
      </c>
      <c r="E230" s="91">
        <f t="shared" ref="E230:E237" si="56">(59.18)*(10.764)</f>
        <v>637.01351999999997</v>
      </c>
      <c r="F230" s="91">
        <f t="shared" ref="F230:F237" si="57">(1.12*2.94+2.04*1.25)*(10.764)</f>
        <v>62.891899199999997</v>
      </c>
      <c r="G230" s="91">
        <v>0</v>
      </c>
      <c r="H230" s="91">
        <f>E230+F230+(IF(G230&lt;101,G230,IF(G230&lt;201,G230/2,IF(G230&lt;=301,G230/3,G230/4))))</f>
        <v>699.90541919999998</v>
      </c>
      <c r="I230" s="1"/>
      <c r="J230" s="1"/>
      <c r="K230" s="1"/>
      <c r="L230" s="1"/>
      <c r="M230" s="1"/>
      <c r="N230" s="1"/>
      <c r="O230" s="1"/>
      <c r="P230" s="1"/>
      <c r="Q230" s="1"/>
      <c r="R230" s="1"/>
      <c r="S230" s="1"/>
      <c r="T230" s="22" t="str">
        <f t="shared" ref="T230:T237" ca="1" si="58">U230&amp;""&amp;",..,"&amp;""&amp;V230</f>
        <v>27901,..,3201</v>
      </c>
      <c r="U230" s="22">
        <f ca="1">(SUMPRODUCT(MID(0&amp;(LEFT(A229,SUM(LEN(A229)-LEN(SUBSTITUTE(A229,{"0","1","2","3"},""))))), LARGE(INDEX(ISNUMBER(--MID((LEFT(A229,SUM(LEN(A229)-LEN(SUBSTITUTE(A229,{"0","1","2","3"},""))))), ROW(INDIRECT("1:"&amp;LEN((LEFT(A229,SUM(LEN(A229)-LEN(SUBSTITUTE(A229,{"0","1","2","3"},"")))))))), 1)) * ROW(INDIRECT("1:"&amp;LEN((LEFT(A229,SUM(LEN(A229)-LEN(SUBSTITUTE(A229,{"0","1","2","3"},"")))))))), 0), ROW(INDIRECT("1:"&amp;LEN((LEFT(A229,SUM(LEN(A229)-LEN(SUBSTITUTE(A229,{"0","1","2","3"},"")))))))))+1, 1) * 10^ROW(INDIRECT("1:"&amp;LEN((LEFT(A229,SUM(LEN(A229)-LEN(SUBSTITUTE(A229,{"0","1","2","3"},""))))))))/10))*100+1</f>
        <v>27901</v>
      </c>
      <c r="V230" s="22">
        <f ca="1">(SUMPRODUCT(MID(0&amp;(--TRIM(RIGHT(SUBSTITUTE(LEFT(A229,_xlfn.AGGREGATE(16,6,FIND({0,1,2,3,4,5,6,7,8,9},A229,ROW(INDIRECT("1:"&amp;LEN(A229)))),1))," ",REPT(" ",LEN(A229))),LEN(A229)))), LARGE(INDEX(ISNUMBER(--MID((--TRIM(RIGHT(SUBSTITUTE(LEFT(A229,_xlfn.AGGREGATE(16,6,FIND({0,1,2,3,4,5,6,7,8,9},A229,ROW(INDIRECT("1:"&amp;LEN(A229)))),1))," ",REPT(" ",LEN(A229))),LEN(A229)))), ROW(INDIRECT("1:"&amp;LEN((--TRIM(RIGHT(SUBSTITUTE(LEFT(A229,_xlfn.AGGREGATE(16,6,FIND({0,1,2,3,4,5,6,7,8,9},A229,ROW(INDIRECT("1:"&amp;LEN(A229)))),1))," ",REPT(" ",LEN(A229))),LEN(A229))))))), 1)) * ROW(INDIRECT("1:"&amp;LEN((--TRIM(RIGHT(SUBSTITUTE(LEFT(A229,_xlfn.AGGREGATE(16,6,FIND({0,1,2,3,4,5,6,7,8,9},A229,ROW(INDIRECT("1:"&amp;LEN(A229)))),1))," ",REPT(" ",LEN(A229))),LEN(A229))))))), 0), ROW(INDIRECT("1:"&amp;LEN((--TRIM(RIGHT(SUBSTITUTE(LEFT(A229,_xlfn.AGGREGATE(16,6,FIND({0,1,2,3,4,5,6,7,8,9},A229,ROW(INDIRECT("1:"&amp;LEN(A229)))),1))," ",REPT(" ",LEN(A229))),LEN(A229))))))))+1, 1) * 10^ROW(INDIRECT("1:"&amp;LEN((--TRIM(RIGHT(SUBSTITUTE(LEFT(A229,_xlfn.AGGREGATE(16,6,FIND({0,1,2,3,4,5,6,7,8,9},A229,ROW(INDIRECT("1:"&amp;LEN(A229)))),1))," ",REPT(" ",LEN(A229))),LEN(A229)))))))/10))*100+1</f>
        <v>3201</v>
      </c>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2" customFormat="1" ht="20.25" customHeight="1" x14ac:dyDescent="0.25">
      <c r="A231" s="130">
        <v>2</v>
      </c>
      <c r="B231" s="130"/>
      <c r="C231" s="64" t="s">
        <v>322</v>
      </c>
      <c r="D231" s="64" t="s">
        <v>326</v>
      </c>
      <c r="E231" s="91">
        <f t="shared" si="56"/>
        <v>637.01351999999997</v>
      </c>
      <c r="F231" s="91">
        <f t="shared" si="57"/>
        <v>62.891899199999997</v>
      </c>
      <c r="G231" s="91">
        <v>0</v>
      </c>
      <c r="H231" s="91">
        <f t="shared" ref="H231:H237" si="59">E231+F231+(IF(G231&lt;101,G231,IF(G231&lt;201,G231/2,IF(G231&lt;=301,G231/3,G231/4))))</f>
        <v>699.90541919999998</v>
      </c>
      <c r="I231" s="1"/>
      <c r="J231" s="1"/>
      <c r="K231" s="1"/>
      <c r="L231" s="1"/>
      <c r="M231" s="1"/>
      <c r="N231" s="1"/>
      <c r="O231" s="1"/>
      <c r="P231" s="1"/>
      <c r="Q231" s="1"/>
      <c r="R231" s="1"/>
      <c r="S231" s="1"/>
      <c r="T231" s="22" t="str">
        <f t="shared" ca="1" si="58"/>
        <v>27902,..,3202</v>
      </c>
      <c r="U231" s="22">
        <f ca="1">U230+1</f>
        <v>27902</v>
      </c>
      <c r="V231" s="22">
        <f ca="1">V230+1</f>
        <v>3202</v>
      </c>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2" customFormat="1" ht="20.25" customHeight="1" x14ac:dyDescent="0.25">
      <c r="A232" s="130">
        <v>3</v>
      </c>
      <c r="B232" s="130"/>
      <c r="C232" s="64" t="s">
        <v>322</v>
      </c>
      <c r="D232" s="64" t="s">
        <v>326</v>
      </c>
      <c r="E232" s="91">
        <f t="shared" si="56"/>
        <v>637.01351999999997</v>
      </c>
      <c r="F232" s="91">
        <f t="shared" si="57"/>
        <v>62.891899199999997</v>
      </c>
      <c r="G232" s="91">
        <v>0</v>
      </c>
      <c r="H232" s="91">
        <f t="shared" si="59"/>
        <v>699.90541919999998</v>
      </c>
      <c r="I232" s="1"/>
      <c r="J232" s="1"/>
      <c r="K232" s="1"/>
      <c r="L232" s="1"/>
      <c r="M232" s="1"/>
      <c r="N232" s="1"/>
      <c r="O232" s="1"/>
      <c r="P232" s="1"/>
      <c r="Q232" s="1"/>
      <c r="R232" s="1"/>
      <c r="S232" s="1"/>
      <c r="T232" s="22" t="str">
        <f t="shared" ca="1" si="58"/>
        <v>27903,..,3203</v>
      </c>
      <c r="U232" s="22">
        <f t="shared" ref="U232:V232" ca="1" si="60">U231+1</f>
        <v>27903</v>
      </c>
      <c r="V232" s="22">
        <f t="shared" ca="1" si="60"/>
        <v>3203</v>
      </c>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2" customFormat="1" ht="20.25" customHeight="1" x14ac:dyDescent="0.25">
      <c r="A233" s="130">
        <v>4</v>
      </c>
      <c r="B233" s="130"/>
      <c r="C233" s="64" t="s">
        <v>322</v>
      </c>
      <c r="D233" s="64" t="s">
        <v>326</v>
      </c>
      <c r="E233" s="91">
        <f t="shared" si="56"/>
        <v>637.01351999999997</v>
      </c>
      <c r="F233" s="91">
        <f t="shared" si="57"/>
        <v>62.891899199999997</v>
      </c>
      <c r="G233" s="91">
        <v>0</v>
      </c>
      <c r="H233" s="91">
        <f t="shared" si="59"/>
        <v>699.90541919999998</v>
      </c>
      <c r="I233" s="1"/>
      <c r="J233" s="1"/>
      <c r="K233" s="1"/>
      <c r="L233" s="1"/>
      <c r="M233" s="1"/>
      <c r="N233" s="1"/>
      <c r="O233" s="1"/>
      <c r="P233" s="1"/>
      <c r="Q233" s="1"/>
      <c r="R233" s="1"/>
      <c r="S233" s="1"/>
      <c r="T233" s="22" t="str">
        <f t="shared" ca="1" si="58"/>
        <v>27904,..,3204</v>
      </c>
      <c r="U233" s="22">
        <f t="shared" ref="U233:V233" ca="1" si="61">U232+1</f>
        <v>27904</v>
      </c>
      <c r="V233" s="22">
        <f t="shared" ca="1" si="61"/>
        <v>3204</v>
      </c>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2" customFormat="1" ht="20.25" customHeight="1" x14ac:dyDescent="0.25">
      <c r="A234" s="130">
        <v>5</v>
      </c>
      <c r="B234" s="130"/>
      <c r="C234" s="64" t="s">
        <v>322</v>
      </c>
      <c r="D234" s="64" t="s">
        <v>326</v>
      </c>
      <c r="E234" s="91">
        <f t="shared" si="56"/>
        <v>637.01351999999997</v>
      </c>
      <c r="F234" s="91">
        <f t="shared" si="57"/>
        <v>62.891899199999997</v>
      </c>
      <c r="G234" s="91">
        <v>0</v>
      </c>
      <c r="H234" s="91">
        <f t="shared" si="59"/>
        <v>699.90541919999998</v>
      </c>
      <c r="I234" s="1"/>
      <c r="J234" s="1"/>
      <c r="K234" s="1"/>
      <c r="L234" s="1"/>
      <c r="M234" s="1"/>
      <c r="N234" s="1"/>
      <c r="O234" s="1"/>
      <c r="P234" s="1"/>
      <c r="Q234" s="1"/>
      <c r="R234" s="1"/>
      <c r="S234" s="1"/>
      <c r="T234" s="22" t="str">
        <f t="shared" ca="1" si="58"/>
        <v>27905,..,3205</v>
      </c>
      <c r="U234" s="22">
        <f t="shared" ref="U234:V234" ca="1" si="62">U233+1</f>
        <v>27905</v>
      </c>
      <c r="V234" s="22">
        <f t="shared" ca="1" si="62"/>
        <v>3205</v>
      </c>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2" customFormat="1" ht="20.25" customHeight="1" x14ac:dyDescent="0.25">
      <c r="A235" s="130">
        <v>6</v>
      </c>
      <c r="B235" s="130"/>
      <c r="C235" s="64" t="s">
        <v>322</v>
      </c>
      <c r="D235" s="64" t="s">
        <v>326</v>
      </c>
      <c r="E235" s="91">
        <f t="shared" si="56"/>
        <v>637.01351999999997</v>
      </c>
      <c r="F235" s="91">
        <f t="shared" si="57"/>
        <v>62.891899199999997</v>
      </c>
      <c r="G235" s="91">
        <v>0</v>
      </c>
      <c r="H235" s="91">
        <f t="shared" si="59"/>
        <v>699.90541919999998</v>
      </c>
      <c r="I235" s="1"/>
      <c r="J235" s="1"/>
      <c r="K235" s="1"/>
      <c r="L235" s="1"/>
      <c r="M235" s="1"/>
      <c r="N235" s="1"/>
      <c r="O235" s="1"/>
      <c r="P235" s="1"/>
      <c r="Q235" s="1"/>
      <c r="R235" s="1"/>
      <c r="S235" s="1"/>
      <c r="T235" s="22" t="str">
        <f t="shared" ca="1" si="58"/>
        <v>27906,..,3206</v>
      </c>
      <c r="U235" s="22">
        <f t="shared" ref="U235:V235" ca="1" si="63">U234+1</f>
        <v>27906</v>
      </c>
      <c r="V235" s="22">
        <f t="shared" ca="1" si="63"/>
        <v>3206</v>
      </c>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2" customFormat="1" ht="20.25" customHeight="1" x14ac:dyDescent="0.25">
      <c r="A236" s="130">
        <v>7</v>
      </c>
      <c r="B236" s="130"/>
      <c r="C236" s="64" t="s">
        <v>322</v>
      </c>
      <c r="D236" s="64" t="s">
        <v>326</v>
      </c>
      <c r="E236" s="91">
        <f t="shared" si="56"/>
        <v>637.01351999999997</v>
      </c>
      <c r="F236" s="91">
        <f t="shared" si="57"/>
        <v>62.891899199999997</v>
      </c>
      <c r="G236" s="91">
        <v>0</v>
      </c>
      <c r="H236" s="91">
        <f t="shared" si="59"/>
        <v>699.90541919999998</v>
      </c>
      <c r="I236" s="1"/>
      <c r="J236" s="1"/>
      <c r="K236" s="1"/>
      <c r="L236" s="1"/>
      <c r="M236" s="1"/>
      <c r="N236" s="1"/>
      <c r="O236" s="1"/>
      <c r="P236" s="1"/>
      <c r="Q236" s="1"/>
      <c r="R236" s="1"/>
      <c r="S236" s="1"/>
      <c r="T236" s="22" t="str">
        <f t="shared" ca="1" si="58"/>
        <v>27907,..,3207</v>
      </c>
      <c r="U236" s="22">
        <f t="shared" ref="U236:V236" ca="1" si="64">U235+1</f>
        <v>27907</v>
      </c>
      <c r="V236" s="22">
        <f t="shared" ca="1" si="64"/>
        <v>3207</v>
      </c>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2" customFormat="1" ht="20.25" customHeight="1" x14ac:dyDescent="0.25">
      <c r="A237" s="130">
        <v>8</v>
      </c>
      <c r="B237" s="130"/>
      <c r="C237" s="64" t="s">
        <v>322</v>
      </c>
      <c r="D237" s="64" t="s">
        <v>326</v>
      </c>
      <c r="E237" s="91">
        <f t="shared" si="56"/>
        <v>637.01351999999997</v>
      </c>
      <c r="F237" s="91">
        <f t="shared" si="57"/>
        <v>62.891899199999997</v>
      </c>
      <c r="G237" s="91">
        <v>0</v>
      </c>
      <c r="H237" s="91">
        <f t="shared" si="59"/>
        <v>699.90541919999998</v>
      </c>
      <c r="I237" s="1"/>
      <c r="J237" s="1"/>
      <c r="K237" s="1"/>
      <c r="L237" s="1"/>
      <c r="M237" s="1"/>
      <c r="N237" s="1"/>
      <c r="O237" s="1"/>
      <c r="P237" s="1"/>
      <c r="Q237" s="1"/>
      <c r="R237" s="1"/>
      <c r="S237" s="1"/>
      <c r="T237" s="22" t="str">
        <f t="shared" ca="1" si="58"/>
        <v>27908,..,3208</v>
      </c>
      <c r="U237" s="22">
        <f t="shared" ref="U237:V237" ca="1" si="65">U236+1</f>
        <v>27908</v>
      </c>
      <c r="V237" s="22">
        <f t="shared" ca="1" si="65"/>
        <v>3208</v>
      </c>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2" customFormat="1" ht="20.25" x14ac:dyDescent="0.25">
      <c r="A238" s="137" t="s">
        <v>331</v>
      </c>
      <c r="B238" s="138"/>
      <c r="C238" s="138"/>
      <c r="D238" s="138"/>
      <c r="E238" s="139"/>
      <c r="F238" s="139"/>
      <c r="G238" s="138"/>
      <c r="H238" s="140"/>
      <c r="I238" s="1">
        <f>5</f>
        <v>5</v>
      </c>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2" customFormat="1" ht="20.25" customHeight="1" x14ac:dyDescent="0.25">
      <c r="A239" s="130">
        <v>1</v>
      </c>
      <c r="B239" s="130"/>
      <c r="C239" s="64" t="s">
        <v>322</v>
      </c>
      <c r="D239" s="64" t="s">
        <v>326</v>
      </c>
      <c r="E239" s="91">
        <f>(59.18)*(10.764)</f>
        <v>637.01351999999997</v>
      </c>
      <c r="F239" s="91">
        <f>(1.12*2.94+2.04*1.25)*(10.764)</f>
        <v>62.891899199999997</v>
      </c>
      <c r="G239" s="91">
        <v>0</v>
      </c>
      <c r="H239" s="91">
        <f>E239+F239+(IF(G239&lt;101,G239,IF(G239&lt;201,G239/2,IF(G239&lt;=301,G239/3,G239/4))))</f>
        <v>699.90541919999998</v>
      </c>
      <c r="I239" s="1">
        <f>3.04*4.97+2.13*2.71+3.04*3.35+3.35*3.65+1.37*2.33+1.52*2.38+3.5*0.9+0.9*2.1+0.5*0.2+1.18*1.32</f>
        <v>56.799900000000001</v>
      </c>
      <c r="J239" s="1">
        <f>1.12*2.94+2.04*1.25</f>
        <v>5.8428000000000004</v>
      </c>
      <c r="K239" s="1"/>
      <c r="L239" s="1"/>
      <c r="M239" s="1"/>
      <c r="N239" s="1"/>
      <c r="O239" s="1"/>
      <c r="P239" s="1"/>
      <c r="Q239" s="1"/>
      <c r="R239" s="1"/>
      <c r="S239" s="1"/>
      <c r="T239" s="22" t="str">
        <f t="shared" ref="T239:T246" ca="1" si="66">U239&amp;""&amp;",..,"&amp;""&amp;V239</f>
        <v>8101,..,2801</v>
      </c>
      <c r="U239" s="22">
        <f ca="1">(SUMPRODUCT(MID(0&amp;(LEFT(A238,SUM(LEN(A238)-LEN(SUBSTITUTE(A238,{"0","1","2","3"},""))))), LARGE(INDEX(ISNUMBER(--MID((LEFT(A238,SUM(LEN(A238)-LEN(SUBSTITUTE(A238,{"0","1","2","3"},""))))), ROW(INDIRECT("1:"&amp;LEN((LEFT(A238,SUM(LEN(A238)-LEN(SUBSTITUTE(A238,{"0","1","2","3"},"")))))))), 1)) * ROW(INDIRECT("1:"&amp;LEN((LEFT(A238,SUM(LEN(A238)-LEN(SUBSTITUTE(A238,{"0","1","2","3"},"")))))))), 0), ROW(INDIRECT("1:"&amp;LEN((LEFT(A238,SUM(LEN(A238)-LEN(SUBSTITUTE(A238,{"0","1","2","3"},"")))))))))+1, 1) * 10^ROW(INDIRECT("1:"&amp;LEN((LEFT(A238,SUM(LEN(A238)-LEN(SUBSTITUTE(A238,{"0","1","2","3"},""))))))))/10))*100+1</f>
        <v>8101</v>
      </c>
      <c r="V239" s="22">
        <f ca="1">(SUMPRODUCT(MID(0&amp;(--TRIM(RIGHT(SUBSTITUTE(LEFT(A238,_xlfn.AGGREGATE(16,6,FIND({0,1,2,3,4,5,6,7,8,9},A238,ROW(INDIRECT("1:"&amp;LEN(A238)))),1))," ",REPT(" ",LEN(A238))),LEN(A238)))), LARGE(INDEX(ISNUMBER(--MID((--TRIM(RIGHT(SUBSTITUTE(LEFT(A238,_xlfn.AGGREGATE(16,6,FIND({0,1,2,3,4,5,6,7,8,9},A238,ROW(INDIRECT("1:"&amp;LEN(A238)))),1))," ",REPT(" ",LEN(A238))),LEN(A238)))), ROW(INDIRECT("1:"&amp;LEN((--TRIM(RIGHT(SUBSTITUTE(LEFT(A238,_xlfn.AGGREGATE(16,6,FIND({0,1,2,3,4,5,6,7,8,9},A238,ROW(INDIRECT("1:"&amp;LEN(A238)))),1))," ",REPT(" ",LEN(A238))),LEN(A238))))))), 1)) * ROW(INDIRECT("1:"&amp;LEN((--TRIM(RIGHT(SUBSTITUTE(LEFT(A238,_xlfn.AGGREGATE(16,6,FIND({0,1,2,3,4,5,6,7,8,9},A238,ROW(INDIRECT("1:"&amp;LEN(A238)))),1))," ",REPT(" ",LEN(A238))),LEN(A238))))))), 0), ROW(INDIRECT("1:"&amp;LEN((--TRIM(RIGHT(SUBSTITUTE(LEFT(A238,_xlfn.AGGREGATE(16,6,FIND({0,1,2,3,4,5,6,7,8,9},A238,ROW(INDIRECT("1:"&amp;LEN(A238)))),1))," ",REPT(" ",LEN(A238))),LEN(A238))))))))+1, 1) * 10^ROW(INDIRECT("1:"&amp;LEN((--TRIM(RIGHT(SUBSTITUTE(LEFT(A238,_xlfn.AGGREGATE(16,6,FIND({0,1,2,3,4,5,6,7,8,9},A238,ROW(INDIRECT("1:"&amp;LEN(A238)))),1))," ",REPT(" ",LEN(A238))),LEN(A238)))))))/10))*100+1</f>
        <v>2801</v>
      </c>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2" customFormat="1" ht="20.25" customHeight="1" x14ac:dyDescent="0.25">
      <c r="A240" s="130">
        <v>2</v>
      </c>
      <c r="B240" s="130"/>
      <c r="C240" s="64" t="s">
        <v>322</v>
      </c>
      <c r="D240" s="64" t="s">
        <v>326</v>
      </c>
      <c r="E240" s="91">
        <f>(59.18)*(10.764)</f>
        <v>637.01351999999997</v>
      </c>
      <c r="F240" s="91">
        <f>(1.12*2.94+2.04*1.25)*(10.764)</f>
        <v>62.891899199999997</v>
      </c>
      <c r="G240" s="91">
        <v>0</v>
      </c>
      <c r="H240" s="91">
        <f t="shared" ref="H240:H246" si="67">E240+F240+(IF(G240&lt;101,G240,IF(G240&lt;201,G240/2,IF(G240&lt;=301,G240/3,G240/4))))</f>
        <v>699.90541919999998</v>
      </c>
      <c r="I240" s="1"/>
      <c r="J240" s="1"/>
      <c r="K240" s="1"/>
      <c r="L240" s="1"/>
      <c r="M240" s="1"/>
      <c r="N240" s="1"/>
      <c r="O240" s="1"/>
      <c r="P240" s="1"/>
      <c r="Q240" s="1"/>
      <c r="R240" s="1"/>
      <c r="S240" s="1"/>
      <c r="T240" s="22" t="str">
        <f t="shared" ca="1" si="66"/>
        <v>8102,..,2802</v>
      </c>
      <c r="U240" s="22">
        <f ca="1">U239+1</f>
        <v>8102</v>
      </c>
      <c r="V240" s="22">
        <f ca="1">V239+1</f>
        <v>2802</v>
      </c>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2" customFormat="1" ht="20.25" customHeight="1" x14ac:dyDescent="0.25">
      <c r="A241" s="130">
        <v>3</v>
      </c>
      <c r="B241" s="130"/>
      <c r="C241" s="64" t="s">
        <v>322</v>
      </c>
      <c r="D241" s="64" t="s">
        <v>334</v>
      </c>
      <c r="E241" s="91">
        <f>(68.96)*(10.764)</f>
        <v>742.28543999999988</v>
      </c>
      <c r="F241" s="91">
        <f>(1.12*2.94+2.04*1.25+3.05*1.12)*(10.764)</f>
        <v>99.661723199999997</v>
      </c>
      <c r="G241" s="91">
        <v>0</v>
      </c>
      <c r="H241" s="91">
        <f t="shared" si="67"/>
        <v>841.94716319999986</v>
      </c>
      <c r="I241" s="1">
        <f>3.04*4.97+2.13*2.71+3.04*3.35+3.35*3.65+1.37*2.33+1.52*2.38+3.05*2.76+0.9*0.9+3.5*0.9+0.9*2.1+0.5*0.2+1.18*1.32</f>
        <v>66.027899999999988</v>
      </c>
      <c r="J241" s="1">
        <f>1.12*2.94+2.04*1.25</f>
        <v>5.8428000000000004</v>
      </c>
      <c r="K241" s="1"/>
      <c r="L241" s="1"/>
      <c r="M241" s="1"/>
      <c r="N241" s="1"/>
      <c r="O241" s="1"/>
      <c r="P241" s="1"/>
      <c r="Q241" s="1"/>
      <c r="R241" s="1"/>
      <c r="S241" s="1"/>
      <c r="T241" s="22" t="str">
        <f t="shared" ca="1" si="66"/>
        <v>8103,..,2803</v>
      </c>
      <c r="U241" s="22">
        <f t="shared" ref="U241:V241" ca="1" si="68">U240+1</f>
        <v>8103</v>
      </c>
      <c r="V241" s="22">
        <f t="shared" ca="1" si="68"/>
        <v>2803</v>
      </c>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2" customFormat="1" ht="20.25" customHeight="1" x14ac:dyDescent="0.25">
      <c r="A242" s="130" t="s">
        <v>322</v>
      </c>
      <c r="B242" s="130"/>
      <c r="C242" s="64" t="s">
        <v>322</v>
      </c>
      <c r="D242" s="178" t="s">
        <v>332</v>
      </c>
      <c r="E242" s="193"/>
      <c r="F242" s="193"/>
      <c r="G242" s="179"/>
      <c r="H242" s="180"/>
      <c r="I242" s="1"/>
      <c r="J242" s="1"/>
      <c r="K242" s="1"/>
      <c r="L242" s="1"/>
      <c r="M242" s="1"/>
      <c r="N242" s="1"/>
      <c r="O242" s="1"/>
      <c r="P242" s="1"/>
      <c r="Q242" s="1"/>
      <c r="R242" s="1"/>
      <c r="S242" s="1"/>
      <c r="T242" s="22" t="str">
        <f t="shared" ca="1" si="66"/>
        <v>8104,..,2804</v>
      </c>
      <c r="U242" s="22">
        <f t="shared" ref="U242:V242" ca="1" si="69">U241+1</f>
        <v>8104</v>
      </c>
      <c r="V242" s="22">
        <f t="shared" ca="1" si="69"/>
        <v>2804</v>
      </c>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2" customFormat="1" ht="20.25" customHeight="1" x14ac:dyDescent="0.25">
      <c r="A243" s="130">
        <v>5</v>
      </c>
      <c r="B243" s="130"/>
      <c r="C243" s="64" t="s">
        <v>322</v>
      </c>
      <c r="D243" s="64" t="s">
        <v>326</v>
      </c>
      <c r="E243" s="91">
        <f>(59.18)*(10.764)</f>
        <v>637.01351999999997</v>
      </c>
      <c r="F243" s="91">
        <f>(1.12*2.94+2.04*1.25)*(10.764)</f>
        <v>62.891899199999997</v>
      </c>
      <c r="G243" s="91">
        <v>0</v>
      </c>
      <c r="H243" s="91">
        <f t="shared" si="67"/>
        <v>699.90541919999998</v>
      </c>
      <c r="I243" s="1"/>
      <c r="J243" s="1"/>
      <c r="K243" s="1"/>
      <c r="L243" s="1"/>
      <c r="M243" s="1"/>
      <c r="N243" s="1"/>
      <c r="O243" s="1"/>
      <c r="P243" s="1"/>
      <c r="Q243" s="1"/>
      <c r="R243" s="1"/>
      <c r="S243" s="1"/>
      <c r="T243" s="22" t="str">
        <f t="shared" ca="1" si="66"/>
        <v>8105,..,2805</v>
      </c>
      <c r="U243" s="22">
        <f t="shared" ref="U243:V243" ca="1" si="70">U242+1</f>
        <v>8105</v>
      </c>
      <c r="V243" s="22">
        <f t="shared" ca="1" si="70"/>
        <v>2805</v>
      </c>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2" customFormat="1" ht="20.25" customHeight="1" x14ac:dyDescent="0.25">
      <c r="A244" s="130">
        <v>6</v>
      </c>
      <c r="B244" s="130"/>
      <c r="C244" s="64" t="s">
        <v>322</v>
      </c>
      <c r="D244" s="64" t="s">
        <v>326</v>
      </c>
      <c r="E244" s="91">
        <f>(59.18)*(10.764)</f>
        <v>637.01351999999997</v>
      </c>
      <c r="F244" s="91">
        <f>(1.12*2.94+2.04*1.25)*(10.764)</f>
        <v>62.891899199999997</v>
      </c>
      <c r="G244" s="91">
        <v>0</v>
      </c>
      <c r="H244" s="91">
        <f t="shared" si="67"/>
        <v>699.90541919999998</v>
      </c>
      <c r="I244" s="1"/>
      <c r="J244" s="1"/>
      <c r="K244" s="1"/>
      <c r="L244" s="1"/>
      <c r="M244" s="1"/>
      <c r="N244" s="1"/>
      <c r="O244" s="1"/>
      <c r="P244" s="1"/>
      <c r="Q244" s="1"/>
      <c r="R244" s="1"/>
      <c r="S244" s="1"/>
      <c r="T244" s="22" t="str">
        <f t="shared" ca="1" si="66"/>
        <v>8106,..,2806</v>
      </c>
      <c r="U244" s="22">
        <f t="shared" ref="U244:V244" ca="1" si="71">U243+1</f>
        <v>8106</v>
      </c>
      <c r="V244" s="22">
        <f t="shared" ca="1" si="71"/>
        <v>2806</v>
      </c>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2" customFormat="1" ht="20.25" customHeight="1" x14ac:dyDescent="0.25">
      <c r="A245" s="130">
        <v>7</v>
      </c>
      <c r="B245" s="130"/>
      <c r="C245" s="64" t="s">
        <v>322</v>
      </c>
      <c r="D245" s="64" t="s">
        <v>326</v>
      </c>
      <c r="E245" s="91">
        <f>(59.18)*(10.764)</f>
        <v>637.01351999999997</v>
      </c>
      <c r="F245" s="91">
        <f>(1.12*2.94+2.04*1.25)*(10.764)</f>
        <v>62.891899199999997</v>
      </c>
      <c r="G245" s="91">
        <v>0</v>
      </c>
      <c r="H245" s="91">
        <f t="shared" si="67"/>
        <v>699.90541919999998</v>
      </c>
      <c r="I245" s="1"/>
      <c r="J245" s="1"/>
      <c r="K245" s="1"/>
      <c r="L245" s="1"/>
      <c r="M245" s="1"/>
      <c r="N245" s="1"/>
      <c r="O245" s="1"/>
      <c r="P245" s="1"/>
      <c r="Q245" s="1"/>
      <c r="R245" s="1"/>
      <c r="S245" s="1"/>
      <c r="T245" s="22" t="str">
        <f t="shared" ca="1" si="66"/>
        <v>8107,..,2807</v>
      </c>
      <c r="U245" s="22">
        <f t="shared" ref="U245:V245" ca="1" si="72">U244+1</f>
        <v>8107</v>
      </c>
      <c r="V245" s="22">
        <f t="shared" ca="1" si="72"/>
        <v>2807</v>
      </c>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2" customFormat="1" ht="20.25" customHeight="1" x14ac:dyDescent="0.25">
      <c r="A246" s="130">
        <v>8</v>
      </c>
      <c r="B246" s="130"/>
      <c r="C246" s="64" t="s">
        <v>322</v>
      </c>
      <c r="D246" s="64" t="s">
        <v>326</v>
      </c>
      <c r="E246" s="91">
        <f>(59.18)*(10.764)</f>
        <v>637.01351999999997</v>
      </c>
      <c r="F246" s="91">
        <f>(1.12*2.94+2.04*1.25)*(10.764)</f>
        <v>62.891899199999997</v>
      </c>
      <c r="G246" s="91">
        <v>0</v>
      </c>
      <c r="H246" s="91">
        <f t="shared" si="67"/>
        <v>699.90541919999998</v>
      </c>
      <c r="I246" s="1"/>
      <c r="J246" s="1"/>
      <c r="K246" s="1"/>
      <c r="L246" s="1"/>
      <c r="M246" s="1"/>
      <c r="N246" s="1"/>
      <c r="O246" s="1"/>
      <c r="P246" s="1"/>
      <c r="Q246" s="1"/>
      <c r="R246" s="1"/>
      <c r="S246" s="1"/>
      <c r="T246" s="22" t="str">
        <f t="shared" ca="1" si="66"/>
        <v>8108,..,2808</v>
      </c>
      <c r="U246" s="22">
        <f t="shared" ref="U246:V246" ca="1" si="73">U245+1</f>
        <v>8108</v>
      </c>
      <c r="V246" s="22">
        <f t="shared" ca="1" si="73"/>
        <v>2808</v>
      </c>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2" customFormat="1" ht="20.25" x14ac:dyDescent="0.25">
      <c r="A247" s="191" t="s">
        <v>314</v>
      </c>
      <c r="B247" s="139"/>
      <c r="C247" s="139"/>
      <c r="D247" s="139"/>
      <c r="E247" s="139"/>
      <c r="F247" s="139"/>
      <c r="G247" s="139"/>
      <c r="H247" s="192"/>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2" customFormat="1" ht="20.25" x14ac:dyDescent="0.25">
      <c r="A248" s="191" t="s">
        <v>321</v>
      </c>
      <c r="B248" s="139"/>
      <c r="C248" s="139"/>
      <c r="D248" s="139"/>
      <c r="E248" s="139"/>
      <c r="F248" s="139"/>
      <c r="G248" s="139"/>
      <c r="H248" s="192"/>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s="2" customFormat="1" ht="40.5" customHeight="1" x14ac:dyDescent="0.25">
      <c r="A249" s="191" t="s">
        <v>366</v>
      </c>
      <c r="B249" s="139"/>
      <c r="C249" s="139"/>
      <c r="D249" s="139"/>
      <c r="E249" s="139"/>
      <c r="F249" s="139"/>
      <c r="G249" s="139"/>
      <c r="H249" s="192"/>
      <c r="I249" s="96"/>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row>
    <row r="250" spans="1:150 16226:16383" s="2" customFormat="1" ht="20.25" x14ac:dyDescent="0.25">
      <c r="A250" s="137" t="s">
        <v>325</v>
      </c>
      <c r="B250" s="138"/>
      <c r="C250" s="138"/>
      <c r="D250" s="138"/>
      <c r="E250" s="138"/>
      <c r="F250" s="138"/>
      <c r="G250" s="138"/>
      <c r="H250" s="140"/>
      <c r="I250" s="1">
        <f>1</f>
        <v>1</v>
      </c>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row>
    <row r="251" spans="1:150 16226:16383" s="2" customFormat="1" ht="20.25" customHeight="1" x14ac:dyDescent="0.25">
      <c r="A251" s="130">
        <v>1</v>
      </c>
      <c r="B251" s="130"/>
      <c r="C251" s="64" t="s">
        <v>322</v>
      </c>
      <c r="D251" s="64" t="s">
        <v>334</v>
      </c>
      <c r="E251" s="91">
        <f>(77.85)*(10.764)</f>
        <v>837.97739999999988</v>
      </c>
      <c r="F251" s="91">
        <f>(1.22*3.04+1.1*2.21)*(10.764)</f>
        <v>66.088807199999991</v>
      </c>
      <c r="G251" s="91">
        <v>0</v>
      </c>
      <c r="H251" s="91">
        <f>E251+F251+(IF(G251&lt;101,G251,IF(G251&lt;201,G251/2,IF(G251&lt;=301,G251/3,G251/4))))</f>
        <v>904.06620719999989</v>
      </c>
      <c r="I251" s="1"/>
      <c r="J251" s="1">
        <f>9200000/H251</f>
        <v>10176.245862007705</v>
      </c>
      <c r="K251" s="1"/>
      <c r="L251" s="1"/>
      <c r="M251" s="1"/>
      <c r="N251" s="1"/>
      <c r="O251" s="1"/>
      <c r="P251" s="1"/>
      <c r="Q251" s="1"/>
      <c r="R251" s="1"/>
      <c r="S251" s="1"/>
      <c r="T251" s="22" t="str">
        <f t="shared" ref="T251:T254" ca="1" si="74">U251&amp;""&amp;",..,"&amp;""&amp;V251</f>
        <v>101,..,101</v>
      </c>
      <c r="U251" s="22">
        <f ca="1">(SUMPRODUCT(MID(0&amp;(LEFT(A250,SUM(LEN(A250)-LEN(SUBSTITUTE(A250,{"0","1","2","3"},""))))), LARGE(INDEX(ISNUMBER(--MID((LEFT(A250,SUM(LEN(A250)-LEN(SUBSTITUTE(A250,{"0","1","2","3"},""))))), ROW(INDIRECT("1:"&amp;LEN((LEFT(A250,SUM(LEN(A250)-LEN(SUBSTITUTE(A250,{"0","1","2","3"},"")))))))), 1)) * ROW(INDIRECT("1:"&amp;LEN((LEFT(A250,SUM(LEN(A250)-LEN(SUBSTITUTE(A250,{"0","1","2","3"},"")))))))), 0), ROW(INDIRECT("1:"&amp;LEN((LEFT(A250,SUM(LEN(A250)-LEN(SUBSTITUTE(A250,{"0","1","2","3"},"")))))))))+1, 1) * 10^ROW(INDIRECT("1:"&amp;LEN((LEFT(A250,SUM(LEN(A250)-LEN(SUBSTITUTE(A250,{"0","1","2","3"},""))))))))/10))*100+1</f>
        <v>101</v>
      </c>
      <c r="V251" s="22">
        <f ca="1">(SUMPRODUCT(MID(0&amp;(--TRIM(RIGHT(SUBSTITUTE(LEFT(A250,_xlfn.AGGREGATE(16,6,FIND({0,1,2,3,4,5,6,7,8,9},A250,ROW(INDIRECT("1:"&amp;LEN(A250)))),1))," ",REPT(" ",LEN(A250))),LEN(A250)))), LARGE(INDEX(ISNUMBER(--MID((--TRIM(RIGHT(SUBSTITUTE(LEFT(A250,_xlfn.AGGREGATE(16,6,FIND({0,1,2,3,4,5,6,7,8,9},A250,ROW(INDIRECT("1:"&amp;LEN(A250)))),1))," ",REPT(" ",LEN(A250))),LEN(A250)))), ROW(INDIRECT("1:"&amp;LEN((--TRIM(RIGHT(SUBSTITUTE(LEFT(A250,_xlfn.AGGREGATE(16,6,FIND({0,1,2,3,4,5,6,7,8,9},A250,ROW(INDIRECT("1:"&amp;LEN(A250)))),1))," ",REPT(" ",LEN(A250))),LEN(A250))))))), 1)) * ROW(INDIRECT("1:"&amp;LEN((--TRIM(RIGHT(SUBSTITUTE(LEFT(A250,_xlfn.AGGREGATE(16,6,FIND({0,1,2,3,4,5,6,7,8,9},A250,ROW(INDIRECT("1:"&amp;LEN(A250)))),1))," ",REPT(" ",LEN(A250))),LEN(A250))))))), 0), ROW(INDIRECT("1:"&amp;LEN((--TRIM(RIGHT(SUBSTITUTE(LEFT(A250,_xlfn.AGGREGATE(16,6,FIND({0,1,2,3,4,5,6,7,8,9},A250,ROW(INDIRECT("1:"&amp;LEN(A250)))),1))," ",REPT(" ",LEN(A250))),LEN(A250))))))))+1, 1) * 10^ROW(INDIRECT("1:"&amp;LEN((--TRIM(RIGHT(SUBSTITUTE(LEFT(A250,_xlfn.AGGREGATE(16,6,FIND({0,1,2,3,4,5,6,7,8,9},A250,ROW(INDIRECT("1:"&amp;LEN(A250)))),1))," ",REPT(" ",LEN(A250))),LEN(A250)))))))/10))*100+1</f>
        <v>101</v>
      </c>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row>
    <row r="252" spans="1:150 16226:16383" s="2" customFormat="1" ht="20.25" customHeight="1" x14ac:dyDescent="0.25">
      <c r="A252" s="130">
        <v>2</v>
      </c>
      <c r="B252" s="130"/>
      <c r="C252" s="64" t="s">
        <v>322</v>
      </c>
      <c r="D252" s="64" t="s">
        <v>334</v>
      </c>
      <c r="E252" s="91">
        <f>(84.93)*(10.764)</f>
        <v>914.18651999999997</v>
      </c>
      <c r="F252" s="91">
        <f>(1.22*3.04+1.1*2.21)*(10.764)</f>
        <v>66.088807199999991</v>
      </c>
      <c r="G252" s="91">
        <v>0</v>
      </c>
      <c r="H252" s="91">
        <f t="shared" ref="H252:H254" si="75">E252+F252+(IF(G252&lt;101,G252,IF(G252&lt;201,G252/2,IF(G252&lt;=301,G252/3,G252/4))))</f>
        <v>980.27532719999999</v>
      </c>
      <c r="I252" s="1"/>
      <c r="J252" s="1"/>
      <c r="K252" s="1"/>
      <c r="L252" s="1"/>
      <c r="M252" s="1"/>
      <c r="N252" s="1"/>
      <c r="O252" s="1"/>
      <c r="P252" s="1"/>
      <c r="Q252" s="1"/>
      <c r="R252" s="1"/>
      <c r="S252" s="1"/>
      <c r="T252" s="22" t="str">
        <f t="shared" ca="1" si="74"/>
        <v>102,..,102</v>
      </c>
      <c r="U252" s="22">
        <f ca="1">U251+1</f>
        <v>102</v>
      </c>
      <c r="V252" s="22">
        <f ca="1">V251+1</f>
        <v>102</v>
      </c>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50 16226:16383" s="2" customFormat="1" ht="20.25" customHeight="1" x14ac:dyDescent="0.25">
      <c r="A253" s="130">
        <v>3</v>
      </c>
      <c r="B253" s="130"/>
      <c r="C253" s="64" t="s">
        <v>322</v>
      </c>
      <c r="D253" s="64" t="s">
        <v>326</v>
      </c>
      <c r="E253" s="91">
        <f>(69.81)*(10.764)</f>
        <v>751.43484000000001</v>
      </c>
      <c r="F253" s="91">
        <f>(1.22*3.04+1.1*2.21)*(10.764)</f>
        <v>66.088807199999991</v>
      </c>
      <c r="G253" s="91">
        <v>0</v>
      </c>
      <c r="H253" s="91">
        <f t="shared" si="75"/>
        <v>817.52364720000003</v>
      </c>
      <c r="I253" s="1"/>
      <c r="J253" s="1"/>
      <c r="K253" s="1"/>
      <c r="L253" s="1"/>
      <c r="M253" s="1"/>
      <c r="N253" s="1"/>
      <c r="O253" s="1"/>
      <c r="P253" s="1"/>
      <c r="Q253" s="1"/>
      <c r="R253" s="1"/>
      <c r="S253" s="1"/>
      <c r="T253" s="22" t="str">
        <f t="shared" ca="1" si="74"/>
        <v>103,..,103</v>
      </c>
      <c r="U253" s="22">
        <f t="shared" ref="U253:V253" ca="1" si="76">U252+1</f>
        <v>103</v>
      </c>
      <c r="V253" s="22">
        <f t="shared" ca="1" si="76"/>
        <v>103</v>
      </c>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row>
    <row r="254" spans="1:150 16226:16383" s="2" customFormat="1" ht="20.25" customHeight="1" x14ac:dyDescent="0.25">
      <c r="A254" s="130">
        <v>4</v>
      </c>
      <c r="B254" s="130"/>
      <c r="C254" s="64" t="s">
        <v>322</v>
      </c>
      <c r="D254" s="64" t="s">
        <v>334</v>
      </c>
      <c r="E254" s="91">
        <f>(77.85)*(10.764)</f>
        <v>837.97739999999988</v>
      </c>
      <c r="F254" s="97">
        <f>(1.22*3.04+1.1*2.21)*(10.764)</f>
        <v>66.088807199999991</v>
      </c>
      <c r="G254" s="91">
        <v>0</v>
      </c>
      <c r="H254" s="91">
        <f t="shared" si="75"/>
        <v>904.06620719999989</v>
      </c>
      <c r="I254" s="1"/>
      <c r="J254" s="1"/>
      <c r="K254" s="1"/>
      <c r="L254" s="1"/>
      <c r="M254" s="1"/>
      <c r="N254" s="1"/>
      <c r="O254" s="1"/>
      <c r="P254" s="1"/>
      <c r="Q254" s="1"/>
      <c r="R254" s="1"/>
      <c r="S254" s="1"/>
      <c r="T254" s="22" t="str">
        <f t="shared" ca="1" si="74"/>
        <v>104,..,104</v>
      </c>
      <c r="U254" s="22">
        <f t="shared" ref="U254:V254" ca="1" si="77">U253+1</f>
        <v>104</v>
      </c>
      <c r="V254" s="22">
        <f t="shared" ca="1" si="77"/>
        <v>104</v>
      </c>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row>
    <row r="255" spans="1:150 16226:16383" s="2" customFormat="1" ht="20.25" customHeight="1" x14ac:dyDescent="0.25">
      <c r="A255" s="137" t="s">
        <v>330</v>
      </c>
      <c r="B255" s="138"/>
      <c r="C255" s="138"/>
      <c r="D255" s="138"/>
      <c r="E255" s="138"/>
      <c r="F255" s="138"/>
      <c r="G255" s="138"/>
      <c r="H255" s="140"/>
      <c r="I255" s="1">
        <f>26</f>
        <v>26</v>
      </c>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row>
    <row r="256" spans="1:150 16226:16383" s="2" customFormat="1" ht="20.25" customHeight="1" x14ac:dyDescent="0.25">
      <c r="A256" s="130">
        <v>1</v>
      </c>
      <c r="B256" s="130"/>
      <c r="C256" s="64" t="s">
        <v>322</v>
      </c>
      <c r="D256" s="64" t="s">
        <v>334</v>
      </c>
      <c r="E256" s="91">
        <f>(77.85)*(10.764)</f>
        <v>837.97739999999988</v>
      </c>
      <c r="F256" s="97">
        <f>(1.22*3.04+1.1*2.21)*(10.764)</f>
        <v>66.088807199999991</v>
      </c>
      <c r="G256" s="91">
        <v>0</v>
      </c>
      <c r="H256" s="91">
        <f>E256+F256+(IF(G256&lt;101,G256,IF(G256&lt;201,G256/2,IF(G256&lt;=301,G256/3,G256/4))))</f>
        <v>904.06620719999989</v>
      </c>
      <c r="I256" s="1"/>
      <c r="J256" s="1">
        <f>10900000/H256</f>
        <v>12056.639119117825</v>
      </c>
      <c r="K256" s="1"/>
      <c r="L256" s="1"/>
      <c r="M256" s="1"/>
      <c r="N256" s="1"/>
      <c r="O256" s="1"/>
      <c r="P256" s="1"/>
      <c r="Q256" s="1"/>
      <c r="R256" s="1"/>
      <c r="S256" s="1"/>
      <c r="T256" s="22" t="str">
        <f t="shared" ref="T256:T259" ca="1" si="78">U256&amp;""&amp;",..,"&amp;""&amp;V256</f>
        <v>27901,..,3201</v>
      </c>
      <c r="U256" s="22">
        <f ca="1">(SUMPRODUCT(MID(0&amp;(LEFT(A255,SUM(LEN(A255)-LEN(SUBSTITUTE(A255,{"0","1","2","3"},""))))), LARGE(INDEX(ISNUMBER(--MID((LEFT(A255,SUM(LEN(A255)-LEN(SUBSTITUTE(A255,{"0","1","2","3"},""))))), ROW(INDIRECT("1:"&amp;LEN((LEFT(A255,SUM(LEN(A255)-LEN(SUBSTITUTE(A255,{"0","1","2","3"},"")))))))), 1)) * ROW(INDIRECT("1:"&amp;LEN((LEFT(A255,SUM(LEN(A255)-LEN(SUBSTITUTE(A255,{"0","1","2","3"},"")))))))), 0), ROW(INDIRECT("1:"&amp;LEN((LEFT(A255,SUM(LEN(A255)-LEN(SUBSTITUTE(A255,{"0","1","2","3"},"")))))))))+1, 1) * 10^ROW(INDIRECT("1:"&amp;LEN((LEFT(A255,SUM(LEN(A255)-LEN(SUBSTITUTE(A255,{"0","1","2","3"},""))))))))/10))*100+1</f>
        <v>27901</v>
      </c>
      <c r="V256" s="22">
        <f ca="1">(SUMPRODUCT(MID(0&amp;(--TRIM(RIGHT(SUBSTITUTE(LEFT(A255,_xlfn.AGGREGATE(16,6,FIND({0,1,2,3,4,5,6,7,8,9},A255,ROW(INDIRECT("1:"&amp;LEN(A255)))),1))," ",REPT(" ",LEN(A255))),LEN(A255)))), LARGE(INDEX(ISNUMBER(--MID((--TRIM(RIGHT(SUBSTITUTE(LEFT(A255,_xlfn.AGGREGATE(16,6,FIND({0,1,2,3,4,5,6,7,8,9},A255,ROW(INDIRECT("1:"&amp;LEN(A255)))),1))," ",REPT(" ",LEN(A255))),LEN(A255)))), ROW(INDIRECT("1:"&amp;LEN((--TRIM(RIGHT(SUBSTITUTE(LEFT(A255,_xlfn.AGGREGATE(16,6,FIND({0,1,2,3,4,5,6,7,8,9},A255,ROW(INDIRECT("1:"&amp;LEN(A255)))),1))," ",REPT(" ",LEN(A255))),LEN(A255))))))), 1)) * ROW(INDIRECT("1:"&amp;LEN((--TRIM(RIGHT(SUBSTITUTE(LEFT(A255,_xlfn.AGGREGATE(16,6,FIND({0,1,2,3,4,5,6,7,8,9},A255,ROW(INDIRECT("1:"&amp;LEN(A255)))),1))," ",REPT(" ",LEN(A255))),LEN(A255))))))), 0), ROW(INDIRECT("1:"&amp;LEN((--TRIM(RIGHT(SUBSTITUTE(LEFT(A255,_xlfn.AGGREGATE(16,6,FIND({0,1,2,3,4,5,6,7,8,9},A255,ROW(INDIRECT("1:"&amp;LEN(A255)))),1))," ",REPT(" ",LEN(A255))),LEN(A255))))))))+1, 1) * 10^ROW(INDIRECT("1:"&amp;LEN((--TRIM(RIGHT(SUBSTITUTE(LEFT(A255,_xlfn.AGGREGATE(16,6,FIND({0,1,2,3,4,5,6,7,8,9},A255,ROW(INDIRECT("1:"&amp;LEN(A255)))),1))," ",REPT(" ",LEN(A255))),LEN(A255)))))))/10))*100+1</f>
        <v>3201</v>
      </c>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row>
    <row r="257" spans="1:150 16226:16383" s="2" customFormat="1" ht="20.25" customHeight="1" x14ac:dyDescent="0.25">
      <c r="A257" s="130">
        <v>2</v>
      </c>
      <c r="B257" s="130"/>
      <c r="C257" s="64" t="s">
        <v>322</v>
      </c>
      <c r="D257" s="64" t="s">
        <v>334</v>
      </c>
      <c r="E257" s="91">
        <f>(84.93)*(10.764)</f>
        <v>914.18651999999997</v>
      </c>
      <c r="F257" s="91">
        <f>(1.22*3.04+1.1*2.21)*(10.764)</f>
        <v>66.088807199999991</v>
      </c>
      <c r="G257" s="91">
        <v>0</v>
      </c>
      <c r="H257" s="91">
        <f t="shared" ref="H257:H259" si="79">E257+F257+(IF(G257&lt;101,G257,IF(G257&lt;201,G257/2,IF(G257&lt;=301,G257/3,G257/4))))</f>
        <v>980.27532719999999</v>
      </c>
      <c r="I257" s="1"/>
      <c r="J257" s="1"/>
      <c r="K257" s="1"/>
      <c r="L257" s="1"/>
      <c r="M257" s="1"/>
      <c r="N257" s="1"/>
      <c r="O257" s="1"/>
      <c r="P257" s="1"/>
      <c r="Q257" s="1"/>
      <c r="R257" s="1"/>
      <c r="S257" s="1"/>
      <c r="T257" s="22" t="str">
        <f t="shared" ca="1" si="78"/>
        <v>27902,..,3202</v>
      </c>
      <c r="U257" s="22">
        <f ca="1">U256+1</f>
        <v>27902</v>
      </c>
      <c r="V257" s="22">
        <f ca="1">V256+1</f>
        <v>3202</v>
      </c>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row>
    <row r="258" spans="1:150 16226:16383" s="2" customFormat="1" ht="20.25" customHeight="1" x14ac:dyDescent="0.25">
      <c r="A258" s="130">
        <v>3</v>
      </c>
      <c r="B258" s="130"/>
      <c r="C258" s="64" t="s">
        <v>322</v>
      </c>
      <c r="D258" s="64" t="s">
        <v>334</v>
      </c>
      <c r="E258" s="91">
        <f>(84.93)*(10.764)</f>
        <v>914.18651999999997</v>
      </c>
      <c r="F258" s="97">
        <f>(1.22*3.04+1.1*2.21)*(10.764)</f>
        <v>66.088807199999991</v>
      </c>
      <c r="G258" s="91">
        <v>0</v>
      </c>
      <c r="H258" s="91">
        <f t="shared" si="79"/>
        <v>980.27532719999999</v>
      </c>
      <c r="I258" s="1"/>
      <c r="J258" s="1"/>
      <c r="K258" s="1"/>
      <c r="L258" s="1"/>
      <c r="M258" s="1"/>
      <c r="N258" s="1"/>
      <c r="O258" s="1"/>
      <c r="P258" s="1"/>
      <c r="Q258" s="1"/>
      <c r="R258" s="1"/>
      <c r="S258" s="1"/>
      <c r="T258" s="22" t="str">
        <f t="shared" ca="1" si="78"/>
        <v>27903,..,3203</v>
      </c>
      <c r="U258" s="22">
        <f t="shared" ref="U258:V258" ca="1" si="80">U257+1</f>
        <v>27903</v>
      </c>
      <c r="V258" s="22">
        <f t="shared" ca="1" si="80"/>
        <v>3203</v>
      </c>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row>
    <row r="259" spans="1:150 16226:16383" s="2" customFormat="1" ht="20.25" customHeight="1" x14ac:dyDescent="0.25">
      <c r="A259" s="130">
        <v>4</v>
      </c>
      <c r="B259" s="130"/>
      <c r="C259" s="64" t="s">
        <v>322</v>
      </c>
      <c r="D259" s="64" t="s">
        <v>334</v>
      </c>
      <c r="E259" s="91">
        <f>(77.85)*(10.764)</f>
        <v>837.97739999999988</v>
      </c>
      <c r="F259" s="97">
        <f>(1.22*3.04+1.1*2.21)*(10.764)</f>
        <v>66.088807199999991</v>
      </c>
      <c r="G259" s="91">
        <v>0</v>
      </c>
      <c r="H259" s="91">
        <f t="shared" si="79"/>
        <v>904.06620719999989</v>
      </c>
      <c r="I259" s="1"/>
      <c r="J259" s="1"/>
      <c r="K259" s="1"/>
      <c r="L259" s="1"/>
      <c r="M259" s="1"/>
      <c r="N259" s="1"/>
      <c r="O259" s="1"/>
      <c r="P259" s="1"/>
      <c r="Q259" s="1"/>
      <c r="R259" s="1"/>
      <c r="S259" s="1"/>
      <c r="T259" s="22" t="str">
        <f t="shared" ca="1" si="78"/>
        <v>27904,..,3204</v>
      </c>
      <c r="U259" s="22">
        <f t="shared" ref="U259:V259" ca="1" si="81">U258+1</f>
        <v>27904</v>
      </c>
      <c r="V259" s="22">
        <f t="shared" ca="1" si="81"/>
        <v>3204</v>
      </c>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row>
    <row r="260" spans="1:150 16226:16383" s="2" customFormat="1" ht="20.25" x14ac:dyDescent="0.25">
      <c r="A260" s="137" t="s">
        <v>335</v>
      </c>
      <c r="B260" s="138"/>
      <c r="C260" s="138"/>
      <c r="D260" s="138"/>
      <c r="E260" s="139"/>
      <c r="F260" s="139"/>
      <c r="G260" s="138"/>
      <c r="H260" s="140"/>
      <c r="I260" s="1">
        <f>5</f>
        <v>5</v>
      </c>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row>
    <row r="261" spans="1:150 16226:16383" s="2" customFormat="1" ht="20.25" customHeight="1" x14ac:dyDescent="0.25">
      <c r="A261" s="130">
        <v>1</v>
      </c>
      <c r="B261" s="130"/>
      <c r="C261" s="64" t="s">
        <v>322</v>
      </c>
      <c r="D261" s="64" t="s">
        <v>326</v>
      </c>
      <c r="E261" s="91">
        <f>(63.35)*(10.764)</f>
        <v>681.89940000000001</v>
      </c>
      <c r="F261" s="97">
        <f>(1.22*3.04+1.1*2.21)*(10.764)</f>
        <v>66.088807199999991</v>
      </c>
      <c r="G261" s="91">
        <v>0</v>
      </c>
      <c r="H261" s="91">
        <f>E261+F261+(IF(G261&lt;101,G261,IF(G261&lt;201,G261/2,IF(G261&lt;=301,G261/3,G261/4))))</f>
        <v>747.98820720000003</v>
      </c>
      <c r="I261" s="1"/>
      <c r="J261" s="1"/>
      <c r="K261" s="1"/>
      <c r="L261" s="1"/>
      <c r="M261" s="1"/>
      <c r="N261" s="1"/>
      <c r="O261" s="1"/>
      <c r="P261" s="1"/>
      <c r="Q261" s="1"/>
      <c r="R261" s="1"/>
      <c r="S261" s="1"/>
      <c r="T261" s="22" t="str">
        <f t="shared" ref="T261:T265" ca="1" si="82">U261&amp;""&amp;",..,"&amp;""&amp;V261</f>
        <v>8101,..,2801</v>
      </c>
      <c r="U261" s="22">
        <f ca="1">(SUMPRODUCT(MID(0&amp;(LEFT(A260,SUM(LEN(A260)-LEN(SUBSTITUTE(A260,{"0","1","2","3"},""))))), LARGE(INDEX(ISNUMBER(--MID((LEFT(A260,SUM(LEN(A260)-LEN(SUBSTITUTE(A260,{"0","1","2","3"},""))))), ROW(INDIRECT("1:"&amp;LEN((LEFT(A260,SUM(LEN(A260)-LEN(SUBSTITUTE(A260,{"0","1","2","3"},"")))))))), 1)) * ROW(INDIRECT("1:"&amp;LEN((LEFT(A260,SUM(LEN(A260)-LEN(SUBSTITUTE(A260,{"0","1","2","3"},"")))))))), 0), ROW(INDIRECT("1:"&amp;LEN((LEFT(A260,SUM(LEN(A260)-LEN(SUBSTITUTE(A260,{"0","1","2","3"},"")))))))))+1, 1) * 10^ROW(INDIRECT("1:"&amp;LEN((LEFT(A260,SUM(LEN(A260)-LEN(SUBSTITUTE(A260,{"0","1","2","3"},""))))))))/10))*100+1</f>
        <v>8101</v>
      </c>
      <c r="V261" s="22">
        <f ca="1">(SUMPRODUCT(MID(0&amp;(--TRIM(RIGHT(SUBSTITUTE(LEFT(A260,_xlfn.AGGREGATE(16,6,FIND({0,1,2,3,4,5,6,7,8,9},A260,ROW(INDIRECT("1:"&amp;LEN(A260)))),1))," ",REPT(" ",LEN(A260))),LEN(A260)))), LARGE(INDEX(ISNUMBER(--MID((--TRIM(RIGHT(SUBSTITUTE(LEFT(A260,_xlfn.AGGREGATE(16,6,FIND({0,1,2,3,4,5,6,7,8,9},A260,ROW(INDIRECT("1:"&amp;LEN(A260)))),1))," ",REPT(" ",LEN(A260))),LEN(A260)))), ROW(INDIRECT("1:"&amp;LEN((--TRIM(RIGHT(SUBSTITUTE(LEFT(A260,_xlfn.AGGREGATE(16,6,FIND({0,1,2,3,4,5,6,7,8,9},A260,ROW(INDIRECT("1:"&amp;LEN(A260)))),1))," ",REPT(" ",LEN(A260))),LEN(A260))))))), 1)) * ROW(INDIRECT("1:"&amp;LEN((--TRIM(RIGHT(SUBSTITUTE(LEFT(A260,_xlfn.AGGREGATE(16,6,FIND({0,1,2,3,4,5,6,7,8,9},A260,ROW(INDIRECT("1:"&amp;LEN(A260)))),1))," ",REPT(" ",LEN(A260))),LEN(A260))))))), 0), ROW(INDIRECT("1:"&amp;LEN((--TRIM(RIGHT(SUBSTITUTE(LEFT(A260,_xlfn.AGGREGATE(16,6,FIND({0,1,2,3,4,5,6,7,8,9},A260,ROW(INDIRECT("1:"&amp;LEN(A260)))),1))," ",REPT(" ",LEN(A260))),LEN(A260))))))))+1, 1) * 10^ROW(INDIRECT("1:"&amp;LEN((--TRIM(RIGHT(SUBSTITUTE(LEFT(A260,_xlfn.AGGREGATE(16,6,FIND({0,1,2,3,4,5,6,7,8,9},A260,ROW(INDIRECT("1:"&amp;LEN(A260)))),1))," ",REPT(" ",LEN(A260))),LEN(A260)))))))/10))*100+1</f>
        <v>2801</v>
      </c>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row>
    <row r="262" spans="1:150 16226:16383" s="2" customFormat="1" ht="20.25" customHeight="1" x14ac:dyDescent="0.25">
      <c r="A262" s="130" t="s">
        <v>322</v>
      </c>
      <c r="B262" s="130"/>
      <c r="C262" s="64" t="s">
        <v>322</v>
      </c>
      <c r="D262" s="178" t="s">
        <v>332</v>
      </c>
      <c r="E262" s="193"/>
      <c r="F262" s="193"/>
      <c r="G262" s="179"/>
      <c r="H262" s="180"/>
      <c r="I262" s="1"/>
      <c r="J262" s="1"/>
      <c r="K262" s="1"/>
      <c r="L262" s="1"/>
      <c r="M262" s="1"/>
      <c r="N262" s="1"/>
      <c r="O262" s="1"/>
      <c r="P262" s="1"/>
      <c r="Q262" s="1"/>
      <c r="R262" s="1"/>
      <c r="S262" s="1"/>
      <c r="T262" s="22" t="str">
        <f t="shared" ref="T262" si="83">U262&amp;""&amp;",..,"&amp;""&amp;V262</f>
        <v>1,..,1</v>
      </c>
      <c r="U262" s="22">
        <f>U260+1</f>
        <v>1</v>
      </c>
      <c r="V262" s="22">
        <f>V260+1</f>
        <v>1</v>
      </c>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row>
    <row r="263" spans="1:150 16226:16383" s="2" customFormat="1" ht="20.25" customHeight="1" x14ac:dyDescent="0.25">
      <c r="A263" s="130">
        <v>2</v>
      </c>
      <c r="B263" s="130"/>
      <c r="C263" s="64" t="s">
        <v>322</v>
      </c>
      <c r="D263" s="64" t="s">
        <v>334</v>
      </c>
      <c r="E263" s="91">
        <f>(84.93)*(10.764)</f>
        <v>914.18651999999997</v>
      </c>
      <c r="F263" s="91">
        <f>(1.22*3.04+1.1*2.21)*(10.764)</f>
        <v>66.088807199999991</v>
      </c>
      <c r="G263" s="91">
        <v>0</v>
      </c>
      <c r="H263" s="91">
        <f t="shared" ref="H263:H265" si="84">E263+F263+(IF(G263&lt;101,G263,IF(G263&lt;201,G263/2,IF(G263&lt;=301,G263/3,G263/4))))</f>
        <v>980.27532719999999</v>
      </c>
      <c r="I263" s="1"/>
      <c r="J263" s="1"/>
      <c r="K263" s="1"/>
      <c r="L263" s="1"/>
      <c r="M263" s="1"/>
      <c r="N263" s="1"/>
      <c r="O263" s="1"/>
      <c r="P263" s="1"/>
      <c r="Q263" s="1"/>
      <c r="R263" s="1"/>
      <c r="S263" s="1"/>
      <c r="T263" s="22" t="str">
        <f t="shared" ca="1" si="82"/>
        <v>8102,..,2802</v>
      </c>
      <c r="U263" s="22">
        <f ca="1">U261+1</f>
        <v>8102</v>
      </c>
      <c r="V263" s="22">
        <f ca="1">V261+1</f>
        <v>2802</v>
      </c>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row>
    <row r="264" spans="1:150 16226:16383" s="2" customFormat="1" ht="20.25" customHeight="1" x14ac:dyDescent="0.25">
      <c r="A264" s="130">
        <v>3</v>
      </c>
      <c r="B264" s="130"/>
      <c r="C264" s="64" t="s">
        <v>322</v>
      </c>
      <c r="D264" s="64" t="s">
        <v>334</v>
      </c>
      <c r="E264" s="91">
        <f>(84.93)*(10.764)</f>
        <v>914.18651999999997</v>
      </c>
      <c r="F264" s="91">
        <f>(1.22*3.04+1.1*2.21)*(10.764)</f>
        <v>66.088807199999991</v>
      </c>
      <c r="G264" s="91">
        <v>0</v>
      </c>
      <c r="H264" s="91">
        <f t="shared" si="84"/>
        <v>980.27532719999999</v>
      </c>
      <c r="I264" s="1"/>
      <c r="J264" s="1"/>
      <c r="K264" s="1"/>
      <c r="L264" s="1"/>
      <c r="M264" s="1"/>
      <c r="N264" s="1"/>
      <c r="O264" s="1"/>
      <c r="P264" s="1"/>
      <c r="Q264" s="1"/>
      <c r="R264" s="1"/>
      <c r="S264" s="1"/>
      <c r="T264" s="22" t="str">
        <f t="shared" ca="1" si="82"/>
        <v>8103,..,2803</v>
      </c>
      <c r="U264" s="22">
        <f t="shared" ref="U264:V264" ca="1" si="85">U263+1</f>
        <v>8103</v>
      </c>
      <c r="V264" s="22">
        <f t="shared" ca="1" si="85"/>
        <v>2803</v>
      </c>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row>
    <row r="265" spans="1:150 16226:16383" s="2" customFormat="1" ht="20.25" customHeight="1" x14ac:dyDescent="0.25">
      <c r="A265" s="130">
        <v>4</v>
      </c>
      <c r="B265" s="130"/>
      <c r="C265" s="64" t="s">
        <v>322</v>
      </c>
      <c r="D265" s="64" t="s">
        <v>334</v>
      </c>
      <c r="E265" s="91">
        <f>(77.85)*(10.764)</f>
        <v>837.97739999999988</v>
      </c>
      <c r="F265" s="97">
        <f>(1.22*3.04+1.1*2.21)*(10.764)</f>
        <v>66.088807199999991</v>
      </c>
      <c r="G265" s="91">
        <v>0</v>
      </c>
      <c r="H265" s="91">
        <f t="shared" si="84"/>
        <v>904.06620719999989</v>
      </c>
      <c r="I265" s="1"/>
      <c r="J265" s="1"/>
      <c r="K265" s="1"/>
      <c r="L265" s="1"/>
      <c r="M265" s="1"/>
      <c r="N265" s="1"/>
      <c r="O265" s="1"/>
      <c r="P265" s="1"/>
      <c r="Q265" s="1"/>
      <c r="R265" s="1"/>
      <c r="S265" s="1"/>
      <c r="T265" s="22" t="str">
        <f t="shared" ca="1" si="82"/>
        <v>8104,..,2804</v>
      </c>
      <c r="U265" s="22">
        <f t="shared" ref="U265:V265" ca="1" si="86">U264+1</f>
        <v>8104</v>
      </c>
      <c r="V265" s="22">
        <f t="shared" ca="1" si="86"/>
        <v>2804</v>
      </c>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row>
    <row r="266" spans="1:150 16226:16383" ht="20.25" x14ac:dyDescent="0.25">
      <c r="A266" s="147" t="s">
        <v>69</v>
      </c>
      <c r="B266" s="147"/>
      <c r="C266" s="147"/>
      <c r="D266" s="147"/>
      <c r="E266" s="148"/>
      <c r="F266" s="148"/>
      <c r="G266" s="147"/>
      <c r="H266" s="147"/>
    </row>
    <row r="267" spans="1:150 16226:16383" ht="39.75" customHeight="1" x14ac:dyDescent="0.25">
      <c r="A267" s="47" t="s">
        <v>235</v>
      </c>
      <c r="B267" s="108" t="s">
        <v>381</v>
      </c>
      <c r="C267" s="109"/>
      <c r="D267" s="109"/>
      <c r="E267" s="109"/>
      <c r="F267" s="109"/>
      <c r="G267" s="109"/>
      <c r="H267" s="110"/>
    </row>
    <row r="268" spans="1:150 16226:16383" ht="20.25" x14ac:dyDescent="0.25">
      <c r="A268" s="47" t="s">
        <v>235</v>
      </c>
      <c r="B268" s="108" t="s">
        <v>236</v>
      </c>
      <c r="C268" s="109"/>
      <c r="D268" s="109"/>
      <c r="E268" s="109"/>
      <c r="F268" s="109"/>
      <c r="G268" s="109"/>
      <c r="H268" s="110"/>
    </row>
    <row r="269" spans="1:150 16226:16383" ht="20.25" x14ac:dyDescent="0.25">
      <c r="A269" s="47" t="s">
        <v>235</v>
      </c>
      <c r="B269" s="108" t="s">
        <v>336</v>
      </c>
      <c r="C269" s="109"/>
      <c r="D269" s="109"/>
      <c r="E269" s="109"/>
      <c r="F269" s="109"/>
      <c r="G269" s="109"/>
      <c r="H269" s="110"/>
    </row>
    <row r="270" spans="1:150 16226:16383" ht="20.25" x14ac:dyDescent="0.25">
      <c r="A270" s="47" t="s">
        <v>235</v>
      </c>
      <c r="B270" s="108" t="s">
        <v>237</v>
      </c>
      <c r="C270" s="109"/>
      <c r="D270" s="109"/>
      <c r="E270" s="109"/>
      <c r="F270" s="109"/>
      <c r="G270" s="109"/>
      <c r="H270" s="110"/>
    </row>
    <row r="271" spans="1:150 16226:16383" ht="20.25" x14ac:dyDescent="0.25">
      <c r="A271" s="98" t="s">
        <v>235</v>
      </c>
      <c r="B271" s="108" t="s">
        <v>238</v>
      </c>
      <c r="C271" s="109"/>
      <c r="D271" s="109"/>
      <c r="E271" s="109"/>
      <c r="F271" s="109"/>
      <c r="G271" s="109"/>
      <c r="H271" s="110"/>
    </row>
    <row r="272" spans="1:150 16226:16383" ht="20.25" x14ac:dyDescent="0.25">
      <c r="A272" s="98" t="s">
        <v>235</v>
      </c>
      <c r="B272" s="108" t="s">
        <v>371</v>
      </c>
      <c r="C272" s="109"/>
      <c r="D272" s="109"/>
      <c r="E272" s="109"/>
      <c r="F272" s="109"/>
      <c r="G272" s="109"/>
      <c r="H272" s="110"/>
    </row>
    <row r="273" spans="1:8" ht="20.25" x14ac:dyDescent="0.25">
      <c r="A273" s="98" t="s">
        <v>235</v>
      </c>
      <c r="B273" s="108" t="s">
        <v>375</v>
      </c>
      <c r="C273" s="109"/>
      <c r="D273" s="109"/>
      <c r="E273" s="109"/>
      <c r="F273" s="109"/>
      <c r="G273" s="109"/>
      <c r="H273" s="110"/>
    </row>
    <row r="274" spans="1:8" ht="20.25" x14ac:dyDescent="0.25">
      <c r="A274" s="47" t="s">
        <v>235</v>
      </c>
      <c r="B274" s="108" t="s">
        <v>372</v>
      </c>
      <c r="C274" s="109"/>
      <c r="D274" s="109"/>
      <c r="E274" s="109"/>
      <c r="F274" s="109"/>
      <c r="G274" s="109"/>
      <c r="H274" s="110"/>
    </row>
    <row r="275" spans="1:8" ht="24.75" hidden="1" customHeight="1" x14ac:dyDescent="0.25">
      <c r="A275" s="47" t="s">
        <v>235</v>
      </c>
      <c r="B275" s="146" t="s">
        <v>240</v>
      </c>
      <c r="C275" s="109"/>
      <c r="D275" s="109"/>
      <c r="E275" s="109"/>
      <c r="F275" s="109"/>
      <c r="G275" s="109"/>
      <c r="H275" s="110"/>
    </row>
    <row r="276" spans="1:8" ht="20.25" x14ac:dyDescent="0.25">
      <c r="A276" s="155" t="s">
        <v>75</v>
      </c>
      <c r="B276" s="155"/>
      <c r="C276" s="155"/>
      <c r="D276" s="155"/>
      <c r="E276" s="155"/>
      <c r="F276" s="155"/>
      <c r="G276" s="155"/>
      <c r="H276" s="155"/>
    </row>
    <row r="277" spans="1:8" ht="20.25" x14ac:dyDescent="0.25">
      <c r="A277" s="107" t="s">
        <v>70</v>
      </c>
      <c r="B277" s="107"/>
      <c r="C277" s="107"/>
      <c r="D277" s="108" t="str">
        <f>C3</f>
        <v>Rustomjee Urban Woods - (Oak, Palm, Maple, Walnut)</v>
      </c>
      <c r="E277" s="109"/>
      <c r="F277" s="109"/>
      <c r="G277" s="109"/>
      <c r="H277" s="110"/>
    </row>
    <row r="278" spans="1:8" ht="40.5" customHeight="1" x14ac:dyDescent="0.25">
      <c r="A278" s="107" t="s">
        <v>105</v>
      </c>
      <c r="B278" s="107"/>
      <c r="C278" s="107"/>
      <c r="D278" s="108" t="str">
        <f>C9</f>
        <v>Maple - Survey Nos 27/1A, 27/1B,27/1C of Village Bhal at Bhal, Ambarnath, Thane, 421306. 
Palm - Survey Nos 26/2/2, 26/2/3, 27/1A, 27/1B, 27/1C of Village Bhal at Bhal, Ambarnath, Thane, 421306. 
Oak - Survey Nos. 27/1A, 27/1B, 27/1C of Village Bhal at Bhal, Ambarnath, Thane, 421306. 
Walnut - Survey Nos 27/1A, 27/1B, 27/1C of Village Bhal at Bhal, Ambarnath, Thane, 421306.</v>
      </c>
      <c r="E278" s="109"/>
      <c r="F278" s="109"/>
      <c r="G278" s="109"/>
      <c r="H278" s="110"/>
    </row>
    <row r="279" spans="1:8" ht="20.25" customHeight="1" x14ac:dyDescent="0.25">
      <c r="A279" s="165" t="s">
        <v>111</v>
      </c>
      <c r="B279" s="165"/>
      <c r="C279" s="165"/>
      <c r="D279" s="108" t="str">
        <f>G3</f>
        <v>06/08/2025 at 11:29AM</v>
      </c>
      <c r="E279" s="109"/>
      <c r="F279" s="109"/>
      <c r="G279" s="109"/>
      <c r="H279" s="110"/>
    </row>
    <row r="280" spans="1:8" ht="20.25" x14ac:dyDescent="0.25">
      <c r="A280" s="9"/>
      <c r="B280" s="10"/>
      <c r="C280" s="10"/>
      <c r="D280" s="10"/>
      <c r="E280" s="10"/>
      <c r="F280" s="10"/>
      <c r="G280" s="10"/>
      <c r="H280" s="6"/>
    </row>
    <row r="281" spans="1:8" ht="20.25" x14ac:dyDescent="0.25">
      <c r="A281" s="11"/>
      <c r="B281" s="12"/>
      <c r="C281" s="12"/>
      <c r="D281" s="12"/>
      <c r="E281" s="12"/>
      <c r="F281" s="12"/>
      <c r="G281" s="12"/>
      <c r="H281" s="7"/>
    </row>
    <row r="282" spans="1:8" ht="20.25" x14ac:dyDescent="0.25">
      <c r="A282" s="11"/>
      <c r="B282" s="12"/>
      <c r="C282" s="12"/>
      <c r="D282" s="12"/>
      <c r="E282" s="12"/>
      <c r="F282" s="12"/>
      <c r="G282" s="12"/>
      <c r="H282" s="7"/>
    </row>
    <row r="283" spans="1:8" ht="20.25" x14ac:dyDescent="0.25">
      <c r="A283" s="11"/>
      <c r="B283" s="12"/>
      <c r="C283" s="12"/>
      <c r="D283" s="12"/>
      <c r="E283" s="12"/>
      <c r="F283" s="12"/>
      <c r="G283" s="12"/>
      <c r="H283" s="7"/>
    </row>
    <row r="284" spans="1:8" ht="20.25" x14ac:dyDescent="0.25">
      <c r="A284" s="11"/>
      <c r="B284" s="12"/>
      <c r="C284" s="12"/>
      <c r="D284" s="12"/>
      <c r="E284" s="12"/>
      <c r="F284" s="12"/>
      <c r="G284" s="12"/>
      <c r="H284" s="7"/>
    </row>
    <row r="285" spans="1:8" ht="20.25" x14ac:dyDescent="0.25">
      <c r="A285" s="11"/>
      <c r="B285" s="12"/>
      <c r="C285" s="12"/>
      <c r="D285" s="12"/>
      <c r="E285" s="12"/>
      <c r="F285" s="12"/>
      <c r="G285" s="12"/>
      <c r="H285" s="7"/>
    </row>
    <row r="286" spans="1:8" ht="20.25" x14ac:dyDescent="0.25">
      <c r="A286" s="11"/>
      <c r="B286" s="12"/>
      <c r="C286" s="12"/>
      <c r="D286" s="12"/>
      <c r="E286" s="12"/>
      <c r="F286" s="12"/>
      <c r="G286" s="12"/>
      <c r="H286" s="7"/>
    </row>
    <row r="287" spans="1:8" ht="20.25" x14ac:dyDescent="0.25">
      <c r="A287" s="11"/>
      <c r="B287" s="12"/>
      <c r="C287" s="12"/>
      <c r="D287" s="12"/>
      <c r="E287" s="12"/>
      <c r="F287" s="12"/>
      <c r="G287" s="12"/>
      <c r="H287" s="7"/>
    </row>
    <row r="288" spans="1:8" ht="20.25" x14ac:dyDescent="0.25">
      <c r="A288" s="11"/>
      <c r="B288" s="12"/>
      <c r="C288" s="12"/>
      <c r="D288" s="12"/>
      <c r="E288" s="12"/>
      <c r="F288" s="12"/>
      <c r="G288" s="12"/>
      <c r="H288" s="7"/>
    </row>
    <row r="289" spans="1:8" ht="20.25" x14ac:dyDescent="0.25">
      <c r="A289" s="11"/>
      <c r="B289" s="12"/>
      <c r="C289" s="12"/>
      <c r="D289" s="12"/>
      <c r="E289" s="12"/>
      <c r="F289" s="12"/>
      <c r="G289" s="12"/>
      <c r="H289" s="7"/>
    </row>
    <row r="290" spans="1:8" ht="20.25" x14ac:dyDescent="0.25">
      <c r="A290" s="11"/>
      <c r="B290" s="12"/>
      <c r="C290" s="12"/>
      <c r="D290" s="12"/>
      <c r="E290" s="12"/>
      <c r="F290" s="12"/>
      <c r="G290" s="12"/>
      <c r="H290" s="7"/>
    </row>
    <row r="291" spans="1:8" ht="20.25" x14ac:dyDescent="0.25">
      <c r="A291" s="11"/>
      <c r="B291" s="12"/>
      <c r="C291" s="12"/>
      <c r="D291" s="12"/>
      <c r="E291" s="12"/>
      <c r="F291" s="12"/>
      <c r="G291" s="12"/>
      <c r="H291" s="7"/>
    </row>
    <row r="292" spans="1:8" ht="20.25" x14ac:dyDescent="0.25">
      <c r="A292" s="11"/>
      <c r="B292" s="12"/>
      <c r="C292" s="12"/>
      <c r="D292" s="12"/>
      <c r="E292" s="12"/>
      <c r="F292" s="12"/>
      <c r="G292" s="12"/>
      <c r="H292" s="7"/>
    </row>
    <row r="293" spans="1:8" ht="20.25" x14ac:dyDescent="0.25">
      <c r="A293" s="11"/>
      <c r="B293" s="12"/>
      <c r="C293" s="12"/>
      <c r="D293" s="12"/>
      <c r="E293" s="12"/>
      <c r="F293" s="12"/>
      <c r="G293" s="12"/>
      <c r="H293" s="7"/>
    </row>
    <row r="294" spans="1:8" ht="20.25" x14ac:dyDescent="0.25">
      <c r="A294" s="11"/>
      <c r="B294" s="12"/>
      <c r="C294" s="12"/>
      <c r="D294" s="12"/>
      <c r="E294" s="12"/>
      <c r="F294" s="12"/>
      <c r="G294" s="12"/>
      <c r="H294" s="7"/>
    </row>
    <row r="295" spans="1:8" ht="20.25" x14ac:dyDescent="0.25">
      <c r="A295" s="11"/>
      <c r="B295" s="12"/>
      <c r="C295" s="12"/>
      <c r="D295" s="12"/>
      <c r="E295" s="12"/>
      <c r="F295" s="12"/>
      <c r="G295" s="12"/>
      <c r="H295" s="7"/>
    </row>
    <row r="296" spans="1:8" ht="20.25" x14ac:dyDescent="0.25">
      <c r="A296" s="11"/>
      <c r="B296" s="12"/>
      <c r="C296" s="12"/>
      <c r="D296" s="12"/>
      <c r="E296" s="12"/>
      <c r="F296" s="12"/>
      <c r="G296" s="12"/>
      <c r="H296" s="7"/>
    </row>
    <row r="297" spans="1:8" ht="20.25" x14ac:dyDescent="0.25">
      <c r="A297" s="11"/>
      <c r="B297" s="12"/>
      <c r="C297" s="12"/>
      <c r="D297" s="12"/>
      <c r="E297" s="12"/>
      <c r="F297" s="12"/>
      <c r="G297" s="12"/>
      <c r="H297" s="7"/>
    </row>
    <row r="298" spans="1:8" ht="20.25" x14ac:dyDescent="0.25">
      <c r="A298" s="11"/>
      <c r="B298" s="12"/>
      <c r="C298" s="12"/>
      <c r="D298" s="12"/>
      <c r="E298" s="12"/>
      <c r="F298" s="12"/>
      <c r="G298" s="12"/>
      <c r="H298" s="7"/>
    </row>
    <row r="299" spans="1:8" ht="20.25" x14ac:dyDescent="0.25">
      <c r="A299" s="11"/>
      <c r="B299" s="12"/>
      <c r="C299" s="12"/>
      <c r="D299" s="12"/>
      <c r="E299" s="12"/>
      <c r="F299" s="12"/>
      <c r="G299" s="12"/>
      <c r="H299" s="7"/>
    </row>
    <row r="300" spans="1:8" ht="20.25" x14ac:dyDescent="0.25">
      <c r="A300" s="11"/>
      <c r="B300" s="12"/>
      <c r="C300" s="12"/>
      <c r="D300" s="12"/>
      <c r="E300" s="12"/>
      <c r="F300" s="12"/>
      <c r="G300" s="12"/>
      <c r="H300" s="7"/>
    </row>
    <row r="301" spans="1:8" ht="20.25" x14ac:dyDescent="0.25">
      <c r="A301" s="11"/>
      <c r="B301" s="12"/>
      <c r="C301" s="12"/>
      <c r="D301" s="12"/>
      <c r="E301" s="12"/>
      <c r="F301" s="12"/>
      <c r="G301" s="12"/>
      <c r="H301" s="7"/>
    </row>
    <row r="302" spans="1:8" ht="20.25" x14ac:dyDescent="0.25">
      <c r="A302" s="11"/>
      <c r="B302" s="12"/>
      <c r="C302" s="12"/>
      <c r="D302" s="12"/>
      <c r="E302" s="12"/>
      <c r="F302" s="12"/>
      <c r="G302" s="12"/>
      <c r="H302" s="7"/>
    </row>
    <row r="303" spans="1:8" ht="20.25" x14ac:dyDescent="0.25">
      <c r="A303" s="11"/>
      <c r="B303" s="12"/>
      <c r="C303" s="12"/>
      <c r="D303" s="12"/>
      <c r="E303" s="12"/>
      <c r="F303" s="12"/>
      <c r="G303" s="12"/>
      <c r="H303" s="7"/>
    </row>
    <row r="304" spans="1:8" ht="20.25" x14ac:dyDescent="0.25">
      <c r="A304" s="11"/>
      <c r="B304" s="12"/>
      <c r="C304" s="12"/>
      <c r="D304" s="12"/>
      <c r="E304" s="12"/>
      <c r="F304" s="12"/>
      <c r="G304" s="12"/>
      <c r="H304" s="7"/>
    </row>
    <row r="305" spans="1:8" ht="20.25" x14ac:dyDescent="0.25">
      <c r="A305" s="11"/>
      <c r="B305" s="12"/>
      <c r="C305" s="12"/>
      <c r="D305" s="12"/>
      <c r="E305" s="12"/>
      <c r="F305" s="12"/>
      <c r="G305" s="12"/>
      <c r="H305" s="7"/>
    </row>
    <row r="306" spans="1:8" ht="20.25" x14ac:dyDescent="0.25">
      <c r="A306" s="11"/>
      <c r="B306" s="12"/>
      <c r="C306" s="12"/>
      <c r="D306" s="12"/>
      <c r="E306" s="12"/>
      <c r="F306" s="12"/>
      <c r="G306" s="12"/>
      <c r="H306" s="7"/>
    </row>
    <row r="307" spans="1:8" ht="20.25" x14ac:dyDescent="0.25">
      <c r="A307" s="11"/>
      <c r="B307" s="12"/>
      <c r="C307" s="12"/>
      <c r="D307" s="12"/>
      <c r="E307" s="12"/>
      <c r="F307" s="12"/>
      <c r="G307" s="12"/>
      <c r="H307" s="7"/>
    </row>
    <row r="308" spans="1:8" ht="20.25" x14ac:dyDescent="0.25">
      <c r="A308" s="11"/>
      <c r="B308" s="12"/>
      <c r="C308" s="12"/>
      <c r="D308" s="12"/>
      <c r="E308" s="12"/>
      <c r="F308" s="12"/>
      <c r="G308" s="12"/>
      <c r="H308" s="7"/>
    </row>
    <row r="309" spans="1:8" ht="20.25" x14ac:dyDescent="0.25">
      <c r="A309" s="11"/>
      <c r="B309" s="12"/>
      <c r="C309" s="12"/>
      <c r="D309" s="12"/>
      <c r="E309" s="12"/>
      <c r="F309" s="12"/>
      <c r="G309" s="12"/>
      <c r="H309" s="7"/>
    </row>
    <row r="310" spans="1:8" ht="20.25" x14ac:dyDescent="0.25">
      <c r="A310" s="11"/>
      <c r="B310" s="12"/>
      <c r="C310" s="12"/>
      <c r="D310" s="12"/>
      <c r="E310" s="12"/>
      <c r="F310" s="12"/>
      <c r="G310" s="12"/>
      <c r="H310" s="7"/>
    </row>
    <row r="311" spans="1:8" ht="20.25" x14ac:dyDescent="0.25">
      <c r="A311" s="11"/>
      <c r="B311" s="12"/>
      <c r="C311" s="12"/>
      <c r="D311" s="12"/>
      <c r="E311" s="12"/>
      <c r="F311" s="12"/>
      <c r="G311" s="12"/>
      <c r="H311" s="7"/>
    </row>
    <row r="312" spans="1:8" ht="20.25" x14ac:dyDescent="0.25">
      <c r="A312" s="11"/>
      <c r="B312" s="12"/>
      <c r="C312" s="12"/>
      <c r="D312" s="12"/>
      <c r="E312" s="12"/>
      <c r="F312" s="12"/>
      <c r="G312" s="12"/>
      <c r="H312" s="7"/>
    </row>
    <row r="313" spans="1:8" ht="20.25" x14ac:dyDescent="0.25">
      <c r="A313" s="11"/>
      <c r="B313" s="12"/>
      <c r="C313" s="12"/>
      <c r="D313" s="12"/>
      <c r="E313" s="12"/>
      <c r="F313" s="12"/>
      <c r="G313" s="12"/>
      <c r="H313" s="7"/>
    </row>
    <row r="314" spans="1:8" ht="20.25" x14ac:dyDescent="0.25">
      <c r="A314" s="11"/>
      <c r="B314" s="12"/>
      <c r="C314" s="12"/>
      <c r="D314" s="12"/>
      <c r="E314" s="12"/>
      <c r="F314" s="12"/>
      <c r="G314" s="12"/>
      <c r="H314" s="7"/>
    </row>
    <row r="315" spans="1:8" ht="20.25" x14ac:dyDescent="0.25">
      <c r="A315" s="11"/>
      <c r="B315" s="12"/>
      <c r="C315" s="12"/>
      <c r="D315" s="12"/>
      <c r="E315" s="12"/>
      <c r="F315" s="12"/>
      <c r="G315" s="12"/>
      <c r="H315" s="7"/>
    </row>
    <row r="316" spans="1:8" ht="20.25" x14ac:dyDescent="0.25">
      <c r="A316" s="11"/>
      <c r="B316" s="12"/>
      <c r="C316" s="12"/>
      <c r="D316" s="12"/>
      <c r="E316" s="12"/>
      <c r="F316" s="12"/>
      <c r="G316" s="12"/>
      <c r="H316" s="7"/>
    </row>
    <row r="317" spans="1:8" ht="20.25" x14ac:dyDescent="0.25">
      <c r="A317" s="11"/>
      <c r="B317" s="12"/>
      <c r="C317" s="12"/>
      <c r="D317" s="12"/>
      <c r="E317" s="12"/>
      <c r="F317" s="12"/>
      <c r="G317" s="12"/>
      <c r="H317" s="7"/>
    </row>
    <row r="318" spans="1:8" ht="20.25" x14ac:dyDescent="0.25">
      <c r="A318" s="11"/>
      <c r="B318" s="12"/>
      <c r="C318" s="12"/>
      <c r="D318" s="12"/>
      <c r="E318" s="12"/>
      <c r="F318" s="12"/>
      <c r="G318" s="12"/>
      <c r="H318" s="7"/>
    </row>
    <row r="319" spans="1:8" ht="20.25" x14ac:dyDescent="0.25">
      <c r="A319" s="11"/>
      <c r="B319" s="12"/>
      <c r="C319" s="12"/>
      <c r="D319" s="12"/>
      <c r="E319" s="12"/>
      <c r="F319" s="12"/>
      <c r="G319" s="12"/>
      <c r="H319" s="7"/>
    </row>
    <row r="320" spans="1:8" ht="20.25" x14ac:dyDescent="0.25">
      <c r="A320" s="11"/>
      <c r="B320" s="12"/>
      <c r="C320" s="12"/>
      <c r="D320" s="12"/>
      <c r="E320" s="12"/>
      <c r="F320" s="12"/>
      <c r="G320" s="12"/>
      <c r="H320" s="7"/>
    </row>
    <row r="321" spans="1:8" ht="20.25" x14ac:dyDescent="0.25">
      <c r="A321" s="11"/>
      <c r="B321" s="12"/>
      <c r="C321" s="12"/>
      <c r="D321" s="12"/>
      <c r="E321" s="12"/>
      <c r="F321" s="12"/>
      <c r="G321" s="12"/>
      <c r="H321" s="7"/>
    </row>
    <row r="322" spans="1:8" ht="20.25" x14ac:dyDescent="0.25">
      <c r="A322" s="11"/>
      <c r="B322" s="12"/>
      <c r="C322" s="12"/>
      <c r="D322" s="12"/>
      <c r="E322" s="12"/>
      <c r="F322" s="12"/>
      <c r="G322" s="12"/>
      <c r="H322" s="7"/>
    </row>
    <row r="323" spans="1:8" ht="20.25" x14ac:dyDescent="0.25">
      <c r="A323" s="13"/>
      <c r="B323" s="14"/>
      <c r="C323" s="14"/>
      <c r="D323" s="14"/>
      <c r="E323" s="14"/>
      <c r="F323" s="14"/>
      <c r="G323" s="14"/>
      <c r="H323" s="8"/>
    </row>
    <row r="324" spans="1:8" ht="20.25" x14ac:dyDescent="0.25">
      <c r="A324" s="147" t="s">
        <v>159</v>
      </c>
      <c r="B324" s="147"/>
      <c r="C324" s="147"/>
      <c r="D324" s="147"/>
      <c r="E324" s="147"/>
      <c r="F324" s="147"/>
      <c r="G324" s="147"/>
      <c r="H324" s="147"/>
    </row>
    <row r="325" spans="1:8" ht="20.25" x14ac:dyDescent="0.25">
      <c r="A325" s="9"/>
      <c r="B325" s="10"/>
      <c r="C325" s="10"/>
      <c r="D325" s="10"/>
      <c r="E325" s="10"/>
      <c r="F325" s="10"/>
      <c r="G325" s="10"/>
      <c r="H325" s="6"/>
    </row>
    <row r="326" spans="1:8" ht="20.25" x14ac:dyDescent="0.25">
      <c r="A326" s="11"/>
      <c r="B326" s="65"/>
      <c r="C326" s="65"/>
      <c r="D326" s="65"/>
      <c r="E326" s="65"/>
      <c r="F326" s="65"/>
      <c r="G326" s="65"/>
      <c r="H326" s="7"/>
    </row>
    <row r="327" spans="1:8" ht="20.25" x14ac:dyDescent="0.25">
      <c r="A327" s="11"/>
      <c r="B327" s="65"/>
      <c r="C327" s="65"/>
      <c r="D327" s="65"/>
      <c r="E327" s="65"/>
      <c r="F327" s="65"/>
      <c r="G327" s="65"/>
      <c r="H327" s="7"/>
    </row>
    <row r="328" spans="1:8" ht="20.25" x14ac:dyDescent="0.25">
      <c r="A328" s="11"/>
      <c r="B328" s="65"/>
      <c r="C328" s="65"/>
      <c r="D328" s="65"/>
      <c r="E328" s="65"/>
      <c r="F328" s="65"/>
      <c r="G328" s="65"/>
      <c r="H328" s="7"/>
    </row>
    <row r="329" spans="1:8" ht="20.25" x14ac:dyDescent="0.25">
      <c r="A329" s="11"/>
      <c r="B329" s="65"/>
      <c r="C329" s="65"/>
      <c r="D329" s="65"/>
      <c r="E329" s="65"/>
      <c r="F329" s="65"/>
      <c r="G329" s="65"/>
      <c r="H329" s="7"/>
    </row>
    <row r="330" spans="1:8" ht="20.25" x14ac:dyDescent="0.25">
      <c r="A330" s="11"/>
      <c r="B330" s="65"/>
      <c r="C330" s="65"/>
      <c r="D330" s="65"/>
      <c r="E330" s="65"/>
      <c r="F330" s="65"/>
      <c r="G330" s="65"/>
      <c r="H330" s="7"/>
    </row>
    <row r="331" spans="1:8" ht="20.25" x14ac:dyDescent="0.25">
      <c r="A331" s="11"/>
      <c r="B331" s="65"/>
      <c r="C331" s="65"/>
      <c r="D331" s="65"/>
      <c r="E331" s="65"/>
      <c r="F331" s="65"/>
      <c r="G331" s="65"/>
      <c r="H331" s="7"/>
    </row>
    <row r="332" spans="1:8" ht="20.25" x14ac:dyDescent="0.25">
      <c r="A332" s="11"/>
      <c r="B332" s="65"/>
      <c r="C332" s="65"/>
      <c r="D332" s="65"/>
      <c r="E332" s="65"/>
      <c r="F332" s="65"/>
      <c r="G332" s="65"/>
      <c r="H332" s="7"/>
    </row>
    <row r="333" spans="1:8" ht="20.25" x14ac:dyDescent="0.25">
      <c r="A333" s="11"/>
      <c r="B333" s="65"/>
      <c r="C333" s="65"/>
      <c r="D333" s="65"/>
      <c r="E333" s="65"/>
      <c r="F333" s="65"/>
      <c r="G333" s="65"/>
      <c r="H333" s="7"/>
    </row>
    <row r="334" spans="1:8" ht="20.25" x14ac:dyDescent="0.25">
      <c r="A334" s="11"/>
      <c r="B334" s="65"/>
      <c r="C334" s="65"/>
      <c r="D334" s="65"/>
      <c r="E334" s="65"/>
      <c r="F334" s="65"/>
      <c r="G334" s="65"/>
      <c r="H334" s="7"/>
    </row>
    <row r="335" spans="1:8" ht="20.25" x14ac:dyDescent="0.25">
      <c r="A335" s="11"/>
      <c r="B335" s="65"/>
      <c r="C335" s="65"/>
      <c r="D335" s="65"/>
      <c r="E335" s="65"/>
      <c r="F335" s="65"/>
      <c r="G335" s="65"/>
      <c r="H335" s="7"/>
    </row>
    <row r="336" spans="1:8" ht="20.25" x14ac:dyDescent="0.25">
      <c r="A336" s="11"/>
      <c r="B336" s="65"/>
      <c r="C336" s="65"/>
      <c r="D336" s="65"/>
      <c r="E336" s="65"/>
      <c r="F336" s="65"/>
      <c r="G336" s="65"/>
      <c r="H336" s="7"/>
    </row>
    <row r="337" spans="1:8" ht="20.25" x14ac:dyDescent="0.25">
      <c r="A337" s="11"/>
      <c r="B337" s="65"/>
      <c r="C337" s="65"/>
      <c r="D337" s="65"/>
      <c r="E337" s="65"/>
      <c r="F337" s="65"/>
      <c r="G337" s="65"/>
      <c r="H337" s="7"/>
    </row>
    <row r="338" spans="1:8" ht="20.25" x14ac:dyDescent="0.25">
      <c r="A338" s="11"/>
      <c r="B338" s="65"/>
      <c r="C338" s="65"/>
      <c r="D338" s="65"/>
      <c r="E338" s="65"/>
      <c r="F338" s="65"/>
      <c r="G338" s="65"/>
      <c r="H338" s="7"/>
    </row>
    <row r="339" spans="1:8" ht="20.25" x14ac:dyDescent="0.25">
      <c r="A339" s="11"/>
      <c r="B339" s="65"/>
      <c r="C339" s="65"/>
      <c r="D339" s="65"/>
      <c r="E339" s="65"/>
      <c r="F339" s="65"/>
      <c r="G339" s="65"/>
      <c r="H339" s="7"/>
    </row>
    <row r="340" spans="1:8" ht="20.25" x14ac:dyDescent="0.25">
      <c r="A340" s="11"/>
      <c r="B340" s="65"/>
      <c r="C340" s="65"/>
      <c r="D340" s="65"/>
      <c r="E340" s="65"/>
      <c r="F340" s="65"/>
      <c r="G340" s="65"/>
      <c r="H340" s="7"/>
    </row>
    <row r="341" spans="1:8" ht="20.25" x14ac:dyDescent="0.25">
      <c r="A341" s="11"/>
      <c r="B341" s="65"/>
      <c r="C341" s="65"/>
      <c r="D341" s="65"/>
      <c r="E341" s="65"/>
      <c r="F341" s="65"/>
      <c r="G341" s="65"/>
      <c r="H341" s="7"/>
    </row>
    <row r="342" spans="1:8" ht="20.25" x14ac:dyDescent="0.25">
      <c r="A342" s="11"/>
      <c r="B342" s="65"/>
      <c r="C342" s="65"/>
      <c r="D342" s="65"/>
      <c r="E342" s="65"/>
      <c r="F342" s="65"/>
      <c r="G342" s="65"/>
      <c r="H342" s="7"/>
    </row>
    <row r="343" spans="1:8" ht="20.25" x14ac:dyDescent="0.25">
      <c r="A343" s="11"/>
      <c r="B343" s="65"/>
      <c r="C343" s="65"/>
      <c r="D343" s="65"/>
      <c r="E343" s="65"/>
      <c r="F343" s="65"/>
      <c r="G343" s="65"/>
      <c r="H343" s="7"/>
    </row>
    <row r="344" spans="1:8" ht="20.25" x14ac:dyDescent="0.25">
      <c r="A344" s="11"/>
      <c r="B344" s="65"/>
      <c r="C344" s="65"/>
      <c r="D344" s="65"/>
      <c r="E344" s="65"/>
      <c r="F344" s="65"/>
      <c r="G344" s="65"/>
      <c r="H344" s="7"/>
    </row>
    <row r="345" spans="1:8" ht="20.25" x14ac:dyDescent="0.25">
      <c r="A345" s="11"/>
      <c r="B345" s="65"/>
      <c r="C345" s="65"/>
      <c r="D345" s="65"/>
      <c r="E345" s="65"/>
      <c r="F345" s="65"/>
      <c r="G345" s="65"/>
      <c r="H345" s="7"/>
    </row>
    <row r="346" spans="1:8" ht="20.25" x14ac:dyDescent="0.25">
      <c r="A346" s="11"/>
      <c r="B346" s="65"/>
      <c r="C346" s="65"/>
      <c r="D346" s="65"/>
      <c r="E346" s="65"/>
      <c r="F346" s="65"/>
      <c r="G346" s="65"/>
      <c r="H346" s="7"/>
    </row>
    <row r="347" spans="1:8" ht="20.25" x14ac:dyDescent="0.25">
      <c r="A347" s="11"/>
      <c r="B347" s="65"/>
      <c r="C347" s="65"/>
      <c r="D347" s="65"/>
      <c r="E347" s="65"/>
      <c r="F347" s="65"/>
      <c r="G347" s="65"/>
      <c r="H347" s="7"/>
    </row>
    <row r="348" spans="1:8" ht="20.25" x14ac:dyDescent="0.25">
      <c r="A348" s="11"/>
      <c r="B348" s="65"/>
      <c r="C348" s="65"/>
      <c r="D348" s="65"/>
      <c r="E348" s="65"/>
      <c r="F348" s="65"/>
      <c r="G348" s="65"/>
      <c r="H348" s="7"/>
    </row>
    <row r="349" spans="1:8" ht="20.25" x14ac:dyDescent="0.25">
      <c r="A349" s="11"/>
      <c r="B349" s="65"/>
      <c r="C349" s="65"/>
      <c r="D349" s="65"/>
      <c r="E349" s="65"/>
      <c r="F349" s="65"/>
      <c r="G349" s="65"/>
      <c r="H349" s="7"/>
    </row>
    <row r="350" spans="1:8" ht="20.25" x14ac:dyDescent="0.25">
      <c r="A350" s="11"/>
      <c r="B350" s="65"/>
      <c r="C350" s="65"/>
      <c r="D350" s="65"/>
      <c r="E350" s="65"/>
      <c r="F350" s="65"/>
      <c r="G350" s="65"/>
      <c r="H350" s="7"/>
    </row>
    <row r="351" spans="1:8" ht="20.25" x14ac:dyDescent="0.25">
      <c r="A351" s="11"/>
      <c r="B351" s="65"/>
      <c r="C351" s="65"/>
      <c r="D351" s="65"/>
      <c r="E351" s="65"/>
      <c r="F351" s="65"/>
      <c r="G351" s="65"/>
      <c r="H351" s="7"/>
    </row>
    <row r="352" spans="1:8" ht="20.25" x14ac:dyDescent="0.25">
      <c r="A352" s="11"/>
      <c r="B352" s="65"/>
      <c r="C352" s="65"/>
      <c r="D352" s="65"/>
      <c r="E352" s="65"/>
      <c r="F352" s="65"/>
      <c r="G352" s="65"/>
      <c r="H352" s="7"/>
    </row>
    <row r="353" spans="1:8" ht="20.25" x14ac:dyDescent="0.25">
      <c r="A353" s="11"/>
      <c r="B353" s="65"/>
      <c r="C353" s="65"/>
      <c r="D353" s="65"/>
      <c r="E353" s="65"/>
      <c r="F353" s="65"/>
      <c r="G353" s="65"/>
      <c r="H353" s="7"/>
    </row>
    <row r="354" spans="1:8" ht="20.25" x14ac:dyDescent="0.25">
      <c r="A354" s="11"/>
      <c r="B354" s="65"/>
      <c r="C354" s="65"/>
      <c r="D354" s="65"/>
      <c r="E354" s="65"/>
      <c r="F354" s="65"/>
      <c r="G354" s="65"/>
      <c r="H354" s="7"/>
    </row>
    <row r="355" spans="1:8" ht="20.25" x14ac:dyDescent="0.25">
      <c r="A355" s="11"/>
      <c r="B355" s="65"/>
      <c r="C355" s="65"/>
      <c r="D355" s="65"/>
      <c r="E355" s="65"/>
      <c r="F355" s="65"/>
      <c r="G355" s="65"/>
      <c r="H355" s="7"/>
    </row>
    <row r="356" spans="1:8" ht="20.25" x14ac:dyDescent="0.25">
      <c r="A356" s="11"/>
      <c r="B356" s="65"/>
      <c r="C356" s="65"/>
      <c r="D356" s="65"/>
      <c r="E356" s="65"/>
      <c r="F356" s="65"/>
      <c r="G356" s="65"/>
      <c r="H356" s="7"/>
    </row>
    <row r="357" spans="1:8" ht="20.25" x14ac:dyDescent="0.25">
      <c r="A357" s="11"/>
      <c r="B357" s="65"/>
      <c r="C357" s="65"/>
      <c r="D357" s="65"/>
      <c r="E357" s="65"/>
      <c r="F357" s="65"/>
      <c r="G357" s="65"/>
      <c r="H357" s="7"/>
    </row>
    <row r="358" spans="1:8" ht="20.25" x14ac:dyDescent="0.25">
      <c r="A358" s="11"/>
      <c r="B358" s="65"/>
      <c r="C358" s="65"/>
      <c r="D358" s="65"/>
      <c r="E358" s="65"/>
      <c r="F358" s="65"/>
      <c r="G358" s="65"/>
      <c r="H358" s="7"/>
    </row>
    <row r="359" spans="1:8" ht="20.25" x14ac:dyDescent="0.25">
      <c r="A359" s="11"/>
      <c r="B359" s="65"/>
      <c r="C359" s="65"/>
      <c r="D359" s="65"/>
      <c r="E359" s="65"/>
      <c r="F359" s="65"/>
      <c r="G359" s="65"/>
      <c r="H359" s="7"/>
    </row>
    <row r="360" spans="1:8" ht="20.25" x14ac:dyDescent="0.25">
      <c r="A360" s="11"/>
      <c r="B360" s="65"/>
      <c r="C360" s="65"/>
      <c r="D360" s="65"/>
      <c r="E360" s="65"/>
      <c r="F360" s="65"/>
      <c r="G360" s="65"/>
      <c r="H360" s="7"/>
    </row>
    <row r="361" spans="1:8" ht="20.25" x14ac:dyDescent="0.25">
      <c r="A361" s="11"/>
      <c r="B361" s="65"/>
      <c r="C361" s="65"/>
      <c r="D361" s="65"/>
      <c r="E361" s="65"/>
      <c r="F361" s="65"/>
      <c r="G361" s="65"/>
      <c r="H361" s="7"/>
    </row>
    <row r="362" spans="1:8" ht="20.25" x14ac:dyDescent="0.25">
      <c r="A362" s="11"/>
      <c r="B362" s="65"/>
      <c r="C362" s="65"/>
      <c r="D362" s="65"/>
      <c r="E362" s="65"/>
      <c r="F362" s="65"/>
      <c r="G362" s="65"/>
      <c r="H362" s="7"/>
    </row>
    <row r="363" spans="1:8" ht="20.25" x14ac:dyDescent="0.25">
      <c r="A363" s="11"/>
      <c r="B363" s="65"/>
      <c r="C363" s="65"/>
      <c r="D363" s="65"/>
      <c r="E363" s="65"/>
      <c r="F363" s="65"/>
      <c r="G363" s="65"/>
      <c r="H363" s="7"/>
    </row>
    <row r="364" spans="1:8" ht="20.25" x14ac:dyDescent="0.25">
      <c r="A364" s="11"/>
      <c r="B364" s="65"/>
      <c r="C364" s="65"/>
      <c r="D364" s="65"/>
      <c r="E364" s="65"/>
      <c r="F364" s="65"/>
      <c r="G364" s="65"/>
      <c r="H364" s="7"/>
    </row>
    <row r="365" spans="1:8" ht="20.25" x14ac:dyDescent="0.25">
      <c r="A365" s="11"/>
      <c r="B365" s="65"/>
      <c r="C365" s="65"/>
      <c r="D365" s="65"/>
      <c r="E365" s="65"/>
      <c r="F365" s="65"/>
      <c r="G365" s="65"/>
      <c r="H365" s="7"/>
    </row>
    <row r="366" spans="1:8" ht="20.25" x14ac:dyDescent="0.25">
      <c r="A366" s="11"/>
      <c r="B366" s="65"/>
      <c r="C366" s="65"/>
      <c r="D366" s="65"/>
      <c r="E366" s="65"/>
      <c r="F366" s="65"/>
      <c r="G366" s="65"/>
      <c r="H366" s="7"/>
    </row>
    <row r="367" spans="1:8" ht="20.25" x14ac:dyDescent="0.25">
      <c r="A367" s="11"/>
      <c r="B367" s="65"/>
      <c r="C367" s="65"/>
      <c r="D367" s="65"/>
      <c r="E367" s="65"/>
      <c r="F367" s="65"/>
      <c r="G367" s="65"/>
      <c r="H367" s="7"/>
    </row>
    <row r="368" spans="1:8" ht="20.25" x14ac:dyDescent="0.25">
      <c r="A368" s="11"/>
      <c r="B368" s="65"/>
      <c r="C368" s="65"/>
      <c r="D368" s="65"/>
      <c r="E368" s="65"/>
      <c r="F368" s="65"/>
      <c r="G368" s="65"/>
      <c r="H368" s="7"/>
    </row>
    <row r="369" spans="1:8" ht="20.25" x14ac:dyDescent="0.25">
      <c r="A369" s="11"/>
      <c r="B369" s="65"/>
      <c r="C369" s="65"/>
      <c r="D369" s="65"/>
      <c r="E369" s="65"/>
      <c r="F369" s="65"/>
      <c r="G369" s="65"/>
      <c r="H369" s="7"/>
    </row>
    <row r="370" spans="1:8" ht="20.25" x14ac:dyDescent="0.25">
      <c r="A370" s="11"/>
      <c r="B370" s="65"/>
      <c r="C370" s="65"/>
      <c r="D370" s="65"/>
      <c r="E370" s="65"/>
      <c r="F370" s="65"/>
      <c r="G370" s="65"/>
      <c r="H370" s="7"/>
    </row>
    <row r="371" spans="1:8" ht="20.25" x14ac:dyDescent="0.25">
      <c r="A371" s="11"/>
      <c r="B371" s="65"/>
      <c r="C371" s="65"/>
      <c r="D371" s="65"/>
      <c r="E371" s="65"/>
      <c r="F371" s="65"/>
      <c r="G371" s="65"/>
      <c r="H371" s="7"/>
    </row>
    <row r="372" spans="1:8" ht="20.25" x14ac:dyDescent="0.25">
      <c r="A372" s="11"/>
      <c r="B372" s="65"/>
      <c r="C372" s="65"/>
      <c r="D372" s="65"/>
      <c r="E372" s="65"/>
      <c r="F372" s="65"/>
      <c r="G372" s="65"/>
      <c r="H372" s="7"/>
    </row>
    <row r="373" spans="1:8" ht="20.25" x14ac:dyDescent="0.25">
      <c r="A373" s="13"/>
      <c r="B373" s="14"/>
      <c r="C373" s="14"/>
      <c r="D373" s="14"/>
      <c r="E373" s="14"/>
      <c r="F373" s="14"/>
      <c r="G373" s="14"/>
      <c r="H373" s="8"/>
    </row>
    <row r="374" spans="1:8" ht="20.25" x14ac:dyDescent="0.25">
      <c r="A374" s="131" t="s">
        <v>76</v>
      </c>
      <c r="B374" s="132"/>
      <c r="C374" s="132"/>
      <c r="D374" s="132"/>
      <c r="E374" s="132"/>
      <c r="F374" s="132"/>
      <c r="G374" s="132"/>
      <c r="H374" s="133"/>
    </row>
    <row r="375" spans="1:8" ht="20.25" x14ac:dyDescent="0.25">
      <c r="A375" s="9"/>
      <c r="B375" s="10"/>
      <c r="C375" s="10"/>
      <c r="D375" s="10"/>
      <c r="E375" s="10"/>
      <c r="F375" s="10"/>
      <c r="G375" s="10"/>
      <c r="H375" s="6"/>
    </row>
    <row r="376" spans="1:8" ht="20.25" x14ac:dyDescent="0.25">
      <c r="A376" s="11"/>
      <c r="B376" s="12"/>
      <c r="C376" s="12"/>
      <c r="D376" s="12"/>
      <c r="E376" s="12"/>
      <c r="F376" s="12"/>
      <c r="G376" s="12"/>
      <c r="H376" s="7"/>
    </row>
    <row r="377" spans="1:8" ht="20.25" x14ac:dyDescent="0.25">
      <c r="A377" s="11"/>
      <c r="B377" s="12"/>
      <c r="C377" s="12"/>
      <c r="D377" s="12"/>
      <c r="E377" s="12"/>
      <c r="F377" s="12"/>
      <c r="G377" s="12"/>
      <c r="H377" s="7"/>
    </row>
    <row r="378" spans="1:8" ht="20.25" x14ac:dyDescent="0.25">
      <c r="A378" s="11"/>
      <c r="B378" s="12"/>
      <c r="C378" s="12"/>
      <c r="D378" s="12"/>
      <c r="E378" s="12"/>
      <c r="F378" s="12"/>
      <c r="G378" s="12"/>
      <c r="H378" s="7"/>
    </row>
    <row r="379" spans="1:8" ht="20.25" x14ac:dyDescent="0.25">
      <c r="A379" s="11"/>
      <c r="B379" s="12"/>
      <c r="C379" s="12"/>
      <c r="D379" s="12"/>
      <c r="E379" s="12"/>
      <c r="F379" s="12"/>
      <c r="G379" s="12"/>
      <c r="H379" s="7"/>
    </row>
    <row r="380" spans="1:8" ht="20.25" x14ac:dyDescent="0.25">
      <c r="A380" s="11"/>
      <c r="B380" s="12"/>
      <c r="C380" s="12"/>
      <c r="D380" s="12"/>
      <c r="E380" s="12"/>
      <c r="F380" s="12"/>
      <c r="G380" s="12"/>
      <c r="H380" s="7"/>
    </row>
    <row r="381" spans="1:8" ht="20.25" x14ac:dyDescent="0.25">
      <c r="A381" s="11"/>
      <c r="B381" s="12"/>
      <c r="C381" s="12"/>
      <c r="D381" s="12"/>
      <c r="E381" s="12"/>
      <c r="F381" s="12"/>
      <c r="G381" s="12"/>
      <c r="H381" s="7"/>
    </row>
    <row r="382" spans="1:8" ht="20.25" x14ac:dyDescent="0.25">
      <c r="A382" s="11"/>
      <c r="B382" s="12"/>
      <c r="C382" s="12"/>
      <c r="D382" s="12"/>
      <c r="E382" s="12"/>
      <c r="F382" s="12"/>
      <c r="G382" s="12"/>
      <c r="H382" s="7"/>
    </row>
    <row r="383" spans="1:8" ht="20.25" x14ac:dyDescent="0.25">
      <c r="A383" s="11"/>
      <c r="B383" s="12"/>
      <c r="C383" s="12"/>
      <c r="D383" s="12"/>
      <c r="E383" s="12"/>
      <c r="F383" s="12"/>
      <c r="G383" s="12"/>
      <c r="H383" s="7"/>
    </row>
    <row r="384" spans="1:8" ht="20.25" x14ac:dyDescent="0.25">
      <c r="A384" s="11"/>
      <c r="B384" s="12"/>
      <c r="C384" s="12"/>
      <c r="D384" s="12"/>
      <c r="E384" s="12"/>
      <c r="F384" s="12"/>
      <c r="G384" s="12"/>
      <c r="H384" s="7"/>
    </row>
    <row r="385" spans="1:8" ht="20.25" x14ac:dyDescent="0.25">
      <c r="A385" s="11"/>
      <c r="B385" s="12"/>
      <c r="C385" s="12"/>
      <c r="D385" s="12"/>
      <c r="E385" s="12"/>
      <c r="F385" s="12"/>
      <c r="G385" s="12"/>
      <c r="H385" s="7"/>
    </row>
    <row r="386" spans="1:8" ht="20.25" x14ac:dyDescent="0.25">
      <c r="A386" s="11"/>
      <c r="B386" s="12"/>
      <c r="C386" s="12"/>
      <c r="D386" s="12"/>
      <c r="E386" s="12"/>
      <c r="F386" s="12"/>
      <c r="G386" s="12"/>
      <c r="H386" s="7"/>
    </row>
    <row r="387" spans="1:8" ht="20.25" x14ac:dyDescent="0.25">
      <c r="A387" s="11"/>
      <c r="B387" s="12"/>
      <c r="C387" s="12"/>
      <c r="D387" s="12"/>
      <c r="E387" s="12"/>
      <c r="F387" s="12"/>
      <c r="G387" s="12"/>
      <c r="H387" s="7"/>
    </row>
    <row r="388" spans="1:8" ht="20.25" x14ac:dyDescent="0.25">
      <c r="A388" s="11"/>
      <c r="B388" s="12"/>
      <c r="C388" s="12"/>
      <c r="D388" s="12"/>
      <c r="E388" s="12"/>
      <c r="F388" s="12"/>
      <c r="G388" s="12"/>
      <c r="H388" s="7"/>
    </row>
    <row r="389" spans="1:8" ht="20.25" x14ac:dyDescent="0.25">
      <c r="A389" s="11"/>
      <c r="B389" s="12"/>
      <c r="C389" s="12"/>
      <c r="D389" s="12"/>
      <c r="E389" s="12"/>
      <c r="F389" s="12"/>
      <c r="G389" s="12"/>
      <c r="H389" s="7"/>
    </row>
    <row r="390" spans="1:8" ht="20.25" x14ac:dyDescent="0.25">
      <c r="A390" s="11"/>
      <c r="B390" s="12"/>
      <c r="C390" s="12"/>
      <c r="D390" s="12"/>
      <c r="E390" s="12"/>
      <c r="F390" s="12"/>
      <c r="G390" s="12"/>
      <c r="H390" s="7"/>
    </row>
    <row r="391" spans="1:8" ht="20.25" x14ac:dyDescent="0.25">
      <c r="A391" s="11"/>
      <c r="B391" s="12"/>
      <c r="C391" s="12"/>
      <c r="D391" s="12"/>
      <c r="E391" s="12"/>
      <c r="F391" s="12"/>
      <c r="G391" s="12"/>
      <c r="H391" s="7"/>
    </row>
    <row r="392" spans="1:8" ht="20.25" x14ac:dyDescent="0.25">
      <c r="A392" s="11"/>
      <c r="B392" s="12"/>
      <c r="C392" s="12"/>
      <c r="D392" s="12"/>
      <c r="E392" s="12"/>
      <c r="F392" s="12"/>
      <c r="G392" s="12"/>
      <c r="H392" s="7"/>
    </row>
    <row r="393" spans="1:8" ht="20.25" x14ac:dyDescent="0.25">
      <c r="A393" s="11"/>
      <c r="B393" s="12"/>
      <c r="C393" s="12"/>
      <c r="D393" s="12"/>
      <c r="E393" s="12"/>
      <c r="F393" s="12"/>
      <c r="G393" s="12"/>
      <c r="H393" s="7"/>
    </row>
    <row r="394" spans="1:8" ht="20.25" x14ac:dyDescent="0.25">
      <c r="A394" s="11"/>
      <c r="B394" s="12"/>
      <c r="C394" s="12"/>
      <c r="D394" s="12"/>
      <c r="E394" s="12"/>
      <c r="F394" s="12"/>
      <c r="G394" s="12"/>
      <c r="H394" s="7"/>
    </row>
    <row r="395" spans="1:8" ht="20.25" x14ac:dyDescent="0.25">
      <c r="A395" s="11"/>
      <c r="B395" s="12"/>
      <c r="C395" s="12"/>
      <c r="D395" s="12"/>
      <c r="E395" s="12"/>
      <c r="F395" s="12"/>
      <c r="G395" s="12"/>
      <c r="H395" s="7"/>
    </row>
    <row r="396" spans="1:8" ht="20.25" x14ac:dyDescent="0.25">
      <c r="A396" s="11"/>
      <c r="B396" s="12"/>
      <c r="C396" s="12"/>
      <c r="D396" s="12"/>
      <c r="E396" s="12"/>
      <c r="F396" s="12"/>
      <c r="G396" s="12"/>
      <c r="H396" s="7"/>
    </row>
    <row r="397" spans="1:8" ht="20.25" x14ac:dyDescent="0.25">
      <c r="A397" s="11"/>
      <c r="B397" s="12"/>
      <c r="C397" s="12"/>
      <c r="D397" s="12"/>
      <c r="E397" s="12"/>
      <c r="F397" s="12"/>
      <c r="G397" s="12"/>
      <c r="H397" s="7"/>
    </row>
    <row r="398" spans="1:8" ht="20.25" x14ac:dyDescent="0.25">
      <c r="A398" s="11"/>
      <c r="B398" s="12"/>
      <c r="C398" s="12"/>
      <c r="D398" s="12"/>
      <c r="E398" s="12"/>
      <c r="F398" s="12"/>
      <c r="G398" s="12"/>
      <c r="H398" s="7"/>
    </row>
    <row r="399" spans="1:8" ht="20.25" x14ac:dyDescent="0.25">
      <c r="A399" s="11"/>
      <c r="B399" s="12"/>
      <c r="C399" s="12"/>
      <c r="D399" s="12"/>
      <c r="E399" s="12"/>
      <c r="F399" s="12"/>
      <c r="G399" s="12"/>
      <c r="H399" s="7"/>
    </row>
    <row r="400" spans="1:8" ht="20.25" x14ac:dyDescent="0.25">
      <c r="A400" s="11"/>
      <c r="B400" s="12"/>
      <c r="C400" s="12"/>
      <c r="D400" s="12"/>
      <c r="E400" s="12"/>
      <c r="F400" s="12"/>
      <c r="G400" s="12"/>
      <c r="H400" s="7"/>
    </row>
    <row r="401" spans="1:8" ht="20.25" x14ac:dyDescent="0.25">
      <c r="A401" s="11"/>
      <c r="B401" s="12"/>
      <c r="C401" s="12"/>
      <c r="D401" s="12"/>
      <c r="E401" s="12"/>
      <c r="F401" s="12"/>
      <c r="G401" s="12"/>
      <c r="H401" s="7"/>
    </row>
    <row r="402" spans="1:8" ht="20.25" x14ac:dyDescent="0.25">
      <c r="A402" s="11"/>
      <c r="B402" s="12"/>
      <c r="C402" s="12"/>
      <c r="D402" s="12"/>
      <c r="E402" s="12"/>
      <c r="F402" s="12"/>
      <c r="G402" s="12"/>
      <c r="H402" s="7"/>
    </row>
    <row r="403" spans="1:8" ht="20.25" x14ac:dyDescent="0.25">
      <c r="A403" s="11"/>
      <c r="B403" s="12"/>
      <c r="C403" s="12"/>
      <c r="D403" s="12"/>
      <c r="E403" s="12"/>
      <c r="F403" s="12"/>
      <c r="G403" s="12"/>
      <c r="H403" s="7"/>
    </row>
    <row r="404" spans="1:8" ht="20.25" x14ac:dyDescent="0.25">
      <c r="A404" s="11"/>
      <c r="B404" s="12"/>
      <c r="C404" s="12"/>
      <c r="D404" s="12"/>
      <c r="E404" s="12"/>
      <c r="F404" s="12"/>
      <c r="G404" s="12"/>
      <c r="H404" s="7"/>
    </row>
    <row r="405" spans="1:8" ht="20.25" x14ac:dyDescent="0.25">
      <c r="A405" s="147" t="s">
        <v>24</v>
      </c>
      <c r="B405" s="147"/>
      <c r="C405" s="147"/>
      <c r="D405" s="147"/>
      <c r="E405" s="147"/>
      <c r="F405" s="147"/>
      <c r="G405" s="147"/>
      <c r="H405" s="147"/>
    </row>
    <row r="406" spans="1:8" ht="20.25" x14ac:dyDescent="0.25">
      <c r="A406" s="156" t="s">
        <v>77</v>
      </c>
      <c r="B406" s="157"/>
      <c r="C406" s="157"/>
      <c r="D406" s="157"/>
      <c r="E406" s="157"/>
      <c r="F406" s="157"/>
      <c r="G406" s="157"/>
      <c r="H406" s="158"/>
    </row>
    <row r="407" spans="1:8" ht="20.25" x14ac:dyDescent="0.25">
      <c r="A407" s="159" t="s">
        <v>78</v>
      </c>
      <c r="B407" s="160"/>
      <c r="C407" s="160"/>
      <c r="D407" s="160"/>
      <c r="E407" s="160"/>
      <c r="F407" s="160"/>
      <c r="G407" s="160"/>
      <c r="H407" s="161"/>
    </row>
    <row r="408" spans="1:8" ht="45" customHeight="1" x14ac:dyDescent="0.25">
      <c r="A408" s="159" t="s">
        <v>79</v>
      </c>
      <c r="B408" s="160"/>
      <c r="C408" s="160"/>
      <c r="D408" s="160"/>
      <c r="E408" s="160"/>
      <c r="F408" s="160"/>
      <c r="G408" s="160"/>
      <c r="H408" s="161"/>
    </row>
    <row r="409" spans="1:8" ht="42.75" customHeight="1" x14ac:dyDescent="0.25">
      <c r="A409" s="159" t="s">
        <v>80</v>
      </c>
      <c r="B409" s="160"/>
      <c r="C409" s="160"/>
      <c r="D409" s="160"/>
      <c r="E409" s="160"/>
      <c r="F409" s="160"/>
      <c r="G409" s="160"/>
      <c r="H409" s="161"/>
    </row>
    <row r="410" spans="1:8" ht="20.25" x14ac:dyDescent="0.25">
      <c r="A410" s="159" t="s">
        <v>81</v>
      </c>
      <c r="B410" s="160"/>
      <c r="C410" s="160"/>
      <c r="D410" s="160"/>
      <c r="E410" s="160"/>
      <c r="F410" s="160"/>
      <c r="G410" s="160"/>
      <c r="H410" s="161"/>
    </row>
    <row r="411" spans="1:8" ht="20.25" x14ac:dyDescent="0.25">
      <c r="A411" s="159" t="s">
        <v>82</v>
      </c>
      <c r="B411" s="160"/>
      <c r="C411" s="160"/>
      <c r="D411" s="160"/>
      <c r="E411" s="160"/>
      <c r="F411" s="160"/>
      <c r="G411" s="160"/>
      <c r="H411" s="161"/>
    </row>
    <row r="412" spans="1:8" ht="45" customHeight="1" x14ac:dyDescent="0.25">
      <c r="A412" s="159" t="s">
        <v>83</v>
      </c>
      <c r="B412" s="160"/>
      <c r="C412" s="160"/>
      <c r="D412" s="160"/>
      <c r="E412" s="160"/>
      <c r="F412" s="160"/>
      <c r="G412" s="160"/>
      <c r="H412" s="161"/>
    </row>
    <row r="413" spans="1:8" ht="45" customHeight="1" x14ac:dyDescent="0.25">
      <c r="A413" s="159" t="s">
        <v>84</v>
      </c>
      <c r="B413" s="160"/>
      <c r="C413" s="160"/>
      <c r="D413" s="160"/>
      <c r="E413" s="160"/>
      <c r="F413" s="160"/>
      <c r="G413" s="160"/>
      <c r="H413" s="161"/>
    </row>
    <row r="414" spans="1:8" ht="20.25" x14ac:dyDescent="0.25">
      <c r="A414" s="162" t="s">
        <v>85</v>
      </c>
      <c r="B414" s="163"/>
      <c r="C414" s="163"/>
      <c r="D414" s="163"/>
      <c r="E414" s="163"/>
      <c r="F414" s="163"/>
      <c r="G414" s="163"/>
      <c r="H414" s="164"/>
    </row>
    <row r="415" spans="1:8" ht="57" customHeight="1" x14ac:dyDescent="0.25">
      <c r="A415" s="166" t="s">
        <v>30</v>
      </c>
      <c r="B415" s="167"/>
      <c r="C415" s="168" t="s">
        <v>342</v>
      </c>
      <c r="D415" s="169"/>
      <c r="E415" s="166" t="s">
        <v>9</v>
      </c>
      <c r="F415" s="167"/>
      <c r="G415" s="154"/>
      <c r="H415" s="154"/>
    </row>
  </sheetData>
  <mergeCells count="467">
    <mergeCell ref="B273:H273"/>
    <mergeCell ref="A217:H217"/>
    <mergeCell ref="A219:H219"/>
    <mergeCell ref="A220:H220"/>
    <mergeCell ref="A221:B221"/>
    <mergeCell ref="A222:B222"/>
    <mergeCell ref="A257:B257"/>
    <mergeCell ref="A247:H247"/>
    <mergeCell ref="A249:H249"/>
    <mergeCell ref="A250:H250"/>
    <mergeCell ref="A251:B251"/>
    <mergeCell ref="A252:B252"/>
    <mergeCell ref="A253:B253"/>
    <mergeCell ref="A254:B254"/>
    <mergeCell ref="A255:H255"/>
    <mergeCell ref="A256:B256"/>
    <mergeCell ref="A258:B258"/>
    <mergeCell ref="A259:B259"/>
    <mergeCell ref="A260:H260"/>
    <mergeCell ref="A261:B261"/>
    <mergeCell ref="A263:B263"/>
    <mergeCell ref="A92:H92"/>
    <mergeCell ref="A93:C94"/>
    <mergeCell ref="E78:F78"/>
    <mergeCell ref="A147:H147"/>
    <mergeCell ref="A149:H149"/>
    <mergeCell ref="A177:H177"/>
    <mergeCell ref="A248:H248"/>
    <mergeCell ref="B271:H271"/>
    <mergeCell ref="B272:H272"/>
    <mergeCell ref="C139:D139"/>
    <mergeCell ref="E139:F139"/>
    <mergeCell ref="G139:H139"/>
    <mergeCell ref="A178:H178"/>
    <mergeCell ref="A150:H150"/>
    <mergeCell ref="A151:B151"/>
    <mergeCell ref="A152:B152"/>
    <mergeCell ref="A153:B153"/>
    <mergeCell ref="A154:B154"/>
    <mergeCell ref="A155:B155"/>
    <mergeCell ref="A156:B156"/>
    <mergeCell ref="A157:B157"/>
    <mergeCell ref="A158:B158"/>
    <mergeCell ref="A159:H159"/>
    <mergeCell ref="A264:B264"/>
    <mergeCell ref="A265:B265"/>
    <mergeCell ref="A262:B262"/>
    <mergeCell ref="D262:H262"/>
    <mergeCell ref="A199:H199"/>
    <mergeCell ref="A200:B200"/>
    <mergeCell ref="A202:B202"/>
    <mergeCell ref="A203:B203"/>
    <mergeCell ref="A204:B204"/>
    <mergeCell ref="A205:B205"/>
    <mergeCell ref="A206:B206"/>
    <mergeCell ref="A207:B207"/>
    <mergeCell ref="A208:H208"/>
    <mergeCell ref="A209:B209"/>
    <mergeCell ref="A210:B210"/>
    <mergeCell ref="A211:B211"/>
    <mergeCell ref="A212:B212"/>
    <mergeCell ref="A213:B213"/>
    <mergeCell ref="A214:B214"/>
    <mergeCell ref="A215:B215"/>
    <mergeCell ref="A241:B241"/>
    <mergeCell ref="A242:B242"/>
    <mergeCell ref="A243:B243"/>
    <mergeCell ref="A244:B244"/>
    <mergeCell ref="A245:B245"/>
    <mergeCell ref="A246:B246"/>
    <mergeCell ref="A233:B233"/>
    <mergeCell ref="A196:B196"/>
    <mergeCell ref="A194:B194"/>
    <mergeCell ref="A216:B216"/>
    <mergeCell ref="D213:H213"/>
    <mergeCell ref="D242:H242"/>
    <mergeCell ref="A223:B223"/>
    <mergeCell ref="A224:B224"/>
    <mergeCell ref="A225:B225"/>
    <mergeCell ref="A226:B226"/>
    <mergeCell ref="A227:B227"/>
    <mergeCell ref="A228:B228"/>
    <mergeCell ref="A238:H238"/>
    <mergeCell ref="A239:B239"/>
    <mergeCell ref="A240:B240"/>
    <mergeCell ref="A218:H218"/>
    <mergeCell ref="A129:H129"/>
    <mergeCell ref="E126:F126"/>
    <mergeCell ref="A179:H179"/>
    <mergeCell ref="A188:B188"/>
    <mergeCell ref="A189:B189"/>
    <mergeCell ref="A181:B181"/>
    <mergeCell ref="A182:B182"/>
    <mergeCell ref="A183:B183"/>
    <mergeCell ref="A184:B184"/>
    <mergeCell ref="A140:B140"/>
    <mergeCell ref="C140:D140"/>
    <mergeCell ref="E140:F140"/>
    <mergeCell ref="G140:H140"/>
    <mergeCell ref="A141:B141"/>
    <mergeCell ref="C141:D141"/>
    <mergeCell ref="E141:F141"/>
    <mergeCell ref="G141:H141"/>
    <mergeCell ref="A160:B160"/>
    <mergeCell ref="A161:B161"/>
    <mergeCell ref="A162:B162"/>
    <mergeCell ref="A148:H148"/>
    <mergeCell ref="A175:B175"/>
    <mergeCell ref="A176:B176"/>
    <mergeCell ref="A139:B139"/>
    <mergeCell ref="A108:H108"/>
    <mergeCell ref="A109:C110"/>
    <mergeCell ref="E109:F109"/>
    <mergeCell ref="E110:F110"/>
    <mergeCell ref="A111:B111"/>
    <mergeCell ref="E111:F111"/>
    <mergeCell ref="A112:B112"/>
    <mergeCell ref="E112:F123"/>
    <mergeCell ref="G112:H123"/>
    <mergeCell ref="A113:B113"/>
    <mergeCell ref="A114:B114"/>
    <mergeCell ref="A115:B115"/>
    <mergeCell ref="A116:B116"/>
    <mergeCell ref="A117:B117"/>
    <mergeCell ref="A118:B118"/>
    <mergeCell ref="A119:B119"/>
    <mergeCell ref="A120:B120"/>
    <mergeCell ref="A121:B121"/>
    <mergeCell ref="A122:B122"/>
    <mergeCell ref="A123:B123"/>
    <mergeCell ref="A124:F124"/>
    <mergeCell ref="A145:H145"/>
    <mergeCell ref="E134:F134"/>
    <mergeCell ref="E135:F135"/>
    <mergeCell ref="E136:F136"/>
    <mergeCell ref="A134:B134"/>
    <mergeCell ref="A135:B135"/>
    <mergeCell ref="C134:D134"/>
    <mergeCell ref="A136:B136"/>
    <mergeCell ref="C135:D135"/>
    <mergeCell ref="G134:H134"/>
    <mergeCell ref="G135:H135"/>
    <mergeCell ref="G136:H136"/>
    <mergeCell ref="C136:D136"/>
    <mergeCell ref="G138:H138"/>
    <mergeCell ref="A142:B142"/>
    <mergeCell ref="G142:H142"/>
    <mergeCell ref="A143:B143"/>
    <mergeCell ref="G143:H143"/>
    <mergeCell ref="G124:H124"/>
    <mergeCell ref="G128:H128"/>
    <mergeCell ref="G132:H132"/>
    <mergeCell ref="A137:H137"/>
    <mergeCell ref="A138:B138"/>
    <mergeCell ref="A68:B68"/>
    <mergeCell ref="A71:B71"/>
    <mergeCell ref="E63:F63"/>
    <mergeCell ref="E61:F61"/>
    <mergeCell ref="E62:F62"/>
    <mergeCell ref="A61:C62"/>
    <mergeCell ref="A70:B70"/>
    <mergeCell ref="A33:H33"/>
    <mergeCell ref="G30:H30"/>
    <mergeCell ref="E64:F75"/>
    <mergeCell ref="A31:B31"/>
    <mergeCell ref="A32:B32"/>
    <mergeCell ref="A46:B46"/>
    <mergeCell ref="D46:F46"/>
    <mergeCell ref="G46:H46"/>
    <mergeCell ref="A79:B79"/>
    <mergeCell ref="E79:F79"/>
    <mergeCell ref="A80:B80"/>
    <mergeCell ref="A45:B45"/>
    <mergeCell ref="A47:B47"/>
    <mergeCell ref="A48:B48"/>
    <mergeCell ref="D47:F47"/>
    <mergeCell ref="D45:F45"/>
    <mergeCell ref="D48:F48"/>
    <mergeCell ref="A58:B58"/>
    <mergeCell ref="A59:B59"/>
    <mergeCell ref="C56:F56"/>
    <mergeCell ref="C57:F57"/>
    <mergeCell ref="C58:F58"/>
    <mergeCell ref="C59:F59"/>
    <mergeCell ref="A76:H76"/>
    <mergeCell ref="A77:C78"/>
    <mergeCell ref="E77:F77"/>
    <mergeCell ref="G64:H75"/>
    <mergeCell ref="A60:H60"/>
    <mergeCell ref="A63:B63"/>
    <mergeCell ref="A64:B64"/>
    <mergeCell ref="A75:B75"/>
    <mergeCell ref="A66:B66"/>
    <mergeCell ref="E93:F93"/>
    <mergeCell ref="E94:F94"/>
    <mergeCell ref="A231:B231"/>
    <mergeCell ref="A232:B232"/>
    <mergeCell ref="G130:H130"/>
    <mergeCell ref="E138:F138"/>
    <mergeCell ref="A185:B185"/>
    <mergeCell ref="A186:B186"/>
    <mergeCell ref="A187:B187"/>
    <mergeCell ref="A180:B180"/>
    <mergeCell ref="C144:D144"/>
    <mergeCell ref="A163:B163"/>
    <mergeCell ref="A164:B164"/>
    <mergeCell ref="A165:B165"/>
    <mergeCell ref="A166:B166"/>
    <mergeCell ref="A167:B167"/>
    <mergeCell ref="A168:H168"/>
    <mergeCell ref="A169:B169"/>
    <mergeCell ref="D169:H169"/>
    <mergeCell ref="A170:B170"/>
    <mergeCell ref="A171:B171"/>
    <mergeCell ref="A172:B172"/>
    <mergeCell ref="A173:B173"/>
    <mergeCell ref="A174:B174"/>
    <mergeCell ref="D279:H279"/>
    <mergeCell ref="A324:H324"/>
    <mergeCell ref="E415:F415"/>
    <mergeCell ref="A415:B415"/>
    <mergeCell ref="C415:D415"/>
    <mergeCell ref="A1:H1"/>
    <mergeCell ref="A277:C277"/>
    <mergeCell ref="G27:H27"/>
    <mergeCell ref="G28:H28"/>
    <mergeCell ref="A37:H37"/>
    <mergeCell ref="A44:H44"/>
    <mergeCell ref="A50:H50"/>
    <mergeCell ref="A133:H133"/>
    <mergeCell ref="G131:H131"/>
    <mergeCell ref="G7:H7"/>
    <mergeCell ref="G48:H48"/>
    <mergeCell ref="G45:H45"/>
    <mergeCell ref="A25:H25"/>
    <mergeCell ref="G26:H26"/>
    <mergeCell ref="G20:H20"/>
    <mergeCell ref="G21:H21"/>
    <mergeCell ref="A9:A11"/>
    <mergeCell ref="G6:H6"/>
    <mergeCell ref="A5:H5"/>
    <mergeCell ref="A128:B128"/>
    <mergeCell ref="E127:F127"/>
    <mergeCell ref="G127:H127"/>
    <mergeCell ref="A13:H13"/>
    <mergeCell ref="C26:D26"/>
    <mergeCell ref="G415:H415"/>
    <mergeCell ref="A276:H276"/>
    <mergeCell ref="D278:H278"/>
    <mergeCell ref="A406:H406"/>
    <mergeCell ref="A412:H412"/>
    <mergeCell ref="A413:H413"/>
    <mergeCell ref="A414:H414"/>
    <mergeCell ref="A407:H407"/>
    <mergeCell ref="A408:H408"/>
    <mergeCell ref="A409:H409"/>
    <mergeCell ref="A410:H410"/>
    <mergeCell ref="A278:C278"/>
    <mergeCell ref="A405:H405"/>
    <mergeCell ref="A411:H411"/>
    <mergeCell ref="A374:H374"/>
    <mergeCell ref="D277:H277"/>
    <mergeCell ref="A279:C279"/>
    <mergeCell ref="G14:H14"/>
    <mergeCell ref="G16:H16"/>
    <mergeCell ref="G15:H15"/>
    <mergeCell ref="G18:H18"/>
    <mergeCell ref="G19:H19"/>
    <mergeCell ref="G47:H47"/>
    <mergeCell ref="G31:H31"/>
    <mergeCell ref="G22:H22"/>
    <mergeCell ref="G36:H36"/>
    <mergeCell ref="G35:H35"/>
    <mergeCell ref="C32:H32"/>
    <mergeCell ref="C18:D18"/>
    <mergeCell ref="C19:D19"/>
    <mergeCell ref="C20:D20"/>
    <mergeCell ref="C21:D21"/>
    <mergeCell ref="C22:D22"/>
    <mergeCell ref="C24:H24"/>
    <mergeCell ref="C23:H23"/>
    <mergeCell ref="G29:H29"/>
    <mergeCell ref="E26:F26"/>
    <mergeCell ref="E27:F27"/>
    <mergeCell ref="E28:F28"/>
    <mergeCell ref="E29:F29"/>
    <mergeCell ref="E96:F107"/>
    <mergeCell ref="G96:H107"/>
    <mergeCell ref="A97:B97"/>
    <mergeCell ref="A98:B98"/>
    <mergeCell ref="A99:B99"/>
    <mergeCell ref="A100:B100"/>
    <mergeCell ref="A101:B101"/>
    <mergeCell ref="A102:B102"/>
    <mergeCell ref="B275:H275"/>
    <mergeCell ref="A266:H266"/>
    <mergeCell ref="E143:F143"/>
    <mergeCell ref="C138:D138"/>
    <mergeCell ref="E142:F142"/>
    <mergeCell ref="A191:B191"/>
    <mergeCell ref="C142:D142"/>
    <mergeCell ref="E144:F144"/>
    <mergeCell ref="C143:D143"/>
    <mergeCell ref="A144:B144"/>
    <mergeCell ref="G144:H144"/>
    <mergeCell ref="A237:B237"/>
    <mergeCell ref="A195:B195"/>
    <mergeCell ref="A197:B197"/>
    <mergeCell ref="A198:B198"/>
    <mergeCell ref="A193:B193"/>
    <mergeCell ref="B268:H268"/>
    <mergeCell ref="B267:H267"/>
    <mergeCell ref="B274:H274"/>
    <mergeCell ref="B270:H270"/>
    <mergeCell ref="B269:H269"/>
    <mergeCell ref="A234:B234"/>
    <mergeCell ref="A235:B235"/>
    <mergeCell ref="A236:B236"/>
    <mergeCell ref="A125:H125"/>
    <mergeCell ref="G126:H126"/>
    <mergeCell ref="A126:B126"/>
    <mergeCell ref="A229:H229"/>
    <mergeCell ref="A230:B230"/>
    <mergeCell ref="A192:B192"/>
    <mergeCell ref="A201:B201"/>
    <mergeCell ref="A190:H190"/>
    <mergeCell ref="C126:D126"/>
    <mergeCell ref="C127:D127"/>
    <mergeCell ref="C128:D128"/>
    <mergeCell ref="E128:F128"/>
    <mergeCell ref="A130:F130"/>
    <mergeCell ref="A131:F131"/>
    <mergeCell ref="A132:F132"/>
    <mergeCell ref="A127:B127"/>
    <mergeCell ref="C3:D3"/>
    <mergeCell ref="C4:D4"/>
    <mergeCell ref="E2:F2"/>
    <mergeCell ref="E3:F3"/>
    <mergeCell ref="E4:F4"/>
    <mergeCell ref="E80:F91"/>
    <mergeCell ref="G80:H91"/>
    <mergeCell ref="A81:B81"/>
    <mergeCell ref="A82:B82"/>
    <mergeCell ref="A83:B83"/>
    <mergeCell ref="A84:B84"/>
    <mergeCell ref="A85:B85"/>
    <mergeCell ref="A86:B86"/>
    <mergeCell ref="A87:B87"/>
    <mergeCell ref="A88:B88"/>
    <mergeCell ref="A89:B89"/>
    <mergeCell ref="A90:B90"/>
    <mergeCell ref="A91:B91"/>
    <mergeCell ref="A65:B65"/>
    <mergeCell ref="C27:D27"/>
    <mergeCell ref="A72:B72"/>
    <mergeCell ref="A73:B73"/>
    <mergeCell ref="A74:B74"/>
    <mergeCell ref="G17:H17"/>
    <mergeCell ref="A20:B20"/>
    <mergeCell ref="A21:B21"/>
    <mergeCell ref="A22:B22"/>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A29:B29"/>
    <mergeCell ref="A30:B30"/>
    <mergeCell ref="E14:F14"/>
    <mergeCell ref="E15:F15"/>
    <mergeCell ref="E16:F16"/>
    <mergeCell ref="E17:F17"/>
    <mergeCell ref="E18:F18"/>
    <mergeCell ref="E19:F19"/>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26:B26"/>
    <mergeCell ref="A19:B19"/>
    <mergeCell ref="A27:B27"/>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E30:F30"/>
    <mergeCell ref="E31:F31"/>
    <mergeCell ref="C28:D28"/>
    <mergeCell ref="C29:D29"/>
    <mergeCell ref="C30:D30"/>
    <mergeCell ref="C31:D31"/>
    <mergeCell ref="A28:B28"/>
    <mergeCell ref="J38:K38"/>
    <mergeCell ref="M38:N38"/>
    <mergeCell ref="C38:E38"/>
    <mergeCell ref="F38:H38"/>
    <mergeCell ref="C39:E39"/>
    <mergeCell ref="F39:H39"/>
    <mergeCell ref="F40:H40"/>
    <mergeCell ref="C40:E40"/>
    <mergeCell ref="A41:B41"/>
    <mergeCell ref="C41:E41"/>
    <mergeCell ref="F41:H41"/>
    <mergeCell ref="A39:B39"/>
    <mergeCell ref="A40:B40"/>
    <mergeCell ref="A103:B103"/>
    <mergeCell ref="A104:B104"/>
    <mergeCell ref="A105:B105"/>
    <mergeCell ref="A106:B106"/>
    <mergeCell ref="A107:B107"/>
    <mergeCell ref="A49:B49"/>
    <mergeCell ref="D49:F49"/>
    <mergeCell ref="G49:H49"/>
    <mergeCell ref="A51:B51"/>
    <mergeCell ref="A53:B53"/>
    <mergeCell ref="A56:B56"/>
    <mergeCell ref="A57:B57"/>
    <mergeCell ref="A52:B52"/>
    <mergeCell ref="C51:H51"/>
    <mergeCell ref="C52:F52"/>
    <mergeCell ref="C53:F53"/>
    <mergeCell ref="C54:F54"/>
    <mergeCell ref="A54:B55"/>
    <mergeCell ref="C55:H55"/>
    <mergeCell ref="A67:B67"/>
    <mergeCell ref="A69:B69"/>
    <mergeCell ref="A95:B95"/>
    <mergeCell ref="E95:F95"/>
    <mergeCell ref="A96:B96"/>
  </mergeCells>
  <dataValidations count="7">
    <dataValidation type="list" allowBlank="1" showInputMessage="1" showErrorMessage="1" sqref="G6:H6" xr:uid="{00000000-0002-0000-0000-000000000000}">
      <formula1>"Mr. Suraj Khare, Mr.Vinayak,Mr. Gaurav Pawar, Mr.Manish,Mr.Vaibhav Gite,Miss Ankita Mohite"</formula1>
    </dataValidation>
    <dataValidation type="list" allowBlank="1" showInputMessage="1" showErrorMessage="1" sqref="G26:H26" xr:uid="{00000000-0002-0000-0000-000001000000}">
      <formula1>"Middle,Upper"</formula1>
    </dataValidation>
    <dataValidation type="list" allowBlank="1" showInputMessage="1" showErrorMessage="1" sqref="C128:D128" xr:uid="{00000000-0002-0000-0000-000002000000}">
      <formula1>"300000,350000,400000,500000,600000,700000,800000,900000,1000000,1200000,1400000,1500000,1600000"</formula1>
    </dataValidation>
    <dataValidation type="list" allowBlank="1" showInputMessage="1" showErrorMessage="1" sqref="F146" xr:uid="{00000000-0002-0000-0000-000003000000}">
      <formula1>"AP + Deck Area, Fungible area,Balcony Area,Chajja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C51:H51 G35:H35" xr:uid="{00000000-0002-0000-0000-000005000000}">
      <formula1>"Yes,No"</formula1>
    </dataValidation>
    <dataValidation type="list" allowBlank="1" showInputMessage="1" showErrorMessage="1" sqref="C146" xr:uid="{00000000-0002-0000-0000-000006000000}">
      <formula1>"Sale /         Rehab /           PAP,Sale / Mhada,Sale / Landowner"</formula1>
    </dataValidation>
  </dataValidations>
  <hyperlinks>
    <hyperlink ref="C23" r:id="rId1" xr:uid="{00000000-0004-0000-0000-000000000000}"/>
    <hyperlink ref="I24" r:id="rId2" xr:uid="{00000000-0004-0000-0000-000001000000}"/>
  </hyperlinks>
  <printOptions horizontalCentered="1"/>
  <pageMargins left="0.27559055118110237" right="0.27559055118110237" top="0.70866141732283472" bottom="0.47244094488188981" header="0.15748031496062992" footer="0.15748031496062992"/>
  <pageSetup paperSize="9" scale="69" fitToHeight="0" orientation="portrait" r:id="rId3"/>
  <headerFooter>
    <oddHeader>&amp;C&amp;25&amp;G</oddHeader>
    <oddFooter>&amp;L&amp;"Times New Roman,Bold"&amp;16Ref No: &amp;F&amp;R&amp;"Times New Roman,Bold"&amp;16&amp;P</oddFooter>
  </headerFooter>
  <rowBreaks count="5" manualBreakCount="5">
    <brk id="49" max="16383" man="1"/>
    <brk id="265" max="16383" man="1"/>
    <brk id="275" max="8" man="1"/>
    <brk id="323" max="16383" man="1"/>
    <brk id="373"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topLeftCell="B25" zoomScale="70" zoomScaleNormal="70" workbookViewId="0">
      <selection activeCell="H36" sqref="H36"/>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47" t="s">
        <v>68</v>
      </c>
      <c r="B3" s="147"/>
      <c r="C3" s="147"/>
      <c r="D3" s="147"/>
      <c r="E3" s="147"/>
      <c r="F3" s="147"/>
      <c r="G3" s="147"/>
      <c r="H3" s="147"/>
      <c r="I3" s="147"/>
    </row>
    <row r="4" spans="1:11" s="1" customFormat="1" ht="20.25" customHeight="1" x14ac:dyDescent="0.3">
      <c r="A4" s="194">
        <v>1</v>
      </c>
      <c r="B4" s="194"/>
      <c r="C4" s="194"/>
      <c r="D4" s="195" t="s">
        <v>4</v>
      </c>
      <c r="E4" s="35" t="s">
        <v>116</v>
      </c>
      <c r="F4" s="173" t="s">
        <v>103</v>
      </c>
      <c r="G4" s="173"/>
      <c r="H4" s="35" t="s">
        <v>117</v>
      </c>
      <c r="I4" s="35" t="s">
        <v>118</v>
      </c>
      <c r="J4" s="15"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7"/>
    </row>
    <row r="5" spans="1:11" s="1" customFormat="1" ht="20.25" x14ac:dyDescent="0.3">
      <c r="A5" s="194"/>
      <c r="B5" s="194"/>
      <c r="C5" s="194"/>
      <c r="D5" s="195"/>
      <c r="E5" s="35">
        <v>3</v>
      </c>
      <c r="F5" s="173">
        <v>1</v>
      </c>
      <c r="G5" s="173"/>
      <c r="H5" s="35">
        <v>0</v>
      </c>
      <c r="I5" s="35">
        <f ca="1">--TRIM(RIGHT(SUBSTITUTE(LEFT(A4,_xlfn.AGGREGATE(16,6,FIND({0,1,2,3,4,5,6,7,8,9},A4,ROW(INDIRECT("1:"&amp;LEN(A4)))),1))," ",REPT(" ",LEN(A4))),LEN(A4)))</f>
        <v>1</v>
      </c>
      <c r="J5" s="16" t="s">
        <v>122</v>
      </c>
      <c r="K5" s="17"/>
    </row>
    <row r="6" spans="1:11" s="1" customFormat="1" ht="20.25" customHeight="1" x14ac:dyDescent="0.3">
      <c r="A6" s="113" t="s">
        <v>120</v>
      </c>
      <c r="B6" s="113"/>
      <c r="C6" s="113" t="s">
        <v>130</v>
      </c>
      <c r="D6" s="113"/>
      <c r="E6" s="36" t="s">
        <v>131</v>
      </c>
      <c r="F6" s="113" t="s">
        <v>121</v>
      </c>
      <c r="G6" s="113"/>
      <c r="H6" s="28" t="s">
        <v>119</v>
      </c>
      <c r="I6" s="28"/>
      <c r="J6" s="19" t="s">
        <v>132</v>
      </c>
      <c r="K6" s="18">
        <f ca="1">I5*25%</f>
        <v>0.25</v>
      </c>
    </row>
    <row r="7" spans="1:11" s="1" customFormat="1" ht="20.25" customHeight="1" x14ac:dyDescent="0.3">
      <c r="A7" s="104" t="s">
        <v>133</v>
      </c>
      <c r="B7" s="104"/>
      <c r="C7" s="173">
        <f ca="1">K8</f>
        <v>1</v>
      </c>
      <c r="D7" s="173"/>
      <c r="E7" s="34">
        <f ca="1">((100/I5)*C7)/100</f>
        <v>1</v>
      </c>
      <c r="F7" s="104">
        <f ca="1">(((C7/I5*5)+(C8/I5*20)+(25/(F5+H5+I5)*C9)+(5/(I5)*C10)+(2.5/(I5)*C11)+(2.5/(I5)*C12)+(5/I5*C13)+(10/I5*C14)+(2.5/I5*C15)+(2.5/I5*C16)+(10/I5*C17)+(10/I5*C18))/100)</f>
        <v>0.25</v>
      </c>
      <c r="G7" s="104"/>
      <c r="H7" s="104" t="str">
        <f ca="1">J4</f>
        <v>Excavation work Completed. Plinth work completed</v>
      </c>
      <c r="I7" s="104"/>
      <c r="J7" s="19" t="s">
        <v>123</v>
      </c>
      <c r="K7" s="23">
        <f ca="1">I5*50%</f>
        <v>0.5</v>
      </c>
    </row>
    <row r="8" spans="1:11" s="1" customFormat="1" ht="20.25" x14ac:dyDescent="0.3">
      <c r="A8" s="104" t="s">
        <v>104</v>
      </c>
      <c r="B8" s="104"/>
      <c r="C8" s="196">
        <f ca="1">K16</f>
        <v>1</v>
      </c>
      <c r="D8" s="173"/>
      <c r="E8" s="34">
        <f ca="1">((100/I5)*C8)/100</f>
        <v>1</v>
      </c>
      <c r="F8" s="104"/>
      <c r="G8" s="104"/>
      <c r="H8" s="104"/>
      <c r="I8" s="104"/>
      <c r="J8" s="19" t="s">
        <v>124</v>
      </c>
      <c r="K8" s="23">
        <f ca="1">I5</f>
        <v>1</v>
      </c>
    </row>
    <row r="9" spans="1:11" s="1" customFormat="1" ht="21" customHeight="1" x14ac:dyDescent="0.35">
      <c r="A9" s="104" t="s">
        <v>134</v>
      </c>
      <c r="B9" s="104"/>
      <c r="C9" s="173">
        <v>0</v>
      </c>
      <c r="D9" s="173"/>
      <c r="E9" s="34">
        <f ca="1">((100/(F5+H5+I5))*C9)/100</f>
        <v>0</v>
      </c>
      <c r="F9" s="104"/>
      <c r="G9" s="104"/>
      <c r="H9" s="104"/>
      <c r="I9" s="104"/>
      <c r="J9" s="19" t="s">
        <v>125</v>
      </c>
      <c r="K9" s="24">
        <f ca="1">(IF(E5&gt;1,(I5/(E5+2)),I5*0.2))</f>
        <v>0.2</v>
      </c>
    </row>
    <row r="10" spans="1:11" s="1" customFormat="1" ht="21" customHeight="1" x14ac:dyDescent="0.35">
      <c r="A10" s="104" t="s">
        <v>135</v>
      </c>
      <c r="B10" s="104"/>
      <c r="C10" s="173">
        <v>0</v>
      </c>
      <c r="D10" s="173"/>
      <c r="E10" s="34">
        <f ca="1">((100/I5)*C10)/100</f>
        <v>0</v>
      </c>
      <c r="F10" s="104"/>
      <c r="G10" s="104"/>
      <c r="H10" s="104"/>
      <c r="I10" s="104"/>
      <c r="J10" s="19" t="s">
        <v>126</v>
      </c>
      <c r="K10" s="24">
        <f ca="1">(IF(E5&gt;1,(I5/(E5+2)+K9),I5*0.2+K9))</f>
        <v>0.4</v>
      </c>
    </row>
    <row r="11" spans="1:11" s="1" customFormat="1" ht="21" customHeight="1" x14ac:dyDescent="0.35">
      <c r="A11" s="111" t="s">
        <v>136</v>
      </c>
      <c r="B11" s="112"/>
      <c r="C11" s="173">
        <v>0</v>
      </c>
      <c r="D11" s="173"/>
      <c r="E11" s="34">
        <f ca="1">((100/I5)*C11)/100</f>
        <v>0</v>
      </c>
      <c r="F11" s="104"/>
      <c r="G11" s="104"/>
      <c r="H11" s="104"/>
      <c r="I11" s="104"/>
      <c r="J11" s="19" t="s">
        <v>137</v>
      </c>
      <c r="K11" s="24">
        <f ca="1">(IF(E5&gt;1,(I5/(E5+2)+K10),0))</f>
        <v>0.60000000000000009</v>
      </c>
    </row>
    <row r="12" spans="1:11" s="1" customFormat="1" ht="21" customHeight="1" x14ac:dyDescent="0.35">
      <c r="A12" s="111" t="s">
        <v>168</v>
      </c>
      <c r="B12" s="112"/>
      <c r="C12" s="173">
        <v>0</v>
      </c>
      <c r="D12" s="173"/>
      <c r="E12" s="34">
        <f ca="1">((100/I5)*C12)/100</f>
        <v>0</v>
      </c>
      <c r="F12" s="104"/>
      <c r="G12" s="104"/>
      <c r="H12" s="104"/>
      <c r="I12" s="104"/>
      <c r="J12" s="19" t="s">
        <v>138</v>
      </c>
      <c r="K12" s="24">
        <f ca="1">(IF(E5&gt;2,(I5/(E5+2)+K11),0))</f>
        <v>0.8</v>
      </c>
    </row>
    <row r="13" spans="1:11" s="1" customFormat="1" ht="57.75" customHeight="1" x14ac:dyDescent="0.35">
      <c r="A13" s="111" t="s">
        <v>165</v>
      </c>
      <c r="B13" s="112"/>
      <c r="C13" s="173">
        <v>0</v>
      </c>
      <c r="D13" s="173"/>
      <c r="E13" s="34">
        <f ca="1">((100/(I5))*C13)/100</f>
        <v>0</v>
      </c>
      <c r="F13" s="104"/>
      <c r="G13" s="104"/>
      <c r="H13" s="104"/>
      <c r="I13" s="104"/>
      <c r="J13" s="19" t="s">
        <v>140</v>
      </c>
      <c r="K13" s="25">
        <f>(IF(E5&gt;3,(I5/(E5+2)+K12),0))</f>
        <v>0</v>
      </c>
    </row>
    <row r="14" spans="1:11" s="1" customFormat="1" ht="21" x14ac:dyDescent="0.35">
      <c r="A14" s="104" t="s">
        <v>139</v>
      </c>
      <c r="B14" s="104"/>
      <c r="C14" s="173">
        <v>0</v>
      </c>
      <c r="D14" s="173"/>
      <c r="E14" s="34">
        <f ca="1">((100/(I5))*C14)/100</f>
        <v>0</v>
      </c>
      <c r="F14" s="104"/>
      <c r="G14" s="104"/>
      <c r="H14" s="104"/>
      <c r="I14" s="104"/>
      <c r="J14" s="19" t="s">
        <v>141</v>
      </c>
      <c r="K14" s="24">
        <f>(IF(E5&gt;4,(I5/(E5+2)+K13),0))</f>
        <v>0</v>
      </c>
    </row>
    <row r="15" spans="1:11" s="1" customFormat="1" ht="21" customHeight="1" x14ac:dyDescent="0.35">
      <c r="A15" s="104" t="s">
        <v>167</v>
      </c>
      <c r="B15" s="104"/>
      <c r="C15" s="173">
        <v>0</v>
      </c>
      <c r="D15" s="173"/>
      <c r="E15" s="34">
        <f ca="1">((100/I5)*C15)/100</f>
        <v>0</v>
      </c>
      <c r="F15" s="104"/>
      <c r="G15" s="104"/>
      <c r="H15" s="104"/>
      <c r="I15" s="104"/>
      <c r="J15" s="19" t="s">
        <v>127</v>
      </c>
      <c r="K15" s="24">
        <f>(IF(E5=1,(I5/(E5+3)+K10),IF(E5=0,(I5*0.3+K10),IF(E5&gt;1,0))))</f>
        <v>0</v>
      </c>
    </row>
    <row r="16" spans="1:11" s="1" customFormat="1" ht="21.75" thickBot="1" x14ac:dyDescent="0.4">
      <c r="A16" s="104" t="s">
        <v>166</v>
      </c>
      <c r="B16" s="104"/>
      <c r="C16" s="173">
        <v>0</v>
      </c>
      <c r="D16" s="173"/>
      <c r="E16" s="34">
        <f ca="1">((100/I5)*C16)/100</f>
        <v>0</v>
      </c>
      <c r="F16" s="104"/>
      <c r="G16" s="104"/>
      <c r="H16" s="104"/>
      <c r="I16" s="104"/>
      <c r="J16" s="21" t="s">
        <v>128</v>
      </c>
      <c r="K16" s="26">
        <f ca="1">(IF(E5&gt;1.5,(I5/(E5+2)+K10+MAX(0,K11-K10)+MAX(0,K12-K11)+MAX(0,K13-K12)+MAX(0,K14-K13)+MAX(0,K15-K14)),IF(E5=1,(I5/(E5+3)+K15),IF(E5=0,I5*0.3+K15))))</f>
        <v>1</v>
      </c>
    </row>
    <row r="17" spans="1:9" s="1" customFormat="1" ht="20.25" x14ac:dyDescent="0.25">
      <c r="A17" s="104" t="s">
        <v>142</v>
      </c>
      <c r="B17" s="104"/>
      <c r="C17" s="173">
        <v>0</v>
      </c>
      <c r="D17" s="173"/>
      <c r="E17" s="34">
        <f ca="1">((100/(I5))*C17)/100</f>
        <v>0</v>
      </c>
      <c r="F17" s="104"/>
      <c r="G17" s="104"/>
      <c r="H17" s="104"/>
      <c r="I17" s="104"/>
    </row>
    <row r="18" spans="1:9" s="1" customFormat="1" ht="20.25" x14ac:dyDescent="0.25">
      <c r="A18" s="104" t="s">
        <v>143</v>
      </c>
      <c r="B18" s="104"/>
      <c r="C18" s="173">
        <v>0</v>
      </c>
      <c r="D18" s="173"/>
      <c r="E18" s="34">
        <f ca="1">((100/(I5))*C18)/100</f>
        <v>0</v>
      </c>
      <c r="F18" s="104"/>
      <c r="G18" s="104"/>
      <c r="H18" s="104"/>
      <c r="I18" s="104"/>
    </row>
    <row r="23" spans="1:9" x14ac:dyDescent="0.25">
      <c r="B23" s="197" t="s">
        <v>169</v>
      </c>
      <c r="C23" s="197"/>
      <c r="D23" s="197"/>
      <c r="E23" s="197"/>
      <c r="F23" s="197"/>
      <c r="G23" s="197"/>
    </row>
    <row r="24" spans="1:9" ht="14.45" customHeight="1" x14ac:dyDescent="0.25">
      <c r="B24" s="200" t="s">
        <v>170</v>
      </c>
      <c r="C24" s="200" t="s">
        <v>171</v>
      </c>
      <c r="D24" s="203" t="s">
        <v>172</v>
      </c>
      <c r="E24" s="204" t="s">
        <v>173</v>
      </c>
      <c r="F24" s="201" t="s">
        <v>174</v>
      </c>
      <c r="G24" s="200" t="s">
        <v>175</v>
      </c>
    </row>
    <row r="25" spans="1:9" x14ac:dyDescent="0.25">
      <c r="B25" s="200"/>
      <c r="C25" s="200"/>
      <c r="D25" s="203"/>
      <c r="E25" s="204"/>
      <c r="F25" s="201"/>
      <c r="G25" s="200"/>
    </row>
    <row r="26" spans="1:9" x14ac:dyDescent="0.25">
      <c r="B26" s="48" t="s">
        <v>176</v>
      </c>
      <c r="C26" s="49">
        <v>10</v>
      </c>
      <c r="D26" s="49">
        <v>1</v>
      </c>
      <c r="E26" s="50"/>
      <c r="F26" s="51">
        <f>((E26/D26)*0.05)*100</f>
        <v>0</v>
      </c>
      <c r="G26" s="51">
        <f t="shared" ref="G26:G37" si="0">((E26/D26)*(C26/100))*100</f>
        <v>0</v>
      </c>
    </row>
    <row r="27" spans="1:9" x14ac:dyDescent="0.25">
      <c r="B27" s="48" t="s">
        <v>177</v>
      </c>
      <c r="C27" s="50">
        <v>10</v>
      </c>
      <c r="D27" s="50">
        <v>1</v>
      </c>
      <c r="E27" s="50"/>
      <c r="F27" s="51">
        <f>((E27/D27)*0.05)*100</f>
        <v>0</v>
      </c>
      <c r="G27" s="51">
        <f t="shared" si="0"/>
        <v>0</v>
      </c>
    </row>
    <row r="28" spans="1:9" x14ac:dyDescent="0.25">
      <c r="B28" s="48" t="s">
        <v>178</v>
      </c>
      <c r="C28" s="50">
        <v>15</v>
      </c>
      <c r="D28" s="50">
        <v>1</v>
      </c>
      <c r="E28" s="50"/>
      <c r="F28" s="51">
        <f>((E28/D28)*0.15)*100</f>
        <v>0</v>
      </c>
      <c r="G28" s="51">
        <f t="shared" si="0"/>
        <v>0</v>
      </c>
    </row>
    <row r="29" spans="1:9" x14ac:dyDescent="0.25">
      <c r="B29" s="52" t="s">
        <v>179</v>
      </c>
      <c r="C29" s="50">
        <v>25</v>
      </c>
      <c r="D29" s="50">
        <v>40</v>
      </c>
      <c r="E29" s="50"/>
      <c r="F29" s="51">
        <f>((E29/D29)*0.25)*100</f>
        <v>0</v>
      </c>
      <c r="G29" s="51">
        <f t="shared" si="0"/>
        <v>0</v>
      </c>
    </row>
    <row r="30" spans="1:9" x14ac:dyDescent="0.25">
      <c r="B30" s="52" t="s">
        <v>180</v>
      </c>
      <c r="C30" s="50">
        <v>5</v>
      </c>
      <c r="D30" s="50">
        <v>39</v>
      </c>
      <c r="E30" s="50"/>
      <c r="F30" s="51">
        <f>((E30/D30)*0.05)*100</f>
        <v>0</v>
      </c>
      <c r="G30" s="51">
        <f t="shared" si="0"/>
        <v>0</v>
      </c>
    </row>
    <row r="31" spans="1:9" ht="30" x14ac:dyDescent="0.25">
      <c r="B31" s="52" t="s">
        <v>181</v>
      </c>
      <c r="C31" s="50">
        <v>2.5</v>
      </c>
      <c r="D31" s="50">
        <v>39</v>
      </c>
      <c r="E31" s="50"/>
      <c r="F31" s="51">
        <f>((E31/D31)*0.025)*100</f>
        <v>0</v>
      </c>
      <c r="G31" s="51">
        <f t="shared" si="0"/>
        <v>0</v>
      </c>
    </row>
    <row r="32" spans="1:9" ht="30" x14ac:dyDescent="0.25">
      <c r="B32" s="52" t="s">
        <v>182</v>
      </c>
      <c r="C32" s="50">
        <v>2.5</v>
      </c>
      <c r="D32" s="50">
        <v>39</v>
      </c>
      <c r="E32" s="50"/>
      <c r="F32" s="51">
        <f>((E32/D32)*0.025)*100</f>
        <v>0</v>
      </c>
      <c r="G32" s="51">
        <f t="shared" si="0"/>
        <v>0</v>
      </c>
    </row>
    <row r="33" spans="1:7" ht="45" x14ac:dyDescent="0.25">
      <c r="B33" s="53" t="s">
        <v>183</v>
      </c>
      <c r="C33" s="50">
        <v>5</v>
      </c>
      <c r="D33" s="50">
        <v>39</v>
      </c>
      <c r="E33" s="50"/>
      <c r="F33" s="51">
        <f>((E33/D33)*0.05)*100</f>
        <v>0</v>
      </c>
      <c r="G33" s="51">
        <f t="shared" si="0"/>
        <v>0</v>
      </c>
    </row>
    <row r="34" spans="1:7" ht="30" x14ac:dyDescent="0.25">
      <c r="B34" s="53" t="s">
        <v>184</v>
      </c>
      <c r="C34" s="50">
        <v>5</v>
      </c>
      <c r="D34" s="50">
        <v>39</v>
      </c>
      <c r="E34" s="50"/>
      <c r="F34" s="51">
        <f>((E34/D34)*0.1)*100</f>
        <v>0</v>
      </c>
      <c r="G34" s="51">
        <f t="shared" si="0"/>
        <v>0</v>
      </c>
    </row>
    <row r="35" spans="1:7" ht="30" x14ac:dyDescent="0.25">
      <c r="B35" s="53" t="s">
        <v>185</v>
      </c>
      <c r="C35" s="50">
        <v>5</v>
      </c>
      <c r="D35" s="50">
        <v>39</v>
      </c>
      <c r="E35" s="50"/>
      <c r="F35" s="51">
        <f>((E35/D35)*0.05)*100</f>
        <v>0</v>
      </c>
      <c r="G35" s="51">
        <f t="shared" si="0"/>
        <v>0</v>
      </c>
    </row>
    <row r="36" spans="1:7" ht="60" x14ac:dyDescent="0.25">
      <c r="B36" s="53" t="s">
        <v>186</v>
      </c>
      <c r="C36" s="50">
        <v>10</v>
      </c>
      <c r="D36" s="50">
        <v>39</v>
      </c>
      <c r="E36" s="50"/>
      <c r="F36" s="51">
        <f>((E36/D36)*0.1)*100</f>
        <v>0</v>
      </c>
      <c r="G36" s="51">
        <f t="shared" si="0"/>
        <v>0</v>
      </c>
    </row>
    <row r="37" spans="1:7" ht="45" x14ac:dyDescent="0.25">
      <c r="B37" s="53" t="s">
        <v>187</v>
      </c>
      <c r="C37" s="50">
        <v>5</v>
      </c>
      <c r="D37" s="50">
        <v>39</v>
      </c>
      <c r="E37" s="50"/>
      <c r="F37" s="51">
        <f>((E37/D37)*0.1)*100</f>
        <v>0</v>
      </c>
      <c r="G37" s="51">
        <f t="shared" si="0"/>
        <v>0</v>
      </c>
    </row>
    <row r="38" spans="1:7" ht="15.75" x14ac:dyDescent="0.25">
      <c r="B38" s="54" t="s">
        <v>188</v>
      </c>
      <c r="C38" s="55">
        <f>SUM(C26:C37)</f>
        <v>100</v>
      </c>
      <c r="D38" s="54"/>
      <c r="E38" s="54"/>
      <c r="F38" s="55">
        <f>SUM(F26:F37)</f>
        <v>0</v>
      </c>
      <c r="G38" s="55">
        <f>SUM(G26:G37)</f>
        <v>0</v>
      </c>
    </row>
    <row r="39" spans="1:7" x14ac:dyDescent="0.25">
      <c r="B39" s="201" t="s">
        <v>189</v>
      </c>
      <c r="C39" s="201"/>
      <c r="D39" s="201"/>
      <c r="E39" s="201"/>
      <c r="F39" s="201"/>
      <c r="G39" s="201"/>
    </row>
    <row r="40" spans="1:7" x14ac:dyDescent="0.25">
      <c r="B40" s="202" t="s">
        <v>190</v>
      </c>
      <c r="C40" s="202"/>
      <c r="D40" s="202"/>
      <c r="E40" s="202" t="s">
        <v>191</v>
      </c>
      <c r="F40" s="202"/>
      <c r="G40" s="202"/>
    </row>
    <row r="41" spans="1:7" x14ac:dyDescent="0.25">
      <c r="B41" s="198" t="s">
        <v>192</v>
      </c>
      <c r="C41" s="198"/>
      <c r="D41" s="198"/>
      <c r="E41" s="198" t="s">
        <v>193</v>
      </c>
      <c r="F41" s="198"/>
      <c r="G41" s="198"/>
    </row>
    <row r="42" spans="1:7" x14ac:dyDescent="0.25">
      <c r="B42" s="198" t="s">
        <v>194</v>
      </c>
      <c r="C42" s="198"/>
      <c r="D42" s="198"/>
      <c r="E42" s="198" t="s">
        <v>195</v>
      </c>
      <c r="F42" s="198"/>
      <c r="G42" s="198"/>
    </row>
    <row r="43" spans="1:7" x14ac:dyDescent="0.25">
      <c r="B43" s="199" t="s">
        <v>196</v>
      </c>
      <c r="C43" s="199"/>
      <c r="D43" s="199"/>
      <c r="E43" s="199" t="s">
        <v>197</v>
      </c>
      <c r="F43" s="199"/>
      <c r="G43" s="199"/>
    </row>
    <row r="45" spans="1:7" ht="15.75" thickBot="1" x14ac:dyDescent="0.3"/>
    <row r="46" spans="1:7" ht="17.25" thickTop="1" thickBot="1" x14ac:dyDescent="0.3">
      <c r="A46" s="56" t="s">
        <v>198</v>
      </c>
      <c r="B46" s="56" t="s">
        <v>170</v>
      </c>
      <c r="C46" s="57" t="s">
        <v>199</v>
      </c>
      <c r="D46" s="57" t="s">
        <v>200</v>
      </c>
      <c r="E46" s="57" t="s">
        <v>201</v>
      </c>
    </row>
    <row r="47" spans="1:7" ht="31.5" thickTop="1" thickBot="1" x14ac:dyDescent="0.3">
      <c r="A47" s="58">
        <v>1</v>
      </c>
      <c r="B47" s="59" t="s">
        <v>202</v>
      </c>
      <c r="C47" s="60">
        <v>0</v>
      </c>
      <c r="D47" s="61">
        <v>0.1</v>
      </c>
      <c r="E47" s="60">
        <v>0.1</v>
      </c>
    </row>
    <row r="48" spans="1:7" ht="31.5" thickTop="1" thickBot="1" x14ac:dyDescent="0.3">
      <c r="A48" s="58">
        <v>2</v>
      </c>
      <c r="B48" s="59" t="s">
        <v>203</v>
      </c>
      <c r="C48" s="60" t="s">
        <v>204</v>
      </c>
      <c r="D48" s="61" t="s">
        <v>205</v>
      </c>
      <c r="E48" s="60">
        <v>0.3</v>
      </c>
    </row>
    <row r="49" spans="1:5" ht="61.5" thickTop="1" thickBot="1" x14ac:dyDescent="0.3">
      <c r="A49" s="58">
        <v>3</v>
      </c>
      <c r="B49" s="59" t="s">
        <v>206</v>
      </c>
      <c r="C49" s="60" t="s">
        <v>207</v>
      </c>
      <c r="D49" s="61" t="s">
        <v>208</v>
      </c>
      <c r="E49" s="60">
        <v>0.45</v>
      </c>
    </row>
    <row r="50" spans="1:5" ht="76.5" thickTop="1" thickBot="1" x14ac:dyDescent="0.3">
      <c r="A50" s="58">
        <v>4</v>
      </c>
      <c r="B50" s="59" t="s">
        <v>209</v>
      </c>
      <c r="C50" s="60" t="s">
        <v>210</v>
      </c>
      <c r="D50" s="61" t="s">
        <v>211</v>
      </c>
      <c r="E50" s="60">
        <v>0.7</v>
      </c>
    </row>
    <row r="51" spans="1:5" ht="76.5" thickTop="1" thickBot="1" x14ac:dyDescent="0.3">
      <c r="A51" s="58">
        <v>5</v>
      </c>
      <c r="B51" s="59" t="s">
        <v>212</v>
      </c>
      <c r="C51" s="60" t="s">
        <v>213</v>
      </c>
      <c r="D51" s="61" t="s">
        <v>214</v>
      </c>
      <c r="E51" s="60">
        <v>0.75</v>
      </c>
    </row>
    <row r="52" spans="1:5" ht="76.5" thickTop="1" thickBot="1" x14ac:dyDescent="0.3">
      <c r="A52" s="58">
        <v>6</v>
      </c>
      <c r="B52" s="59" t="s">
        <v>215</v>
      </c>
      <c r="C52" s="60" t="s">
        <v>216</v>
      </c>
      <c r="D52" s="61" t="s">
        <v>217</v>
      </c>
      <c r="E52" s="60">
        <v>0.8</v>
      </c>
    </row>
    <row r="53" spans="1:5" ht="121.5" thickTop="1" thickBot="1" x14ac:dyDescent="0.3">
      <c r="A53" s="58">
        <v>7</v>
      </c>
      <c r="B53" s="59" t="s">
        <v>218</v>
      </c>
      <c r="C53" s="60" t="s">
        <v>219</v>
      </c>
      <c r="D53" s="61" t="s">
        <v>220</v>
      </c>
      <c r="E53" s="60">
        <v>0.85</v>
      </c>
    </row>
    <row r="54" spans="1:5" ht="211.5" thickTop="1" thickBot="1" x14ac:dyDescent="0.3">
      <c r="A54" s="58">
        <v>8</v>
      </c>
      <c r="B54" s="59" t="s">
        <v>221</v>
      </c>
      <c r="C54" s="60" t="s">
        <v>222</v>
      </c>
      <c r="D54" s="61" t="s">
        <v>223</v>
      </c>
      <c r="E54" s="60">
        <v>0.95</v>
      </c>
    </row>
    <row r="55" spans="1:5" ht="91.5" thickTop="1" thickBot="1" x14ac:dyDescent="0.3">
      <c r="A55" s="58">
        <v>9</v>
      </c>
      <c r="B55" s="59" t="s">
        <v>224</v>
      </c>
      <c r="C55" s="60" t="s">
        <v>225</v>
      </c>
      <c r="D55" s="61" t="s">
        <v>226</v>
      </c>
      <c r="E55" s="60">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35"/>
  <sheetViews>
    <sheetView topLeftCell="A34" workbookViewId="0">
      <selection activeCell="C37" sqref="C37"/>
    </sheetView>
  </sheetViews>
  <sheetFormatPr defaultRowHeight="15" x14ac:dyDescent="0.25"/>
  <cols>
    <col min="2" max="2" width="3" bestFit="1" customWidth="1"/>
    <col min="3" max="3" width="155.28515625" customWidth="1"/>
  </cols>
  <sheetData>
    <row r="2" spans="2:3" ht="30" x14ac:dyDescent="0.25">
      <c r="B2" s="50">
        <v>1</v>
      </c>
      <c r="C2" s="68" t="s">
        <v>245</v>
      </c>
    </row>
    <row r="3" spans="2:3" x14ac:dyDescent="0.25">
      <c r="B3" s="50">
        <v>2</v>
      </c>
      <c r="C3" s="69" t="s">
        <v>246</v>
      </c>
    </row>
    <row r="4" spans="2:3" x14ac:dyDescent="0.25">
      <c r="B4" s="50">
        <v>3</v>
      </c>
      <c r="C4" s="70" t="s">
        <v>247</v>
      </c>
    </row>
    <row r="5" spans="2:3" x14ac:dyDescent="0.25">
      <c r="B5" s="50">
        <v>4</v>
      </c>
      <c r="C5" s="69" t="s">
        <v>248</v>
      </c>
    </row>
    <row r="6" spans="2:3" x14ac:dyDescent="0.25">
      <c r="B6" s="50">
        <v>5</v>
      </c>
      <c r="C6" s="70" t="s">
        <v>249</v>
      </c>
    </row>
    <row r="7" spans="2:3" ht="30" x14ac:dyDescent="0.25">
      <c r="B7" s="50">
        <v>6</v>
      </c>
      <c r="C7" s="69" t="s">
        <v>250</v>
      </c>
    </row>
    <row r="8" spans="2:3" ht="75" x14ac:dyDescent="0.25">
      <c r="B8" s="50">
        <v>7</v>
      </c>
      <c r="C8" s="69" t="s">
        <v>251</v>
      </c>
    </row>
    <row r="9" spans="2:3" x14ac:dyDescent="0.25">
      <c r="B9" s="50">
        <v>8</v>
      </c>
      <c r="C9" s="70" t="s">
        <v>252</v>
      </c>
    </row>
    <row r="10" spans="2:3" x14ac:dyDescent="0.25">
      <c r="B10" s="50">
        <v>9</v>
      </c>
      <c r="C10" s="70" t="s">
        <v>253</v>
      </c>
    </row>
    <row r="11" spans="2:3" x14ac:dyDescent="0.25">
      <c r="B11" s="50">
        <v>10</v>
      </c>
      <c r="C11" s="70" t="s">
        <v>254</v>
      </c>
    </row>
    <row r="12" spans="2:3" x14ac:dyDescent="0.25">
      <c r="B12" s="50">
        <v>11</v>
      </c>
      <c r="C12" s="70" t="s">
        <v>255</v>
      </c>
    </row>
    <row r="13" spans="2:3" x14ac:dyDescent="0.25">
      <c r="B13" s="50">
        <v>12</v>
      </c>
      <c r="C13" s="70" t="s">
        <v>256</v>
      </c>
    </row>
    <row r="14" spans="2:3" x14ac:dyDescent="0.25">
      <c r="B14" s="50">
        <v>13</v>
      </c>
      <c r="C14" s="70" t="s">
        <v>257</v>
      </c>
    </row>
    <row r="15" spans="2:3" x14ac:dyDescent="0.25">
      <c r="B15" s="50">
        <v>14</v>
      </c>
      <c r="C15" s="70" t="s">
        <v>247</v>
      </c>
    </row>
    <row r="16" spans="2:3" x14ac:dyDescent="0.25">
      <c r="B16" s="50">
        <v>15</v>
      </c>
      <c r="C16" s="70" t="s">
        <v>239</v>
      </c>
    </row>
    <row r="17" spans="2:3" x14ac:dyDescent="0.25">
      <c r="B17" s="71">
        <v>16</v>
      </c>
      <c r="C17" s="72" t="s">
        <v>258</v>
      </c>
    </row>
    <row r="18" spans="2:3" x14ac:dyDescent="0.25">
      <c r="B18" s="73">
        <v>17</v>
      </c>
      <c r="C18" s="72" t="s">
        <v>259</v>
      </c>
    </row>
    <row r="19" spans="2:3" x14ac:dyDescent="0.25">
      <c r="B19" s="74">
        <v>18</v>
      </c>
      <c r="C19" s="50" t="s">
        <v>260</v>
      </c>
    </row>
    <row r="20" spans="2:3" x14ac:dyDescent="0.25">
      <c r="B20" s="73">
        <v>19</v>
      </c>
      <c r="C20" s="50" t="s">
        <v>261</v>
      </c>
    </row>
    <row r="21" spans="2:3" x14ac:dyDescent="0.25">
      <c r="B21" s="75">
        <v>20</v>
      </c>
      <c r="C21" s="50" t="s">
        <v>262</v>
      </c>
    </row>
    <row r="22" spans="2:3" x14ac:dyDescent="0.25">
      <c r="B22" s="73">
        <v>21</v>
      </c>
      <c r="C22" s="50" t="s">
        <v>260</v>
      </c>
    </row>
    <row r="23" spans="2:3" s="77" customFormat="1" ht="30" x14ac:dyDescent="0.25">
      <c r="B23" s="76">
        <v>22</v>
      </c>
      <c r="C23" s="68" t="s">
        <v>263</v>
      </c>
    </row>
    <row r="24" spans="2:3" s="77" customFormat="1" ht="30" x14ac:dyDescent="0.25">
      <c r="B24" s="78">
        <v>23</v>
      </c>
      <c r="C24" s="68" t="s">
        <v>264</v>
      </c>
    </row>
    <row r="25" spans="2:3" x14ac:dyDescent="0.25">
      <c r="B25" s="75">
        <v>24</v>
      </c>
      <c r="C25" s="50" t="s">
        <v>265</v>
      </c>
    </row>
    <row r="26" spans="2:3" x14ac:dyDescent="0.25">
      <c r="B26" s="73">
        <v>25</v>
      </c>
      <c r="C26" s="50" t="s">
        <v>266</v>
      </c>
    </row>
    <row r="27" spans="2:3" x14ac:dyDescent="0.25">
      <c r="B27" s="78">
        <v>26</v>
      </c>
      <c r="C27" s="75" t="s">
        <v>267</v>
      </c>
    </row>
    <row r="28" spans="2:3" x14ac:dyDescent="0.25">
      <c r="B28" s="79">
        <v>27</v>
      </c>
      <c r="C28" s="50" t="s">
        <v>268</v>
      </c>
    </row>
    <row r="29" spans="2:3" ht="60" x14ac:dyDescent="0.25">
      <c r="B29" s="80">
        <v>28</v>
      </c>
      <c r="C29" s="69" t="s">
        <v>269</v>
      </c>
    </row>
    <row r="30" spans="2:3" x14ac:dyDescent="0.25">
      <c r="B30" s="78">
        <v>29</v>
      </c>
      <c r="C30" s="50" t="s">
        <v>270</v>
      </c>
    </row>
    <row r="31" spans="2:3" ht="30" x14ac:dyDescent="0.25">
      <c r="B31" s="81">
        <v>30</v>
      </c>
      <c r="C31" s="69" t="s">
        <v>298</v>
      </c>
    </row>
    <row r="32" spans="2:3" x14ac:dyDescent="0.25">
      <c r="B32" s="78">
        <v>31</v>
      </c>
      <c r="C32" s="50" t="s">
        <v>299</v>
      </c>
    </row>
    <row r="33" spans="2:3" x14ac:dyDescent="0.25">
      <c r="B33" s="78">
        <v>32</v>
      </c>
      <c r="C33" s="50" t="s">
        <v>300</v>
      </c>
    </row>
    <row r="34" spans="2:3" ht="30" x14ac:dyDescent="0.25">
      <c r="B34" s="81">
        <v>33</v>
      </c>
      <c r="C34" s="72" t="s">
        <v>301</v>
      </c>
    </row>
    <row r="35" spans="2:3" x14ac:dyDescent="0.25">
      <c r="B35" s="78">
        <v>34</v>
      </c>
      <c r="C35" s="50"/>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44"/>
  <sheetViews>
    <sheetView workbookViewId="0">
      <selection activeCell="P28" sqref="P28"/>
    </sheetView>
  </sheetViews>
  <sheetFormatPr defaultRowHeight="15" x14ac:dyDescent="0.25"/>
  <cols>
    <col min="1" max="1" width="9.140625" style="82"/>
    <col min="2" max="2" width="12.28515625" style="82" customWidth="1"/>
    <col min="3" max="16384" width="9.140625" style="82"/>
  </cols>
  <sheetData>
    <row r="2" spans="1:12" x14ac:dyDescent="0.25">
      <c r="B2" s="83" t="s">
        <v>271</v>
      </c>
      <c r="C2" s="205"/>
      <c r="D2" s="205"/>
    </row>
    <row r="3" spans="1:12" x14ac:dyDescent="0.25">
      <c r="D3" s="84"/>
      <c r="E3" s="84"/>
      <c r="F3" s="84"/>
      <c r="G3" s="84"/>
      <c r="H3" s="84"/>
      <c r="I3" s="84"/>
    </row>
    <row r="4" spans="1:12" x14ac:dyDescent="0.25">
      <c r="A4" s="83" t="s">
        <v>272</v>
      </c>
      <c r="B4" s="67" t="s">
        <v>273</v>
      </c>
      <c r="C4" s="206" t="s">
        <v>274</v>
      </c>
      <c r="D4" s="206"/>
      <c r="E4" s="206"/>
      <c r="F4" s="67"/>
      <c r="G4" s="207" t="s">
        <v>275</v>
      </c>
      <c r="H4" s="207"/>
      <c r="I4" s="207"/>
      <c r="J4" s="208" t="s">
        <v>276</v>
      </c>
      <c r="K4" s="208"/>
      <c r="L4" s="208"/>
    </row>
    <row r="5" spans="1:12" x14ac:dyDescent="0.25">
      <c r="A5" s="83"/>
      <c r="B5" s="67"/>
      <c r="C5" s="67" t="s">
        <v>277</v>
      </c>
      <c r="D5" s="67" t="s">
        <v>278</v>
      </c>
      <c r="E5" s="67" t="s">
        <v>279</v>
      </c>
      <c r="F5" s="67"/>
      <c r="G5" s="67" t="s">
        <v>277</v>
      </c>
      <c r="H5" s="67" t="s">
        <v>278</v>
      </c>
      <c r="I5" s="67" t="s">
        <v>279</v>
      </c>
      <c r="J5" s="67" t="s">
        <v>277</v>
      </c>
      <c r="K5" s="67" t="s">
        <v>278</v>
      </c>
      <c r="L5" s="67" t="s">
        <v>279</v>
      </c>
    </row>
    <row r="6" spans="1:12" x14ac:dyDescent="0.25">
      <c r="B6" s="66" t="s">
        <v>280</v>
      </c>
      <c r="C6" s="66"/>
      <c r="D6" s="66"/>
      <c r="E6" s="66">
        <f>C6*D6</f>
        <v>0</v>
      </c>
      <c r="F6" s="66" t="s">
        <v>281</v>
      </c>
      <c r="G6" s="66"/>
      <c r="H6" s="66"/>
      <c r="I6" s="66">
        <f>G6*H6</f>
        <v>0</v>
      </c>
      <c r="J6" s="66"/>
      <c r="K6" s="66"/>
      <c r="L6" s="66">
        <f>J6*K6</f>
        <v>0</v>
      </c>
    </row>
    <row r="7" spans="1:12" x14ac:dyDescent="0.25">
      <c r="B7" s="66"/>
      <c r="C7" s="66"/>
      <c r="D7" s="66"/>
      <c r="E7" s="66">
        <f t="shared" ref="E7:E41" si="0">C7*D7</f>
        <v>0</v>
      </c>
      <c r="F7" s="66" t="s">
        <v>281</v>
      </c>
      <c r="G7" s="66"/>
      <c r="H7" s="66"/>
      <c r="I7" s="66">
        <f t="shared" ref="I7:I35" si="1">G7*H7</f>
        <v>0</v>
      </c>
      <c r="J7" s="66"/>
      <c r="K7" s="66"/>
      <c r="L7" s="66">
        <f t="shared" ref="L7:L35" si="2">J7*K7</f>
        <v>0</v>
      </c>
    </row>
    <row r="8" spans="1:12" x14ac:dyDescent="0.25">
      <c r="B8" s="66"/>
      <c r="C8" s="66"/>
      <c r="D8" s="66"/>
      <c r="E8" s="66">
        <f t="shared" si="0"/>
        <v>0</v>
      </c>
      <c r="F8" s="66"/>
      <c r="G8" s="66"/>
      <c r="H8" s="66"/>
      <c r="I8" s="66">
        <f t="shared" si="1"/>
        <v>0</v>
      </c>
      <c r="J8" s="66"/>
      <c r="K8" s="66"/>
      <c r="L8" s="66">
        <f t="shared" si="2"/>
        <v>0</v>
      </c>
    </row>
    <row r="9" spans="1:12" x14ac:dyDescent="0.25">
      <c r="B9" s="66"/>
      <c r="C9" s="66"/>
      <c r="D9" s="66"/>
      <c r="E9" s="66">
        <f t="shared" si="0"/>
        <v>0</v>
      </c>
      <c r="F9" s="66" t="s">
        <v>282</v>
      </c>
      <c r="G9" s="66"/>
      <c r="H9" s="66"/>
      <c r="I9" s="66">
        <f t="shared" si="1"/>
        <v>0</v>
      </c>
      <c r="J9" s="66"/>
      <c r="K9" s="66"/>
      <c r="L9" s="66">
        <f t="shared" si="2"/>
        <v>0</v>
      </c>
    </row>
    <row r="10" spans="1:12" x14ac:dyDescent="0.25">
      <c r="B10" s="66" t="s">
        <v>283</v>
      </c>
      <c r="C10" s="66"/>
      <c r="D10" s="66"/>
      <c r="E10" s="66">
        <f t="shared" si="0"/>
        <v>0</v>
      </c>
      <c r="F10" s="66" t="s">
        <v>282</v>
      </c>
      <c r="G10" s="66"/>
      <c r="H10" s="66"/>
      <c r="I10" s="66">
        <f t="shared" si="1"/>
        <v>0</v>
      </c>
      <c r="J10" s="66"/>
      <c r="K10" s="66"/>
      <c r="L10" s="66">
        <f t="shared" si="2"/>
        <v>0</v>
      </c>
    </row>
    <row r="11" spans="1:12" x14ac:dyDescent="0.25">
      <c r="B11" s="66"/>
      <c r="C11" s="66"/>
      <c r="D11" s="66"/>
      <c r="E11" s="66">
        <f t="shared" si="0"/>
        <v>0</v>
      </c>
      <c r="F11" s="66" t="s">
        <v>284</v>
      </c>
      <c r="G11" s="66"/>
      <c r="H11" s="66"/>
      <c r="I11" s="66">
        <f t="shared" si="1"/>
        <v>0</v>
      </c>
      <c r="J11" s="66"/>
      <c r="K11" s="66"/>
      <c r="L11" s="66">
        <f t="shared" si="2"/>
        <v>0</v>
      </c>
    </row>
    <row r="12" spans="1:12" x14ac:dyDescent="0.25">
      <c r="B12" s="66"/>
      <c r="C12" s="66"/>
      <c r="D12" s="66"/>
      <c r="E12" s="66">
        <f t="shared" si="0"/>
        <v>0</v>
      </c>
      <c r="F12" s="66"/>
      <c r="G12" s="66"/>
      <c r="H12" s="66"/>
      <c r="I12" s="66">
        <f t="shared" si="1"/>
        <v>0</v>
      </c>
      <c r="J12" s="66"/>
      <c r="K12" s="66"/>
      <c r="L12" s="66">
        <f t="shared" si="2"/>
        <v>0</v>
      </c>
    </row>
    <row r="13" spans="1:12" x14ac:dyDescent="0.25">
      <c r="B13" s="66"/>
      <c r="C13" s="66"/>
      <c r="D13" s="66"/>
      <c r="E13" s="66">
        <f t="shared" si="0"/>
        <v>0</v>
      </c>
      <c r="F13" s="66"/>
      <c r="G13" s="66"/>
      <c r="H13" s="66"/>
      <c r="I13" s="66">
        <f t="shared" si="1"/>
        <v>0</v>
      </c>
      <c r="J13" s="66"/>
      <c r="K13" s="66"/>
      <c r="L13" s="66">
        <f t="shared" si="2"/>
        <v>0</v>
      </c>
    </row>
    <row r="14" spans="1:12" x14ac:dyDescent="0.25">
      <c r="B14" s="66" t="s">
        <v>285</v>
      </c>
      <c r="C14" s="66"/>
      <c r="D14" s="66"/>
      <c r="E14" s="66">
        <f t="shared" si="0"/>
        <v>0</v>
      </c>
      <c r="F14" s="66" t="s">
        <v>282</v>
      </c>
      <c r="G14" s="66"/>
      <c r="H14" s="66"/>
      <c r="I14" s="66">
        <f t="shared" si="1"/>
        <v>0</v>
      </c>
      <c r="J14" s="66"/>
      <c r="K14" s="66"/>
      <c r="L14" s="66">
        <f t="shared" si="2"/>
        <v>0</v>
      </c>
    </row>
    <row r="15" spans="1:12" x14ac:dyDescent="0.25">
      <c r="B15" s="66"/>
      <c r="C15" s="66"/>
      <c r="D15" s="66"/>
      <c r="E15" s="66">
        <f t="shared" si="0"/>
        <v>0</v>
      </c>
      <c r="F15" s="66" t="s">
        <v>284</v>
      </c>
      <c r="G15" s="66"/>
      <c r="H15" s="66"/>
      <c r="I15" s="66">
        <f t="shared" si="1"/>
        <v>0</v>
      </c>
      <c r="J15" s="66"/>
      <c r="K15" s="66"/>
      <c r="L15" s="66">
        <f t="shared" si="2"/>
        <v>0</v>
      </c>
    </row>
    <row r="16" spans="1:12" x14ac:dyDescent="0.25">
      <c r="B16" s="66"/>
      <c r="C16" s="66"/>
      <c r="D16" s="66"/>
      <c r="E16" s="66">
        <f t="shared" si="0"/>
        <v>0</v>
      </c>
      <c r="F16" s="66"/>
      <c r="G16" s="66"/>
      <c r="H16" s="66"/>
      <c r="I16" s="66">
        <f t="shared" si="1"/>
        <v>0</v>
      </c>
      <c r="J16" s="66"/>
      <c r="K16" s="66"/>
      <c r="L16" s="66">
        <f t="shared" si="2"/>
        <v>0</v>
      </c>
    </row>
    <row r="17" spans="2:12" x14ac:dyDescent="0.25">
      <c r="B17" s="66"/>
      <c r="C17" s="66"/>
      <c r="D17" s="66"/>
      <c r="E17" s="66">
        <f t="shared" si="0"/>
        <v>0</v>
      </c>
      <c r="F17" s="66"/>
      <c r="G17" s="66"/>
      <c r="H17" s="66"/>
      <c r="I17" s="66">
        <f t="shared" si="1"/>
        <v>0</v>
      </c>
      <c r="J17" s="66"/>
      <c r="K17" s="66"/>
      <c r="L17" s="66">
        <f t="shared" si="2"/>
        <v>0</v>
      </c>
    </row>
    <row r="18" spans="2:12" x14ac:dyDescent="0.25">
      <c r="B18" s="66" t="s">
        <v>286</v>
      </c>
      <c r="C18" s="66"/>
      <c r="D18" s="66"/>
      <c r="E18" s="66">
        <f t="shared" si="0"/>
        <v>0</v>
      </c>
      <c r="F18" s="66" t="s">
        <v>282</v>
      </c>
      <c r="G18" s="66"/>
      <c r="H18" s="66"/>
      <c r="I18" s="66">
        <f t="shared" si="1"/>
        <v>0</v>
      </c>
      <c r="J18" s="66"/>
      <c r="K18" s="66"/>
      <c r="L18" s="66">
        <f t="shared" si="2"/>
        <v>0</v>
      </c>
    </row>
    <row r="19" spans="2:12" x14ac:dyDescent="0.25">
      <c r="B19" s="66"/>
      <c r="C19" s="66"/>
      <c r="D19" s="66"/>
      <c r="E19" s="66">
        <f t="shared" si="0"/>
        <v>0</v>
      </c>
      <c r="F19" s="66" t="s">
        <v>284</v>
      </c>
      <c r="G19" s="66"/>
      <c r="H19" s="66"/>
      <c r="I19" s="66">
        <f t="shared" si="1"/>
        <v>0</v>
      </c>
      <c r="J19" s="66"/>
      <c r="K19" s="66"/>
      <c r="L19" s="66">
        <f t="shared" si="2"/>
        <v>0</v>
      </c>
    </row>
    <row r="20" spans="2:12" x14ac:dyDescent="0.25">
      <c r="B20" s="66"/>
      <c r="C20" s="66"/>
      <c r="D20" s="66"/>
      <c r="E20" s="66">
        <f t="shared" si="0"/>
        <v>0</v>
      </c>
      <c r="F20" s="66"/>
      <c r="G20" s="66"/>
      <c r="H20" s="66"/>
      <c r="I20" s="66">
        <f t="shared" si="1"/>
        <v>0</v>
      </c>
      <c r="J20" s="66"/>
      <c r="K20" s="66"/>
      <c r="L20" s="66">
        <f t="shared" si="2"/>
        <v>0</v>
      </c>
    </row>
    <row r="21" spans="2:12" x14ac:dyDescent="0.25">
      <c r="B21" s="66" t="s">
        <v>287</v>
      </c>
      <c r="C21" s="66"/>
      <c r="D21" s="66"/>
      <c r="E21" s="66">
        <f t="shared" si="0"/>
        <v>0</v>
      </c>
      <c r="F21" s="66" t="s">
        <v>282</v>
      </c>
      <c r="G21" s="66"/>
      <c r="H21" s="66"/>
      <c r="I21" s="66">
        <f t="shared" si="1"/>
        <v>0</v>
      </c>
      <c r="J21" s="66"/>
      <c r="K21" s="66"/>
      <c r="L21" s="66">
        <f t="shared" si="2"/>
        <v>0</v>
      </c>
    </row>
    <row r="22" spans="2:12" x14ac:dyDescent="0.25">
      <c r="B22" s="66"/>
      <c r="C22" s="66"/>
      <c r="D22" s="66"/>
      <c r="E22" s="66">
        <f t="shared" si="0"/>
        <v>0</v>
      </c>
      <c r="F22" s="66" t="s">
        <v>284</v>
      </c>
      <c r="G22" s="66"/>
      <c r="H22" s="66"/>
      <c r="I22" s="66">
        <f t="shared" si="1"/>
        <v>0</v>
      </c>
      <c r="J22" s="66"/>
      <c r="K22" s="66"/>
      <c r="L22" s="66">
        <f t="shared" si="2"/>
        <v>0</v>
      </c>
    </row>
    <row r="23" spans="2:12" x14ac:dyDescent="0.25">
      <c r="B23" s="66"/>
      <c r="C23" s="66"/>
      <c r="D23" s="66"/>
      <c r="E23" s="66">
        <f t="shared" si="0"/>
        <v>0</v>
      </c>
      <c r="F23" s="66"/>
      <c r="G23" s="66"/>
      <c r="H23" s="66"/>
      <c r="I23" s="66">
        <f t="shared" si="1"/>
        <v>0</v>
      </c>
      <c r="J23" s="66"/>
      <c r="K23" s="66"/>
      <c r="L23" s="66">
        <f t="shared" si="2"/>
        <v>0</v>
      </c>
    </row>
    <row r="24" spans="2:12" x14ac:dyDescent="0.25">
      <c r="B24" s="66" t="s">
        <v>288</v>
      </c>
      <c r="C24" s="66"/>
      <c r="D24" s="66"/>
      <c r="E24" s="66">
        <f t="shared" si="0"/>
        <v>0</v>
      </c>
      <c r="F24" s="66" t="s">
        <v>289</v>
      </c>
      <c r="G24" s="66"/>
      <c r="H24" s="66"/>
      <c r="I24" s="66">
        <f t="shared" si="1"/>
        <v>0</v>
      </c>
      <c r="J24" s="66"/>
      <c r="K24" s="66"/>
      <c r="L24" s="66">
        <f t="shared" si="2"/>
        <v>0</v>
      </c>
    </row>
    <row r="25" spans="2:12" x14ac:dyDescent="0.25">
      <c r="B25" s="66"/>
      <c r="C25" s="66"/>
      <c r="D25" s="66"/>
      <c r="E25" s="66">
        <f t="shared" si="0"/>
        <v>0</v>
      </c>
      <c r="F25" s="66" t="s">
        <v>289</v>
      </c>
      <c r="G25" s="66"/>
      <c r="H25" s="66"/>
      <c r="I25" s="66">
        <f t="shared" si="1"/>
        <v>0</v>
      </c>
      <c r="J25" s="66"/>
      <c r="K25" s="66"/>
      <c r="L25" s="66">
        <f t="shared" si="2"/>
        <v>0</v>
      </c>
    </row>
    <row r="26" spans="2:12" x14ac:dyDescent="0.25">
      <c r="B26" s="66"/>
      <c r="C26" s="66"/>
      <c r="D26" s="66"/>
      <c r="E26" s="66">
        <f t="shared" si="0"/>
        <v>0</v>
      </c>
      <c r="F26" s="66" t="s">
        <v>289</v>
      </c>
      <c r="G26" s="66"/>
      <c r="H26" s="66"/>
      <c r="I26" s="66">
        <f t="shared" si="1"/>
        <v>0</v>
      </c>
      <c r="J26" s="66"/>
      <c r="K26" s="66"/>
      <c r="L26" s="66">
        <f t="shared" si="2"/>
        <v>0</v>
      </c>
    </row>
    <row r="27" spans="2:12" x14ac:dyDescent="0.25">
      <c r="B27" s="66"/>
      <c r="C27" s="66"/>
      <c r="D27" s="66"/>
      <c r="E27" s="66">
        <f t="shared" si="0"/>
        <v>0</v>
      </c>
      <c r="F27" s="66" t="s">
        <v>289</v>
      </c>
      <c r="G27" s="66"/>
      <c r="H27" s="66"/>
      <c r="I27" s="66">
        <f t="shared" si="1"/>
        <v>0</v>
      </c>
      <c r="J27" s="66"/>
      <c r="K27" s="66"/>
      <c r="L27" s="66">
        <f t="shared" si="2"/>
        <v>0</v>
      </c>
    </row>
    <row r="28" spans="2:12" x14ac:dyDescent="0.25">
      <c r="B28" s="66" t="s">
        <v>290</v>
      </c>
      <c r="C28" s="66"/>
      <c r="D28" s="66"/>
      <c r="E28" s="66">
        <f t="shared" si="0"/>
        <v>0</v>
      </c>
      <c r="F28" s="66" t="s">
        <v>289</v>
      </c>
      <c r="G28" s="66"/>
      <c r="H28" s="66"/>
      <c r="I28" s="66">
        <f t="shared" si="1"/>
        <v>0</v>
      </c>
      <c r="J28" s="66"/>
      <c r="K28" s="66"/>
      <c r="L28" s="66">
        <f t="shared" si="2"/>
        <v>0</v>
      </c>
    </row>
    <row r="29" spans="2:12" x14ac:dyDescent="0.25">
      <c r="B29" s="66" t="s">
        <v>291</v>
      </c>
      <c r="C29" s="66"/>
      <c r="D29" s="66"/>
      <c r="E29" s="66">
        <f t="shared" si="0"/>
        <v>0</v>
      </c>
      <c r="F29" s="66" t="s">
        <v>289</v>
      </c>
      <c r="G29" s="66"/>
      <c r="H29" s="66"/>
      <c r="I29" s="66">
        <f t="shared" si="1"/>
        <v>0</v>
      </c>
      <c r="J29" s="66"/>
      <c r="K29" s="66"/>
      <c r="L29" s="66">
        <f t="shared" si="2"/>
        <v>0</v>
      </c>
    </row>
    <row r="30" spans="2:12" x14ac:dyDescent="0.25">
      <c r="B30" s="66" t="s">
        <v>292</v>
      </c>
      <c r="C30" s="66"/>
      <c r="D30" s="66"/>
      <c r="E30" s="66">
        <f t="shared" si="0"/>
        <v>0</v>
      </c>
      <c r="F30" s="66"/>
      <c r="G30" s="66"/>
      <c r="H30" s="66"/>
      <c r="I30" s="66">
        <f t="shared" si="1"/>
        <v>0</v>
      </c>
      <c r="J30" s="66"/>
      <c r="K30" s="66"/>
      <c r="L30" s="66">
        <f t="shared" si="2"/>
        <v>0</v>
      </c>
    </row>
    <row r="31" spans="2:12" x14ac:dyDescent="0.25">
      <c r="B31" s="66"/>
      <c r="C31" s="66"/>
      <c r="D31" s="66"/>
      <c r="E31" s="66">
        <f t="shared" si="0"/>
        <v>0</v>
      </c>
      <c r="F31" s="66"/>
      <c r="G31" s="66"/>
      <c r="H31" s="66"/>
      <c r="I31" s="66">
        <f t="shared" si="1"/>
        <v>0</v>
      </c>
      <c r="J31" s="66"/>
      <c r="K31" s="66"/>
      <c r="L31" s="66">
        <f t="shared" si="2"/>
        <v>0</v>
      </c>
    </row>
    <row r="32" spans="2:12" x14ac:dyDescent="0.25">
      <c r="B32" s="66"/>
      <c r="C32" s="66"/>
      <c r="D32" s="66"/>
      <c r="E32" s="66">
        <f t="shared" si="0"/>
        <v>0</v>
      </c>
      <c r="F32" s="66"/>
      <c r="G32" s="66"/>
      <c r="H32" s="66"/>
      <c r="I32" s="66">
        <f t="shared" si="1"/>
        <v>0</v>
      </c>
      <c r="J32" s="66"/>
      <c r="K32" s="66"/>
      <c r="L32" s="66">
        <f t="shared" si="2"/>
        <v>0</v>
      </c>
    </row>
    <row r="33" spans="2:12" x14ac:dyDescent="0.25">
      <c r="B33" s="66" t="s">
        <v>293</v>
      </c>
      <c r="C33" s="66"/>
      <c r="D33" s="66"/>
      <c r="E33" s="66">
        <f t="shared" si="0"/>
        <v>0</v>
      </c>
      <c r="F33" s="66"/>
      <c r="G33" s="66"/>
      <c r="H33" s="66"/>
      <c r="I33" s="66">
        <f t="shared" si="1"/>
        <v>0</v>
      </c>
      <c r="J33" s="66"/>
      <c r="K33" s="66"/>
      <c r="L33" s="66">
        <f t="shared" si="2"/>
        <v>0</v>
      </c>
    </row>
    <row r="34" spans="2:12" x14ac:dyDescent="0.25">
      <c r="B34" s="66" t="s">
        <v>294</v>
      </c>
      <c r="C34" s="66"/>
      <c r="D34" s="66"/>
      <c r="E34" s="66">
        <f t="shared" si="0"/>
        <v>0</v>
      </c>
      <c r="F34" s="66"/>
      <c r="G34" s="66"/>
      <c r="H34" s="66"/>
      <c r="I34" s="66">
        <f t="shared" si="1"/>
        <v>0</v>
      </c>
      <c r="J34" s="66"/>
      <c r="K34" s="66"/>
      <c r="L34" s="66">
        <f t="shared" si="2"/>
        <v>0</v>
      </c>
    </row>
    <row r="35" spans="2:12" x14ac:dyDescent="0.25">
      <c r="B35" s="66" t="s">
        <v>295</v>
      </c>
      <c r="C35" s="66"/>
      <c r="D35" s="66"/>
      <c r="E35" s="66">
        <f t="shared" si="0"/>
        <v>0</v>
      </c>
      <c r="F35" s="66"/>
      <c r="G35" s="66"/>
      <c r="H35" s="66"/>
      <c r="I35" s="66">
        <f t="shared" si="1"/>
        <v>0</v>
      </c>
      <c r="J35" s="66"/>
      <c r="K35" s="66"/>
      <c r="L35" s="66">
        <f t="shared" si="2"/>
        <v>0</v>
      </c>
    </row>
    <row r="36" spans="2:12" x14ac:dyDescent="0.25">
      <c r="B36" s="66" t="s">
        <v>296</v>
      </c>
      <c r="C36" s="66"/>
      <c r="D36" s="66"/>
      <c r="E36" s="66">
        <f t="shared" si="0"/>
        <v>0</v>
      </c>
      <c r="F36" s="66"/>
      <c r="G36" s="66"/>
      <c r="H36" s="66"/>
      <c r="I36" s="66">
        <f>G36*H36</f>
        <v>0</v>
      </c>
      <c r="J36" s="66"/>
      <c r="K36" s="66"/>
      <c r="L36" s="66">
        <f>J36*K36</f>
        <v>0</v>
      </c>
    </row>
    <row r="37" spans="2:12" x14ac:dyDescent="0.25">
      <c r="B37" s="66"/>
      <c r="C37" s="66"/>
      <c r="D37" s="66"/>
      <c r="E37" s="66">
        <f t="shared" si="0"/>
        <v>0</v>
      </c>
      <c r="F37" s="66"/>
      <c r="G37" s="66"/>
      <c r="H37" s="66"/>
      <c r="I37" s="66">
        <f t="shared" ref="I37:I38" si="3">G37*H37</f>
        <v>0</v>
      </c>
      <c r="J37" s="66"/>
      <c r="K37" s="66"/>
      <c r="L37" s="66">
        <f t="shared" ref="L37:L38" si="4">J37*K37</f>
        <v>0</v>
      </c>
    </row>
    <row r="38" spans="2:12" x14ac:dyDescent="0.25">
      <c r="B38" s="66" t="s">
        <v>297</v>
      </c>
      <c r="C38" s="66"/>
      <c r="D38" s="66"/>
      <c r="E38" s="66">
        <f t="shared" si="0"/>
        <v>0</v>
      </c>
      <c r="F38" s="66"/>
      <c r="G38" s="66"/>
      <c r="H38" s="66"/>
      <c r="I38" s="66">
        <f t="shared" si="3"/>
        <v>0</v>
      </c>
      <c r="J38" s="66"/>
      <c r="K38" s="66"/>
      <c r="L38" s="66">
        <f t="shared" si="4"/>
        <v>0</v>
      </c>
    </row>
    <row r="39" spans="2:12" x14ac:dyDescent="0.25">
      <c r="B39" s="66"/>
      <c r="C39" s="66"/>
      <c r="D39" s="66"/>
      <c r="E39" s="66">
        <f t="shared" si="0"/>
        <v>0</v>
      </c>
      <c r="F39" s="66"/>
      <c r="G39" s="66"/>
      <c r="H39" s="66"/>
      <c r="I39" s="66">
        <f>G39*H39</f>
        <v>0</v>
      </c>
      <c r="J39" s="66"/>
      <c r="K39" s="66"/>
      <c r="L39" s="66">
        <f>J39*K39</f>
        <v>0</v>
      </c>
    </row>
    <row r="40" spans="2:12" x14ac:dyDescent="0.25">
      <c r="B40" s="66"/>
      <c r="C40" s="66"/>
      <c r="D40" s="66"/>
      <c r="E40" s="66">
        <f t="shared" si="0"/>
        <v>0</v>
      </c>
      <c r="F40" s="66"/>
      <c r="G40" s="66"/>
      <c r="H40" s="66"/>
      <c r="I40" s="66">
        <f>G40*H40</f>
        <v>0</v>
      </c>
      <c r="J40" s="66"/>
      <c r="K40" s="66"/>
      <c r="L40" s="66">
        <f>J40*K40</f>
        <v>0</v>
      </c>
    </row>
    <row r="41" spans="2:12" x14ac:dyDescent="0.25">
      <c r="B41" s="66"/>
      <c r="C41" s="66"/>
      <c r="D41" s="66"/>
      <c r="E41" s="66">
        <f t="shared" si="0"/>
        <v>0</v>
      </c>
      <c r="F41" s="66"/>
      <c r="G41" s="66"/>
      <c r="H41" s="66"/>
      <c r="I41" s="66">
        <f>G41*H41</f>
        <v>0</v>
      </c>
      <c r="J41" s="66"/>
      <c r="K41" s="66"/>
      <c r="L41" s="66">
        <f>J41*K41</f>
        <v>0</v>
      </c>
    </row>
    <row r="42" spans="2:12" x14ac:dyDescent="0.25">
      <c r="B42" s="66" t="s">
        <v>153</v>
      </c>
      <c r="C42" s="66"/>
      <c r="D42" s="66">
        <f>E42*10.764</f>
        <v>0</v>
      </c>
      <c r="E42" s="85">
        <f>SUM(E6:E41)</f>
        <v>0</v>
      </c>
      <c r="F42" s="66"/>
      <c r="G42" s="66"/>
      <c r="H42" s="66">
        <f>I42*10.764</f>
        <v>0</v>
      </c>
      <c r="I42" s="86">
        <f>SUM(I6:I41)</f>
        <v>0</v>
      </c>
      <c r="J42" s="66"/>
      <c r="K42" s="66">
        <f>L42*10.764</f>
        <v>0</v>
      </c>
      <c r="L42" s="87">
        <f>SUM(L6:L41)</f>
        <v>0</v>
      </c>
    </row>
    <row r="44" spans="2:12" x14ac:dyDescent="0.25">
      <c r="D44" s="82">
        <f>D42+H42</f>
        <v>0</v>
      </c>
      <c r="E44" s="82">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2025-08-06T06:39:20Z</cp:lastPrinted>
  <dcterms:created xsi:type="dcterms:W3CDTF">2010-11-23T11:42:48Z</dcterms:created>
  <dcterms:modified xsi:type="dcterms:W3CDTF">2025-08-06T06:40:30Z</dcterms:modified>
</cp:coreProperties>
</file>