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mc:Choice>
  </mc:AlternateContent>
  <xr:revisionPtr revIDLastSave="0" documentId="13_ncr:1_{6A466C26-2900-464B-B7A4-DC9010750DA3}" xr6:coauthVersionLast="36" xr6:coauthVersionMax="47" xr10:uidLastSave="{00000000-0000-0000-0000-000000000000}"/>
  <bookViews>
    <workbookView xWindow="0" yWindow="0" windowWidth="20490" windowHeight="6825" xr2:uid="{00000000-000D-0000-FFFF-FFFF00000000}"/>
  </bookViews>
  <sheets>
    <sheet name="Report" sheetId="3" r:id="rId1"/>
    <sheet name="Construction table" sheetId="4" r:id="rId2"/>
  </sheets>
  <definedNames>
    <definedName name="_xlnm.Print_Area" localSheetId="0">Report!$A$1:$H$520</definedName>
  </definedNames>
  <calcPr calcId="191029"/>
</workbook>
</file>

<file path=xl/calcChain.xml><?xml version="1.0" encoding="utf-8"?>
<calcChain xmlns="http://schemas.openxmlformats.org/spreadsheetml/2006/main">
  <c r="J2" i="3" l="1"/>
  <c r="D387" i="3" l="1"/>
  <c r="E316" i="3"/>
  <c r="H316" i="3" s="1"/>
  <c r="E362" i="3"/>
  <c r="E361" i="3"/>
  <c r="E360" i="3"/>
  <c r="E359" i="3"/>
  <c r="E358" i="3"/>
  <c r="H358" i="3" s="1"/>
  <c r="E357" i="3"/>
  <c r="E356" i="3"/>
  <c r="E355" i="3"/>
  <c r="H355" i="3" s="1"/>
  <c r="E354" i="3"/>
  <c r="H354" i="3" s="1"/>
  <c r="E353" i="3"/>
  <c r="H353" i="3" s="1"/>
  <c r="E352" i="3"/>
  <c r="H352" i="3" s="1"/>
  <c r="E351" i="3"/>
  <c r="H351" i="3" s="1"/>
  <c r="E350" i="3"/>
  <c r="H350" i="3" s="1"/>
  <c r="E349" i="3"/>
  <c r="H349" i="3" s="1"/>
  <c r="E348" i="3"/>
  <c r="E347" i="3"/>
  <c r="E346" i="3"/>
  <c r="E345" i="3"/>
  <c r="H345" i="3" s="1"/>
  <c r="E343" i="3"/>
  <c r="H343" i="3" s="1"/>
  <c r="E342" i="3"/>
  <c r="H342" i="3" s="1"/>
  <c r="E341" i="3"/>
  <c r="H341" i="3" s="1"/>
  <c r="E340" i="3"/>
  <c r="H340" i="3" s="1"/>
  <c r="E339" i="3"/>
  <c r="H339" i="3" s="1"/>
  <c r="E338" i="3"/>
  <c r="H338" i="3" s="1"/>
  <c r="E337" i="3"/>
  <c r="E336" i="3"/>
  <c r="H336" i="3" s="1"/>
  <c r="E335" i="3"/>
  <c r="H335" i="3" s="1"/>
  <c r="E334" i="3"/>
  <c r="H334" i="3" s="1"/>
  <c r="E333" i="3"/>
  <c r="E332" i="3"/>
  <c r="E331" i="3"/>
  <c r="E330" i="3"/>
  <c r="E329" i="3"/>
  <c r="E328" i="3"/>
  <c r="E327" i="3"/>
  <c r="E326" i="3"/>
  <c r="E128" i="3" s="1"/>
  <c r="E324" i="3"/>
  <c r="E323" i="3"/>
  <c r="E322" i="3"/>
  <c r="E321" i="3"/>
  <c r="E320" i="3"/>
  <c r="E319" i="3"/>
  <c r="E318" i="3"/>
  <c r="E317" i="3"/>
  <c r="H317" i="3" s="1"/>
  <c r="E315" i="3"/>
  <c r="E314" i="3"/>
  <c r="E313" i="3"/>
  <c r="E312" i="3"/>
  <c r="E311" i="3"/>
  <c r="E310" i="3"/>
  <c r="E309" i="3"/>
  <c r="E308" i="3"/>
  <c r="H361" i="3"/>
  <c r="H357" i="3"/>
  <c r="H356" i="3"/>
  <c r="H346" i="3"/>
  <c r="H362" i="3"/>
  <c r="H360" i="3"/>
  <c r="H359" i="3"/>
  <c r="H348" i="3"/>
  <c r="H347" i="3"/>
  <c r="A346" i="3"/>
  <c r="A347" i="3" s="1"/>
  <c r="A348" i="3" s="1"/>
  <c r="A349" i="3" s="1"/>
  <c r="A350" i="3" s="1"/>
  <c r="A351" i="3" s="1"/>
  <c r="A352" i="3" s="1"/>
  <c r="A353" i="3" s="1"/>
  <c r="A354" i="3" s="1"/>
  <c r="A355" i="3" s="1"/>
  <c r="A356" i="3" s="1"/>
  <c r="A357" i="3" s="1"/>
  <c r="A358" i="3" s="1"/>
  <c r="A359" i="3" s="1"/>
  <c r="A360" i="3" s="1"/>
  <c r="A361" i="3" s="1"/>
  <c r="A362" i="3" s="1"/>
  <c r="H337" i="3"/>
  <c r="A327" i="3"/>
  <c r="A328" i="3" s="1"/>
  <c r="A329" i="3" s="1"/>
  <c r="A330" i="3" s="1"/>
  <c r="A331" i="3" s="1"/>
  <c r="A332" i="3" s="1"/>
  <c r="A333" i="3" s="1"/>
  <c r="A334" i="3" s="1"/>
  <c r="A335" i="3" s="1"/>
  <c r="A336" i="3" s="1"/>
  <c r="A337" i="3" s="1"/>
  <c r="A338" i="3" s="1"/>
  <c r="A339" i="3" s="1"/>
  <c r="A340" i="3" s="1"/>
  <c r="A341" i="3" s="1"/>
  <c r="A342" i="3" s="1"/>
  <c r="A343" i="3" s="1"/>
  <c r="H53" i="3"/>
  <c r="C53" i="3"/>
  <c r="H324" i="3"/>
  <c r="H323" i="3"/>
  <c r="H322" i="3"/>
  <c r="H321" i="3"/>
  <c r="H320" i="3"/>
  <c r="H319" i="3"/>
  <c r="H318" i="3"/>
  <c r="A309" i="3"/>
  <c r="A310" i="3" s="1"/>
  <c r="A311" i="3" s="1"/>
  <c r="A312" i="3" s="1"/>
  <c r="A313" i="3" s="1"/>
  <c r="A314" i="3" s="1"/>
  <c r="A315" i="3" s="1"/>
  <c r="A316" i="3" s="1"/>
  <c r="A317" i="3" s="1"/>
  <c r="A318" i="3" s="1"/>
  <c r="A319" i="3" s="1"/>
  <c r="A320" i="3" s="1"/>
  <c r="A321" i="3" s="1"/>
  <c r="A322" i="3" s="1"/>
  <c r="A323" i="3" s="1"/>
  <c r="A324" i="3" s="1"/>
  <c r="V345" i="3"/>
  <c r="U345" i="3"/>
  <c r="E127" i="3" l="1"/>
  <c r="E129" i="3" s="1"/>
  <c r="V346" i="3"/>
  <c r="V347" i="3" s="1"/>
  <c r="V348" i="3" s="1"/>
  <c r="V349" i="3" s="1"/>
  <c r="V350" i="3" s="1"/>
  <c r="V351" i="3" s="1"/>
  <c r="V352" i="3" s="1"/>
  <c r="V353" i="3" s="1"/>
  <c r="V354" i="3" s="1"/>
  <c r="V355" i="3" s="1"/>
  <c r="V356" i="3" s="1"/>
  <c r="V357" i="3" s="1"/>
  <c r="V358" i="3" s="1"/>
  <c r="V359" i="3" s="1"/>
  <c r="V360" i="3" s="1"/>
  <c r="V361" i="3" s="1"/>
  <c r="V362" i="3" s="1"/>
  <c r="U346" i="3"/>
  <c r="T345" i="3"/>
  <c r="I145" i="3"/>
  <c r="T346" i="3" l="1"/>
  <c r="U347" i="3"/>
  <c r="A98" i="3"/>
  <c r="C54" i="3"/>
  <c r="H54" i="3"/>
  <c r="I25" i="3"/>
  <c r="I24" i="3"/>
  <c r="H99" i="3"/>
  <c r="U348" i="3" l="1"/>
  <c r="T347" i="3"/>
  <c r="D112" i="3"/>
  <c r="J100" i="3"/>
  <c r="C101" i="3" s="1"/>
  <c r="D111" i="3"/>
  <c r="D105" i="3"/>
  <c r="D110" i="3"/>
  <c r="D104" i="3"/>
  <c r="D109" i="3"/>
  <c r="D103" i="3"/>
  <c r="J102" i="3"/>
  <c r="D108" i="3"/>
  <c r="J101" i="3"/>
  <c r="D107" i="3"/>
  <c r="D106" i="3"/>
  <c r="D99" i="3"/>
  <c r="D388" i="3"/>
  <c r="D101" i="3" l="1"/>
  <c r="E101" i="3"/>
  <c r="T348" i="3"/>
  <c r="U349" i="3"/>
  <c r="J103" i="3"/>
  <c r="J104" i="3" s="1"/>
  <c r="J109" i="3" s="1"/>
  <c r="J108" i="3"/>
  <c r="J107" i="3"/>
  <c r="J106" i="3"/>
  <c r="A66" i="3"/>
  <c r="D102" i="3" l="1"/>
  <c r="I98" i="3"/>
  <c r="G101" i="3" s="1"/>
  <c r="T349" i="3"/>
  <c r="U350" i="3"/>
  <c r="J105" i="3"/>
  <c r="J110" i="3" s="1"/>
  <c r="F272" i="3"/>
  <c r="E272" i="3"/>
  <c r="F271" i="3"/>
  <c r="E271" i="3"/>
  <c r="F220" i="3"/>
  <c r="H220" i="3" s="1"/>
  <c r="F219" i="3"/>
  <c r="E220" i="3"/>
  <c r="E219" i="3"/>
  <c r="D386" i="3"/>
  <c r="F301" i="3"/>
  <c r="E301" i="3"/>
  <c r="F303" i="3"/>
  <c r="E303" i="3"/>
  <c r="F302" i="3"/>
  <c r="E302" i="3"/>
  <c r="F299" i="3"/>
  <c r="E299" i="3"/>
  <c r="F298" i="3"/>
  <c r="E298" i="3"/>
  <c r="F297" i="3"/>
  <c r="E297" i="3"/>
  <c r="F296" i="3"/>
  <c r="E296" i="3"/>
  <c r="F294" i="3"/>
  <c r="E294" i="3"/>
  <c r="F293" i="3"/>
  <c r="E293" i="3"/>
  <c r="F290" i="3"/>
  <c r="E290" i="3"/>
  <c r="F289" i="3"/>
  <c r="E289" i="3"/>
  <c r="F288" i="3"/>
  <c r="E288" i="3"/>
  <c r="F287" i="3"/>
  <c r="E287" i="3"/>
  <c r="F285" i="3"/>
  <c r="F284" i="3"/>
  <c r="F283" i="3"/>
  <c r="F282" i="3"/>
  <c r="E285" i="3"/>
  <c r="E284" i="3"/>
  <c r="E283" i="3"/>
  <c r="E282" i="3"/>
  <c r="F281" i="3"/>
  <c r="F280" i="3"/>
  <c r="E281" i="3"/>
  <c r="E280" i="3"/>
  <c r="F279" i="3"/>
  <c r="F278" i="3"/>
  <c r="E279" i="3"/>
  <c r="E278" i="3"/>
  <c r="F276" i="3"/>
  <c r="E276" i="3"/>
  <c r="F275" i="3"/>
  <c r="E275" i="3"/>
  <c r="F270" i="3"/>
  <c r="E270" i="3"/>
  <c r="F269" i="3"/>
  <c r="E269" i="3"/>
  <c r="A270" i="3"/>
  <c r="A271" i="3" s="1"/>
  <c r="A272" i="3" s="1"/>
  <c r="A273" i="3" s="1"/>
  <c r="A274" i="3" s="1"/>
  <c r="A275" i="3" s="1"/>
  <c r="A276" i="3" s="1"/>
  <c r="F267" i="3"/>
  <c r="H267" i="3" s="1"/>
  <c r="F266" i="3"/>
  <c r="F265" i="3"/>
  <c r="F264" i="3"/>
  <c r="E267" i="3"/>
  <c r="E266" i="3"/>
  <c r="E265" i="3"/>
  <c r="E264" i="3"/>
  <c r="F263" i="3"/>
  <c r="F262" i="3"/>
  <c r="E263" i="3"/>
  <c r="E262" i="3"/>
  <c r="F261" i="3"/>
  <c r="F260" i="3"/>
  <c r="E261" i="3"/>
  <c r="E260" i="3"/>
  <c r="F256" i="3"/>
  <c r="E256" i="3"/>
  <c r="F255" i="3"/>
  <c r="E255" i="3"/>
  <c r="F258" i="3"/>
  <c r="E258" i="3"/>
  <c r="F257" i="3"/>
  <c r="E257" i="3"/>
  <c r="F254" i="3"/>
  <c r="E254" i="3"/>
  <c r="F253" i="3"/>
  <c r="E253" i="3"/>
  <c r="A252" i="3"/>
  <c r="A253" i="3" s="1"/>
  <c r="A254" i="3" s="1"/>
  <c r="A255" i="3" s="1"/>
  <c r="A256" i="3" s="1"/>
  <c r="A257" i="3" s="1"/>
  <c r="A258" i="3" s="1"/>
  <c r="F249" i="3"/>
  <c r="E249" i="3"/>
  <c r="F248" i="3"/>
  <c r="E248" i="3"/>
  <c r="F245" i="3"/>
  <c r="E245" i="3"/>
  <c r="F244" i="3"/>
  <c r="E244" i="3"/>
  <c r="A243" i="3"/>
  <c r="A244" i="3" s="1"/>
  <c r="A245" i="3" s="1"/>
  <c r="A246" i="3" s="1"/>
  <c r="A247" i="3" s="1"/>
  <c r="A248" i="3" s="1"/>
  <c r="A249" i="3" s="1"/>
  <c r="F240" i="3"/>
  <c r="F239" i="3"/>
  <c r="F238" i="3"/>
  <c r="F237" i="3"/>
  <c r="F236" i="3"/>
  <c r="F235" i="3"/>
  <c r="E240" i="3"/>
  <c r="E239" i="3"/>
  <c r="E238" i="3"/>
  <c r="E237" i="3"/>
  <c r="E236" i="3"/>
  <c r="E235" i="3"/>
  <c r="E231" i="3"/>
  <c r="E230" i="3"/>
  <c r="E229" i="3"/>
  <c r="E228" i="3"/>
  <c r="F231" i="3"/>
  <c r="F230" i="3"/>
  <c r="F229" i="3"/>
  <c r="F228" i="3"/>
  <c r="A225" i="3"/>
  <c r="A226" i="3" s="1"/>
  <c r="A227" i="3" s="1"/>
  <c r="A228" i="3" s="1"/>
  <c r="A229" i="3" s="1"/>
  <c r="A230" i="3" s="1"/>
  <c r="A231" i="3" s="1"/>
  <c r="F218" i="3"/>
  <c r="E218" i="3"/>
  <c r="F216" i="3"/>
  <c r="E216" i="3"/>
  <c r="F215" i="3"/>
  <c r="E215" i="3"/>
  <c r="F214" i="3"/>
  <c r="E214" i="3"/>
  <c r="F213" i="3"/>
  <c r="E213" i="3"/>
  <c r="A214" i="3"/>
  <c r="A215" i="3" s="1"/>
  <c r="A216" i="3" s="1"/>
  <c r="A217" i="3" s="1"/>
  <c r="A218" i="3" s="1"/>
  <c r="A219" i="3" s="1"/>
  <c r="A220" i="3" s="1"/>
  <c r="F211" i="3"/>
  <c r="E211" i="3"/>
  <c r="F210" i="3"/>
  <c r="E210" i="3"/>
  <c r="F207" i="3"/>
  <c r="E207" i="3"/>
  <c r="F206" i="3"/>
  <c r="E206" i="3"/>
  <c r="F205" i="3"/>
  <c r="E205" i="3"/>
  <c r="F204" i="3"/>
  <c r="E204" i="3"/>
  <c r="F202" i="3"/>
  <c r="F201" i="3"/>
  <c r="E202" i="3"/>
  <c r="E201" i="3"/>
  <c r="F200" i="3"/>
  <c r="F199" i="3"/>
  <c r="E200" i="3"/>
  <c r="E199" i="3"/>
  <c r="F198" i="3"/>
  <c r="F197" i="3"/>
  <c r="E198" i="3"/>
  <c r="E197" i="3"/>
  <c r="F196" i="3"/>
  <c r="E196" i="3"/>
  <c r="F195" i="3"/>
  <c r="E195" i="3"/>
  <c r="F193" i="3"/>
  <c r="E193" i="3"/>
  <c r="F192" i="3"/>
  <c r="E192" i="3"/>
  <c r="F189" i="3"/>
  <c r="E189" i="3"/>
  <c r="F188" i="3"/>
  <c r="E188" i="3"/>
  <c r="F187" i="3"/>
  <c r="E187" i="3"/>
  <c r="F186" i="3"/>
  <c r="E186" i="3"/>
  <c r="F184" i="3"/>
  <c r="F183" i="3"/>
  <c r="E184" i="3"/>
  <c r="E183" i="3"/>
  <c r="F182" i="3"/>
  <c r="F181" i="3"/>
  <c r="E182" i="3"/>
  <c r="E181" i="3"/>
  <c r="F180" i="3"/>
  <c r="E180" i="3"/>
  <c r="F179" i="3"/>
  <c r="E179" i="3"/>
  <c r="F178" i="3"/>
  <c r="F177" i="3"/>
  <c r="E178" i="3"/>
  <c r="E177" i="3"/>
  <c r="F173" i="3"/>
  <c r="E173" i="3"/>
  <c r="F172" i="3"/>
  <c r="E172" i="3"/>
  <c r="F171" i="3"/>
  <c r="E171" i="3"/>
  <c r="F170" i="3"/>
  <c r="E170" i="3"/>
  <c r="A169" i="3"/>
  <c r="A170" i="3" s="1"/>
  <c r="A171" i="3" s="1"/>
  <c r="A172" i="3" s="1"/>
  <c r="A173" i="3" s="1"/>
  <c r="A174" i="3" s="1"/>
  <c r="A175" i="3" s="1"/>
  <c r="F162" i="3"/>
  <c r="E162" i="3"/>
  <c r="F161" i="3"/>
  <c r="E161" i="3"/>
  <c r="F155" i="3"/>
  <c r="F154" i="3"/>
  <c r="F153" i="3"/>
  <c r="F152" i="3"/>
  <c r="E155" i="3"/>
  <c r="E154" i="3"/>
  <c r="E153" i="3"/>
  <c r="E152" i="3"/>
  <c r="E146" i="3"/>
  <c r="E145" i="3"/>
  <c r="F146" i="3"/>
  <c r="F145" i="3"/>
  <c r="V287" i="3"/>
  <c r="U159" i="3"/>
  <c r="V296" i="3"/>
  <c r="U278" i="3"/>
  <c r="U177" i="3"/>
  <c r="V204" i="3"/>
  <c r="V186" i="3"/>
  <c r="V233" i="3"/>
  <c r="V150" i="3"/>
  <c r="V195" i="3"/>
  <c r="U260" i="3"/>
  <c r="V159" i="3"/>
  <c r="U186" i="3"/>
  <c r="U150" i="3"/>
  <c r="U233" i="3"/>
  <c r="U287" i="3"/>
  <c r="U195" i="3"/>
  <c r="V278" i="3"/>
  <c r="V260" i="3"/>
  <c r="V177" i="3"/>
  <c r="U204" i="3"/>
  <c r="U296" i="3"/>
  <c r="H264" i="3" l="1"/>
  <c r="H202" i="3"/>
  <c r="T350" i="3"/>
  <c r="U351" i="3"/>
  <c r="H276" i="3"/>
  <c r="H284" i="3"/>
  <c r="H272" i="3"/>
  <c r="H182" i="3"/>
  <c r="H296" i="3"/>
  <c r="H301" i="3"/>
  <c r="H171" i="3"/>
  <c r="H196" i="3"/>
  <c r="H211" i="3"/>
  <c r="H218" i="3"/>
  <c r="H256" i="3"/>
  <c r="H275" i="3"/>
  <c r="H172" i="3"/>
  <c r="H260" i="3"/>
  <c r="H153" i="3"/>
  <c r="H235" i="3"/>
  <c r="H254" i="3"/>
  <c r="H244" i="3"/>
  <c r="H245" i="3"/>
  <c r="H280" i="3"/>
  <c r="H183" i="3"/>
  <c r="H193" i="3"/>
  <c r="H215" i="3"/>
  <c r="H249" i="3"/>
  <c r="H270" i="3"/>
  <c r="H179" i="3"/>
  <c r="H186" i="3"/>
  <c r="H195" i="3"/>
  <c r="H210" i="3"/>
  <c r="H216" i="3"/>
  <c r="H219" i="3"/>
  <c r="H266" i="3"/>
  <c r="H289" i="3"/>
  <c r="H236" i="3"/>
  <c r="H188" i="3"/>
  <c r="H197" i="3"/>
  <c r="H204" i="3"/>
  <c r="H271" i="3"/>
  <c r="H298" i="3"/>
  <c r="H228" i="3"/>
  <c r="H239" i="3"/>
  <c r="H299" i="3"/>
  <c r="H173" i="3"/>
  <c r="H205" i="3"/>
  <c r="H170" i="3"/>
  <c r="H283" i="3"/>
  <c r="H162" i="3"/>
  <c r="H248" i="3"/>
  <c r="H269" i="3"/>
  <c r="H281" i="3"/>
  <c r="H287" i="3"/>
  <c r="H161" i="3"/>
  <c r="H253" i="3"/>
  <c r="H288" i="3"/>
  <c r="H297" i="3"/>
  <c r="H238" i="3"/>
  <c r="H240" i="3"/>
  <c r="H213" i="3"/>
  <c r="H290" i="3"/>
  <c r="H154" i="3"/>
  <c r="H214" i="3"/>
  <c r="H231" i="3"/>
  <c r="H285" i="3"/>
  <c r="E133" i="3"/>
  <c r="H258" i="3"/>
  <c r="H293" i="3"/>
  <c r="H302" i="3"/>
  <c r="H255" i="3"/>
  <c r="H262" i="3"/>
  <c r="H303" i="3"/>
  <c r="H189" i="3"/>
  <c r="H192" i="3"/>
  <c r="H279" i="3"/>
  <c r="H257" i="3"/>
  <c r="H294" i="3"/>
  <c r="H237" i="3"/>
  <c r="H155" i="3"/>
  <c r="H265" i="3"/>
  <c r="H206" i="3"/>
  <c r="E132" i="3"/>
  <c r="H261" i="3"/>
  <c r="H152" i="3"/>
  <c r="H180" i="3"/>
  <c r="H187" i="3"/>
  <c r="H201" i="3"/>
  <c r="H207" i="3"/>
  <c r="T296" i="3"/>
  <c r="U297" i="3"/>
  <c r="V297" i="3"/>
  <c r="V298" i="3" s="1"/>
  <c r="V299" i="3" s="1"/>
  <c r="V300" i="3" s="1"/>
  <c r="V301" i="3" s="1"/>
  <c r="V302" i="3" s="1"/>
  <c r="V303" i="3" s="1"/>
  <c r="T287" i="3"/>
  <c r="U288" i="3"/>
  <c r="V288" i="3"/>
  <c r="V289" i="3" s="1"/>
  <c r="V290" i="3" s="1"/>
  <c r="V291" i="3" s="1"/>
  <c r="V292" i="3" s="1"/>
  <c r="V293" i="3" s="1"/>
  <c r="V294" i="3" s="1"/>
  <c r="H282" i="3"/>
  <c r="H278" i="3"/>
  <c r="T278" i="3"/>
  <c r="U279" i="3"/>
  <c r="V279" i="3"/>
  <c r="V280" i="3" s="1"/>
  <c r="V281" i="3" s="1"/>
  <c r="V282" i="3" s="1"/>
  <c r="V283" i="3" s="1"/>
  <c r="V284" i="3" s="1"/>
  <c r="V285" i="3" s="1"/>
  <c r="H263" i="3"/>
  <c r="T260" i="3"/>
  <c r="U261" i="3"/>
  <c r="V261" i="3"/>
  <c r="V262" i="3" s="1"/>
  <c r="V263" i="3" s="1"/>
  <c r="V264" i="3" s="1"/>
  <c r="V265" i="3" s="1"/>
  <c r="V266" i="3" s="1"/>
  <c r="V267" i="3" s="1"/>
  <c r="T233" i="3"/>
  <c r="U234" i="3"/>
  <c r="V234" i="3"/>
  <c r="V235" i="3" s="1"/>
  <c r="V236" i="3" s="1"/>
  <c r="V237" i="3" s="1"/>
  <c r="V238" i="3" s="1"/>
  <c r="V239" i="3" s="1"/>
  <c r="V240" i="3" s="1"/>
  <c r="H229" i="3"/>
  <c r="H230" i="3"/>
  <c r="T204" i="3"/>
  <c r="U205" i="3"/>
  <c r="V205" i="3"/>
  <c r="V206" i="3" s="1"/>
  <c r="V207" i="3" s="1"/>
  <c r="V208" i="3" s="1"/>
  <c r="V209" i="3" s="1"/>
  <c r="V210" i="3" s="1"/>
  <c r="V211" i="3" s="1"/>
  <c r="H200" i="3"/>
  <c r="H199" i="3"/>
  <c r="H198" i="3"/>
  <c r="U196" i="3"/>
  <c r="T195" i="3"/>
  <c r="V196" i="3"/>
  <c r="V197" i="3" s="1"/>
  <c r="V198" i="3" s="1"/>
  <c r="V199" i="3" s="1"/>
  <c r="V200" i="3" s="1"/>
  <c r="V201" i="3" s="1"/>
  <c r="V202" i="3" s="1"/>
  <c r="T186" i="3"/>
  <c r="U187" i="3"/>
  <c r="V187" i="3"/>
  <c r="V188" i="3" s="1"/>
  <c r="V189" i="3" s="1"/>
  <c r="V190" i="3" s="1"/>
  <c r="V191" i="3" s="1"/>
  <c r="V192" i="3" s="1"/>
  <c r="V193" i="3" s="1"/>
  <c r="H184" i="3"/>
  <c r="H181" i="3"/>
  <c r="H178" i="3"/>
  <c r="H177" i="3"/>
  <c r="T177" i="3"/>
  <c r="U178" i="3"/>
  <c r="V178" i="3"/>
  <c r="V179" i="3" s="1"/>
  <c r="V180" i="3" s="1"/>
  <c r="V181" i="3" s="1"/>
  <c r="V182" i="3" s="1"/>
  <c r="V183" i="3" s="1"/>
  <c r="V184" i="3" s="1"/>
  <c r="V160" i="3"/>
  <c r="V161" i="3" s="1"/>
  <c r="V162" i="3" s="1"/>
  <c r="V163" i="3" s="1"/>
  <c r="V164" i="3" s="1"/>
  <c r="V165" i="3" s="1"/>
  <c r="V166" i="3" s="1"/>
  <c r="T159" i="3"/>
  <c r="U160" i="3"/>
  <c r="V151" i="3"/>
  <c r="V152" i="3" s="1"/>
  <c r="V153" i="3" s="1"/>
  <c r="V154" i="3" s="1"/>
  <c r="V155" i="3" s="1"/>
  <c r="V156" i="3" s="1"/>
  <c r="V157" i="3" s="1"/>
  <c r="U151" i="3"/>
  <c r="T150" i="3"/>
  <c r="T351" i="3" l="1"/>
  <c r="U352" i="3"/>
  <c r="G133" i="3"/>
  <c r="E134" i="3"/>
  <c r="E135" i="3" s="1"/>
  <c r="T297" i="3"/>
  <c r="U298" i="3"/>
  <c r="T288" i="3"/>
  <c r="U289" i="3"/>
  <c r="T279" i="3"/>
  <c r="U280" i="3"/>
  <c r="T261" i="3"/>
  <c r="U262" i="3"/>
  <c r="T234" i="3"/>
  <c r="U235" i="3"/>
  <c r="T205" i="3"/>
  <c r="U206" i="3"/>
  <c r="T196" i="3"/>
  <c r="U197" i="3"/>
  <c r="U188" i="3"/>
  <c r="T187" i="3"/>
  <c r="T178" i="3"/>
  <c r="U179" i="3"/>
  <c r="T160" i="3"/>
  <c r="U161" i="3"/>
  <c r="U152" i="3"/>
  <c r="T151" i="3"/>
  <c r="U353" i="3" l="1"/>
  <c r="T352" i="3"/>
  <c r="T298" i="3"/>
  <c r="U299" i="3"/>
  <c r="T289" i="3"/>
  <c r="U290" i="3"/>
  <c r="T280" i="3"/>
  <c r="U281" i="3"/>
  <c r="T262" i="3"/>
  <c r="U263" i="3"/>
  <c r="T235" i="3"/>
  <c r="U236" i="3"/>
  <c r="T206" i="3"/>
  <c r="U207" i="3"/>
  <c r="U198" i="3"/>
  <c r="T197" i="3"/>
  <c r="U189" i="3"/>
  <c r="T188" i="3"/>
  <c r="U180" i="3"/>
  <c r="T179" i="3"/>
  <c r="T161" i="3"/>
  <c r="U162" i="3"/>
  <c r="T152" i="3"/>
  <c r="U153" i="3"/>
  <c r="T353" i="3" l="1"/>
  <c r="U354" i="3"/>
  <c r="U300" i="3"/>
  <c r="T299" i="3"/>
  <c r="T290" i="3"/>
  <c r="U291" i="3"/>
  <c r="U282" i="3"/>
  <c r="T281" i="3"/>
  <c r="U264" i="3"/>
  <c r="T263" i="3"/>
  <c r="T236" i="3"/>
  <c r="U237" i="3"/>
  <c r="T207" i="3"/>
  <c r="U208" i="3"/>
  <c r="U199" i="3"/>
  <c r="T198" i="3"/>
  <c r="T189" i="3"/>
  <c r="U190" i="3"/>
  <c r="U181" i="3"/>
  <c r="T180" i="3"/>
  <c r="T162" i="3"/>
  <c r="U163" i="3"/>
  <c r="U154" i="3"/>
  <c r="T153" i="3"/>
  <c r="U355" i="3" l="1"/>
  <c r="T354" i="3"/>
  <c r="T300" i="3"/>
  <c r="U301" i="3"/>
  <c r="T291" i="3"/>
  <c r="U292" i="3"/>
  <c r="T282" i="3"/>
  <c r="U283" i="3"/>
  <c r="U265" i="3"/>
  <c r="T264" i="3"/>
  <c r="T237" i="3"/>
  <c r="U238" i="3"/>
  <c r="T208" i="3"/>
  <c r="U209" i="3"/>
  <c r="T199" i="3"/>
  <c r="U200" i="3"/>
  <c r="T190" i="3"/>
  <c r="U191" i="3"/>
  <c r="T181" i="3"/>
  <c r="U182" i="3"/>
  <c r="T163" i="3"/>
  <c r="U164" i="3"/>
  <c r="U155" i="3"/>
  <c r="T154" i="3"/>
  <c r="T355" i="3" l="1"/>
  <c r="U356" i="3"/>
  <c r="T301" i="3"/>
  <c r="U302" i="3"/>
  <c r="U293" i="3"/>
  <c r="T292" i="3"/>
  <c r="T283" i="3"/>
  <c r="U284" i="3"/>
  <c r="T265" i="3"/>
  <c r="U266" i="3"/>
  <c r="U239" i="3"/>
  <c r="T238" i="3"/>
  <c r="T209" i="3"/>
  <c r="U210" i="3"/>
  <c r="U201" i="3"/>
  <c r="T200" i="3"/>
  <c r="T191" i="3"/>
  <c r="U192" i="3"/>
  <c r="U183" i="3"/>
  <c r="T182" i="3"/>
  <c r="U165" i="3"/>
  <c r="T164" i="3"/>
  <c r="T155" i="3"/>
  <c r="U156" i="3"/>
  <c r="U357" i="3" l="1"/>
  <c r="T356" i="3"/>
  <c r="T302" i="3"/>
  <c r="U303" i="3"/>
  <c r="T303" i="3" s="1"/>
  <c r="T293" i="3"/>
  <c r="U294" i="3"/>
  <c r="T294" i="3" s="1"/>
  <c r="U285" i="3"/>
  <c r="T285" i="3" s="1"/>
  <c r="T284" i="3"/>
  <c r="T266" i="3"/>
  <c r="U267" i="3"/>
  <c r="T267" i="3" s="1"/>
  <c r="U240" i="3"/>
  <c r="T240" i="3" s="1"/>
  <c r="T239" i="3"/>
  <c r="T210" i="3"/>
  <c r="U211" i="3"/>
  <c r="T211" i="3" s="1"/>
  <c r="U202" i="3"/>
  <c r="T202" i="3" s="1"/>
  <c r="T201" i="3"/>
  <c r="U193" i="3"/>
  <c r="T193" i="3" s="1"/>
  <c r="T192" i="3"/>
  <c r="U184" i="3"/>
  <c r="T184" i="3" s="1"/>
  <c r="T183" i="3"/>
  <c r="T165" i="3"/>
  <c r="U166" i="3"/>
  <c r="T166" i="3" s="1"/>
  <c r="T156" i="3"/>
  <c r="U157" i="3"/>
  <c r="T157" i="3" s="1"/>
  <c r="U358" i="3" l="1"/>
  <c r="T357" i="3"/>
  <c r="H146" i="3"/>
  <c r="H145" i="3"/>
  <c r="G132" i="3" s="1"/>
  <c r="G134" i="3" s="1"/>
  <c r="A142" i="3"/>
  <c r="A143" i="3" s="1"/>
  <c r="A144" i="3" s="1"/>
  <c r="A145" i="3" s="1"/>
  <c r="A146" i="3" s="1"/>
  <c r="A147" i="3" s="1"/>
  <c r="A148" i="3" s="1"/>
  <c r="G123" i="3"/>
  <c r="G122" i="3"/>
  <c r="C19" i="3"/>
  <c r="T358" i="3" l="1"/>
  <c r="U359" i="3"/>
  <c r="C26" i="3"/>
  <c r="C18" i="3"/>
  <c r="H371" i="3"/>
  <c r="H370" i="3"/>
  <c r="H369" i="3"/>
  <c r="H368" i="3"/>
  <c r="H367" i="3"/>
  <c r="H366" i="3"/>
  <c r="H365" i="3"/>
  <c r="H364" i="3"/>
  <c r="H333" i="3"/>
  <c r="H332" i="3"/>
  <c r="H331" i="3"/>
  <c r="H330" i="3"/>
  <c r="H329" i="3"/>
  <c r="H328" i="3"/>
  <c r="H327" i="3"/>
  <c r="H326" i="3"/>
  <c r="H315" i="3"/>
  <c r="H314" i="3"/>
  <c r="H313" i="3"/>
  <c r="H312" i="3"/>
  <c r="H311" i="3"/>
  <c r="H310" i="3"/>
  <c r="H309" i="3"/>
  <c r="H308" i="3"/>
  <c r="G128" i="3" l="1"/>
  <c r="G127" i="3"/>
  <c r="G129" i="3" s="1"/>
  <c r="G135" i="3" s="1"/>
  <c r="U360" i="3"/>
  <c r="T359" i="3"/>
  <c r="A82" i="3"/>
  <c r="D83" i="3" s="1"/>
  <c r="D67" i="3"/>
  <c r="T360" i="3" l="1"/>
  <c r="U361"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83" i="3"/>
  <c r="T361" i="3" l="1"/>
  <c r="U362" i="3"/>
  <c r="T362" i="3" s="1"/>
  <c r="F38" i="4"/>
  <c r="G38" i="4"/>
  <c r="E18" i="4"/>
  <c r="E15" i="4"/>
  <c r="E17" i="4"/>
  <c r="E11" i="4"/>
  <c r="K6" i="4"/>
  <c r="E9" i="4"/>
  <c r="K8" i="4"/>
  <c r="C7" i="4" s="1"/>
  <c r="E14" i="4"/>
  <c r="E12" i="4"/>
  <c r="E16" i="4"/>
  <c r="E10" i="4"/>
  <c r="K9" i="4"/>
  <c r="K10" i="4" s="1"/>
  <c r="K11" i="4" s="1"/>
  <c r="E13" i="4"/>
  <c r="K7" i="4"/>
  <c r="J92" i="3"/>
  <c r="J91" i="3"/>
  <c r="K12" i="4" l="1"/>
  <c r="K16" i="4" s="1"/>
  <c r="C8" i="4" s="1"/>
  <c r="E8" i="4" s="1"/>
  <c r="E7" i="4"/>
  <c r="F7" i="4" l="1"/>
  <c r="J4" i="4" s="1"/>
  <c r="H7" i="4" s="1"/>
  <c r="G4" i="3" l="1"/>
  <c r="H129" i="3" l="1"/>
  <c r="G124" i="3" l="1"/>
  <c r="J76" i="3"/>
  <c r="J75" i="3"/>
  <c r="H67" i="3"/>
  <c r="J71" i="3" l="1"/>
  <c r="D76" i="3"/>
  <c r="D73" i="3"/>
  <c r="D71" i="3"/>
  <c r="J69" i="3"/>
  <c r="D80" i="3"/>
  <c r="D78" i="3"/>
  <c r="D75" i="3"/>
  <c r="D72" i="3"/>
  <c r="J70" i="3"/>
  <c r="J68" i="3"/>
  <c r="D79" i="3"/>
  <c r="D77" i="3"/>
  <c r="D74" i="3"/>
  <c r="D96" i="3" l="1"/>
  <c r="D88" i="3"/>
  <c r="D91" i="3"/>
  <c r="J85" i="3"/>
  <c r="C85" i="3" s="1"/>
  <c r="D95" i="3"/>
  <c r="D89" i="3"/>
  <c r="J84" i="3"/>
  <c r="D94" i="3"/>
  <c r="J87" i="3"/>
  <c r="J88" i="3" s="1"/>
  <c r="D93" i="3"/>
  <c r="D87" i="3"/>
  <c r="J86" i="3"/>
  <c r="D92" i="3"/>
  <c r="D90" i="3"/>
  <c r="J72" i="3"/>
  <c r="J77" i="3" s="1"/>
  <c r="D85" i="3" l="1"/>
  <c r="J89" i="3"/>
  <c r="J93" i="3"/>
  <c r="J90" i="3"/>
  <c r="D69" i="3"/>
  <c r="J73" i="3"/>
  <c r="J94" i="3" l="1"/>
  <c r="J74" i="3"/>
  <c r="D86" i="3" l="1"/>
  <c r="E85" i="3"/>
  <c r="I82" i="3" s="1"/>
  <c r="G85" i="3" s="1"/>
  <c r="J78" i="3"/>
  <c r="V364" i="3"/>
  <c r="U364" i="3"/>
  <c r="U326" i="3"/>
  <c r="V326" i="3"/>
  <c r="U308" i="3"/>
  <c r="V308" i="3"/>
  <c r="T364" i="3" l="1"/>
  <c r="U365" i="3"/>
  <c r="V365" i="3"/>
  <c r="V366" i="3" s="1"/>
  <c r="V367" i="3" s="1"/>
  <c r="V368" i="3" s="1"/>
  <c r="V369" i="3" s="1"/>
  <c r="V370" i="3" s="1"/>
  <c r="V371" i="3" s="1"/>
  <c r="T326" i="3"/>
  <c r="U327" i="3"/>
  <c r="V327" i="3"/>
  <c r="V328" i="3" s="1"/>
  <c r="V329" i="3" s="1"/>
  <c r="V330" i="3" s="1"/>
  <c r="V331" i="3" s="1"/>
  <c r="V332" i="3" s="1"/>
  <c r="V333" i="3" s="1"/>
  <c r="V334" i="3" s="1"/>
  <c r="V335" i="3" s="1"/>
  <c r="V336" i="3" s="1"/>
  <c r="V337" i="3" s="1"/>
  <c r="V338" i="3" s="1"/>
  <c r="V339" i="3" s="1"/>
  <c r="V340" i="3" s="1"/>
  <c r="V341" i="3" s="1"/>
  <c r="V342" i="3" s="1"/>
  <c r="V343" i="3" s="1"/>
  <c r="V309" i="3"/>
  <c r="V310" i="3" s="1"/>
  <c r="V311" i="3" s="1"/>
  <c r="V312" i="3" s="1"/>
  <c r="V313" i="3" s="1"/>
  <c r="V314" i="3" s="1"/>
  <c r="V315" i="3" s="1"/>
  <c r="V316" i="3" s="1"/>
  <c r="V317" i="3" s="1"/>
  <c r="V318" i="3" s="1"/>
  <c r="V319" i="3" s="1"/>
  <c r="V320" i="3" s="1"/>
  <c r="V321" i="3" s="1"/>
  <c r="V322" i="3" s="1"/>
  <c r="V323" i="3" s="1"/>
  <c r="V324" i="3" s="1"/>
  <c r="U309" i="3"/>
  <c r="T308" i="3"/>
  <c r="E69" i="3" l="1"/>
  <c r="G114" i="3" s="1"/>
  <c r="D70" i="3"/>
  <c r="A364" i="3"/>
  <c r="T365" i="3"/>
  <c r="A365" i="3" s="1"/>
  <c r="U366" i="3"/>
  <c r="T366" i="3" s="1"/>
  <c r="T327" i="3"/>
  <c r="U328" i="3"/>
  <c r="T328" i="3" s="1"/>
  <c r="U310" i="3"/>
  <c r="T309" i="3"/>
  <c r="I66" i="3" l="1"/>
  <c r="G69" i="3" s="1"/>
  <c r="A366" i="3"/>
  <c r="U367" i="3"/>
  <c r="T367" i="3" s="1"/>
  <c r="U329" i="3"/>
  <c r="T329" i="3" s="1"/>
  <c r="U311" i="3"/>
  <c r="T310" i="3"/>
  <c r="A367" i="3" l="1"/>
  <c r="U368" i="3"/>
  <c r="T368" i="3" s="1"/>
  <c r="U330" i="3"/>
  <c r="T330" i="3" s="1"/>
  <c r="U312" i="3"/>
  <c r="T311" i="3"/>
  <c r="A368" i="3" l="1"/>
  <c r="U369" i="3"/>
  <c r="T369" i="3" s="1"/>
  <c r="U331" i="3"/>
  <c r="T331" i="3" s="1"/>
  <c r="U313" i="3"/>
  <c r="T312" i="3"/>
  <c r="A369" i="3" l="1"/>
  <c r="U370" i="3"/>
  <c r="T370" i="3" s="1"/>
  <c r="U332" i="3"/>
  <c r="T332" i="3" s="1"/>
  <c r="U314" i="3"/>
  <c r="T313" i="3"/>
  <c r="A370" i="3" l="1"/>
  <c r="U371" i="3"/>
  <c r="T371" i="3" s="1"/>
  <c r="U333" i="3"/>
  <c r="U315" i="3"/>
  <c r="U316" i="3" s="1"/>
  <c r="T314" i="3"/>
  <c r="T333" i="3" l="1"/>
  <c r="U334" i="3"/>
  <c r="U317" i="3"/>
  <c r="T316" i="3"/>
  <c r="A371" i="3"/>
  <c r="T315" i="3"/>
  <c r="U335" i="3" l="1"/>
  <c r="T334" i="3"/>
  <c r="T317" i="3"/>
  <c r="U318" i="3"/>
  <c r="T335" i="3" l="1"/>
  <c r="U336" i="3"/>
  <c r="U319" i="3"/>
  <c r="T318" i="3"/>
  <c r="T336" i="3" l="1"/>
  <c r="U337" i="3"/>
  <c r="T319" i="3"/>
  <c r="U320" i="3"/>
  <c r="T337" i="3" l="1"/>
  <c r="U338" i="3"/>
  <c r="U321" i="3"/>
  <c r="T320" i="3"/>
  <c r="T338" i="3" l="1"/>
  <c r="U339" i="3"/>
  <c r="U322" i="3"/>
  <c r="T321" i="3"/>
  <c r="T339" i="3" l="1"/>
  <c r="U340" i="3"/>
  <c r="T322" i="3"/>
  <c r="U323" i="3"/>
  <c r="T340" i="3" l="1"/>
  <c r="U341" i="3"/>
  <c r="T323" i="3"/>
  <c r="U324" i="3"/>
  <c r="T324" i="3" s="1"/>
  <c r="T341" i="3" l="1"/>
  <c r="U342" i="3"/>
  <c r="T342" i="3" l="1"/>
  <c r="U343" i="3"/>
  <c r="T34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7" authorId="0" shapeId="0" xr:uid="{00000000-0006-0000-0000-000002000000}">
      <text>
        <r>
          <rPr>
            <b/>
            <sz val="12"/>
            <color indexed="81"/>
            <rFont val="Tahoma"/>
            <family val="2"/>
          </rPr>
          <t>Maybe same as RERA Registration Validity or different</t>
        </r>
      </text>
    </comment>
    <comment ref="G17" authorId="0" shapeId="0" xr:uid="{00000000-0006-0000-0000-000003000000}">
      <text>
        <r>
          <rPr>
            <b/>
            <sz val="18"/>
            <color indexed="81"/>
            <rFont val="Tahoma"/>
            <family val="2"/>
          </rPr>
          <t>From Rera</t>
        </r>
      </text>
    </comment>
    <comment ref="G20" authorId="0" shapeId="0" xr:uid="{00000000-0006-0000-0000-000004000000}">
      <text>
        <r>
          <rPr>
            <b/>
            <sz val="16"/>
            <color indexed="81"/>
            <rFont val="Tahoma"/>
            <family val="2"/>
          </rPr>
          <t>From RERA</t>
        </r>
      </text>
    </comment>
    <comment ref="I20" authorId="0" shapeId="0" xr:uid="{D7750DB6-FD93-4DDF-B59A-BEC5569D37B6}">
      <text>
        <r>
          <rPr>
            <b/>
            <sz val="16"/>
            <color indexed="81"/>
            <rFont val="Tahoma"/>
            <family val="2"/>
          </rPr>
          <t>From RERA</t>
        </r>
      </text>
    </comment>
    <comment ref="G21" authorId="0" shapeId="0" xr:uid="{00000000-0006-0000-0000-000005000000}">
      <text>
        <r>
          <rPr>
            <b/>
            <sz val="16"/>
            <color indexed="81"/>
            <rFont val="Tahoma"/>
            <family val="2"/>
          </rPr>
          <t>From RERA</t>
        </r>
      </text>
    </comment>
    <comment ref="G27" authorId="0" shapeId="0" xr:uid="{00000000-0006-0000-0000-000006000000}">
      <text>
        <r>
          <rPr>
            <b/>
            <sz val="12"/>
            <color indexed="81"/>
            <rFont val="Tahoma"/>
            <family val="2"/>
          </rPr>
          <t>SACHIN:</t>
        </r>
        <r>
          <rPr>
            <sz val="12"/>
            <color indexed="81"/>
            <rFont val="Tahoma"/>
            <family val="2"/>
          </rPr>
          <t xml:space="preserve">
Road size should be in metre</t>
        </r>
      </text>
    </comment>
    <comment ref="G122" authorId="0" shapeId="0" xr:uid="{00000000-0006-0000-0000-000007000000}">
      <text>
        <r>
          <rPr>
            <b/>
            <sz val="16"/>
            <color indexed="81"/>
            <rFont val="Tahoma"/>
            <family val="2"/>
          </rPr>
          <t>Ready Recknor</t>
        </r>
      </text>
    </comment>
  </commentList>
</comments>
</file>

<file path=xl/sharedStrings.xml><?xml version="1.0" encoding="utf-8"?>
<sst xmlns="http://schemas.openxmlformats.org/spreadsheetml/2006/main" count="893" uniqueCount="348">
  <si>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</si>
  <si>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</si>
  <si>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</si>
  <si>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</si>
  <si>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</si>
  <si>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</si>
  <si>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</si>
  <si>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</si>
  <si>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</si>
  <si>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</si>
  <si>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</si>
  <si>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</si>
  <si>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</si>
  <si>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</si>
  <si>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</si>
  <si>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</si>
  <si>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</si>
  <si>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</si>
  <si>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</si>
  <si>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</si>
  <si>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</si>
  <si>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</si>
  <si>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</si>
  <si>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</si>
  <si>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</si>
  <si>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</si>
  <si>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</si>
  <si>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</si>
  <si>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</si>
  <si>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</si>
  <si>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</si>
  <si>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</si>
  <si>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</si>
  <si>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</si>
  <si>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</si>
  <si>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</si>
  <si>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</si>
  <si>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</si>
  <si>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</si>
  <si>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</si>
  <si>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</si>
  <si>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</si>
  <si>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</si>
  <si>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</si>
  <si>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</si>
  <si>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</si>
  <si>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</si>
  <si>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</si>
  <si>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</si>
  <si>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</si>
  <si>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</si>
  <si>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</si>
  <si>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</si>
  <si>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</si>
  <si>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</si>
  <si>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</si>
  <si>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</si>
  <si>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</si>
  <si>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</si>
  <si>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</si>
  <si>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</si>
  <si>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</si>
  <si>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</si>
  <si>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Environmental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</si>
  <si>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</si>
  <si>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</si>
  <si>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</si>
  <si>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</si>
  <si>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</si>
  <si>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</si>
  <si>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</si>
  <si>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</si>
  <si>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</si>
  <si>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</si>
  <si>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</si>
  <si>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</si>
  <si>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</si>
  <si>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</si>
  <si>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</si>
  <si>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</si>
  <si>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</si>
  <si>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</si>
  <si>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</si>
  <si>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</si>
  <si>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</si>
  <si>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</si>
  <si>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</si>
  <si>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</si>
  <si>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</si>
  <si>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</si>
  <si>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</si>
  <si>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</si>
  <si>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</si>
  <si>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</si>
  <si>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</si>
  <si>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</si>
  <si>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</si>
  <si>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</si>
  <si>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</si>
  <si>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</si>
  <si>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</si>
  <si>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</si>
  <si>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</si>
  <si>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</si>
  <si>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</si>
  <si>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</si>
  <si>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</si>
  <si>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</si>
  <si>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</si>
  <si>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</si>
  <si>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</si>
  <si>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</si>
  <si>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</si>
  <si>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</si>
  <si>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</si>
  <si>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</si>
  <si>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</si>
  <si>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</si>
  <si>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</si>
  <si>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</si>
  <si>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</si>
  <si>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</si>
  <si>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</si>
  <si>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</si>
  <si>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</si>
  <si>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</si>
  <si>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</si>
  <si>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</si>
  <si>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</si>
  <si>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</si>
  <si>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</si>
  <si>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</si>
  <si>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</si>
  <si>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</si>
  <si>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</si>
  <si>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</si>
  <si>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</si>
  <si>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</si>
  <si>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</si>
  <si>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</si>
  <si>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</si>
  <si>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</si>
  <si>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</si>
  <si>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</si>
  <si>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</si>
  <si>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Tower 2</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</si>
  <si>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</si>
  <si>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</si>
  <si>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</si>
  <si>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</si>
  <si>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</si>
  <si>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</si>
  <si>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</si>
  <si>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</si>
  <si>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</si>
  <si>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</si>
  <si>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</si>
  <si>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Approved Layout &amp; Floor Plans, CC, RERA certificate, NOC</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</si>
  <si>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</si>
  <si>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</si>
  <si>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</si>
  <si>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</si>
  <si>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</si>
  <si>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</si>
  <si>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</si>
  <si>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</si>
  <si>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</si>
  <si>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</si>
  <si>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</si>
  <si>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</si>
  <si>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</si>
  <si>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</si>
  <si>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</si>
  <si>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</si>
  <si>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</si>
  <si>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</si>
  <si>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</si>
  <si>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</si>
  <si>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</si>
  <si>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</si>
  <si>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</si>
  <si>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</si>
  <si>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</si>
  <si>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</si>
  <si>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</si>
  <si>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</si>
  <si>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</si>
  <si>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</si>
  <si>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</si>
  <si>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</si>
  <si>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</si>
  <si>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</si>
  <si>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</si>
  <si>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</si>
  <si>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</si>
  <si>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</si>
  <si>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</si>
  <si>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</si>
  <si>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</si>
  <si>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</si>
  <si>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</si>
  <si>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</si>
  <si>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</si>
  <si>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</si>
  <si>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</si>
  <si>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</si>
  <si>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</si>
  <si>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</si>
  <si>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</si>
  <si>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</si>
  <si>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</si>
  <si>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</si>
  <si>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</si>
  <si>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</si>
  <si>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</si>
  <si>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</si>
  <si>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</si>
  <si>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</si>
  <si>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</si>
  <si>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</si>
  <si>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</si>
  <si>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</si>
  <si>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</si>
  <si>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</si>
  <si>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</si>
  <si>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</si>
  <si>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</si>
  <si>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</si>
  <si>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</si>
  <si>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Tower 3</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</si>
  <si>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</si>
  <si>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</si>
  <si>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</si>
  <si>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</si>
  <si>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</si>
  <si>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</si>
  <si>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</si>
  <si>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</si>
  <si>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</si>
  <si>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</si>
  <si>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</si>
  <si>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</si>
  <si>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</si>
  <si>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Valid Upto 
Date</t>
  </si>
  <si>
    <t>Unit Details, Nomenclature and Area Details (Commercial)</t>
  </si>
  <si>
    <t>Grand Total</t>
  </si>
  <si>
    <t>Godrej Properties Limited</t>
  </si>
  <si>
    <t xml:space="preserve">5th Floor, Godrej One, Pirojshanagar, Vikhroli East, Eastern Express Highway, Kurla, Vikhroli, Mumbai Suburban, Maharashtra, 400079
</t>
  </si>
  <si>
    <t>Municipal Corporation of Greater Mumbai (MCGM)</t>
  </si>
  <si>
    <t xml:space="preserve">State Bank of India
IFSC Code SBIN0009995
</t>
  </si>
  <si>
    <t>313+303</t>
  </si>
  <si>
    <t>19.1604667,72.9368963</t>
  </si>
  <si>
    <t>https://maps.app.goo.gl/LSM9BWKtLC7513cF6</t>
  </si>
  <si>
    <t>Filix Tower</t>
  </si>
  <si>
    <t>Concrete</t>
  </si>
  <si>
    <t>30.5 M</t>
  </si>
  <si>
    <t>130 M from Asian Paints Bus Stop</t>
  </si>
  <si>
    <t>About 1.2 KM from Noble Angel High School</t>
  </si>
  <si>
    <t>About 750 M form Navkar Hospital</t>
  </si>
  <si>
    <t>2.5 KM from Nahur Railway Station
2.6 KM from Bhandup Railway Station</t>
  </si>
  <si>
    <t>1. Approx. 700 M from D Mart.
2. Approx. 2.9 KM from Mulund Market.</t>
  </si>
  <si>
    <t>Upper</t>
  </si>
  <si>
    <t>30.5 M W Road</t>
  </si>
  <si>
    <t>18.3 M W Road</t>
  </si>
  <si>
    <t>Nalla</t>
  </si>
  <si>
    <t>Plot EO1.3 (Pt)</t>
  </si>
  <si>
    <t>LBS Marg</t>
  </si>
  <si>
    <t>Lake Road</t>
  </si>
  <si>
    <t>G + 1st to 44th Floor</t>
  </si>
  <si>
    <t>G + 1st to 43rd Floor</t>
  </si>
  <si>
    <t xml:space="preserve">CC Details
Valid Up to: </t>
  </si>
  <si>
    <t xml:space="preserve">Fire NOC Details
Valid Up to: </t>
  </si>
  <si>
    <t xml:space="preserve">SNCR/WEST/B/122123/860671
</t>
  </si>
  <si>
    <t>Site Elevation AMSL = 15.96 M
Permissible Top Elevation AMSL = 196.53 M</t>
  </si>
  <si>
    <t xml:space="preserve">Airport Authority Clearance Details
Valid Up to: </t>
  </si>
  <si>
    <t xml:space="preserve">Valid Upto 
Date
</t>
  </si>
  <si>
    <t>Ground Floor For Meter Room, Society Office, BMS Room, Entrance Lobby &amp; Parking</t>
  </si>
  <si>
    <t>1st Podium Floor For Residential, Voids &amp; Parking</t>
  </si>
  <si>
    <t>Parking</t>
  </si>
  <si>
    <t>Voids</t>
  </si>
  <si>
    <t>3BHK</t>
  </si>
  <si>
    <t>2BHK</t>
  </si>
  <si>
    <t>2nd to 7th Podium Floor For Residential &amp; Parking</t>
  </si>
  <si>
    <t>8th Podium Floor For Residential &amp; Voids (Part Refuge Area)</t>
  </si>
  <si>
    <t>Refuge Area</t>
  </si>
  <si>
    <t>9th Podium Floor For Residential, Entrance Lobby &amp; Parking</t>
  </si>
  <si>
    <t>Entrance Lobby</t>
  </si>
  <si>
    <t>10th to 14th, 16th to 20th For Residential</t>
  </si>
  <si>
    <t>15th Floor (Part Refuge Area)</t>
  </si>
  <si>
    <t>21st, 23rd to 28th, 30th to 35th, 37th to 42nd &amp; 44th For Residential</t>
  </si>
  <si>
    <t>22nd, 29th &amp; 36th Floor (Part Refuge Area)</t>
  </si>
  <si>
    <t>43rd Floor (Part Refuge Area)</t>
  </si>
  <si>
    <t>9th Podium Floor For Residential &amp; Entrance Lobby</t>
  </si>
  <si>
    <t>10th to 14th &amp; 16th to 20th Floor For Residential</t>
  </si>
  <si>
    <t>21st, 23rd to 28th, 30th to 35th &amp; 37th to 42nd Floor For Residential</t>
  </si>
  <si>
    <t xml:space="preserve">We considered Gross carpet area = Net carpet + Balcony + Utility.
</t>
  </si>
  <si>
    <t>Please check for Environment Clearance Certificate.</t>
  </si>
  <si>
    <t>File No.SIA/MH/INFRA2/452038/2023</t>
  </si>
  <si>
    <t>TOR No.</t>
  </si>
  <si>
    <t>Swimming Pool, Kids Pool, Reading Room, Yoga Room, Fitness Center, etc.</t>
  </si>
  <si>
    <t>Mr.Nainesh Tambe</t>
  </si>
  <si>
    <t>27000 to 28000</t>
  </si>
  <si>
    <t>Table Updated 16/11/2024</t>
  </si>
  <si>
    <t>Mr. Suraj Khare</t>
  </si>
  <si>
    <t>Tower 2 = P51800077080
Tower 3 = P51800077085
Godrej Square = P51800077810</t>
  </si>
  <si>
    <t>Tower 2 &amp; 3 - 31/03/2031
Godrej Square - 31/10/2028</t>
  </si>
  <si>
    <t>Tower 2 &amp; 3 - 19/06/2024 &amp;
Godrej Square - 07/11/2024</t>
  </si>
  <si>
    <t>Commercial Wing</t>
  </si>
  <si>
    <t>2B + G + 1st to 4th Floor</t>
  </si>
  <si>
    <t>https://www.godrejsquarelbsmarg.com/?utm_source=google&amp;utm_medium=cpc&amp;utm_campaign=Godrej+Square+Bhandup+Commercial&amp;utm_term=godrej%20square%20bhandup&amp;utm_Physical_Location=9062232&amp;utm_Targetid=kwd-2390437577750&amp;utm_Target=&amp;utm_Placement=&amp;utm_Adposition=&amp;gad_source=1&amp;gad_campaignid=22352411891&amp;gbraid=0AAAAADq4HKc6LO7SpkwUnQwnfiILNaWn0&amp;gclid=CjwKCAjwruXBBhArEiwACBRtHe2U7oK2UoSxs5SOenubtcbgw34ECsOxYzQAHYx0ftFjFroV_cBMqBoCX_IQAvD_BwE</t>
  </si>
  <si>
    <t>CE/1068/BPES/AS/337/4/Amend</t>
  </si>
  <si>
    <t>CE/1068/BPES/AS/CC/3/Amend</t>
  </si>
  <si>
    <t>CC for shore piling activity only, subject to strict implementation Air Pollution Mitigation Guidelines. (CC Valid upto 17.06.2025)</t>
  </si>
  <si>
    <t xml:space="preserve">CE/1068/BPES/AS-CFO-1
Tower - 2  = Ground/Stilt + 1st to 8th Podium floors + 9th floor + 10th podium floor + 11th to 44th upper residential floors with a (total height of 138.25mtrs).
Tower - 3 = Ground + 1st to 8th Podium floors + 9th floor + 10th podium floor top + 11th to 43rd floors (total height of 135.20 mtrs).
Commercial Wing = 2B + G + 1st to 4th Floor (Height = 22.20M)
</t>
  </si>
  <si>
    <t>Upper Basement Floor For Parking</t>
  </si>
  <si>
    <t>Lower Basement Floor For Pump Room &amp; Parking</t>
  </si>
  <si>
    <t>Ground Floor For Commercial &amp; Entrance Lobby</t>
  </si>
  <si>
    <t>Shop</t>
  </si>
  <si>
    <t>CE/1068/BPES/AS</t>
  </si>
  <si>
    <t>LOI/IOD Details
(Tower 2 &amp; 3)</t>
  </si>
  <si>
    <t>Approved Plan Details
(Tower 2 &amp; 3)</t>
  </si>
  <si>
    <t>CE/1068/BPES/AS/CC/2/Amend</t>
  </si>
  <si>
    <t>Plinth C.C. as per approved IOD plans dated 26.04.2024.</t>
  </si>
  <si>
    <t>1st Floor</t>
  </si>
  <si>
    <t>2nd to 4th Floor</t>
  </si>
  <si>
    <t>Office</t>
  </si>
  <si>
    <t>Commercial Wing Shops</t>
  </si>
  <si>
    <t>Commercial Wing Offices</t>
  </si>
  <si>
    <t xml:space="preserve">Project Godrej Nurture consists of Tower 2 &amp; Tower 3 and Project Godrej Square consists of Commercial Wing.
</t>
  </si>
  <si>
    <t>Godrej Nurture (Tower 2 &amp; 3) &amp; Godrej Square</t>
  </si>
  <si>
    <t xml:space="preserve">Godrej Nurture &amp; Godrej Square, CTS No.216-A &amp; 216-C (Pt), near Filix Tower, LBS Marg, Sonapur, Bhandup, Nahur West, Mumbai, Mumbai - 400078. </t>
  </si>
  <si>
    <t>Flats = 616
Shops = 17
Offices = 72</t>
  </si>
  <si>
    <t>acquila</t>
  </si>
  <si>
    <t>As per RERA,
Site Flats = 616
Shops = 17
Offices = 72</t>
  </si>
  <si>
    <t>LOI/IOD Details</t>
  </si>
  <si>
    <t xml:space="preserve">We have referred revised CC from MCGM site for Commercial Wing. (On 02/06/2025).
</t>
  </si>
  <si>
    <t xml:space="preserve">We have Commercial Wing (On 02/06/2025).
</t>
  </si>
  <si>
    <t xml:space="preserve">We have Update approved plans for Tower 2 &amp; 3 (On 02/06/2025).
</t>
  </si>
  <si>
    <t>Approved Plan Details</t>
  </si>
  <si>
    <t>Godrej Nurture &amp; Godrej Square, Plot Bearing / CTS / Survey / Final Plot No.:  216A &amp; 216C at Bhandup, Kurla, Mumbai Suburban, 400078.</t>
  </si>
  <si>
    <t>Rate of Shop Per Sq. Ft. 
(on Carpet area)</t>
  </si>
  <si>
    <t>Rate of Office Per Sq. Ft. 
(on Carpet area)</t>
  </si>
  <si>
    <t>37000 to 38000</t>
  </si>
  <si>
    <t>31000 to 32000</t>
  </si>
  <si>
    <t>06/08/2025 at 03:27PM</t>
  </si>
  <si>
    <t>Ms Riya CRM 8655769885</t>
  </si>
  <si>
    <t>Mr. Alex CRM 9819803277 &amp;</t>
  </si>
  <si>
    <t>Tower 2 = Work not yet started.
Tower 3 &amp; Commercial Wing = Construction work is same as last visit dtd. 02/06/2025 but work is  in process at the time of Visit (Slow Speed).
Construction Details area taken from Ms. Riya
 (labour found)
Construction work was not active at the time of Visit. (labour Not found)
All work completed. Wait for OC / OC received.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</si>
</sst>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u/>
      <sz val="11"/>
      <color theme="10"/>
      <name val="Calibri"/>
      <family val="2"/>
    </font>
    <font>
      <u/>
      <sz val="16"/>
      <color theme="10"/>
      <name val="Calibri"/>
      <family val="2"/>
    </font>
  </fonts>
  <fills count="12">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2" fillId="0" borderId="0" applyNumberFormat="0" applyFill="0" applyBorder="0" applyAlignment="0" applyProtection="0"/>
  </cellStyleXfs>
  <cellXfs count="161">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4"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 fontId="4" fillId="4" borderId="1" xfId="1" applyNumberFormat="1" applyFont="1" applyFill="1" applyBorder="1" applyAlignment="1" applyProtection="1">
      <alignment horizontal="center" vertical="center" wrapText="1"/>
      <protection hidden="1"/>
    </xf>
    <xf numFmtId="0" fontId="3" fillId="0" borderId="1" xfId="0" applyFont="1" applyBorder="1" applyAlignment="1">
      <alignment vertical="top"/>
    </xf>
    <xf numFmtId="0" fontId="9" fillId="0" borderId="0" xfId="0" applyFont="1" applyAlignment="1">
      <alignment vertical="top"/>
    </xf>
    <xf numFmtId="0" fontId="22" fillId="0" borderId="0" xfId="2" applyAlignment="1">
      <alignment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3" xfId="0" applyFont="1" applyFill="1" applyBorder="1" applyAlignment="1">
      <alignment horizontal="left" vertical="top"/>
    </xf>
    <xf numFmtId="0" fontId="4" fillId="4" borderId="5" xfId="0" applyFont="1" applyFill="1" applyBorder="1" applyAlignment="1">
      <alignment horizontal="left" vertical="top"/>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1"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3"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0" borderId="1" xfId="0" applyFont="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9"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left" vertical="top" wrapText="1"/>
    </xf>
    <xf numFmtId="0" fontId="2" fillId="0" borderId="5" xfId="0" applyFont="1" applyBorder="1" applyAlignment="1">
      <alignment horizontal="left" vertical="top" wrapText="1"/>
    </xf>
    <xf numFmtId="2"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4" fillId="4" borderId="1" xfId="0" applyFont="1" applyFill="1" applyBorder="1" applyAlignment="1">
      <alignment horizontal="left" vertical="top"/>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23" fillId="4" borderId="1" xfId="2" applyFont="1" applyFill="1" applyBorder="1" applyAlignment="1">
      <alignment horizontal="left" vertical="top"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xdr:from>
      <xdr:col>11</xdr:col>
      <xdr:colOff>59871</xdr:colOff>
      <xdr:row>115</xdr:row>
      <xdr:rowOff>141515</xdr:rowOff>
    </xdr:from>
    <xdr:to>
      <xdr:col>28</xdr:col>
      <xdr:colOff>302354</xdr:colOff>
      <xdr:row>127</xdr:row>
      <xdr:rowOff>55384</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13125930" y="43295368"/>
          <a:ext cx="8635689" cy="4351398"/>
          <a:chOff x="9769928" y="42726429"/>
          <a:chExt cx="8676190" cy="3247619"/>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69928" y="42726429"/>
            <a:ext cx="8676190" cy="3247619"/>
          </a:xfrm>
          <a:prstGeom prst="rect">
            <a:avLst/>
          </a:prstGeom>
        </xdr:spPr>
      </xdr:pic>
      <xdr:sp macro="" textlink="">
        <xdr:nvSpPr>
          <xdr:cNvPr id="3" name="Rectangle 2">
            <a:extLst>
              <a:ext uri="{FF2B5EF4-FFF2-40B4-BE49-F238E27FC236}">
                <a16:creationId xmlns:a16="http://schemas.microsoft.com/office/drawing/2014/main" id="{00000000-0008-0000-0000-000003000000}"/>
              </a:ext>
            </a:extLst>
          </xdr:cNvPr>
          <xdr:cNvSpPr/>
        </xdr:nvSpPr>
        <xdr:spPr>
          <a:xfrm>
            <a:off x="11157857" y="45107679"/>
            <a:ext cx="340179" cy="21771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2</xdr:col>
      <xdr:colOff>102777</xdr:colOff>
      <xdr:row>434</xdr:row>
      <xdr:rowOff>27212</xdr:rowOff>
    </xdr:from>
    <xdr:to>
      <xdr:col>6</xdr:col>
      <xdr:colOff>204107</xdr:colOff>
      <xdr:row>454</xdr:row>
      <xdr:rowOff>183981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2443206" y="98542926"/>
          <a:ext cx="4782187" cy="5327485"/>
        </a:xfrm>
        <a:prstGeom prst="rect">
          <a:avLst/>
        </a:prstGeom>
        <a:ln>
          <a:solidFill>
            <a:schemeClr val="tx1"/>
          </a:solidFill>
        </a:ln>
      </xdr:spPr>
    </xdr:pic>
    <xdr:clientData/>
  </xdr:twoCellAnchor>
  <xdr:twoCellAnchor editAs="oneCell">
    <xdr:from>
      <xdr:col>0</xdr:col>
      <xdr:colOff>245687</xdr:colOff>
      <xdr:row>482</xdr:row>
      <xdr:rowOff>204108</xdr:rowOff>
    </xdr:from>
    <xdr:to>
      <xdr:col>3</xdr:col>
      <xdr:colOff>503466</xdr:colOff>
      <xdr:row>495</xdr:row>
      <xdr:rowOff>1422</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45687" y="111646608"/>
          <a:ext cx="3768422" cy="3158277"/>
        </a:xfrm>
        <a:prstGeom prst="rect">
          <a:avLst/>
        </a:prstGeom>
        <a:ln>
          <a:solidFill>
            <a:schemeClr val="tx1"/>
          </a:solidFill>
        </a:ln>
      </xdr:spPr>
    </xdr:pic>
    <xdr:clientData/>
  </xdr:twoCellAnchor>
  <xdr:twoCellAnchor>
    <xdr:from>
      <xdr:col>3</xdr:col>
      <xdr:colOff>775605</xdr:colOff>
      <xdr:row>482</xdr:row>
      <xdr:rowOff>204108</xdr:rowOff>
    </xdr:from>
    <xdr:to>
      <xdr:col>7</xdr:col>
      <xdr:colOff>870857</xdr:colOff>
      <xdr:row>497</xdr:row>
      <xdr:rowOff>68036</xdr:rowOff>
    </xdr:to>
    <xdr:grpSp>
      <xdr:nvGrpSpPr>
        <xdr:cNvPr id="22" name="Group 21">
          <a:extLst>
            <a:ext uri="{FF2B5EF4-FFF2-40B4-BE49-F238E27FC236}">
              <a16:creationId xmlns:a16="http://schemas.microsoft.com/office/drawing/2014/main" id="{00000000-0008-0000-0000-000016000000}"/>
            </a:ext>
          </a:extLst>
        </xdr:cNvPr>
        <xdr:cNvGrpSpPr/>
      </xdr:nvGrpSpPr>
      <xdr:grpSpPr>
        <a:xfrm>
          <a:off x="4305458" y="138215755"/>
          <a:ext cx="4801723" cy="3729957"/>
          <a:chOff x="2476498" y="115810393"/>
          <a:chExt cx="4830537" cy="3660321"/>
        </a:xfrm>
      </xdr:grpSpPr>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476498" y="115810393"/>
            <a:ext cx="4830537" cy="3660321"/>
          </a:xfrm>
          <a:prstGeom prst="rect">
            <a:avLst/>
          </a:prstGeom>
          <a:ln>
            <a:solidFill>
              <a:schemeClr val="tx1"/>
            </a:solidFill>
          </a:ln>
        </xdr:spPr>
      </xdr:pic>
      <xdr:sp macro="" textlink="">
        <xdr:nvSpPr>
          <xdr:cNvPr id="15" name="Freeform 14">
            <a:extLst>
              <a:ext uri="{FF2B5EF4-FFF2-40B4-BE49-F238E27FC236}">
                <a16:creationId xmlns:a16="http://schemas.microsoft.com/office/drawing/2014/main" id="{00000000-0008-0000-0000-00000F000000}"/>
              </a:ext>
            </a:extLst>
          </xdr:cNvPr>
          <xdr:cNvSpPr/>
        </xdr:nvSpPr>
        <xdr:spPr>
          <a:xfrm>
            <a:off x="3521624" y="116905481"/>
            <a:ext cx="1971936" cy="1904442"/>
          </a:xfrm>
          <a:custGeom>
            <a:avLst/>
            <a:gdLst>
              <a:gd name="connsiteX0" fmla="*/ 1476375 w 1905000"/>
              <a:gd name="connsiteY0" fmla="*/ 0 h 1781175"/>
              <a:gd name="connsiteX1" fmla="*/ 1905000 w 1905000"/>
              <a:gd name="connsiteY1" fmla="*/ 9525 h 1781175"/>
              <a:gd name="connsiteX2" fmla="*/ 1847850 w 1905000"/>
              <a:gd name="connsiteY2" fmla="*/ 1257300 h 1781175"/>
              <a:gd name="connsiteX3" fmla="*/ 790575 w 1905000"/>
              <a:gd name="connsiteY3" fmla="*/ 1238250 h 1781175"/>
              <a:gd name="connsiteX4" fmla="*/ 809625 w 1905000"/>
              <a:gd name="connsiteY4" fmla="*/ 1781175 h 1781175"/>
              <a:gd name="connsiteX5" fmla="*/ 0 w 1905000"/>
              <a:gd name="connsiteY5" fmla="*/ 1743075 h 1781175"/>
              <a:gd name="connsiteX6" fmla="*/ 390525 w 1905000"/>
              <a:gd name="connsiteY6" fmla="*/ 285750 h 1781175"/>
              <a:gd name="connsiteX7" fmla="*/ 1466850 w 1905000"/>
              <a:gd name="connsiteY7" fmla="*/ 276225 h 1781175"/>
              <a:gd name="connsiteX8" fmla="*/ 1476375 w 1905000"/>
              <a:gd name="connsiteY8" fmla="*/ 0 h 17811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05000" h="1781175">
                <a:moveTo>
                  <a:pt x="1476375" y="0"/>
                </a:moveTo>
                <a:lnTo>
                  <a:pt x="1905000" y="9525"/>
                </a:lnTo>
                <a:lnTo>
                  <a:pt x="1847850" y="1257300"/>
                </a:lnTo>
                <a:lnTo>
                  <a:pt x="790575" y="1238250"/>
                </a:lnTo>
                <a:lnTo>
                  <a:pt x="809625" y="1781175"/>
                </a:lnTo>
                <a:lnTo>
                  <a:pt x="0" y="1743075"/>
                </a:lnTo>
                <a:lnTo>
                  <a:pt x="390525" y="285750"/>
                </a:lnTo>
                <a:lnTo>
                  <a:pt x="1466850" y="276225"/>
                </a:lnTo>
                <a:lnTo>
                  <a:pt x="1476375" y="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9</xdr:col>
      <xdr:colOff>162767</xdr:colOff>
      <xdr:row>389</xdr:row>
      <xdr:rowOff>101172</xdr:rowOff>
    </xdr:from>
    <xdr:to>
      <xdr:col>25</xdr:col>
      <xdr:colOff>456826</xdr:colOff>
      <xdr:row>424</xdr:row>
      <xdr:rowOff>54550</xdr:rowOff>
    </xdr:to>
    <xdr:grpSp>
      <xdr:nvGrpSpPr>
        <xdr:cNvPr id="33" name="Group 32">
          <a:extLst>
            <a:ext uri="{FF2B5EF4-FFF2-40B4-BE49-F238E27FC236}">
              <a16:creationId xmlns:a16="http://schemas.microsoft.com/office/drawing/2014/main" id="{ED662061-F9E9-12EA-D70D-F83C38D89474}"/>
            </a:ext>
          </a:extLst>
        </xdr:cNvPr>
        <xdr:cNvGrpSpPr/>
      </xdr:nvGrpSpPr>
      <xdr:grpSpPr>
        <a:xfrm>
          <a:off x="11828091" y="114143437"/>
          <a:ext cx="8351088" cy="8974113"/>
          <a:chOff x="696166" y="86699911"/>
          <a:chExt cx="8345326" cy="8974113"/>
        </a:xfrm>
      </xdr:grpSpPr>
      <xdr:grpSp>
        <xdr:nvGrpSpPr>
          <xdr:cNvPr id="31" name="Group 30">
            <a:extLst>
              <a:ext uri="{FF2B5EF4-FFF2-40B4-BE49-F238E27FC236}">
                <a16:creationId xmlns:a16="http://schemas.microsoft.com/office/drawing/2014/main" id="{05D10852-36A4-5D4F-EF4F-E4308A08D521}"/>
              </a:ext>
            </a:extLst>
          </xdr:cNvPr>
          <xdr:cNvGrpSpPr/>
        </xdr:nvGrpSpPr>
        <xdr:grpSpPr>
          <a:xfrm>
            <a:off x="696166" y="86710174"/>
            <a:ext cx="7208141" cy="8963850"/>
            <a:chOff x="539283" y="86665350"/>
            <a:chExt cx="7208141" cy="8963850"/>
          </a:xfrm>
        </xdr:grpSpPr>
        <xdr:pic>
          <xdr:nvPicPr>
            <xdr:cNvPr id="23" name="Picture 22">
              <a:extLst>
                <a:ext uri="{FF2B5EF4-FFF2-40B4-BE49-F238E27FC236}">
                  <a16:creationId xmlns:a16="http://schemas.microsoft.com/office/drawing/2014/main" id="{F40C4BBA-C9AF-F76C-B3DA-753AD2DDE384}"/>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5581399" y="92749200"/>
              <a:ext cx="2166025"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a:extLst>
                <a:ext uri="{FF2B5EF4-FFF2-40B4-BE49-F238E27FC236}">
                  <a16:creationId xmlns:a16="http://schemas.microsoft.com/office/drawing/2014/main" id="{1B6EC6F4-7254-F010-7745-0350B64DA91B}"/>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539283" y="86666294"/>
              <a:ext cx="3820517"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a:extLst>
                <a:ext uri="{FF2B5EF4-FFF2-40B4-BE49-F238E27FC236}">
                  <a16:creationId xmlns:a16="http://schemas.microsoft.com/office/drawing/2014/main" id="{597645E3-9CF6-1D91-D0EE-76CE66AEBF19}"/>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1032506" y="92749200"/>
              <a:ext cx="2166025"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a:extLst>
                <a:ext uri="{FF2B5EF4-FFF2-40B4-BE49-F238E27FC236}">
                  <a16:creationId xmlns:a16="http://schemas.microsoft.com/office/drawing/2014/main" id="{0A55D8EF-C495-A90B-78E4-11B99FDECBAE}"/>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224495" y="89724556"/>
              <a:ext cx="2166025"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a:extLst>
                <a:ext uri="{FF2B5EF4-FFF2-40B4-BE49-F238E27FC236}">
                  <a16:creationId xmlns:a16="http://schemas.microsoft.com/office/drawing/2014/main" id="{54940058-FED0-61FE-164F-9FA762F01E3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4487351" y="86665350"/>
              <a:ext cx="2166025"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a:extLst>
                <a:ext uri="{FF2B5EF4-FFF2-40B4-BE49-F238E27FC236}">
                  <a16:creationId xmlns:a16="http://schemas.microsoft.com/office/drawing/2014/main" id="{BEACE393-C965-FBB4-CD8E-212841594AAB}"/>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3311465" y="92749200"/>
              <a:ext cx="2157000"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a:extLst>
                <a:ext uri="{FF2B5EF4-FFF2-40B4-BE49-F238E27FC236}">
                  <a16:creationId xmlns:a16="http://schemas.microsoft.com/office/drawing/2014/main" id="{4A20C6FB-C8F4-B53E-ADFC-8493505EABCE}"/>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4500022" y="89724556"/>
              <a:ext cx="2166025"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pic>
        <xdr:nvPicPr>
          <xdr:cNvPr id="32" name="Picture 31">
            <a:extLst>
              <a:ext uri="{FF2B5EF4-FFF2-40B4-BE49-F238E27FC236}">
                <a16:creationId xmlns:a16="http://schemas.microsoft.com/office/drawing/2014/main" id="{9CC813E3-9C55-B45D-8BB0-28883F099BAD}"/>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6891616" y="86699911"/>
            <a:ext cx="2149876" cy="288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179294</xdr:colOff>
      <xdr:row>31</xdr:row>
      <xdr:rowOff>22412</xdr:rowOff>
    </xdr:from>
    <xdr:to>
      <xdr:col>10</xdr:col>
      <xdr:colOff>65403</xdr:colOff>
      <xdr:row>46</xdr:row>
      <xdr:rowOff>46013</xdr:rowOff>
    </xdr:to>
    <xdr:pic>
      <xdr:nvPicPr>
        <xdr:cNvPr id="13" name="Picture 12">
          <a:extLst>
            <a:ext uri="{FF2B5EF4-FFF2-40B4-BE49-F238E27FC236}">
              <a16:creationId xmlns:a16="http://schemas.microsoft.com/office/drawing/2014/main" id="{57ABAB01-4DBD-4DAC-8903-5FD84E703A64}"/>
            </a:ext>
          </a:extLst>
        </xdr:cNvPr>
        <xdr:cNvPicPr>
          <a:picLocks noChangeAspect="1"/>
        </xdr:cNvPicPr>
      </xdr:nvPicPr>
      <xdr:blipFill>
        <a:blip xmlns:r="http://schemas.openxmlformats.org/officeDocument/2006/relationships" r:embed="rId13"/>
        <a:stretch>
          <a:fillRect/>
        </a:stretch>
      </xdr:blipFill>
      <xdr:spPr>
        <a:xfrm>
          <a:off x="9592235" y="16181294"/>
          <a:ext cx="2934109" cy="4505954"/>
        </a:xfrm>
        <a:prstGeom prst="rect">
          <a:avLst/>
        </a:prstGeom>
      </xdr:spPr>
    </xdr:pic>
    <xdr:clientData/>
  </xdr:twoCellAnchor>
  <xdr:twoCellAnchor>
    <xdr:from>
      <xdr:col>1</xdr:col>
      <xdr:colOff>481852</xdr:colOff>
      <xdr:row>455</xdr:row>
      <xdr:rowOff>145676</xdr:rowOff>
    </xdr:from>
    <xdr:to>
      <xdr:col>6</xdr:col>
      <xdr:colOff>1170371</xdr:colOff>
      <xdr:row>478</xdr:row>
      <xdr:rowOff>207950</xdr:rowOff>
    </xdr:to>
    <xdr:grpSp>
      <xdr:nvGrpSpPr>
        <xdr:cNvPr id="29" name="Group 28">
          <a:extLst>
            <a:ext uri="{FF2B5EF4-FFF2-40B4-BE49-F238E27FC236}">
              <a16:creationId xmlns:a16="http://schemas.microsoft.com/office/drawing/2014/main" id="{6A59618C-CD92-478F-94DA-61783CCC6988}"/>
            </a:ext>
          </a:extLst>
        </xdr:cNvPr>
        <xdr:cNvGrpSpPr/>
      </xdr:nvGrpSpPr>
      <xdr:grpSpPr>
        <a:xfrm>
          <a:off x="1658470" y="131198470"/>
          <a:ext cx="6571607" cy="5990186"/>
          <a:chOff x="143196" y="1576907"/>
          <a:chExt cx="6571607" cy="5990186"/>
        </a:xfrm>
      </xdr:grpSpPr>
      <xdr:grpSp>
        <xdr:nvGrpSpPr>
          <xdr:cNvPr id="34" name="Group 33">
            <a:extLst>
              <a:ext uri="{FF2B5EF4-FFF2-40B4-BE49-F238E27FC236}">
                <a16:creationId xmlns:a16="http://schemas.microsoft.com/office/drawing/2014/main" id="{00000000-0008-0000-0000-000006000000}"/>
              </a:ext>
            </a:extLst>
          </xdr:cNvPr>
          <xdr:cNvGrpSpPr/>
        </xdr:nvGrpSpPr>
        <xdr:grpSpPr>
          <a:xfrm>
            <a:off x="143196" y="1576907"/>
            <a:ext cx="6571607" cy="5990186"/>
            <a:chOff x="0" y="0"/>
            <a:chExt cx="4891449" cy="4832399"/>
          </a:xfrm>
        </xdr:grpSpPr>
        <xdr:pic>
          <xdr:nvPicPr>
            <xdr:cNvPr id="37" name="Picture 3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4"/>
            <a:stretch>
              <a:fillRect/>
            </a:stretch>
          </xdr:blipFill>
          <xdr:spPr>
            <a:xfrm>
              <a:off x="0" y="0"/>
              <a:ext cx="4891449" cy="4832399"/>
            </a:xfrm>
            <a:prstGeom prst="rect">
              <a:avLst/>
            </a:prstGeom>
            <a:ln>
              <a:solidFill>
                <a:schemeClr val="tx1"/>
              </a:solidFill>
            </a:ln>
          </xdr:spPr>
        </xdr:pic>
        <xdr:sp macro="" textlink="">
          <xdr:nvSpPr>
            <xdr:cNvPr id="38" name="Rectangle 37">
              <a:extLst>
                <a:ext uri="{FF2B5EF4-FFF2-40B4-BE49-F238E27FC236}">
                  <a16:creationId xmlns:a16="http://schemas.microsoft.com/office/drawing/2014/main" id="{00000000-0008-0000-0000-000008000000}"/>
                </a:ext>
              </a:extLst>
            </xdr:cNvPr>
            <xdr:cNvSpPr/>
          </xdr:nvSpPr>
          <xdr:spPr>
            <a:xfrm>
              <a:off x="1405300" y="1809750"/>
              <a:ext cx="781050" cy="1085850"/>
            </a:xfrm>
            <a:prstGeom prst="rect">
              <a:avLst/>
            </a:prstGeom>
            <a:no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sp macro="" textlink="">
          <xdr:nvSpPr>
            <xdr:cNvPr id="39" name="TextBox 8">
              <a:extLst>
                <a:ext uri="{FF2B5EF4-FFF2-40B4-BE49-F238E27FC236}">
                  <a16:creationId xmlns:a16="http://schemas.microsoft.com/office/drawing/2014/main" id="{00000000-0008-0000-0000-000009000000}"/>
                </a:ext>
              </a:extLst>
            </xdr:cNvPr>
            <xdr:cNvSpPr txBox="1"/>
          </xdr:nvSpPr>
          <xdr:spPr>
            <a:xfrm>
              <a:off x="2138726" y="2362201"/>
              <a:ext cx="8382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400" b="1">
                  <a:solidFill>
                    <a:srgbClr val="002060"/>
                  </a:solidFill>
                </a:rPr>
                <a:t>Tower 2</a:t>
              </a:r>
            </a:p>
          </xdr:txBody>
        </xdr:sp>
        <xdr:sp macro="" textlink="">
          <xdr:nvSpPr>
            <xdr:cNvPr id="40" name="TextBox 9">
              <a:extLst>
                <a:ext uri="{FF2B5EF4-FFF2-40B4-BE49-F238E27FC236}">
                  <a16:creationId xmlns:a16="http://schemas.microsoft.com/office/drawing/2014/main" id="{00000000-0008-0000-0000-00000A000000}"/>
                </a:ext>
              </a:extLst>
            </xdr:cNvPr>
            <xdr:cNvSpPr txBox="1"/>
          </xdr:nvSpPr>
          <xdr:spPr>
            <a:xfrm>
              <a:off x="1405300" y="3552825"/>
              <a:ext cx="8382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400" b="1">
                  <a:solidFill>
                    <a:srgbClr val="FF0000"/>
                  </a:solidFill>
                </a:rPr>
                <a:t>Tower 3</a:t>
              </a:r>
            </a:p>
          </xdr:txBody>
        </xdr:sp>
        <xdr:sp macro="" textlink="">
          <xdr:nvSpPr>
            <xdr:cNvPr id="41" name="Rectangle 40">
              <a:extLst>
                <a:ext uri="{FF2B5EF4-FFF2-40B4-BE49-F238E27FC236}">
                  <a16:creationId xmlns:a16="http://schemas.microsoft.com/office/drawing/2014/main" id="{00000000-0008-0000-0000-00000B000000}"/>
                </a:ext>
              </a:extLst>
            </xdr:cNvPr>
            <xdr:cNvSpPr/>
          </xdr:nvSpPr>
          <xdr:spPr>
            <a:xfrm>
              <a:off x="628649" y="2895600"/>
              <a:ext cx="843325" cy="9906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grpSp>
      <xdr:sp macro="" textlink="">
        <xdr:nvSpPr>
          <xdr:cNvPr id="35" name="Rectangle 34">
            <a:extLst>
              <a:ext uri="{FF2B5EF4-FFF2-40B4-BE49-F238E27FC236}">
                <a16:creationId xmlns:a16="http://schemas.microsoft.com/office/drawing/2014/main" id="{35233703-5EB5-4A80-86EC-ED4A7DAED846}"/>
              </a:ext>
            </a:extLst>
          </xdr:cNvPr>
          <xdr:cNvSpPr/>
        </xdr:nvSpPr>
        <xdr:spPr>
          <a:xfrm>
            <a:off x="4657725" y="2609850"/>
            <a:ext cx="1200150" cy="1346007"/>
          </a:xfrm>
          <a:prstGeom prst="rect">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6" name="TextBox 8">
            <a:extLst>
              <a:ext uri="{FF2B5EF4-FFF2-40B4-BE49-F238E27FC236}">
                <a16:creationId xmlns:a16="http://schemas.microsoft.com/office/drawing/2014/main" id="{A1C9E807-8FE2-4ED7-B9A0-DD892AED0780}"/>
              </a:ext>
            </a:extLst>
          </xdr:cNvPr>
          <xdr:cNvSpPr txBox="1"/>
        </xdr:nvSpPr>
        <xdr:spPr>
          <a:xfrm>
            <a:off x="4322768" y="3927282"/>
            <a:ext cx="1688604" cy="338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0000"/>
                </a:solidFill>
              </a:rPr>
              <a:t>Commercial Wing</a:t>
            </a:r>
            <a:endParaRPr lang="en-IN" sz="1600" b="1">
              <a:solidFill>
                <a:srgbClr val="FF0000"/>
              </a:solidFill>
            </a:endParaRPr>
          </a:p>
        </xdr:txBody>
      </xdr:sp>
    </xdr:grpSp>
    <xdr:clientData/>
  </xdr:twoCellAnchor>
  <xdr:twoCellAnchor editAs="oneCell">
    <xdr:from>
      <xdr:col>8</xdr:col>
      <xdr:colOff>571500</xdr:colOff>
      <xdr:row>50</xdr:row>
      <xdr:rowOff>459441</xdr:rowOff>
    </xdr:from>
    <xdr:to>
      <xdr:col>12</xdr:col>
      <xdr:colOff>304797</xdr:colOff>
      <xdr:row>53</xdr:row>
      <xdr:rowOff>177637</xdr:rowOff>
    </xdr:to>
    <xdr:pic>
      <xdr:nvPicPr>
        <xdr:cNvPr id="16" name="Picture 15">
          <a:extLst>
            <a:ext uri="{FF2B5EF4-FFF2-40B4-BE49-F238E27FC236}">
              <a16:creationId xmlns:a16="http://schemas.microsoft.com/office/drawing/2014/main" id="{29E249FC-8A2A-4B6D-8714-9020875B2505}"/>
            </a:ext>
          </a:extLst>
        </xdr:cNvPr>
        <xdr:cNvPicPr>
          <a:picLocks noChangeAspect="1"/>
        </xdr:cNvPicPr>
      </xdr:nvPicPr>
      <xdr:blipFill>
        <a:blip xmlns:r="http://schemas.openxmlformats.org/officeDocument/2006/relationships" r:embed="rId15"/>
        <a:stretch>
          <a:fillRect/>
        </a:stretch>
      </xdr:blipFill>
      <xdr:spPr>
        <a:xfrm>
          <a:off x="9984441" y="22411765"/>
          <a:ext cx="3991532" cy="743054"/>
        </a:xfrm>
        <a:prstGeom prst="rect">
          <a:avLst/>
        </a:prstGeom>
      </xdr:spPr>
    </xdr:pic>
    <xdr:clientData/>
  </xdr:twoCellAnchor>
  <xdr:twoCellAnchor editAs="oneCell">
    <xdr:from>
      <xdr:col>8</xdr:col>
      <xdr:colOff>179293</xdr:colOff>
      <xdr:row>56</xdr:row>
      <xdr:rowOff>0</xdr:rowOff>
    </xdr:from>
    <xdr:to>
      <xdr:col>18</xdr:col>
      <xdr:colOff>254363</xdr:colOff>
      <xdr:row>60</xdr:row>
      <xdr:rowOff>515693</xdr:rowOff>
    </xdr:to>
    <xdr:pic>
      <xdr:nvPicPr>
        <xdr:cNvPr id="17" name="Picture 16">
          <a:extLst>
            <a:ext uri="{FF2B5EF4-FFF2-40B4-BE49-F238E27FC236}">
              <a16:creationId xmlns:a16="http://schemas.microsoft.com/office/drawing/2014/main" id="{DBD257C2-74D5-4F4C-9CF2-FD1FECC6ADD9}"/>
            </a:ext>
          </a:extLst>
        </xdr:cNvPr>
        <xdr:cNvPicPr>
          <a:picLocks noChangeAspect="1"/>
        </xdr:cNvPicPr>
      </xdr:nvPicPr>
      <xdr:blipFill>
        <a:blip xmlns:r="http://schemas.openxmlformats.org/officeDocument/2006/relationships" r:embed="rId16"/>
        <a:stretch>
          <a:fillRect/>
        </a:stretch>
      </xdr:blipFill>
      <xdr:spPr>
        <a:xfrm>
          <a:off x="9592234" y="25291676"/>
          <a:ext cx="7964011" cy="1600423"/>
        </a:xfrm>
        <a:prstGeom prst="rect">
          <a:avLst/>
        </a:prstGeom>
      </xdr:spPr>
    </xdr:pic>
    <xdr:clientData/>
  </xdr:twoCellAnchor>
  <xdr:twoCellAnchor>
    <xdr:from>
      <xdr:col>8</xdr:col>
      <xdr:colOff>667549</xdr:colOff>
      <xdr:row>389</xdr:row>
      <xdr:rowOff>9285</xdr:rowOff>
    </xdr:from>
    <xdr:to>
      <xdr:col>23</xdr:col>
      <xdr:colOff>555811</xdr:colOff>
      <xdr:row>413</xdr:row>
      <xdr:rowOff>183457</xdr:rowOff>
    </xdr:to>
    <xdr:grpSp>
      <xdr:nvGrpSpPr>
        <xdr:cNvPr id="6" name="Group 5">
          <a:extLst>
            <a:ext uri="{FF2B5EF4-FFF2-40B4-BE49-F238E27FC236}">
              <a16:creationId xmlns:a16="http://schemas.microsoft.com/office/drawing/2014/main" id="{B16EB227-1F15-221D-596D-CD77F357BFD8}"/>
            </a:ext>
          </a:extLst>
        </xdr:cNvPr>
        <xdr:cNvGrpSpPr/>
      </xdr:nvGrpSpPr>
      <xdr:grpSpPr>
        <a:xfrm>
          <a:off x="10080490" y="114051550"/>
          <a:ext cx="8987439" cy="6359819"/>
          <a:chOff x="107598" y="476250"/>
          <a:chExt cx="6150252" cy="4518751"/>
        </a:xfrm>
      </xdr:grpSpPr>
      <xdr:grpSp>
        <xdr:nvGrpSpPr>
          <xdr:cNvPr id="7" name="Group 6">
            <a:extLst>
              <a:ext uri="{FF2B5EF4-FFF2-40B4-BE49-F238E27FC236}">
                <a16:creationId xmlns:a16="http://schemas.microsoft.com/office/drawing/2014/main" id="{A39F3D85-0E47-460F-AE70-777F74087C81}"/>
              </a:ext>
            </a:extLst>
          </xdr:cNvPr>
          <xdr:cNvGrpSpPr/>
        </xdr:nvGrpSpPr>
        <xdr:grpSpPr>
          <a:xfrm>
            <a:off x="107598" y="476250"/>
            <a:ext cx="6150252" cy="2520000"/>
            <a:chOff x="353874" y="476250"/>
            <a:chExt cx="6150252" cy="2520000"/>
          </a:xfrm>
        </xdr:grpSpPr>
        <xdr:pic>
          <xdr:nvPicPr>
            <xdr:cNvPr id="18" name="Picture 17">
              <a:extLst>
                <a:ext uri="{FF2B5EF4-FFF2-40B4-BE49-F238E27FC236}">
                  <a16:creationId xmlns:a16="http://schemas.microsoft.com/office/drawing/2014/main" id="{8C2DFB9A-901A-1496-EC48-0116076E35BE}"/>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53874" y="476250"/>
              <a:ext cx="1895272" cy="2520000"/>
            </a:xfrm>
            <a:prstGeom prst="rect">
              <a:avLst/>
            </a:prstGeom>
            <a:ln>
              <a:solidFill>
                <a:schemeClr val="tx1"/>
              </a:solidFill>
            </a:ln>
          </xdr:spPr>
        </xdr:pic>
        <xdr:pic>
          <xdr:nvPicPr>
            <xdr:cNvPr id="19" name="Picture 18">
              <a:extLst>
                <a:ext uri="{FF2B5EF4-FFF2-40B4-BE49-F238E27FC236}">
                  <a16:creationId xmlns:a16="http://schemas.microsoft.com/office/drawing/2014/main" id="{13B7567E-3F72-49E9-10B1-4BC33AE1BC85}"/>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481364" y="476250"/>
              <a:ext cx="1895272" cy="2520000"/>
            </a:xfrm>
            <a:prstGeom prst="rect">
              <a:avLst/>
            </a:prstGeom>
            <a:ln>
              <a:solidFill>
                <a:schemeClr val="tx1"/>
              </a:solidFill>
            </a:ln>
          </xdr:spPr>
        </xdr:pic>
        <xdr:pic>
          <xdr:nvPicPr>
            <xdr:cNvPr id="20" name="Picture 19">
              <a:extLst>
                <a:ext uri="{FF2B5EF4-FFF2-40B4-BE49-F238E27FC236}">
                  <a16:creationId xmlns:a16="http://schemas.microsoft.com/office/drawing/2014/main" id="{765A2611-A757-3FD6-B477-37121D7723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608854" y="476250"/>
              <a:ext cx="1895272" cy="2520000"/>
            </a:xfrm>
            <a:prstGeom prst="rect">
              <a:avLst/>
            </a:prstGeom>
            <a:ln>
              <a:solidFill>
                <a:schemeClr val="tx1"/>
              </a:solidFill>
            </a:ln>
          </xdr:spPr>
        </xdr:pic>
      </xdr:grpSp>
      <xdr:grpSp>
        <xdr:nvGrpSpPr>
          <xdr:cNvPr id="8" name="Group 7">
            <a:extLst>
              <a:ext uri="{FF2B5EF4-FFF2-40B4-BE49-F238E27FC236}">
                <a16:creationId xmlns:a16="http://schemas.microsoft.com/office/drawing/2014/main" id="{636637EB-1379-BE2A-DF29-06A7FF4FB3FD}"/>
              </a:ext>
            </a:extLst>
          </xdr:cNvPr>
          <xdr:cNvGrpSpPr/>
        </xdr:nvGrpSpPr>
        <xdr:grpSpPr>
          <a:xfrm>
            <a:off x="372303" y="3195001"/>
            <a:ext cx="5620843" cy="1800000"/>
            <a:chOff x="-138677" y="3195001"/>
            <a:chExt cx="5620843" cy="1800000"/>
          </a:xfrm>
        </xdr:grpSpPr>
        <xdr:pic>
          <xdr:nvPicPr>
            <xdr:cNvPr id="9" name="Picture 8">
              <a:extLst>
                <a:ext uri="{FF2B5EF4-FFF2-40B4-BE49-F238E27FC236}">
                  <a16:creationId xmlns:a16="http://schemas.microsoft.com/office/drawing/2014/main" id="{0186D95B-799A-06B9-201C-64F4F56F177D}"/>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38677" y="3195001"/>
              <a:ext cx="2387823" cy="1800000"/>
            </a:xfrm>
            <a:prstGeom prst="rect">
              <a:avLst/>
            </a:prstGeom>
            <a:ln>
              <a:solidFill>
                <a:schemeClr val="tx1"/>
              </a:solidFill>
            </a:ln>
          </xdr:spPr>
        </xdr:pic>
        <xdr:pic>
          <xdr:nvPicPr>
            <xdr:cNvPr id="10" name="Picture 9">
              <a:extLst>
                <a:ext uri="{FF2B5EF4-FFF2-40B4-BE49-F238E27FC236}">
                  <a16:creationId xmlns:a16="http://schemas.microsoft.com/office/drawing/2014/main" id="{1FA61E0A-CE2B-8825-B68D-6B93FC6793DF}"/>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511890" y="3195001"/>
              <a:ext cx="1353766" cy="1800000"/>
            </a:xfrm>
            <a:prstGeom prst="rect">
              <a:avLst/>
            </a:prstGeom>
            <a:ln>
              <a:solidFill>
                <a:schemeClr val="tx1"/>
              </a:solidFill>
            </a:ln>
          </xdr:spPr>
        </xdr:pic>
        <xdr:pic>
          <xdr:nvPicPr>
            <xdr:cNvPr id="11" name="Picture 10">
              <a:extLst>
                <a:ext uri="{FF2B5EF4-FFF2-40B4-BE49-F238E27FC236}">
                  <a16:creationId xmlns:a16="http://schemas.microsoft.com/office/drawing/2014/main" id="{B2F6C23F-F803-40FE-FF84-20FA231AEA3D}"/>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128400" y="3195001"/>
              <a:ext cx="1353766" cy="1800000"/>
            </a:xfrm>
            <a:prstGeom prst="rect">
              <a:avLst/>
            </a:prstGeom>
            <a:ln>
              <a:solidFill>
                <a:schemeClr val="tx1"/>
              </a:solidFill>
            </a:ln>
          </xdr:spPr>
        </xdr:pic>
      </xdr:grpSp>
    </xdr:grpSp>
    <xdr:clientData/>
  </xdr:twoCellAnchor>
  <xdr:twoCellAnchor editAs="oneCell">
    <xdr:from>
      <xdr:col>8</xdr:col>
      <xdr:colOff>750794</xdr:colOff>
      <xdr:row>79</xdr:row>
      <xdr:rowOff>67235</xdr:rowOff>
    </xdr:from>
    <xdr:to>
      <xdr:col>14</xdr:col>
      <xdr:colOff>426541</xdr:colOff>
      <xdr:row>89</xdr:row>
      <xdr:rowOff>7642</xdr:rowOff>
    </xdr:to>
    <xdr:pic>
      <xdr:nvPicPr>
        <xdr:cNvPr id="21" name="Picture 20">
          <a:extLst>
            <a:ext uri="{FF2B5EF4-FFF2-40B4-BE49-F238E27FC236}">
              <a16:creationId xmlns:a16="http://schemas.microsoft.com/office/drawing/2014/main" id="{50404F03-34A3-42E7-857D-78467B794A15}"/>
            </a:ext>
          </a:extLst>
        </xdr:cNvPr>
        <xdr:cNvPicPr>
          <a:picLocks noChangeAspect="1"/>
        </xdr:cNvPicPr>
      </xdr:nvPicPr>
      <xdr:blipFill>
        <a:blip xmlns:r="http://schemas.openxmlformats.org/officeDocument/2006/relationships" r:embed="rId23"/>
        <a:stretch>
          <a:fillRect/>
        </a:stretch>
      </xdr:blipFill>
      <xdr:spPr>
        <a:xfrm>
          <a:off x="10163735" y="33247853"/>
          <a:ext cx="5144218" cy="2562583"/>
        </a:xfrm>
        <a:prstGeom prst="rect">
          <a:avLst/>
        </a:prstGeom>
      </xdr:spPr>
    </xdr:pic>
    <xdr:clientData/>
  </xdr:twoCellAnchor>
  <xdr:twoCellAnchor>
    <xdr:from>
      <xdr:col>0</xdr:col>
      <xdr:colOff>347383</xdr:colOff>
      <xdr:row>388</xdr:row>
      <xdr:rowOff>257733</xdr:rowOff>
    </xdr:from>
    <xdr:to>
      <xdr:col>7</xdr:col>
      <xdr:colOff>974912</xdr:colOff>
      <xdr:row>428</xdr:row>
      <xdr:rowOff>168086</xdr:rowOff>
    </xdr:to>
    <xdr:grpSp>
      <xdr:nvGrpSpPr>
        <xdr:cNvPr id="42" name="Group 41">
          <a:extLst>
            <a:ext uri="{FF2B5EF4-FFF2-40B4-BE49-F238E27FC236}">
              <a16:creationId xmlns:a16="http://schemas.microsoft.com/office/drawing/2014/main" id="{325F43F4-6375-4C27-9B06-AC01AB7F4E72}"/>
            </a:ext>
          </a:extLst>
        </xdr:cNvPr>
        <xdr:cNvGrpSpPr/>
      </xdr:nvGrpSpPr>
      <xdr:grpSpPr>
        <a:xfrm>
          <a:off x="347383" y="114042262"/>
          <a:ext cx="8863853" cy="10219765"/>
          <a:chOff x="4762" y="19050"/>
          <a:chExt cx="5999718" cy="6473245"/>
        </a:xfrm>
      </xdr:grpSpPr>
      <xdr:pic>
        <xdr:nvPicPr>
          <xdr:cNvPr id="43" name="Picture 42">
            <a:extLst>
              <a:ext uri="{FF2B5EF4-FFF2-40B4-BE49-F238E27FC236}">
                <a16:creationId xmlns:a16="http://schemas.microsoft.com/office/drawing/2014/main" id="{8AF3E038-E329-456A-9D23-3B157927E4BA}"/>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4762" y="19050"/>
            <a:ext cx="2880000" cy="3829318"/>
          </a:xfrm>
          <a:prstGeom prst="rect">
            <a:avLst/>
          </a:prstGeom>
          <a:ln>
            <a:solidFill>
              <a:schemeClr val="tx1"/>
            </a:solidFill>
          </a:ln>
        </xdr:spPr>
      </xdr:pic>
      <xdr:pic>
        <xdr:nvPicPr>
          <xdr:cNvPr id="44" name="Picture 43">
            <a:extLst>
              <a:ext uri="{FF2B5EF4-FFF2-40B4-BE49-F238E27FC236}">
                <a16:creationId xmlns:a16="http://schemas.microsoft.com/office/drawing/2014/main" id="{E7DF1A81-4113-41AD-97CE-D4A28D0F5ED3}"/>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3124480" y="19050"/>
            <a:ext cx="2880000" cy="3829318"/>
          </a:xfrm>
          <a:prstGeom prst="rect">
            <a:avLst/>
          </a:prstGeom>
          <a:ln>
            <a:solidFill>
              <a:schemeClr val="tx1"/>
            </a:solidFill>
          </a:ln>
        </xdr:spPr>
      </xdr:pic>
      <xdr:pic>
        <xdr:nvPicPr>
          <xdr:cNvPr id="45" name="Picture 44">
            <a:extLst>
              <a:ext uri="{FF2B5EF4-FFF2-40B4-BE49-F238E27FC236}">
                <a16:creationId xmlns:a16="http://schemas.microsoft.com/office/drawing/2014/main" id="{8D9EA73C-3659-454B-8AF3-0FB55857EAAB}"/>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84762" y="4098971"/>
            <a:ext cx="1800000" cy="2393324"/>
          </a:xfrm>
          <a:prstGeom prst="rect">
            <a:avLst/>
          </a:prstGeom>
          <a:ln>
            <a:solidFill>
              <a:schemeClr val="tx1"/>
            </a:solidFill>
          </a:ln>
        </xdr:spPr>
      </xdr:pic>
      <xdr:pic>
        <xdr:nvPicPr>
          <xdr:cNvPr id="46" name="Picture 45">
            <a:extLst>
              <a:ext uri="{FF2B5EF4-FFF2-40B4-BE49-F238E27FC236}">
                <a16:creationId xmlns:a16="http://schemas.microsoft.com/office/drawing/2014/main" id="{A3250510-583B-4887-80AF-7867FC3E234D}"/>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3124480" y="4098971"/>
            <a:ext cx="1800000" cy="2393324"/>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godrejsquarelbsmarg.com/?utm_source=google&amp;utm_medium=cpc&amp;utm_campaign=Godrej+Square+Bhandup+Commercial&amp;utm_term=godrej%20square%20bhandup&amp;utm_Physical_Location=9062232&amp;utm_Targetid=kwd-2390437577750&amp;utm_Target=&amp;utm_Placement=&amp;utm_Adposition=&amp;gad_source=1&amp;gad_campaignid=22352411891&amp;gbraid=0AAAAADq4HKc6LO7SpkwUnQwnfiILNaWn0&amp;gclid=CjwKCAjwruXBBhArEiwACBRtHe2U7oK2UoSxs5SOenubtcbgw34ECsOxYzQAHYx0ftFjFroV_cBMqBoCX_IQAvD_BwE" TargetMode="External"/><Relationship Id="rId1" Type="http://schemas.openxmlformats.org/officeDocument/2006/relationships/hyperlink" Target="https://maps.app.goo.gl/LSM9BWKtLC7513cF6"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520"/>
  <sheetViews>
    <sheetView tabSelected="1" view="pageBreakPreview" topLeftCell="A400" zoomScale="85" zoomScaleNormal="85" zoomScaleSheetLayoutView="85" zoomScalePageLayoutView="70" workbookViewId="0">
      <selection activeCell="I409" sqref="I409"/>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28" t="s">
        <v>38</v>
      </c>
      <c r="B1" s="129"/>
      <c r="C1" s="129"/>
      <c r="D1" s="129"/>
      <c r="E1" s="129"/>
      <c r="F1" s="129"/>
      <c r="G1" s="129"/>
      <c r="H1" s="130"/>
    </row>
    <row r="2" spans="1:11" ht="42" customHeight="1" x14ac:dyDescent="0.25">
      <c r="A2" s="77" t="s">
        <v>10</v>
      </c>
      <c r="B2" s="77"/>
      <c r="C2" s="68" t="s">
        <v>84</v>
      </c>
      <c r="D2" s="68"/>
      <c r="E2" s="77" t="s">
        <v>12</v>
      </c>
      <c r="F2" s="77"/>
      <c r="G2" s="102">
        <v>45874</v>
      </c>
      <c r="H2" s="68"/>
      <c r="I2" s="160">
        <v>45875</v>
      </c>
      <c r="J2" s="103">
        <f>I2-I3</f>
        <v>65</v>
      </c>
      <c r="K2" s="104"/>
    </row>
    <row r="3" spans="1:11" ht="43.5" customHeight="1" x14ac:dyDescent="0.25">
      <c r="A3" s="77" t="s">
        <v>39</v>
      </c>
      <c r="B3" s="77"/>
      <c r="C3" s="105" t="s">
        <v>329</v>
      </c>
      <c r="D3" s="68"/>
      <c r="E3" s="77" t="s">
        <v>156</v>
      </c>
      <c r="F3" s="77"/>
      <c r="G3" s="102" t="s">
        <v>344</v>
      </c>
      <c r="H3" s="68"/>
      <c r="I3" s="160">
        <v>45810</v>
      </c>
    </row>
    <row r="4" spans="1:11" ht="47.25" customHeight="1" x14ac:dyDescent="0.25">
      <c r="A4" s="77" t="s">
        <v>36</v>
      </c>
      <c r="B4" s="77"/>
      <c r="C4" s="68" t="s">
        <v>345</v>
      </c>
      <c r="D4" s="68"/>
      <c r="E4" s="77" t="s">
        <v>33</v>
      </c>
      <c r="F4" s="77"/>
      <c r="G4" s="68" t="str">
        <f ca="1">TEXT(TODAY(),"DD/MM/YYYY")</f>
        <v>08/08/2025</v>
      </c>
      <c r="H4" s="68"/>
      <c r="I4" s="1" t="s">
        <v>346</v>
      </c>
    </row>
    <row r="5" spans="1:11" ht="20.25" x14ac:dyDescent="0.25">
      <c r="A5" s="71" t="s">
        <v>40</v>
      </c>
      <c r="B5" s="71"/>
      <c r="C5" s="71"/>
      <c r="D5" s="71"/>
      <c r="E5" s="71"/>
      <c r="F5" s="71"/>
      <c r="G5" s="71"/>
      <c r="H5" s="71"/>
    </row>
    <row r="6" spans="1:11" ht="43.5" customHeight="1" x14ac:dyDescent="0.25">
      <c r="A6" s="77" t="s">
        <v>29</v>
      </c>
      <c r="B6" s="77"/>
      <c r="C6" s="68" t="s">
        <v>90</v>
      </c>
      <c r="D6" s="68"/>
      <c r="E6" s="77" t="s">
        <v>35</v>
      </c>
      <c r="F6" s="77"/>
      <c r="G6" s="68" t="s">
        <v>303</v>
      </c>
      <c r="H6" s="68"/>
    </row>
    <row r="7" spans="1:11" ht="23.25" customHeight="1" x14ac:dyDescent="0.25">
      <c r="A7" s="77" t="s">
        <v>42</v>
      </c>
      <c r="B7" s="77"/>
      <c r="C7" s="70" t="s">
        <v>246</v>
      </c>
      <c r="D7" s="70"/>
      <c r="E7" s="77" t="s">
        <v>43</v>
      </c>
      <c r="F7" s="77"/>
      <c r="G7" s="68" t="s">
        <v>246</v>
      </c>
      <c r="H7" s="68"/>
    </row>
    <row r="8" spans="1:11" ht="42" customHeight="1" x14ac:dyDescent="0.25">
      <c r="A8" s="77" t="s">
        <v>44</v>
      </c>
      <c r="B8" s="77"/>
      <c r="C8" s="68" t="s">
        <v>247</v>
      </c>
      <c r="D8" s="68"/>
      <c r="E8" s="68"/>
      <c r="F8" s="68"/>
      <c r="G8" s="68"/>
      <c r="H8" s="68"/>
    </row>
    <row r="9" spans="1:11" ht="45" customHeight="1" x14ac:dyDescent="0.25">
      <c r="A9" s="101" t="s">
        <v>147</v>
      </c>
      <c r="B9" s="35" t="s">
        <v>41</v>
      </c>
      <c r="C9" s="68" t="s">
        <v>339</v>
      </c>
      <c r="D9" s="68"/>
      <c r="E9" s="68"/>
      <c r="F9" s="68"/>
      <c r="G9" s="68"/>
      <c r="H9" s="68"/>
    </row>
    <row r="10" spans="1:11" ht="46.5" customHeight="1" x14ac:dyDescent="0.25">
      <c r="A10" s="101"/>
      <c r="B10" s="35" t="s">
        <v>11</v>
      </c>
      <c r="C10" s="68" t="s">
        <v>330</v>
      </c>
      <c r="D10" s="68"/>
      <c r="E10" s="68"/>
      <c r="F10" s="68"/>
      <c r="G10" s="68"/>
      <c r="H10" s="68"/>
    </row>
    <row r="11" spans="1:11" ht="42" customHeight="1" x14ac:dyDescent="0.25">
      <c r="A11" s="101"/>
      <c r="B11" s="35" t="s">
        <v>5</v>
      </c>
      <c r="C11" s="68" t="s">
        <v>330</v>
      </c>
      <c r="D11" s="68"/>
      <c r="E11" s="68"/>
      <c r="F11" s="68"/>
      <c r="G11" s="68"/>
      <c r="H11" s="68"/>
    </row>
    <row r="12" spans="1:11" ht="40.5" customHeight="1" x14ac:dyDescent="0.25">
      <c r="A12" s="77" t="s">
        <v>34</v>
      </c>
      <c r="B12" s="77"/>
      <c r="C12" s="68" t="s">
        <v>157</v>
      </c>
      <c r="D12" s="68"/>
      <c r="E12" s="68"/>
      <c r="F12" s="68"/>
      <c r="G12" s="68"/>
      <c r="H12" s="68"/>
    </row>
    <row r="13" spans="1:11" ht="20.100000000000001" customHeight="1" x14ac:dyDescent="0.25">
      <c r="A13" s="71" t="s">
        <v>45</v>
      </c>
      <c r="B13" s="71"/>
      <c r="C13" s="71"/>
      <c r="D13" s="71"/>
      <c r="E13" s="71"/>
      <c r="F13" s="71"/>
      <c r="G13" s="71"/>
      <c r="H13" s="71"/>
    </row>
    <row r="14" spans="1:11" ht="41.25" customHeight="1" x14ac:dyDescent="0.25">
      <c r="A14" s="77" t="s">
        <v>27</v>
      </c>
      <c r="B14" s="77" t="s">
        <v>4</v>
      </c>
      <c r="C14" s="68" t="s">
        <v>85</v>
      </c>
      <c r="D14" s="68"/>
      <c r="E14" s="77" t="s">
        <v>46</v>
      </c>
      <c r="F14" s="77" t="s">
        <v>4</v>
      </c>
      <c r="G14" s="68" t="s">
        <v>248</v>
      </c>
      <c r="H14" s="68"/>
    </row>
    <row r="15" spans="1:11" ht="85.5" customHeight="1" x14ac:dyDescent="0.25">
      <c r="A15" s="77" t="s">
        <v>47</v>
      </c>
      <c r="B15" s="77" t="s">
        <v>4</v>
      </c>
      <c r="C15" s="68" t="s">
        <v>304</v>
      </c>
      <c r="D15" s="68"/>
      <c r="E15" s="77" t="s">
        <v>48</v>
      </c>
      <c r="F15" s="77" t="s">
        <v>4</v>
      </c>
      <c r="G15" s="102" t="s">
        <v>305</v>
      </c>
      <c r="H15" s="68"/>
    </row>
    <row r="16" spans="1:11" ht="61.5" customHeight="1" x14ac:dyDescent="0.25">
      <c r="A16" s="77" t="s">
        <v>49</v>
      </c>
      <c r="B16" s="77" t="s">
        <v>4</v>
      </c>
      <c r="C16" s="102" t="s">
        <v>306</v>
      </c>
      <c r="D16" s="68"/>
      <c r="E16" s="77" t="s">
        <v>50</v>
      </c>
      <c r="F16" s="77" t="s">
        <v>4</v>
      </c>
      <c r="G16" s="102">
        <v>45496</v>
      </c>
      <c r="H16" s="102"/>
    </row>
    <row r="17" spans="1:10" ht="41.25" customHeight="1" x14ac:dyDescent="0.25">
      <c r="A17" s="77" t="s">
        <v>51</v>
      </c>
      <c r="B17" s="77" t="s">
        <v>4</v>
      </c>
      <c r="C17" s="102">
        <v>47938</v>
      </c>
      <c r="D17" s="68"/>
      <c r="E17" s="77" t="s">
        <v>52</v>
      </c>
      <c r="F17" s="77" t="s">
        <v>4</v>
      </c>
      <c r="G17" s="68" t="s">
        <v>249</v>
      </c>
      <c r="H17" s="68"/>
    </row>
    <row r="18" spans="1:10" ht="41.25" customHeight="1" x14ac:dyDescent="0.25">
      <c r="A18" s="77" t="s">
        <v>53</v>
      </c>
      <c r="B18" s="77" t="s">
        <v>4</v>
      </c>
      <c r="C18" s="68"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68"/>
      <c r="E18" s="77" t="s">
        <v>93</v>
      </c>
      <c r="F18" s="77" t="s">
        <v>4</v>
      </c>
      <c r="G18" s="68">
        <v>27112.9</v>
      </c>
      <c r="H18" s="68"/>
    </row>
    <row r="19" spans="1:10" ht="41.25" customHeight="1" x14ac:dyDescent="0.25">
      <c r="A19" s="77" t="s">
        <v>54</v>
      </c>
      <c r="B19" s="77" t="s">
        <v>4</v>
      </c>
      <c r="C19" s="68">
        <f>22268.49/G19</f>
        <v>1</v>
      </c>
      <c r="D19" s="68"/>
      <c r="E19" s="77" t="s">
        <v>242</v>
      </c>
      <c r="F19" s="77" t="s">
        <v>4</v>
      </c>
      <c r="G19" s="68">
        <v>22268.49</v>
      </c>
      <c r="H19" s="68"/>
    </row>
    <row r="20" spans="1:10" ht="41.25" customHeight="1" x14ac:dyDescent="0.25">
      <c r="A20" s="77" t="s">
        <v>91</v>
      </c>
      <c r="B20" s="77" t="s">
        <v>4</v>
      </c>
      <c r="C20" s="68">
        <v>43091.56</v>
      </c>
      <c r="D20" s="68"/>
      <c r="E20" s="77" t="s">
        <v>92</v>
      </c>
      <c r="F20" s="77" t="s">
        <v>4</v>
      </c>
      <c r="G20" s="68">
        <v>5347013</v>
      </c>
      <c r="H20" s="68"/>
      <c r="I20" s="68">
        <v>53548.01</v>
      </c>
      <c r="J20" s="68"/>
    </row>
    <row r="21" spans="1:10" ht="92.45" customHeight="1" x14ac:dyDescent="0.25">
      <c r="A21" s="77" t="s">
        <v>56</v>
      </c>
      <c r="B21" s="77" t="s">
        <v>4</v>
      </c>
      <c r="C21" s="68" t="s">
        <v>331</v>
      </c>
      <c r="D21" s="68"/>
      <c r="E21" s="77" t="s">
        <v>55</v>
      </c>
      <c r="F21" s="77" t="s">
        <v>4</v>
      </c>
      <c r="G21" s="68" t="s">
        <v>333</v>
      </c>
      <c r="H21" s="68"/>
      <c r="I21" s="1" t="s">
        <v>250</v>
      </c>
    </row>
    <row r="22" spans="1:10" ht="20.25" x14ac:dyDescent="0.25">
      <c r="A22" s="77" t="s">
        <v>161</v>
      </c>
      <c r="B22" s="77" t="s">
        <v>4</v>
      </c>
      <c r="C22" s="68" t="s">
        <v>251</v>
      </c>
      <c r="D22" s="68"/>
      <c r="E22" s="77" t="s">
        <v>162</v>
      </c>
      <c r="F22" s="77" t="s">
        <v>4</v>
      </c>
      <c r="G22" s="68" t="s">
        <v>253</v>
      </c>
      <c r="H22" s="68"/>
    </row>
    <row r="23" spans="1:10" ht="20.25" x14ac:dyDescent="0.25">
      <c r="A23" s="77" t="s">
        <v>159</v>
      </c>
      <c r="B23" s="77" t="s">
        <v>4</v>
      </c>
      <c r="C23" s="145" t="s">
        <v>252</v>
      </c>
      <c r="D23" s="68"/>
      <c r="E23" s="68"/>
      <c r="F23" s="68"/>
      <c r="G23" s="68"/>
      <c r="H23" s="68"/>
    </row>
    <row r="24" spans="1:10" ht="20.25" x14ac:dyDescent="0.25">
      <c r="A24" s="77" t="s">
        <v>25</v>
      </c>
      <c r="B24" s="77" t="s">
        <v>4</v>
      </c>
      <c r="C24" s="68" t="s">
        <v>299</v>
      </c>
      <c r="D24" s="68"/>
      <c r="E24" s="68"/>
      <c r="F24" s="68"/>
      <c r="G24" s="68"/>
      <c r="H24" s="68"/>
      <c r="I24" s="1">
        <f>2+7+6+4</f>
        <v>19</v>
      </c>
    </row>
    <row r="25" spans="1:10" ht="24" customHeight="1" x14ac:dyDescent="0.25">
      <c r="A25" s="71" t="s">
        <v>20</v>
      </c>
      <c r="B25" s="71"/>
      <c r="C25" s="71"/>
      <c r="D25" s="71"/>
      <c r="E25" s="71"/>
      <c r="F25" s="71"/>
      <c r="G25" s="71"/>
      <c r="H25" s="71"/>
      <c r="I25" s="1">
        <f>8+4*4+2+6+32+8</f>
        <v>72</v>
      </c>
    </row>
    <row r="26" spans="1:10" ht="43.5" customHeight="1" x14ac:dyDescent="0.25">
      <c r="A26" s="77" t="s">
        <v>26</v>
      </c>
      <c r="B26" s="77" t="s">
        <v>4</v>
      </c>
      <c r="C26" s="68" t="str">
        <f>IF(AND(G26="Upper"),"Developed","Developing")</f>
        <v>Developed</v>
      </c>
      <c r="D26" s="68"/>
      <c r="E26" s="77" t="s">
        <v>13</v>
      </c>
      <c r="F26" s="77" t="s">
        <v>4</v>
      </c>
      <c r="G26" s="68" t="s">
        <v>261</v>
      </c>
      <c r="H26" s="68"/>
    </row>
    <row r="27" spans="1:10" ht="43.5" customHeight="1" x14ac:dyDescent="0.25">
      <c r="A27" s="77" t="s">
        <v>14</v>
      </c>
      <c r="B27" s="77" t="s">
        <v>4</v>
      </c>
      <c r="C27" s="68" t="s">
        <v>254</v>
      </c>
      <c r="D27" s="68"/>
      <c r="E27" s="77" t="s">
        <v>148</v>
      </c>
      <c r="F27" s="77" t="s">
        <v>4</v>
      </c>
      <c r="G27" s="68" t="s">
        <v>255</v>
      </c>
      <c r="H27" s="68"/>
    </row>
    <row r="28" spans="1:10" ht="43.5" customHeight="1" x14ac:dyDescent="0.25">
      <c r="A28" s="77" t="s">
        <v>23</v>
      </c>
      <c r="B28" s="77" t="s">
        <v>4</v>
      </c>
      <c r="C28" s="68" t="s">
        <v>95</v>
      </c>
      <c r="D28" s="68"/>
      <c r="E28" s="77" t="s">
        <v>16</v>
      </c>
      <c r="F28" s="77" t="s">
        <v>4</v>
      </c>
      <c r="G28" s="68" t="s">
        <v>256</v>
      </c>
      <c r="H28" s="68"/>
    </row>
    <row r="29" spans="1:10" ht="43.5" customHeight="1" x14ac:dyDescent="0.25">
      <c r="A29" s="77" t="s">
        <v>104</v>
      </c>
      <c r="B29" s="77" t="s">
        <v>4</v>
      </c>
      <c r="C29" s="68" t="s">
        <v>257</v>
      </c>
      <c r="D29" s="68"/>
      <c r="E29" s="77" t="s">
        <v>105</v>
      </c>
      <c r="F29" s="77" t="s">
        <v>4</v>
      </c>
      <c r="G29" s="68" t="s">
        <v>258</v>
      </c>
      <c r="H29" s="68"/>
    </row>
    <row r="30" spans="1:10" ht="84" customHeight="1" x14ac:dyDescent="0.25">
      <c r="A30" s="77" t="s">
        <v>17</v>
      </c>
      <c r="B30" s="77" t="s">
        <v>4</v>
      </c>
      <c r="C30" s="68" t="s">
        <v>260</v>
      </c>
      <c r="D30" s="68"/>
      <c r="E30" s="77" t="s">
        <v>15</v>
      </c>
      <c r="F30" s="77" t="s">
        <v>4</v>
      </c>
      <c r="G30" s="68" t="s">
        <v>259</v>
      </c>
      <c r="H30" s="68"/>
    </row>
    <row r="31" spans="1:10" ht="20.25" x14ac:dyDescent="0.25">
      <c r="A31" s="77" t="s">
        <v>110</v>
      </c>
      <c r="B31" s="77" t="s">
        <v>4</v>
      </c>
      <c r="C31" s="68" t="s">
        <v>111</v>
      </c>
      <c r="D31" s="68"/>
      <c r="E31" s="77" t="s">
        <v>112</v>
      </c>
      <c r="F31" s="77" t="s">
        <v>4</v>
      </c>
      <c r="G31" s="68" t="s">
        <v>111</v>
      </c>
      <c r="H31" s="68"/>
    </row>
    <row r="32" spans="1:10" ht="21.75" customHeight="1" x14ac:dyDescent="0.25">
      <c r="A32" s="77" t="s">
        <v>113</v>
      </c>
      <c r="B32" s="77" t="s">
        <v>4</v>
      </c>
      <c r="C32" s="68" t="s">
        <v>111</v>
      </c>
      <c r="D32" s="68"/>
      <c r="E32" s="68"/>
      <c r="F32" s="68"/>
      <c r="G32" s="68"/>
      <c r="H32" s="68"/>
    </row>
    <row r="33" spans="1:15" ht="20.25" x14ac:dyDescent="0.25">
      <c r="A33" s="136" t="s">
        <v>37</v>
      </c>
      <c r="B33" s="136"/>
      <c r="C33" s="136"/>
      <c r="D33" s="136"/>
      <c r="E33" s="136"/>
      <c r="F33" s="136"/>
      <c r="G33" s="136"/>
      <c r="H33" s="136"/>
    </row>
    <row r="34" spans="1:15" ht="43.5" customHeight="1" x14ac:dyDescent="0.25">
      <c r="A34" s="77" t="s">
        <v>18</v>
      </c>
      <c r="B34" s="77"/>
      <c r="C34" s="68" t="s">
        <v>96</v>
      </c>
      <c r="D34" s="68"/>
      <c r="E34" s="77" t="s">
        <v>19</v>
      </c>
      <c r="F34" s="77" t="s">
        <v>4</v>
      </c>
      <c r="G34" s="68" t="s">
        <v>97</v>
      </c>
      <c r="H34" s="68"/>
    </row>
    <row r="35" spans="1:15" ht="43.5" customHeight="1" x14ac:dyDescent="0.25">
      <c r="A35" s="77" t="s">
        <v>22</v>
      </c>
      <c r="B35" s="77"/>
      <c r="C35" s="68" t="s">
        <v>97</v>
      </c>
      <c r="D35" s="68"/>
      <c r="E35" s="77" t="s">
        <v>32</v>
      </c>
      <c r="F35" s="77" t="s">
        <v>4</v>
      </c>
      <c r="G35" s="68" t="s">
        <v>97</v>
      </c>
      <c r="H35" s="68"/>
    </row>
    <row r="36" spans="1:15" ht="20.25" x14ac:dyDescent="0.25">
      <c r="A36" s="77" t="s">
        <v>31</v>
      </c>
      <c r="B36" s="77"/>
      <c r="C36" s="68" t="s">
        <v>98</v>
      </c>
      <c r="D36" s="68"/>
      <c r="E36" s="77" t="s">
        <v>21</v>
      </c>
      <c r="F36" s="77" t="s">
        <v>4</v>
      </c>
      <c r="G36" s="68" t="s">
        <v>99</v>
      </c>
      <c r="H36" s="68"/>
    </row>
    <row r="37" spans="1:15" ht="20.25" x14ac:dyDescent="0.25">
      <c r="A37" s="71" t="s">
        <v>0</v>
      </c>
      <c r="B37" s="71"/>
      <c r="C37" s="71"/>
      <c r="D37" s="71"/>
      <c r="E37" s="71"/>
      <c r="F37" s="71"/>
      <c r="G37" s="71"/>
      <c r="H37" s="71"/>
    </row>
    <row r="38" spans="1:15" ht="20.25" x14ac:dyDescent="0.25">
      <c r="A38" s="100" t="s">
        <v>0</v>
      </c>
      <c r="B38" s="100"/>
      <c r="C38" s="100" t="s">
        <v>227</v>
      </c>
      <c r="D38" s="100"/>
      <c r="E38" s="100"/>
      <c r="F38" s="100" t="s">
        <v>7</v>
      </c>
      <c r="G38" s="100"/>
      <c r="H38" s="100"/>
      <c r="J38" s="75" t="s">
        <v>1</v>
      </c>
      <c r="K38" s="76"/>
      <c r="L38" s="2" t="s">
        <v>6</v>
      </c>
      <c r="M38" s="75" t="s">
        <v>2</v>
      </c>
      <c r="N38" s="76"/>
      <c r="O38" s="2" t="s">
        <v>3</v>
      </c>
    </row>
    <row r="39" spans="1:15" ht="20.25" x14ac:dyDescent="0.25">
      <c r="A39" s="101" t="s">
        <v>2</v>
      </c>
      <c r="B39" s="101"/>
      <c r="C39" s="70" t="s">
        <v>262</v>
      </c>
      <c r="D39" s="70"/>
      <c r="E39" s="70"/>
      <c r="F39" s="70" t="s">
        <v>266</v>
      </c>
      <c r="G39" s="70"/>
      <c r="H39" s="70"/>
    </row>
    <row r="40" spans="1:15" ht="20.25" x14ac:dyDescent="0.25">
      <c r="A40" s="101" t="s">
        <v>3</v>
      </c>
      <c r="B40" s="101"/>
      <c r="C40" s="70" t="s">
        <v>263</v>
      </c>
      <c r="D40" s="70"/>
      <c r="E40" s="70"/>
      <c r="F40" s="70" t="s">
        <v>267</v>
      </c>
      <c r="G40" s="70"/>
      <c r="H40" s="70"/>
    </row>
    <row r="41" spans="1:15" ht="20.25" x14ac:dyDescent="0.25">
      <c r="A41" s="101" t="s">
        <v>1</v>
      </c>
      <c r="B41" s="101"/>
      <c r="C41" s="70" t="s">
        <v>264</v>
      </c>
      <c r="D41" s="70"/>
      <c r="E41" s="70"/>
      <c r="F41" s="70" t="s">
        <v>264</v>
      </c>
      <c r="G41" s="70"/>
      <c r="H41" s="70"/>
    </row>
    <row r="42" spans="1:15" ht="20.25" x14ac:dyDescent="0.25">
      <c r="A42" s="101" t="s">
        <v>6</v>
      </c>
      <c r="B42" s="101"/>
      <c r="C42" s="70" t="s">
        <v>265</v>
      </c>
      <c r="D42" s="70"/>
      <c r="E42" s="70"/>
      <c r="F42" s="70" t="s">
        <v>253</v>
      </c>
      <c r="G42" s="70"/>
      <c r="H42" s="70"/>
    </row>
    <row r="43" spans="1:15" ht="20.25" x14ac:dyDescent="0.25">
      <c r="A43" s="77" t="s">
        <v>228</v>
      </c>
      <c r="B43" s="77"/>
      <c r="C43" s="68" t="s">
        <v>95</v>
      </c>
      <c r="D43" s="68"/>
      <c r="E43" s="68"/>
      <c r="F43" s="68"/>
      <c r="G43" s="68"/>
      <c r="H43" s="68"/>
    </row>
    <row r="44" spans="1:15" ht="20.25" x14ac:dyDescent="0.25">
      <c r="A44" s="71" t="s">
        <v>57</v>
      </c>
      <c r="B44" s="71"/>
      <c r="C44" s="71"/>
      <c r="D44" s="71"/>
      <c r="E44" s="71"/>
      <c r="F44" s="71"/>
      <c r="G44" s="71"/>
      <c r="H44" s="71"/>
    </row>
    <row r="45" spans="1:15" ht="21" customHeight="1" x14ac:dyDescent="0.25">
      <c r="A45" s="100" t="s">
        <v>58</v>
      </c>
      <c r="B45" s="100"/>
      <c r="C45" s="2" t="s">
        <v>59</v>
      </c>
      <c r="D45" s="100" t="s">
        <v>146</v>
      </c>
      <c r="E45" s="100"/>
      <c r="F45" s="100"/>
      <c r="G45" s="100" t="s">
        <v>60</v>
      </c>
      <c r="H45" s="100"/>
    </row>
    <row r="46" spans="1:15" ht="20.25" x14ac:dyDescent="0.25">
      <c r="A46" s="69" t="s">
        <v>145</v>
      </c>
      <c r="B46" s="69"/>
      <c r="C46" s="34" t="s">
        <v>86</v>
      </c>
      <c r="D46" s="70" t="s">
        <v>268</v>
      </c>
      <c r="E46" s="70"/>
      <c r="F46" s="70"/>
      <c r="G46" s="70" t="s">
        <v>268</v>
      </c>
      <c r="H46" s="70"/>
    </row>
    <row r="47" spans="1:15" ht="20.25" x14ac:dyDescent="0.25">
      <c r="A47" s="69" t="s">
        <v>229</v>
      </c>
      <c r="B47" s="69"/>
      <c r="C47" s="34" t="s">
        <v>86</v>
      </c>
      <c r="D47" s="70" t="s">
        <v>269</v>
      </c>
      <c r="E47" s="70"/>
      <c r="F47" s="70"/>
      <c r="G47" s="70" t="s">
        <v>269</v>
      </c>
      <c r="H47" s="70"/>
    </row>
    <row r="48" spans="1:15" ht="20.25" x14ac:dyDescent="0.25">
      <c r="A48" s="69" t="s">
        <v>307</v>
      </c>
      <c r="B48" s="69"/>
      <c r="C48" s="34" t="s">
        <v>86</v>
      </c>
      <c r="D48" s="70" t="s">
        <v>308</v>
      </c>
      <c r="E48" s="70"/>
      <c r="F48" s="70"/>
      <c r="G48" s="70" t="s">
        <v>308</v>
      </c>
      <c r="H48" s="70"/>
      <c r="I48" s="59" t="s">
        <v>309</v>
      </c>
    </row>
    <row r="49" spans="1:14" ht="20.25" x14ac:dyDescent="0.25">
      <c r="A49" s="71" t="s">
        <v>61</v>
      </c>
      <c r="B49" s="71"/>
      <c r="C49" s="71"/>
      <c r="D49" s="71"/>
      <c r="E49" s="71"/>
      <c r="F49" s="71"/>
      <c r="G49" s="71"/>
      <c r="H49" s="71"/>
    </row>
    <row r="50" spans="1:14" ht="42.75" customHeight="1" x14ac:dyDescent="0.25">
      <c r="A50" s="77" t="s">
        <v>62</v>
      </c>
      <c r="B50" s="77" t="s">
        <v>4</v>
      </c>
      <c r="C50" s="68" t="s">
        <v>95</v>
      </c>
      <c r="D50" s="68"/>
      <c r="E50" s="68"/>
      <c r="F50" s="68"/>
      <c r="G50" s="68"/>
      <c r="H50" s="68"/>
    </row>
    <row r="51" spans="1:14" ht="44.25" hidden="1" customHeight="1" x14ac:dyDescent="0.25">
      <c r="A51" s="77" t="s">
        <v>319</v>
      </c>
      <c r="B51" s="77" t="s">
        <v>4</v>
      </c>
      <c r="C51" s="68" t="s">
        <v>318</v>
      </c>
      <c r="D51" s="68"/>
      <c r="E51" s="68"/>
      <c r="F51" s="68"/>
      <c r="G51" s="51" t="s">
        <v>230</v>
      </c>
      <c r="H51" s="55">
        <v>45505</v>
      </c>
    </row>
    <row r="52" spans="1:14" ht="44.25" customHeight="1" x14ac:dyDescent="0.25">
      <c r="A52" s="77" t="s">
        <v>334</v>
      </c>
      <c r="B52" s="77" t="s">
        <v>4</v>
      </c>
      <c r="C52" s="68" t="s">
        <v>310</v>
      </c>
      <c r="D52" s="68"/>
      <c r="E52" s="68"/>
      <c r="F52" s="68"/>
      <c r="G52" s="51" t="s">
        <v>230</v>
      </c>
      <c r="H52" s="55">
        <v>45593</v>
      </c>
    </row>
    <row r="53" spans="1:14" ht="44.25" hidden="1" customHeight="1" x14ac:dyDescent="0.25">
      <c r="A53" s="77" t="s">
        <v>320</v>
      </c>
      <c r="B53" s="77" t="s">
        <v>4</v>
      </c>
      <c r="C53" s="68" t="str">
        <f>C51</f>
        <v>CE/1068/BPES/AS</v>
      </c>
      <c r="D53" s="68"/>
      <c r="E53" s="68"/>
      <c r="F53" s="68"/>
      <c r="G53" s="51" t="s">
        <v>230</v>
      </c>
      <c r="H53" s="55">
        <f>H51</f>
        <v>45505</v>
      </c>
    </row>
    <row r="54" spans="1:14" ht="44.25" customHeight="1" x14ac:dyDescent="0.25">
      <c r="A54" s="77" t="s">
        <v>338</v>
      </c>
      <c r="B54" s="77" t="s">
        <v>4</v>
      </c>
      <c r="C54" s="68" t="str">
        <f>C52</f>
        <v>CE/1068/BPES/AS/337/4/Amend</v>
      </c>
      <c r="D54" s="68"/>
      <c r="E54" s="68"/>
      <c r="F54" s="68"/>
      <c r="G54" s="51" t="s">
        <v>230</v>
      </c>
      <c r="H54" s="55">
        <f>H52</f>
        <v>45593</v>
      </c>
    </row>
    <row r="55" spans="1:14" ht="44.25" customHeight="1" x14ac:dyDescent="0.25">
      <c r="A55" s="77" t="s">
        <v>270</v>
      </c>
      <c r="B55" s="77"/>
      <c r="C55" s="68" t="s">
        <v>321</v>
      </c>
      <c r="D55" s="68"/>
      <c r="E55" s="68"/>
      <c r="F55" s="68"/>
      <c r="G55" s="51" t="s">
        <v>230</v>
      </c>
      <c r="H55" s="55">
        <v>45452</v>
      </c>
      <c r="I55" s="1" t="s">
        <v>332</v>
      </c>
    </row>
    <row r="56" spans="1:14" ht="42" customHeight="1" x14ac:dyDescent="0.25">
      <c r="A56" s="77"/>
      <c r="B56" s="77"/>
      <c r="C56" s="68" t="s">
        <v>322</v>
      </c>
      <c r="D56" s="68"/>
      <c r="E56" s="68"/>
      <c r="F56" s="68"/>
      <c r="G56" s="51" t="s">
        <v>243</v>
      </c>
      <c r="H56" s="55">
        <v>45826</v>
      </c>
    </row>
    <row r="57" spans="1:14" ht="20.25" x14ac:dyDescent="0.25">
      <c r="A57" s="77" t="s">
        <v>270</v>
      </c>
      <c r="B57" s="77"/>
      <c r="C57" s="68" t="s">
        <v>311</v>
      </c>
      <c r="D57" s="68"/>
      <c r="E57" s="68"/>
      <c r="F57" s="68"/>
      <c r="G57" s="51" t="s">
        <v>230</v>
      </c>
      <c r="H57" s="55">
        <v>45610</v>
      </c>
    </row>
    <row r="58" spans="1:14" ht="64.900000000000006" customHeight="1" x14ac:dyDescent="0.25">
      <c r="A58" s="77"/>
      <c r="B58" s="77"/>
      <c r="C58" s="68" t="s">
        <v>312</v>
      </c>
      <c r="D58" s="68"/>
      <c r="E58" s="68"/>
      <c r="F58" s="68"/>
      <c r="G58" s="51" t="s">
        <v>243</v>
      </c>
      <c r="H58" s="55">
        <v>45974</v>
      </c>
    </row>
    <row r="59" spans="1:14" ht="46.5" hidden="1" customHeight="1" x14ac:dyDescent="0.25">
      <c r="A59" s="77" t="s">
        <v>63</v>
      </c>
      <c r="B59" s="77" t="s">
        <v>4</v>
      </c>
      <c r="C59" s="68"/>
      <c r="D59" s="68"/>
      <c r="E59" s="68"/>
      <c r="F59" s="68"/>
      <c r="G59" s="51" t="s">
        <v>231</v>
      </c>
      <c r="H59" s="54"/>
    </row>
    <row r="60" spans="1:14" ht="45" hidden="1" customHeight="1" x14ac:dyDescent="0.25">
      <c r="A60" s="77" t="s">
        <v>64</v>
      </c>
      <c r="B60" s="77" t="s">
        <v>4</v>
      </c>
      <c r="C60" s="68"/>
      <c r="D60" s="68"/>
      <c r="E60" s="68"/>
      <c r="F60" s="68"/>
      <c r="G60" s="51" t="s">
        <v>231</v>
      </c>
      <c r="H60" s="36"/>
    </row>
    <row r="61" spans="1:14" ht="192.75" customHeight="1" x14ac:dyDescent="0.25">
      <c r="A61" s="77" t="s">
        <v>271</v>
      </c>
      <c r="B61" s="77" t="s">
        <v>4</v>
      </c>
      <c r="C61" s="68" t="s">
        <v>313</v>
      </c>
      <c r="D61" s="68"/>
      <c r="E61" s="68"/>
      <c r="F61" s="68"/>
      <c r="G61" s="51" t="s">
        <v>231</v>
      </c>
      <c r="H61" s="55">
        <v>45329</v>
      </c>
    </row>
    <row r="62" spans="1:14" ht="42.75" customHeight="1" x14ac:dyDescent="0.25">
      <c r="A62" s="119" t="s">
        <v>274</v>
      </c>
      <c r="B62" s="121"/>
      <c r="C62" s="68" t="s">
        <v>272</v>
      </c>
      <c r="D62" s="68"/>
      <c r="E62" s="68"/>
      <c r="F62" s="68"/>
      <c r="G62" s="51" t="s">
        <v>231</v>
      </c>
      <c r="H62" s="55">
        <v>45314</v>
      </c>
      <c r="J62" s="1" t="s">
        <v>298</v>
      </c>
      <c r="K62" s="39" t="s">
        <v>297</v>
      </c>
      <c r="L62" s="57"/>
      <c r="M62" s="57"/>
      <c r="N62" s="57"/>
    </row>
    <row r="63" spans="1:14" ht="47.25" customHeight="1" x14ac:dyDescent="0.25">
      <c r="A63" s="125"/>
      <c r="B63" s="127"/>
      <c r="C63" s="68" t="s">
        <v>273</v>
      </c>
      <c r="D63" s="68"/>
      <c r="E63" s="68"/>
      <c r="F63" s="68"/>
      <c r="G63" s="51" t="s">
        <v>275</v>
      </c>
      <c r="H63" s="55">
        <v>48235</v>
      </c>
    </row>
    <row r="64" spans="1:14" ht="45" hidden="1" customHeight="1" x14ac:dyDescent="0.25">
      <c r="A64" s="77" t="s">
        <v>65</v>
      </c>
      <c r="B64" s="77" t="s">
        <v>4</v>
      </c>
      <c r="C64" s="68"/>
      <c r="D64" s="68"/>
      <c r="E64" s="68"/>
      <c r="F64" s="68"/>
      <c r="G64" s="51" t="s">
        <v>231</v>
      </c>
      <c r="H64" s="36"/>
    </row>
    <row r="65" spans="1:11" ht="21" thickBot="1" x14ac:dyDescent="0.3">
      <c r="A65" s="71" t="s">
        <v>66</v>
      </c>
      <c r="B65" s="71"/>
      <c r="C65" s="71"/>
      <c r="D65" s="71"/>
      <c r="E65" s="71"/>
      <c r="F65" s="71"/>
      <c r="G65" s="71"/>
      <c r="H65" s="71"/>
    </row>
    <row r="66" spans="1:11" ht="20.25" customHeight="1" x14ac:dyDescent="0.3">
      <c r="A66" s="72" t="str">
        <f>CONCATENATE((IF(OR(A46="",A46="NA"),"",A46)),"= ",(IF(OR(D46="",D46="NA"),"",D46)),".")</f>
        <v>Tower 2= G + 1st to 44th Floor.</v>
      </c>
      <c r="B66" s="72"/>
      <c r="C66" s="72"/>
      <c r="D66" s="29" t="s">
        <v>114</v>
      </c>
      <c r="E66" s="73" t="s">
        <v>101</v>
      </c>
      <c r="F66" s="73"/>
      <c r="G66" s="29" t="s">
        <v>115</v>
      </c>
      <c r="H66" s="29" t="s">
        <v>116</v>
      </c>
      <c r="I66" s="14" t="str">
        <f ca="1">(IF(E69&gt;99%,"All work completed. Please provide OC.",IF(E69&gt;89.8%,"Plinth, RCC, Brick, Plaster, Flooring, Wooden, Plumbing, Electrification, etc., work Completed. Finishing work is in process.",IF(E69&lt;94%,(IF(C69=0,"Work not yet Started.",IF(D69=25%,"Piling work in process",IF(D69=50%,"Excavation work in process",IF(D69=100%,"Excavation work Completed. ","0")))&amp;(IF(C70=0%,"",IF(C70=J71,"Footing work is process",IF(C70=J72,"Footing work Completed",IF(C70=J73,"1st Basement Completed",IF(C70=J74,"1st &amp; 2nd Basement Completed",IF(C70=J75,"1st to 3rd Basement Completed",IF(C70=J76,"1st to 4th Basement Completed",IF(C70=J77,"Plinth work is process",IF(C70=J78,"Plinth work completed","0")))))))))))&amp;(IF(C71=(E67+G67+H67),", RCC Slab",IF(C71&gt;0,", RCC upto "&amp;C71&amp;" Slab",""))&amp;(IF(C72=H67,", Brickwork",IF(C72&gt;0,", Brickwork upto "&amp;C72&amp;" Floor",""))&amp;(IF(C73=H67,", Internal Plaster",IF(C73&gt;0,", Internal Plaster upto "&amp;C73&amp;" Floor",""))&amp;(IF(C74=H67,", External Plaster",IF(C74&gt;0,", External Plaster upto "&amp;C74&amp;" Floor",""))&amp;(IF(C75=H67,", External Plumbing, Elevation and Waterproofing",IF(C75&gt;0,", External Plumbing, Elevation and Waterproofing upto "&amp;C75&amp;" Floor",""))&amp;(IF(C76=H67,", Flooring &amp; Fitting",IF(C76&gt;0,", Flooring &amp; Fitting upto "&amp;C76&amp;" Floor",""))&amp;(IF(C77=H67,", Wooden Work",IF(C77&gt;0,", Wooden Work upto "&amp;C77&amp;" Floor",""))&amp;(IF(C78=H67,", Electrical &amp; Sanitary fittings",IF(C78&gt;0,", Electrical &amp; Sanitary fittings upto "&amp;C78&amp;" Floor",""))&amp;(IF(C79&gt;0,", Finishing upto "&amp;C79&amp;" Floor","")&amp;(IF(C71&gt;0.5," Completed",""))))))))))))))))</f>
        <v>Work not yet Started.</v>
      </c>
      <c r="J66" s="16"/>
    </row>
    <row r="67" spans="1:11" ht="20.25" x14ac:dyDescent="0.3">
      <c r="A67" s="72"/>
      <c r="B67" s="72"/>
      <c r="C67" s="72"/>
      <c r="D67" s="29">
        <f>IF(AND(ISNUMBER(SEARCH("1B",A66))),1,IF(AND(ISNUMBER(SEARCH("2B",A66))),2,IF(AND(ISNUMBER(SEARCH("3B",A66))),3,IF(AND(ISNUMBER(SEARCH("4B",A66))),4,IF(ISNUMBER(SEARCH("5B",A66)),5,0)))))</f>
        <v>0</v>
      </c>
      <c r="E67" s="73">
        <v>1</v>
      </c>
      <c r="F67" s="73"/>
      <c r="G67" s="29">
        <v>0</v>
      </c>
      <c r="H67" s="29">
        <f ca="1">--TRIM(RIGHT(SUBSTITUTE(LEFT(A66,_xlfn.AGGREGATE(16,6,FIND({0,1,2,3,4,5,6,7,8,9},A66,ROW(INDIRECT("1:"&amp;LEN(A66)))),1))," ",REPT(" ",LEN(A66))),LEN(A66)))</f>
        <v>44</v>
      </c>
      <c r="I67" s="15" t="s">
        <v>120</v>
      </c>
      <c r="J67" s="16"/>
    </row>
    <row r="68" spans="1:11" ht="20.25" customHeight="1" x14ac:dyDescent="0.3">
      <c r="A68" s="74" t="s">
        <v>118</v>
      </c>
      <c r="B68" s="74"/>
      <c r="C68" s="30" t="s">
        <v>129</v>
      </c>
      <c r="D68" s="30" t="s">
        <v>130</v>
      </c>
      <c r="E68" s="74" t="s">
        <v>119</v>
      </c>
      <c r="F68" s="74"/>
      <c r="G68" s="26" t="s">
        <v>117</v>
      </c>
      <c r="H68" s="26"/>
      <c r="I68" s="18" t="s">
        <v>131</v>
      </c>
      <c r="J68" s="17">
        <f ca="1">H67*25%</f>
        <v>11</v>
      </c>
    </row>
    <row r="69" spans="1:11" ht="20.25" customHeight="1" x14ac:dyDescent="0.3">
      <c r="A69" s="67" t="s">
        <v>132</v>
      </c>
      <c r="B69" s="67"/>
      <c r="C69" s="29">
        <v>0</v>
      </c>
      <c r="D69" s="28">
        <f ca="1">((100/H67)*C69)/100</f>
        <v>0</v>
      </c>
      <c r="E69" s="88">
        <f ca="1">(((C69/H67*10)+(C70/H67*15)+(25/(E67+G67+H67)*C71)+(5/(H67)*C72)+(2.5/(H67)*C73)+(2.5/(H67)*C74)+(5/H67*C75)+(10/H67*C76)+(2.5/H67*C77)+(2.5/H67*C78)+(10/H67*C79)+(10/H67*C80))/100)</f>
        <v>0</v>
      </c>
      <c r="F69" s="89"/>
      <c r="G69" s="67" t="str">
        <f ca="1">I66</f>
        <v>Work not yet Started.</v>
      </c>
      <c r="H69" s="67"/>
      <c r="I69" s="18" t="s">
        <v>121</v>
      </c>
      <c r="J69" s="22">
        <f ca="1">H67*50%</f>
        <v>22</v>
      </c>
    </row>
    <row r="70" spans="1:11" ht="20.25" x14ac:dyDescent="0.3">
      <c r="A70" s="67" t="s">
        <v>102</v>
      </c>
      <c r="B70" s="67"/>
      <c r="C70" s="56">
        <v>0</v>
      </c>
      <c r="D70" s="28">
        <f ca="1">((100/H67)*C70)/100</f>
        <v>0</v>
      </c>
      <c r="E70" s="90"/>
      <c r="F70" s="91"/>
      <c r="G70" s="67"/>
      <c r="H70" s="67"/>
      <c r="I70" s="18" t="s">
        <v>122</v>
      </c>
      <c r="J70" s="22">
        <f ca="1">H67</f>
        <v>44</v>
      </c>
    </row>
    <row r="71" spans="1:11" ht="21" customHeight="1" x14ac:dyDescent="0.35">
      <c r="A71" s="67" t="s">
        <v>133</v>
      </c>
      <c r="B71" s="67"/>
      <c r="C71" s="29">
        <v>0</v>
      </c>
      <c r="D71" s="28">
        <f ca="1">((100/(E67+G67+H67))*C71)/100</f>
        <v>0</v>
      </c>
      <c r="E71" s="90"/>
      <c r="F71" s="91"/>
      <c r="G71" s="67"/>
      <c r="H71" s="67"/>
      <c r="I71" s="18" t="s">
        <v>123</v>
      </c>
      <c r="J71" s="23">
        <f ca="1">(IF(D67&gt;1,(H67/(D67+2)),H67*0.2))</f>
        <v>8.8000000000000007</v>
      </c>
    </row>
    <row r="72" spans="1:11" ht="21" customHeight="1" x14ac:dyDescent="0.35">
      <c r="A72" s="67" t="s">
        <v>134</v>
      </c>
      <c r="B72" s="67"/>
      <c r="C72" s="29">
        <v>0</v>
      </c>
      <c r="D72" s="28">
        <f ca="1">((100/H67)*C72)/100</f>
        <v>0</v>
      </c>
      <c r="E72" s="90"/>
      <c r="F72" s="91"/>
      <c r="G72" s="67"/>
      <c r="H72" s="67"/>
      <c r="I72" s="18" t="s">
        <v>124</v>
      </c>
      <c r="J72" s="23">
        <f ca="1">(IF(D67&gt;1,(H67/(D67+2)+J71),H67*0.2+J71))</f>
        <v>17.600000000000001</v>
      </c>
    </row>
    <row r="73" spans="1:11" ht="21" customHeight="1" x14ac:dyDescent="0.35">
      <c r="A73" s="65" t="s">
        <v>135</v>
      </c>
      <c r="B73" s="66"/>
      <c r="C73" s="29">
        <v>0</v>
      </c>
      <c r="D73" s="28">
        <f ca="1">((100/H67)*C73)/100</f>
        <v>0</v>
      </c>
      <c r="E73" s="90"/>
      <c r="F73" s="91"/>
      <c r="G73" s="67"/>
      <c r="H73" s="67"/>
      <c r="I73" s="18" t="s">
        <v>136</v>
      </c>
      <c r="J73" s="23">
        <f>(IF(D67&gt;1,(H67/(D67+2)+J72),0))</f>
        <v>0</v>
      </c>
    </row>
    <row r="74" spans="1:11" ht="21" customHeight="1" x14ac:dyDescent="0.35">
      <c r="A74" s="65" t="s">
        <v>168</v>
      </c>
      <c r="B74" s="66"/>
      <c r="C74" s="29">
        <v>0</v>
      </c>
      <c r="D74" s="28">
        <f ca="1">((100/H67)*C74)/100</f>
        <v>0</v>
      </c>
      <c r="E74" s="90"/>
      <c r="F74" s="91"/>
      <c r="G74" s="67"/>
      <c r="H74" s="67"/>
      <c r="I74" s="18" t="s">
        <v>137</v>
      </c>
      <c r="J74" s="23">
        <f>(IF(D67&gt;2,(H67/(D67+2)+J73),0))</f>
        <v>0</v>
      </c>
      <c r="K74" s="58" t="s">
        <v>302</v>
      </c>
    </row>
    <row r="75" spans="1:11" ht="21" x14ac:dyDescent="0.35">
      <c r="A75" s="65" t="s">
        <v>165</v>
      </c>
      <c r="B75" s="66"/>
      <c r="C75" s="29">
        <v>0</v>
      </c>
      <c r="D75" s="28">
        <f ca="1">((100/(H67))*C75)/100</f>
        <v>0</v>
      </c>
      <c r="E75" s="90"/>
      <c r="F75" s="91"/>
      <c r="G75" s="67"/>
      <c r="H75" s="67"/>
      <c r="I75" s="18" t="s">
        <v>139</v>
      </c>
      <c r="J75" s="24">
        <f>(IF(D67&gt;3,(H67/(D67+2)+J74),0))</f>
        <v>0</v>
      </c>
    </row>
    <row r="76" spans="1:11" ht="21" x14ac:dyDescent="0.35">
      <c r="A76" s="67" t="s">
        <v>138</v>
      </c>
      <c r="B76" s="67"/>
      <c r="C76" s="29">
        <v>0</v>
      </c>
      <c r="D76" s="28">
        <f ca="1">((100/(H67))*C76)/100</f>
        <v>0</v>
      </c>
      <c r="E76" s="90"/>
      <c r="F76" s="91"/>
      <c r="G76" s="67"/>
      <c r="H76" s="67"/>
      <c r="I76" s="18" t="s">
        <v>140</v>
      </c>
      <c r="J76" s="23">
        <f>(IF(D67&gt;4,(H67/(D67+2)+J75),0))</f>
        <v>0</v>
      </c>
    </row>
    <row r="77" spans="1:11" ht="21" customHeight="1" x14ac:dyDescent="0.35">
      <c r="A77" s="67" t="s">
        <v>167</v>
      </c>
      <c r="B77" s="67"/>
      <c r="C77" s="29">
        <v>0</v>
      </c>
      <c r="D77" s="28">
        <f ca="1">((100/H67)*C77)/100</f>
        <v>0</v>
      </c>
      <c r="E77" s="90"/>
      <c r="F77" s="91"/>
      <c r="G77" s="67"/>
      <c r="H77" s="67"/>
      <c r="I77" s="18" t="s">
        <v>125</v>
      </c>
      <c r="J77" s="23">
        <f ca="1">(IF(D67=1,(H67/(D67+3)+J72),IF(D67=0,(H67*0.3+J72),IF(D67&gt;1,0))))</f>
        <v>30.8</v>
      </c>
    </row>
    <row r="78" spans="1:11" ht="21.75" thickBot="1" x14ac:dyDescent="0.4">
      <c r="A78" s="67" t="s">
        <v>166</v>
      </c>
      <c r="B78" s="67"/>
      <c r="C78" s="29">
        <v>0</v>
      </c>
      <c r="D78" s="28">
        <f ca="1">((100/H67)*C78)/100</f>
        <v>0</v>
      </c>
      <c r="E78" s="90"/>
      <c r="F78" s="91"/>
      <c r="G78" s="67"/>
      <c r="H78" s="67"/>
      <c r="I78" s="20" t="s">
        <v>126</v>
      </c>
      <c r="J78" s="25">
        <f ca="1">(IF(D67&gt;1.5,(H67/(D67+2)+J72+MAX(0,J73-J72)+MAX(0,J74-J73)+MAX(0,J75-J74)+MAX(0,J76-J75)+MAX(0,J77-J76)),IF(D67=1,(H67/(D67+3)+J77),IF(D67=0,H67*0.3+J77))))</f>
        <v>44</v>
      </c>
    </row>
    <row r="79" spans="1:11" ht="20.25" x14ac:dyDescent="0.25">
      <c r="A79" s="67" t="s">
        <v>141</v>
      </c>
      <c r="B79" s="67"/>
      <c r="C79" s="29">
        <v>0</v>
      </c>
      <c r="D79" s="28">
        <f ca="1">((100/(H67))*C79)/100</f>
        <v>0</v>
      </c>
      <c r="E79" s="90"/>
      <c r="F79" s="91"/>
      <c r="G79" s="67"/>
      <c r="H79" s="67"/>
    </row>
    <row r="80" spans="1:11" ht="20.25" x14ac:dyDescent="0.25">
      <c r="A80" s="67" t="s">
        <v>142</v>
      </c>
      <c r="B80" s="67"/>
      <c r="C80" s="29">
        <v>0</v>
      </c>
      <c r="D80" s="28">
        <f ca="1">((100/(H67))*C80)/100</f>
        <v>0</v>
      </c>
      <c r="E80" s="92"/>
      <c r="F80" s="93"/>
      <c r="G80" s="67"/>
      <c r="H80" s="67"/>
    </row>
    <row r="81" spans="1:11" ht="21" thickBot="1" x14ac:dyDescent="0.3">
      <c r="A81" s="71" t="s">
        <v>66</v>
      </c>
      <c r="B81" s="71"/>
      <c r="C81" s="71"/>
      <c r="D81" s="71"/>
      <c r="E81" s="71"/>
      <c r="F81" s="71"/>
      <c r="G81" s="71"/>
      <c r="H81" s="71"/>
    </row>
    <row r="82" spans="1:11" ht="20.25" customHeight="1" x14ac:dyDescent="0.3">
      <c r="A82" s="72" t="str">
        <f>CONCATENATE((IF(OR(A47="",A47="NA"),"",A47)),"= ",(IF(OR(D47="",D47="NA"),"",D47)),".")</f>
        <v>Tower 3= G + 1st to 43rd Floor.</v>
      </c>
      <c r="B82" s="72"/>
      <c r="C82" s="72"/>
      <c r="D82" s="29" t="s">
        <v>114</v>
      </c>
      <c r="E82" s="73" t="s">
        <v>101</v>
      </c>
      <c r="F82" s="73"/>
      <c r="G82" s="29" t="s">
        <v>115</v>
      </c>
      <c r="H82" s="29" t="s">
        <v>116</v>
      </c>
      <c r="I82" s="14" t="str">
        <f ca="1">(IF(E85&gt;99%,"All work completed. Please provide OC.",IF(E85&gt;89.8%,"Plinth, RCC, Brick, Plaster, Flooring, Wooden, Plumbing, Electrification, etc., work Completed. Finishing work is in process.",IF(E85&lt;94%,(IF(C85=0,"Work not yet Started.",IF(D85=25%,"Piling work in process",IF(D85=50%,"Excavation work in process",IF(D85=100%,"Excavation work Completed. ","0")))&amp;(IF(C86=0%,"",IF(C86=J87,"Footing work is process",IF(C86=J88,"Footing work Completed",IF(C86=J89,"1st Basement Completed",IF(C86=J90,"1st &amp; 2nd Basement Completed",IF(C86=J91,"1st to 3rd Basement Completed",IF(C86=J92,"1st to 4th Basement Completed",IF(C86=J93,"Plinth work is process",IF(C86=J94,"Plinth work completed","0")))))))))))&amp;(IF(C87=(E83+G83+H83),", RCC Slab",IF(C87&gt;0,", RCC upto "&amp;C87&amp;" Slab",""))&amp;(IF(C88=H83,", Brickwork",IF(C88&gt;0,", Brickwork upto "&amp;C88&amp;" Floor",""))&amp;(IF(C89=H83,", Internal Plaster",IF(C89&gt;0,", Internal Plaster upto "&amp;C89&amp;" Floor",""))&amp;(IF(C90=H83,", External Plaster",IF(C90&gt;0,", External Plaster upto "&amp;C90&amp;" Floor",""))&amp;(IF(C91=H83,", External Plumbing, Elevation and Waterproofing",IF(C91&gt;0,", External Plumbing, Elevation and Waterproofing upto "&amp;C91&amp;" Floor",""))&amp;(IF(C92=H83,", Flooring &amp; Fitting",IF(C92&gt;0,", Flooring &amp; Fitting upto "&amp;C92&amp;" Floor",""))&amp;(IF(C93=H83,", Wooden Work",IF(C93&gt;0,", Wooden Work upto "&amp;C93&amp;" Floor",""))&amp;(IF(C94=H83,", Electrical &amp; Sanitary fittings",IF(C94&gt;0,", Electrical &amp; Sanitary fittings upto "&amp;C94&amp;" Floor",""))&amp;(IF(C95&gt;0,", Finishing upto "&amp;C95&amp;" Floor","")&amp;(IF(C87&gt;0.5," Completed",""))))))))))))))))</f>
        <v>Excavation work in process</v>
      </c>
      <c r="J82" s="16"/>
      <c r="K82" s="58"/>
    </row>
    <row r="83" spans="1:11" ht="20.25" x14ac:dyDescent="0.3">
      <c r="A83" s="72"/>
      <c r="B83" s="72"/>
      <c r="C83" s="72"/>
      <c r="D83" s="29">
        <f>IF(AND(ISNUMBER(SEARCH("1B",A82))),1,IF(AND(ISNUMBER(SEARCH("2B",A82))),2,IF(AND(ISNUMBER(SEARCH("3B",A82))),3,IF(AND(ISNUMBER(SEARCH("4B",A82))),4,IF(ISNUMBER(SEARCH("5B",A82)),5,0)))))</f>
        <v>0</v>
      </c>
      <c r="E83" s="73">
        <v>1</v>
      </c>
      <c r="F83" s="73"/>
      <c r="G83" s="29">
        <v>0</v>
      </c>
      <c r="H83" s="29">
        <f ca="1">--TRIM(RIGHT(SUBSTITUTE(LEFT(A82,_xlfn.AGGREGATE(16,6,FIND({0,1,2,3,4,5,6,7,8,9},A82,ROW(INDIRECT("1:"&amp;LEN(A82)))),1))," ",REPT(" ",LEN(A82))),LEN(A82)))</f>
        <v>43</v>
      </c>
      <c r="I83" s="15" t="s">
        <v>120</v>
      </c>
      <c r="J83" s="16"/>
      <c r="K83" s="58" t="s">
        <v>302</v>
      </c>
    </row>
    <row r="84" spans="1:11" ht="20.25" customHeight="1" x14ac:dyDescent="0.3">
      <c r="A84" s="74" t="s">
        <v>118</v>
      </c>
      <c r="B84" s="74"/>
      <c r="C84" s="30" t="s">
        <v>129</v>
      </c>
      <c r="D84" s="30" t="s">
        <v>130</v>
      </c>
      <c r="E84" s="74" t="s">
        <v>119</v>
      </c>
      <c r="F84" s="74"/>
      <c r="G84" s="26" t="s">
        <v>117</v>
      </c>
      <c r="H84" s="26"/>
      <c r="I84" s="18" t="s">
        <v>131</v>
      </c>
      <c r="J84" s="17">
        <f ca="1">H83*25%</f>
        <v>10.75</v>
      </c>
    </row>
    <row r="85" spans="1:11" ht="20.25" customHeight="1" x14ac:dyDescent="0.3">
      <c r="A85" s="67" t="s">
        <v>132</v>
      </c>
      <c r="B85" s="67"/>
      <c r="C85" s="29">
        <f ca="1">J85</f>
        <v>21.5</v>
      </c>
      <c r="D85" s="28">
        <f ca="1">((100/H83)*C85)/100</f>
        <v>0.5</v>
      </c>
      <c r="E85" s="88">
        <f ca="1">(((C85/H83*10)+(C86/H83*15)+(25/(E83+G83+H83)*C87)+(5/(H83)*C88)+(2.5/(H83)*C89)+(2.5/(H83)*C90)+(5/H83*C91)+(10/H83*C92)+(2.5/H83*C93)+(2.5/H83*C94)+(10/H83*C95)+(10/H83*C96))/100)</f>
        <v>0.05</v>
      </c>
      <c r="F85" s="89"/>
      <c r="G85" s="67" t="str">
        <f ca="1">I82</f>
        <v>Excavation work in process</v>
      </c>
      <c r="H85" s="67"/>
      <c r="I85" s="18" t="s">
        <v>121</v>
      </c>
      <c r="J85" s="22">
        <f ca="1">H83*50%</f>
        <v>21.5</v>
      </c>
    </row>
    <row r="86" spans="1:11" ht="20.25" x14ac:dyDescent="0.3">
      <c r="A86" s="67" t="s">
        <v>102</v>
      </c>
      <c r="B86" s="67"/>
      <c r="C86" s="56">
        <v>0</v>
      </c>
      <c r="D86" s="28">
        <f ca="1">((100/H83)*C86)/100</f>
        <v>0</v>
      </c>
      <c r="E86" s="90"/>
      <c r="F86" s="91"/>
      <c r="G86" s="67"/>
      <c r="H86" s="67"/>
      <c r="I86" s="18" t="s">
        <v>122</v>
      </c>
      <c r="J86" s="22">
        <f ca="1">H83</f>
        <v>43</v>
      </c>
    </row>
    <row r="87" spans="1:11" ht="21" customHeight="1" x14ac:dyDescent="0.35">
      <c r="A87" s="67" t="s">
        <v>133</v>
      </c>
      <c r="B87" s="67"/>
      <c r="C87" s="29">
        <v>0</v>
      </c>
      <c r="D87" s="28">
        <f ca="1">((100/(E83+G83+H83))*C87)/100</f>
        <v>0</v>
      </c>
      <c r="E87" s="90"/>
      <c r="F87" s="91"/>
      <c r="G87" s="67"/>
      <c r="H87" s="67"/>
      <c r="I87" s="18" t="s">
        <v>123</v>
      </c>
      <c r="J87" s="23">
        <f ca="1">(IF(D83&gt;1,(H83/(D83+2)),H83*0.2))</f>
        <v>8.6</v>
      </c>
    </row>
    <row r="88" spans="1:11" ht="21" customHeight="1" x14ac:dyDescent="0.35">
      <c r="A88" s="67" t="s">
        <v>134</v>
      </c>
      <c r="B88" s="67"/>
      <c r="C88" s="29">
        <v>0</v>
      </c>
      <c r="D88" s="28">
        <f ca="1">((100/H83)*C88)/100</f>
        <v>0</v>
      </c>
      <c r="E88" s="90"/>
      <c r="F88" s="91"/>
      <c r="G88" s="67"/>
      <c r="H88" s="67"/>
      <c r="I88" s="18" t="s">
        <v>124</v>
      </c>
      <c r="J88" s="23">
        <f ca="1">(IF(D83&gt;1,(H83/(D83+2)+J87),H83*0.2+J87))</f>
        <v>17.2</v>
      </c>
    </row>
    <row r="89" spans="1:11" ht="21" customHeight="1" x14ac:dyDescent="0.35">
      <c r="A89" s="65" t="s">
        <v>135</v>
      </c>
      <c r="B89" s="66"/>
      <c r="C89" s="29">
        <v>0</v>
      </c>
      <c r="D89" s="28">
        <f ca="1">((100/H83)*C89)/100</f>
        <v>0</v>
      </c>
      <c r="E89" s="90"/>
      <c r="F89" s="91"/>
      <c r="G89" s="67"/>
      <c r="H89" s="67"/>
      <c r="I89" s="18" t="s">
        <v>136</v>
      </c>
      <c r="J89" s="23">
        <f>(IF(D83&gt;1,(H83/(D83+2)+J88),0))</f>
        <v>0</v>
      </c>
    </row>
    <row r="90" spans="1:11" ht="21" customHeight="1" x14ac:dyDescent="0.35">
      <c r="A90" s="65" t="s">
        <v>168</v>
      </c>
      <c r="B90" s="66"/>
      <c r="C90" s="29">
        <v>0</v>
      </c>
      <c r="D90" s="28">
        <f ca="1">((100/H83)*C90)/100</f>
        <v>0</v>
      </c>
      <c r="E90" s="90"/>
      <c r="F90" s="91"/>
      <c r="G90" s="67"/>
      <c r="H90" s="67"/>
      <c r="I90" s="18" t="s">
        <v>137</v>
      </c>
      <c r="J90" s="23">
        <f>(IF(D83&gt;2,(H83/(D83+2)+J89),0))</f>
        <v>0</v>
      </c>
    </row>
    <row r="91" spans="1:11" ht="57.75" customHeight="1" x14ac:dyDescent="0.35">
      <c r="A91" s="65" t="s">
        <v>165</v>
      </c>
      <c r="B91" s="66"/>
      <c r="C91" s="29">
        <v>0</v>
      </c>
      <c r="D91" s="28">
        <f ca="1">((100/(H83))*C91)/100</f>
        <v>0</v>
      </c>
      <c r="E91" s="90"/>
      <c r="F91" s="91"/>
      <c r="G91" s="67"/>
      <c r="H91" s="67"/>
      <c r="I91" s="18" t="s">
        <v>139</v>
      </c>
      <c r="J91" s="24">
        <f>(IF(D83&gt;3,(H83/(D83+2)+J90),0))</f>
        <v>0</v>
      </c>
    </row>
    <row r="92" spans="1:11" ht="21" x14ac:dyDescent="0.35">
      <c r="A92" s="67" t="s">
        <v>138</v>
      </c>
      <c r="B92" s="67"/>
      <c r="C92" s="29">
        <v>0</v>
      </c>
      <c r="D92" s="28">
        <f ca="1">((100/(H83))*C92)/100</f>
        <v>0</v>
      </c>
      <c r="E92" s="90"/>
      <c r="F92" s="91"/>
      <c r="G92" s="67"/>
      <c r="H92" s="67"/>
      <c r="I92" s="18" t="s">
        <v>140</v>
      </c>
      <c r="J92" s="23">
        <f>(IF(D83&gt;4,(H83/(D83+2)+J91),0))</f>
        <v>0</v>
      </c>
    </row>
    <row r="93" spans="1:11" ht="21" customHeight="1" x14ac:dyDescent="0.35">
      <c r="A93" s="67" t="s">
        <v>167</v>
      </c>
      <c r="B93" s="67"/>
      <c r="C93" s="29">
        <v>0</v>
      </c>
      <c r="D93" s="28">
        <f ca="1">((100/H83)*C93)/100</f>
        <v>0</v>
      </c>
      <c r="E93" s="90"/>
      <c r="F93" s="91"/>
      <c r="G93" s="67"/>
      <c r="H93" s="67"/>
      <c r="I93" s="18" t="s">
        <v>125</v>
      </c>
      <c r="J93" s="23">
        <f ca="1">(IF(D83=1,(H83/(D83+3)+J88),IF(D83=0,(H83*0.3+J88),IF(D83&gt;1,0))))</f>
        <v>30.1</v>
      </c>
    </row>
    <row r="94" spans="1:11" ht="21.75" thickBot="1" x14ac:dyDescent="0.4">
      <c r="A94" s="67" t="s">
        <v>166</v>
      </c>
      <c r="B94" s="67"/>
      <c r="C94" s="29">
        <v>0</v>
      </c>
      <c r="D94" s="28">
        <f ca="1">((100/H83)*C94)/100</f>
        <v>0</v>
      </c>
      <c r="E94" s="90"/>
      <c r="F94" s="91"/>
      <c r="G94" s="67"/>
      <c r="H94" s="67"/>
      <c r="I94" s="20" t="s">
        <v>126</v>
      </c>
      <c r="J94" s="25">
        <f ca="1">(IF(D83&gt;1.5,(H83/(D83+2)+J88+MAX(0,J89-J88)+MAX(0,J90-J89)+MAX(0,J91-J90)+MAX(0,J92-J91)+MAX(0,J93-J92)),IF(D83=1,(H83/(D83+3)+J93),IF(D83=0,H83*0.3+J93))))</f>
        <v>43</v>
      </c>
    </row>
    <row r="95" spans="1:11" ht="20.25" x14ac:dyDescent="0.25">
      <c r="A95" s="67" t="s">
        <v>141</v>
      </c>
      <c r="B95" s="67"/>
      <c r="C95" s="29">
        <v>0</v>
      </c>
      <c r="D95" s="28">
        <f ca="1">((100/(H83))*C95)/100</f>
        <v>0</v>
      </c>
      <c r="E95" s="90"/>
      <c r="F95" s="91"/>
      <c r="G95" s="67"/>
      <c r="H95" s="67"/>
    </row>
    <row r="96" spans="1:11" ht="20.25" x14ac:dyDescent="0.25">
      <c r="A96" s="67" t="s">
        <v>142</v>
      </c>
      <c r="B96" s="67"/>
      <c r="C96" s="29">
        <v>0</v>
      </c>
      <c r="D96" s="28">
        <f ca="1">((100/(H83))*C96)/100</f>
        <v>0</v>
      </c>
      <c r="E96" s="92"/>
      <c r="F96" s="93"/>
      <c r="G96" s="67"/>
      <c r="H96" s="67"/>
    </row>
    <row r="97" spans="1:11" ht="21" thickBot="1" x14ac:dyDescent="0.3">
      <c r="A97" s="71" t="s">
        <v>66</v>
      </c>
      <c r="B97" s="71"/>
      <c r="C97" s="71"/>
      <c r="D97" s="71"/>
      <c r="E97" s="71"/>
      <c r="F97" s="71"/>
      <c r="G97" s="71"/>
      <c r="H97" s="71"/>
    </row>
    <row r="98" spans="1:11" ht="20.25" customHeight="1" x14ac:dyDescent="0.3">
      <c r="A98" s="72" t="str">
        <f>CONCATENATE((IF(OR(A48="",A48="NA"),"",A48)),"= ",(IF(OR(D48="",D48="NA"),"",D48)),".")</f>
        <v>Commercial Wing= 2B + G + 1st to 4th Floor.</v>
      </c>
      <c r="B98" s="72"/>
      <c r="C98" s="72"/>
      <c r="D98" s="29" t="s">
        <v>114</v>
      </c>
      <c r="E98" s="73" t="s">
        <v>101</v>
      </c>
      <c r="F98" s="73"/>
      <c r="G98" s="29" t="s">
        <v>115</v>
      </c>
      <c r="H98" s="29" t="s">
        <v>116</v>
      </c>
      <c r="I98" s="14" t="str">
        <f ca="1">(IF(E101&gt;99%,"All work completed. Please provide OC.",IF(E101&gt;89.8%,"Plinth, RCC, Brick, Plaster, Flooring, Wooden, Plumbing, Electrification, etc., work Completed. Finishing work is in process.",IF(E101&lt;94%,(IF(C101=0,"Work not yet Started.",IF(D101=25%,"Piling work in process",IF(D101=50%,"Excavation work in process",IF(D101=100%,"Excavation work Completed. ","0")))&amp;(IF(C102=0%,"",IF(C102=J103,"Footing work is process",IF(C102=J104,"Footing work Completed",IF(C102=J105,"1st Basement Completed",IF(C102=J106,"1st &amp; 2nd Basement Completed",IF(C102=J107,"1st to 3rd Basement Completed",IF(C102=J108,"1st to 4th Basement Completed",IF(C102=J109,"Plinth work is process",IF(C102=J110,"Plinth work completed","0")))))))))))&amp;(IF(C103=(E99+G99+H99),", RCC Slab",IF(C103&gt;0,", RCC upto "&amp;C103&amp;" Slab",""))&amp;(IF(C104=H99,", Brickwork",IF(C104&gt;0,", Brickwork upto "&amp;C104&amp;" Floor",""))&amp;(IF(C105=H99,", Internal Plaster",IF(C105&gt;0,", Internal Plaster upto "&amp;C105&amp;" Floor",""))&amp;(IF(C106=H99,", External Plaster",IF(C106&gt;0,", External Plaster upto "&amp;C106&amp;" Floor",""))&amp;(IF(C107=H99,", External Plumbing, Elevation and Waterproofing",IF(C107&gt;0,", External Plumbing, Elevation and Waterproofing upto "&amp;C107&amp;" Floor",""))&amp;(IF(C108=H99,", Flooring &amp; Fitting",IF(C108&gt;0,", Flooring &amp; Fitting upto "&amp;C108&amp;" Floor",""))&amp;(IF(C109=H99,", Wooden Work",IF(C109&gt;0,", Wooden Work upto "&amp;C109&amp;" Floor",""))&amp;(IF(C110=H99,", Electrical &amp; Sanitary fittings",IF(C110&gt;0,", Electrical &amp; Sanitary fittings upto "&amp;C110&amp;" Floor",""))&amp;(IF(C111&gt;0,", Finishing upto "&amp;C111&amp;" Floor","")&amp;(IF(C103&gt;0.5," Completed",""))))))))))))))))</f>
        <v>Piling work in process</v>
      </c>
      <c r="J98" s="16"/>
    </row>
    <row r="99" spans="1:11" ht="20.25" x14ac:dyDescent="0.3">
      <c r="A99" s="72"/>
      <c r="B99" s="72"/>
      <c r="C99" s="72"/>
      <c r="D99" s="29">
        <f>IF(AND(ISNUMBER(SEARCH("1B",A98))),1,IF(AND(ISNUMBER(SEARCH("2B",A98))),2,IF(AND(ISNUMBER(SEARCH("3B",A98))),3,IF(AND(ISNUMBER(SEARCH("4B",A98))),4,IF(ISNUMBER(SEARCH("5B",A98)),5,0)))))</f>
        <v>2</v>
      </c>
      <c r="E99" s="73">
        <v>1</v>
      </c>
      <c r="F99" s="73"/>
      <c r="G99" s="29">
        <v>0</v>
      </c>
      <c r="H99" s="29">
        <f ca="1">--TRIM(RIGHT(SUBSTITUTE(LEFT(A98,_xlfn.AGGREGATE(16,6,FIND({0,1,2,3,4,5,6,7,8,9},A98,ROW(INDIRECT("1:"&amp;LEN(A98)))),1))," ",REPT(" ",LEN(A98))),LEN(A98)))</f>
        <v>4</v>
      </c>
      <c r="I99" s="15" t="s">
        <v>120</v>
      </c>
      <c r="J99" s="16"/>
    </row>
    <row r="100" spans="1:11" ht="20.25" customHeight="1" x14ac:dyDescent="0.3">
      <c r="A100" s="74" t="s">
        <v>118</v>
      </c>
      <c r="B100" s="74"/>
      <c r="C100" s="30" t="s">
        <v>129</v>
      </c>
      <c r="D100" s="30" t="s">
        <v>130</v>
      </c>
      <c r="E100" s="74" t="s">
        <v>119</v>
      </c>
      <c r="F100" s="74"/>
      <c r="G100" s="26" t="s">
        <v>117</v>
      </c>
      <c r="H100" s="26"/>
      <c r="I100" s="18" t="s">
        <v>131</v>
      </c>
      <c r="J100" s="17">
        <f ca="1">H99*25%</f>
        <v>1</v>
      </c>
    </row>
    <row r="101" spans="1:11" ht="20.25" customHeight="1" x14ac:dyDescent="0.3">
      <c r="A101" s="67" t="s">
        <v>132</v>
      </c>
      <c r="B101" s="67"/>
      <c r="C101" s="29">
        <f ca="1">J100</f>
        <v>1</v>
      </c>
      <c r="D101" s="28">
        <f ca="1">((100/H99)*C101)/100</f>
        <v>0.25</v>
      </c>
      <c r="E101" s="88">
        <f ca="1">(((C101/H99*10)+(C102/H99*15)+(25/(E99+G99+H99)*C103)+(5/(H99)*C104)+(2.5/(H99)*C105)+(2.5/(H99)*C106)+(5/H99*C107)+(10/H99*C108)+(2.5/H99*C109)+(2.5/H99*C110)+(10/H99*C111)+(10/H99*C112))/100)</f>
        <v>2.5000000000000001E-2</v>
      </c>
      <c r="F101" s="89"/>
      <c r="G101" s="67" t="str">
        <f ca="1">I98</f>
        <v>Piling work in process</v>
      </c>
      <c r="H101" s="67"/>
      <c r="I101" s="18" t="s">
        <v>121</v>
      </c>
      <c r="J101" s="22">
        <f ca="1">H99*50%</f>
        <v>2</v>
      </c>
    </row>
    <row r="102" spans="1:11" ht="20.25" x14ac:dyDescent="0.3">
      <c r="A102" s="67" t="s">
        <v>102</v>
      </c>
      <c r="B102" s="67"/>
      <c r="C102" s="56">
        <v>0</v>
      </c>
      <c r="D102" s="28">
        <f ca="1">((100/H99)*C102)/100</f>
        <v>0</v>
      </c>
      <c r="E102" s="90"/>
      <c r="F102" s="91"/>
      <c r="G102" s="67"/>
      <c r="H102" s="67"/>
      <c r="I102" s="18" t="s">
        <v>122</v>
      </c>
      <c r="J102" s="22">
        <f ca="1">H99</f>
        <v>4</v>
      </c>
    </row>
    <row r="103" spans="1:11" ht="21" customHeight="1" x14ac:dyDescent="0.35">
      <c r="A103" s="67" t="s">
        <v>133</v>
      </c>
      <c r="B103" s="67"/>
      <c r="C103" s="29">
        <v>0</v>
      </c>
      <c r="D103" s="28">
        <f ca="1">((100/(E99+G99+H99))*C103)/100</f>
        <v>0</v>
      </c>
      <c r="E103" s="90"/>
      <c r="F103" s="91"/>
      <c r="G103" s="67"/>
      <c r="H103" s="67"/>
      <c r="I103" s="18" t="s">
        <v>123</v>
      </c>
      <c r="J103" s="23">
        <f ca="1">(IF(D99&gt;1,(H99/(D99+2)),H99*0.2))</f>
        <v>1</v>
      </c>
    </row>
    <row r="104" spans="1:11" ht="21" customHeight="1" x14ac:dyDescent="0.35">
      <c r="A104" s="67" t="s">
        <v>134</v>
      </c>
      <c r="B104" s="67"/>
      <c r="C104" s="29">
        <v>0</v>
      </c>
      <c r="D104" s="28">
        <f ca="1">((100/H99)*C104)/100</f>
        <v>0</v>
      </c>
      <c r="E104" s="90"/>
      <c r="F104" s="91"/>
      <c r="G104" s="67"/>
      <c r="H104" s="67"/>
      <c r="I104" s="18" t="s">
        <v>124</v>
      </c>
      <c r="J104" s="23">
        <f ca="1">(IF(D99&gt;1,(H99/(D99+2)+J103),H99*0.2+J103))</f>
        <v>2</v>
      </c>
    </row>
    <row r="105" spans="1:11" ht="21" customHeight="1" x14ac:dyDescent="0.35">
      <c r="A105" s="65" t="s">
        <v>135</v>
      </c>
      <c r="B105" s="66"/>
      <c r="C105" s="29">
        <v>0</v>
      </c>
      <c r="D105" s="28">
        <f ca="1">((100/H99)*C105)/100</f>
        <v>0</v>
      </c>
      <c r="E105" s="90"/>
      <c r="F105" s="91"/>
      <c r="G105" s="67"/>
      <c r="H105" s="67"/>
      <c r="I105" s="18" t="s">
        <v>136</v>
      </c>
      <c r="J105" s="23">
        <f ca="1">(IF(D99&gt;1,(H99/(D99+2)+J104),0))</f>
        <v>3</v>
      </c>
    </row>
    <row r="106" spans="1:11" ht="21" customHeight="1" x14ac:dyDescent="0.35">
      <c r="A106" s="65" t="s">
        <v>168</v>
      </c>
      <c r="B106" s="66"/>
      <c r="C106" s="29">
        <v>0</v>
      </c>
      <c r="D106" s="28">
        <f ca="1">((100/H99)*C106)/100</f>
        <v>0</v>
      </c>
      <c r="E106" s="90"/>
      <c r="F106" s="91"/>
      <c r="G106" s="67"/>
      <c r="H106" s="67"/>
      <c r="I106" s="18" t="s">
        <v>137</v>
      </c>
      <c r="J106" s="23">
        <f>(IF(D99&gt;2,(H99/(D99+2)+J105),0))</f>
        <v>0</v>
      </c>
      <c r="K106" s="58"/>
    </row>
    <row r="107" spans="1:11" ht="21" x14ac:dyDescent="0.35">
      <c r="A107" s="65" t="s">
        <v>165</v>
      </c>
      <c r="B107" s="66"/>
      <c r="C107" s="29">
        <v>0</v>
      </c>
      <c r="D107" s="28">
        <f ca="1">((100/(H99))*C107)/100</f>
        <v>0</v>
      </c>
      <c r="E107" s="90"/>
      <c r="F107" s="91"/>
      <c r="G107" s="67"/>
      <c r="H107" s="67"/>
      <c r="I107" s="18" t="s">
        <v>139</v>
      </c>
      <c r="J107" s="24">
        <f>(IF(D99&gt;3,(H99/(D99+2)+J106),0))</f>
        <v>0</v>
      </c>
    </row>
    <row r="108" spans="1:11" ht="21" x14ac:dyDescent="0.35">
      <c r="A108" s="67" t="s">
        <v>138</v>
      </c>
      <c r="B108" s="67"/>
      <c r="C108" s="29">
        <v>0</v>
      </c>
      <c r="D108" s="28">
        <f ca="1">((100/(H99))*C108)/100</f>
        <v>0</v>
      </c>
      <c r="E108" s="90"/>
      <c r="F108" s="91"/>
      <c r="G108" s="67"/>
      <c r="H108" s="67"/>
      <c r="I108" s="18" t="s">
        <v>140</v>
      </c>
      <c r="J108" s="23">
        <f>(IF(D99&gt;4,(H99/(D99+2)+J107),0))</f>
        <v>0</v>
      </c>
    </row>
    <row r="109" spans="1:11" ht="21" customHeight="1" x14ac:dyDescent="0.35">
      <c r="A109" s="67" t="s">
        <v>167</v>
      </c>
      <c r="B109" s="67"/>
      <c r="C109" s="29">
        <v>0</v>
      </c>
      <c r="D109" s="28">
        <f ca="1">((100/H99)*C109)/100</f>
        <v>0</v>
      </c>
      <c r="E109" s="90"/>
      <c r="F109" s="91"/>
      <c r="G109" s="67"/>
      <c r="H109" s="67"/>
      <c r="I109" s="18" t="s">
        <v>125</v>
      </c>
      <c r="J109" s="23">
        <f>(IF(D99=1,(H99/(D99+3)+J104),IF(D99=0,(H99*0.3+J104),IF(D99&gt;1,0))))</f>
        <v>0</v>
      </c>
    </row>
    <row r="110" spans="1:11" ht="21.75" thickBot="1" x14ac:dyDescent="0.4">
      <c r="A110" s="67" t="s">
        <v>166</v>
      </c>
      <c r="B110" s="67"/>
      <c r="C110" s="29">
        <v>0</v>
      </c>
      <c r="D110" s="28">
        <f ca="1">((100/H99)*C110)/100</f>
        <v>0</v>
      </c>
      <c r="E110" s="90"/>
      <c r="F110" s="91"/>
      <c r="G110" s="67"/>
      <c r="H110" s="67"/>
      <c r="I110" s="20" t="s">
        <v>126</v>
      </c>
      <c r="J110" s="25">
        <f ca="1">(IF(D99&gt;1.5,(H99/(D99+2)+J104+MAX(0,J105-J104)+MAX(0,J106-J105)+MAX(0,J107-J106)+MAX(0,J108-J107)+MAX(0,J109-J108)),IF(D99=1,(H99/(D99+3)+J109),IF(D99=0,H99*0.3+J109))))</f>
        <v>4</v>
      </c>
    </row>
    <row r="111" spans="1:11" ht="20.25" x14ac:dyDescent="0.25">
      <c r="A111" s="67" t="s">
        <v>141</v>
      </c>
      <c r="B111" s="67"/>
      <c r="C111" s="29">
        <v>0</v>
      </c>
      <c r="D111" s="28">
        <f ca="1">((100/(H99))*C111)/100</f>
        <v>0</v>
      </c>
      <c r="E111" s="90"/>
      <c r="F111" s="91"/>
      <c r="G111" s="67"/>
      <c r="H111" s="67"/>
    </row>
    <row r="112" spans="1:11" ht="20.25" x14ac:dyDescent="0.25">
      <c r="A112" s="67" t="s">
        <v>142</v>
      </c>
      <c r="B112" s="67"/>
      <c r="C112" s="29">
        <v>0</v>
      </c>
      <c r="D112" s="28">
        <f ca="1">((100/(H99))*C112)/100</f>
        <v>0</v>
      </c>
      <c r="E112" s="92"/>
      <c r="F112" s="93"/>
      <c r="G112" s="67"/>
      <c r="H112" s="67"/>
    </row>
    <row r="113" spans="1:150 16226:16383" ht="20.25" x14ac:dyDescent="0.25">
      <c r="A113" s="71" t="s">
        <v>66</v>
      </c>
      <c r="B113" s="71"/>
      <c r="C113" s="71"/>
      <c r="D113" s="71"/>
      <c r="E113" s="71"/>
      <c r="F113" s="71"/>
      <c r="G113" s="71"/>
      <c r="H113" s="71"/>
    </row>
    <row r="114" spans="1:150 16226:16383" ht="36.75" customHeight="1" x14ac:dyDescent="0.3">
      <c r="A114" s="98" t="s">
        <v>127</v>
      </c>
      <c r="B114" s="99"/>
      <c r="C114" s="99"/>
      <c r="D114" s="99"/>
      <c r="E114" s="99"/>
      <c r="F114" s="99"/>
      <c r="G114" s="96">
        <f ca="1">AVERAGE(E69,E85,E101)</f>
        <v>2.5000000000000005E-2</v>
      </c>
      <c r="H114" s="97"/>
      <c r="I114" s="18"/>
      <c r="J114" s="19"/>
      <c r="K114" s="19"/>
    </row>
    <row r="115" spans="1:150 16226:16383" ht="20.25" x14ac:dyDescent="0.25">
      <c r="A115" s="128" t="s">
        <v>70</v>
      </c>
      <c r="B115" s="129"/>
      <c r="C115" s="129"/>
      <c r="D115" s="129"/>
      <c r="E115" s="129"/>
      <c r="F115" s="129"/>
      <c r="G115" s="129"/>
      <c r="H115" s="130"/>
    </row>
    <row r="116" spans="1:150 16226:16383" ht="54.75" customHeight="1" x14ac:dyDescent="0.25">
      <c r="A116" s="60" t="s">
        <v>71</v>
      </c>
      <c r="B116" s="61"/>
      <c r="C116" s="62" t="s">
        <v>106</v>
      </c>
      <c r="D116" s="64"/>
      <c r="E116" s="60" t="s">
        <v>143</v>
      </c>
      <c r="F116" s="61" t="s">
        <v>4</v>
      </c>
      <c r="G116" s="142" t="s">
        <v>158</v>
      </c>
      <c r="H116" s="142"/>
    </row>
    <row r="117" spans="1:150 16226:16383" ht="44.25" customHeight="1" x14ac:dyDescent="0.25">
      <c r="A117" s="60" t="s">
        <v>154</v>
      </c>
      <c r="B117" s="61"/>
      <c r="C117" s="62" t="s">
        <v>301</v>
      </c>
      <c r="D117" s="64"/>
      <c r="E117" s="60" t="s">
        <v>155</v>
      </c>
      <c r="F117" s="61" t="s">
        <v>4</v>
      </c>
      <c r="G117" s="68" t="s">
        <v>144</v>
      </c>
      <c r="H117" s="68"/>
    </row>
    <row r="118" spans="1:150 16226:16383" ht="44.25" customHeight="1" x14ac:dyDescent="0.25">
      <c r="A118" s="60" t="s">
        <v>340</v>
      </c>
      <c r="B118" s="61"/>
      <c r="C118" s="62" t="s">
        <v>342</v>
      </c>
      <c r="D118" s="63"/>
      <c r="E118" s="63"/>
      <c r="F118" s="63"/>
      <c r="G118" s="63"/>
      <c r="H118" s="64"/>
    </row>
    <row r="119" spans="1:150 16226:16383" ht="44.25" customHeight="1" x14ac:dyDescent="0.25">
      <c r="A119" s="60" t="s">
        <v>341</v>
      </c>
      <c r="B119" s="61"/>
      <c r="C119" s="62" t="s">
        <v>343</v>
      </c>
      <c r="D119" s="63"/>
      <c r="E119" s="63"/>
      <c r="F119" s="63"/>
      <c r="G119" s="63"/>
      <c r="H119" s="64"/>
    </row>
    <row r="120" spans="1:150 16226:16383" ht="20.25" x14ac:dyDescent="0.25">
      <c r="A120" s="60" t="s">
        <v>72</v>
      </c>
      <c r="B120" s="61"/>
      <c r="C120" s="82">
        <v>800000</v>
      </c>
      <c r="D120" s="83"/>
      <c r="E120" s="60" t="s">
        <v>100</v>
      </c>
      <c r="F120" s="61" t="s">
        <v>4</v>
      </c>
      <c r="G120" s="62" t="s">
        <v>107</v>
      </c>
      <c r="H120" s="64"/>
    </row>
    <row r="121" spans="1:150 16226:16383" ht="20.25" x14ac:dyDescent="0.25">
      <c r="A121" s="128" t="s">
        <v>69</v>
      </c>
      <c r="B121" s="129"/>
      <c r="C121" s="129"/>
      <c r="D121" s="129"/>
      <c r="E121" s="129"/>
      <c r="F121" s="129"/>
      <c r="G121" s="129"/>
      <c r="H121" s="130"/>
    </row>
    <row r="122" spans="1:150 16226:16383" ht="20.25" customHeight="1" x14ac:dyDescent="0.25">
      <c r="A122" s="60" t="s">
        <v>8</v>
      </c>
      <c r="B122" s="84"/>
      <c r="C122" s="84"/>
      <c r="D122" s="84"/>
      <c r="E122" s="84"/>
      <c r="F122" s="61"/>
      <c r="G122" s="94">
        <f>91390/10.764</f>
        <v>8490.3381642512086</v>
      </c>
      <c r="H122" s="95"/>
    </row>
    <row r="123" spans="1:150 16226:16383" ht="20.25" customHeight="1" x14ac:dyDescent="0.25">
      <c r="A123" s="60" t="s">
        <v>28</v>
      </c>
      <c r="B123" s="84"/>
      <c r="C123" s="84"/>
      <c r="D123" s="84"/>
      <c r="E123" s="84"/>
      <c r="F123" s="61" t="s">
        <v>4</v>
      </c>
      <c r="G123" s="135">
        <f>160750/10.764</f>
        <v>14934.039390561131</v>
      </c>
      <c r="H123" s="135"/>
    </row>
    <row r="124" spans="1:150 16226:16383" ht="20.25" customHeight="1" x14ac:dyDescent="0.25">
      <c r="A124" s="60" t="s">
        <v>108</v>
      </c>
      <c r="B124" s="84"/>
      <c r="C124" s="84"/>
      <c r="D124" s="84"/>
      <c r="E124" s="84"/>
      <c r="F124" s="61" t="s">
        <v>4</v>
      </c>
      <c r="G124" s="135">
        <f>G122*0.8</f>
        <v>6792.2705314009672</v>
      </c>
      <c r="H124" s="135"/>
    </row>
    <row r="125" spans="1:150 16226:16383" ht="20.25" x14ac:dyDescent="0.25">
      <c r="A125" s="85" t="s">
        <v>244</v>
      </c>
      <c r="B125" s="86"/>
      <c r="C125" s="86"/>
      <c r="D125" s="86"/>
      <c r="E125" s="86"/>
      <c r="F125" s="86"/>
      <c r="G125" s="86"/>
      <c r="H125" s="87"/>
    </row>
    <row r="126" spans="1:150 16226:16383" s="3" customFormat="1" ht="20.25" x14ac:dyDescent="0.25">
      <c r="A126" s="80" t="s">
        <v>151</v>
      </c>
      <c r="B126" s="81"/>
      <c r="C126" s="80" t="s">
        <v>152</v>
      </c>
      <c r="D126" s="81"/>
      <c r="E126" s="80" t="s">
        <v>150</v>
      </c>
      <c r="F126" s="81"/>
      <c r="G126" s="80" t="s">
        <v>163</v>
      </c>
      <c r="H126" s="8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x14ac:dyDescent="0.25">
      <c r="A127" s="78" t="s">
        <v>326</v>
      </c>
      <c r="B127" s="79"/>
      <c r="C127" s="78" t="s">
        <v>94</v>
      </c>
      <c r="D127" s="79"/>
      <c r="E127" s="78">
        <f>COUNT(E308:E324)</f>
        <v>17</v>
      </c>
      <c r="F127" s="79"/>
      <c r="G127" s="78">
        <f>SUM(H308:H324)</f>
        <v>10576.724698799997</v>
      </c>
      <c r="H127" s="7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x14ac:dyDescent="0.25">
      <c r="A128" s="78" t="s">
        <v>327</v>
      </c>
      <c r="B128" s="79"/>
      <c r="C128" s="78" t="s">
        <v>94</v>
      </c>
      <c r="D128" s="79"/>
      <c r="E128" s="78">
        <f>COUNT(E326:E343)+COUNT(E345:E362)*3</f>
        <v>72</v>
      </c>
      <c r="F128" s="79"/>
      <c r="G128" s="78">
        <f>SUM(H326:H343)+SUM(H345:H362)*3</f>
        <v>45266.624207999987</v>
      </c>
      <c r="H128" s="7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x14ac:dyDescent="0.25">
      <c r="A129" s="80" t="s">
        <v>153</v>
      </c>
      <c r="B129" s="81"/>
      <c r="C129" s="80" t="s">
        <v>94</v>
      </c>
      <c r="D129" s="81"/>
      <c r="E129" s="80">
        <f>SUM(E127:F128)</f>
        <v>89</v>
      </c>
      <c r="F129" s="81"/>
      <c r="G129" s="80">
        <f>SUM(G127:H128)</f>
        <v>55843.348906799984</v>
      </c>
      <c r="H129" s="81">
        <f>SUM(H127:H128)</f>
        <v>0</v>
      </c>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ht="20.25" x14ac:dyDescent="0.25">
      <c r="A130" s="85" t="s">
        <v>232</v>
      </c>
      <c r="B130" s="86"/>
      <c r="C130" s="86"/>
      <c r="D130" s="86"/>
      <c r="E130" s="86"/>
      <c r="F130" s="86"/>
      <c r="G130" s="86"/>
      <c r="H130" s="87"/>
    </row>
    <row r="131" spans="1:150 16226:16383" s="3" customFormat="1" ht="20.25" x14ac:dyDescent="0.25">
      <c r="A131" s="80" t="s">
        <v>151</v>
      </c>
      <c r="B131" s="81"/>
      <c r="C131" s="80" t="s">
        <v>152</v>
      </c>
      <c r="D131" s="81"/>
      <c r="E131" s="80" t="s">
        <v>150</v>
      </c>
      <c r="F131" s="81"/>
      <c r="G131" s="80" t="s">
        <v>163</v>
      </c>
      <c r="H131" s="8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78" t="s">
        <v>145</v>
      </c>
      <c r="B132" s="79"/>
      <c r="C132" s="78" t="s">
        <v>94</v>
      </c>
      <c r="D132" s="79"/>
      <c r="E132" s="78">
        <f>COUNT(E145:E146)+COUNT(E152:E155)*6+COUNT(E161:E162)+COUNT(E170:E173)+COUNT(E177:E184)*10+COUNT(E186:E189,E192:E193)+COUNT(E195:E202)*20+COUNT(E204:E207,E210:E211)*3+COUNT(E213:E216,E218:E220)</f>
        <v>303</v>
      </c>
      <c r="F132" s="79"/>
      <c r="G132" s="78">
        <f>SUM(H145:H146)+SUM(H152:H155)*6+SUM(H161:H162)+SUM(H170:H173)+SUM(H177:H184)*10+SUM(H186:H189,H192:H193)+SUM(H195:H202)*20+SUM(H204:H207,H210:H211)*3+SUM(H213:H216,H218:H220)</f>
        <v>249847.88095799999</v>
      </c>
      <c r="H132" s="7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78" t="s">
        <v>229</v>
      </c>
      <c r="B133" s="79"/>
      <c r="C133" s="78" t="s">
        <v>94</v>
      </c>
      <c r="D133" s="79"/>
      <c r="E133" s="78">
        <f>COUNT(E228:E231)+COUNT(E235:E240)*6+COUNT(E244:E245,E248:E249)+COUNT(E253:E258)+COUNT(E260:E267)*10+COUNT(E269:E272,E275:E276)+COUNT(E278:E285)*19+COUNT(E287:E290,E293:E294)*3+COUNT(E296:E299,E301:E303)</f>
        <v>313</v>
      </c>
      <c r="F133" s="79"/>
      <c r="G133" s="78">
        <f>SUM(H228:H231)+SUM(H235:H240)*6+SUM(H244:H245,H248:H249)+SUM(H253:H258)+SUM(H260:H267)*10+SUM(H269:H272,H275:H276)+SUM(H278:H285)*19+SUM(H287:H290,H293:H294)*3+SUM(H296:H299,H301:H303)</f>
        <v>200603.61645480001</v>
      </c>
      <c r="H133" s="7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80" t="s">
        <v>153</v>
      </c>
      <c r="B134" s="81"/>
      <c r="C134" s="80" t="s">
        <v>94</v>
      </c>
      <c r="D134" s="81"/>
      <c r="E134" s="80">
        <f>SUM(E132:F133)</f>
        <v>616</v>
      </c>
      <c r="F134" s="81"/>
      <c r="G134" s="80">
        <f>SUM(G132:H133)</f>
        <v>450451.49741279997</v>
      </c>
      <c r="H134" s="8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80" t="s">
        <v>245</v>
      </c>
      <c r="B135" s="81"/>
      <c r="C135" s="80" t="s">
        <v>94</v>
      </c>
      <c r="D135" s="81"/>
      <c r="E135" s="80">
        <f>E129+E134</f>
        <v>705</v>
      </c>
      <c r="F135" s="81"/>
      <c r="G135" s="80">
        <f>G129+G134</f>
        <v>506294.84631959995</v>
      </c>
      <c r="H135" s="8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ht="20.25" x14ac:dyDescent="0.25">
      <c r="A136" s="140" t="s">
        <v>149</v>
      </c>
      <c r="B136" s="141"/>
      <c r="C136" s="141"/>
      <c r="D136" s="141"/>
      <c r="E136" s="141"/>
      <c r="F136" s="141"/>
      <c r="G136" s="141"/>
      <c r="H136" s="87"/>
    </row>
    <row r="137" spans="1:150 16226:16383" ht="66" customHeight="1" x14ac:dyDescent="0.25">
      <c r="A137" s="52" t="s">
        <v>233</v>
      </c>
      <c r="B137" s="27" t="s">
        <v>234</v>
      </c>
      <c r="C137" s="33" t="s">
        <v>235</v>
      </c>
      <c r="D137" s="27" t="s">
        <v>87</v>
      </c>
      <c r="E137" s="27" t="s">
        <v>164</v>
      </c>
      <c r="F137" s="33" t="s">
        <v>236</v>
      </c>
      <c r="G137" s="27" t="s">
        <v>89</v>
      </c>
      <c r="H137" s="27" t="s">
        <v>88</v>
      </c>
    </row>
    <row r="138" spans="1:150 16226:16383" s="3" customFormat="1" ht="20.25" x14ac:dyDescent="0.25">
      <c r="A138" s="137" t="s">
        <v>145</v>
      </c>
      <c r="B138" s="138"/>
      <c r="C138" s="138"/>
      <c r="D138" s="138"/>
      <c r="E138" s="138"/>
      <c r="F138" s="138"/>
      <c r="G138" s="138"/>
      <c r="H138" s="1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137" t="s">
        <v>276</v>
      </c>
      <c r="B139" s="138"/>
      <c r="C139" s="138"/>
      <c r="D139" s="138"/>
      <c r="E139" s="138"/>
      <c r="F139" s="138"/>
      <c r="G139" s="138"/>
      <c r="H139" s="1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137" t="s">
        <v>277</v>
      </c>
      <c r="B140" s="138"/>
      <c r="C140" s="138"/>
      <c r="D140" s="138"/>
      <c r="E140" s="138"/>
      <c r="F140" s="138"/>
      <c r="G140" s="138"/>
      <c r="H140" s="1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x14ac:dyDescent="0.25">
      <c r="A141" s="106">
        <v>1</v>
      </c>
      <c r="B141" s="106"/>
      <c r="C141" s="112" t="s">
        <v>278</v>
      </c>
      <c r="D141" s="113"/>
      <c r="E141" s="113"/>
      <c r="F141" s="113"/>
      <c r="G141" s="113"/>
      <c r="H141" s="114"/>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x14ac:dyDescent="0.25">
      <c r="A142" s="143">
        <f>A141+1</f>
        <v>2</v>
      </c>
      <c r="B142" s="144"/>
      <c r="C142" s="115"/>
      <c r="D142" s="116"/>
      <c r="E142" s="116"/>
      <c r="F142" s="116"/>
      <c r="G142" s="116"/>
      <c r="H142" s="117"/>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x14ac:dyDescent="0.25">
      <c r="A143" s="143">
        <f t="shared" ref="A143:A148" si="0">A142+1</f>
        <v>3</v>
      </c>
      <c r="B143" s="144"/>
      <c r="C143" s="112" t="s">
        <v>279</v>
      </c>
      <c r="D143" s="113"/>
      <c r="E143" s="113"/>
      <c r="F143" s="113"/>
      <c r="G143" s="113"/>
      <c r="H143" s="114"/>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143">
        <f t="shared" si="0"/>
        <v>4</v>
      </c>
      <c r="B144" s="144"/>
      <c r="C144" s="115"/>
      <c r="D144" s="116"/>
      <c r="E144" s="116"/>
      <c r="F144" s="116"/>
      <c r="G144" s="116"/>
      <c r="H144" s="117"/>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143">
        <f t="shared" si="0"/>
        <v>5</v>
      </c>
      <c r="B145" s="144"/>
      <c r="C145" s="53" t="s">
        <v>94</v>
      </c>
      <c r="D145" s="53" t="s">
        <v>280</v>
      </c>
      <c r="E145" s="31">
        <f>(85.65)*(10.764)</f>
        <v>921.9366</v>
      </c>
      <c r="F145" s="32">
        <f>(1.23*3.25+1.08*1.55)*(10.764)</f>
        <v>61.048025999999993</v>
      </c>
      <c r="G145" s="31">
        <v>0</v>
      </c>
      <c r="H145" s="31">
        <f t="shared" ref="H145:H146" si="1">E145+F145+(IF(G145&lt;101,G145,IF(G145&lt;201,G145/2,IF(G145&lt;=301,G145/3,G145/4))))</f>
        <v>982.98462599999993</v>
      </c>
      <c r="I145" s="1">
        <f>69.08+1.23*3.25</f>
        <v>73.077500000000001</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143">
        <f t="shared" si="0"/>
        <v>6</v>
      </c>
      <c r="B146" s="144"/>
      <c r="C146" s="53" t="s">
        <v>94</v>
      </c>
      <c r="D146" s="53" t="s">
        <v>281</v>
      </c>
      <c r="E146" s="31">
        <f>(69.08)*(10.764)</f>
        <v>743.57711999999992</v>
      </c>
      <c r="F146" s="32">
        <f>(1.23*3.25+1.08*1.55)*(10.764)</f>
        <v>61.048025999999993</v>
      </c>
      <c r="G146" s="31">
        <v>0</v>
      </c>
      <c r="H146" s="31">
        <f t="shared" si="1"/>
        <v>804.62514599999986</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143">
        <f t="shared" si="0"/>
        <v>7</v>
      </c>
      <c r="B147" s="144"/>
      <c r="C147" s="112" t="s">
        <v>278</v>
      </c>
      <c r="D147" s="113"/>
      <c r="E147" s="113"/>
      <c r="F147" s="113"/>
      <c r="G147" s="113"/>
      <c r="H147" s="11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143">
        <f t="shared" si="0"/>
        <v>8</v>
      </c>
      <c r="B148" s="144"/>
      <c r="C148" s="115"/>
      <c r="D148" s="116"/>
      <c r="E148" s="116"/>
      <c r="F148" s="116"/>
      <c r="G148" s="116"/>
      <c r="H148" s="117"/>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109" t="s">
        <v>282</v>
      </c>
      <c r="B149" s="110"/>
      <c r="C149" s="110"/>
      <c r="D149" s="110"/>
      <c r="E149" s="110"/>
      <c r="F149" s="110"/>
      <c r="G149" s="110"/>
      <c r="H149" s="11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106">
        <v>1</v>
      </c>
      <c r="B150" s="106"/>
      <c r="C150" s="112" t="s">
        <v>278</v>
      </c>
      <c r="D150" s="113"/>
      <c r="E150" s="113"/>
      <c r="F150" s="113"/>
      <c r="G150" s="113"/>
      <c r="H150" s="114"/>
      <c r="I150" s="1"/>
      <c r="J150" s="1"/>
      <c r="K150" s="1"/>
      <c r="L150" s="1"/>
      <c r="M150" s="1"/>
      <c r="N150" s="1"/>
      <c r="O150" s="1"/>
      <c r="P150" s="1"/>
      <c r="Q150" s="1"/>
      <c r="R150" s="1"/>
      <c r="S150" s="1"/>
      <c r="T150" s="21" t="str">
        <f ca="1">U150&amp;""&amp;" to "&amp;""&amp;V150</f>
        <v>201 to 701</v>
      </c>
      <c r="U150" s="21">
        <f ca="1">(SUMPRODUCT(MID(0&amp;(LEFT(A149,SUM(LEN(A149)-LEN(SUBSTITUTE(A149,{"0","1","2","3"},""))))), LARGE(INDEX(ISNUMBER(--MID((LEFT(A149,SUM(LEN(A149)-LEN(SUBSTITUTE(A149,{"0","1","2","3"},""))))), ROW(INDIRECT("1:"&amp;LEN((LEFT(A149,SUM(LEN(A149)-LEN(SUBSTITUTE(A149,{"0","1","2","3"},"")))))))), 1)) * ROW(INDIRECT("1:"&amp;LEN((LEFT(A149,SUM(LEN(A149)-LEN(SUBSTITUTE(A149,{"0","1","2","3"},"")))))))), 0), ROW(INDIRECT("1:"&amp;LEN((LEFT(A149,SUM(LEN(A149)-LEN(SUBSTITUTE(A149,{"0","1","2","3"},"")))))))))+1, 1) * 10^ROW(INDIRECT("1:"&amp;LEN((LEFT(A149,SUM(LEN(A149)-LEN(SUBSTITUTE(A149,{"0","1","2","3"},""))))))))/10))*100+1</f>
        <v>201</v>
      </c>
      <c r="V150" s="21">
        <f ca="1">(SUMPRODUCT(MID(0&amp;(--TRIM(RIGHT(SUBSTITUTE(LEFT(A149,_xlfn.AGGREGATE(16,6,FIND({0,1,2,3,4,5,6,7,8,9},A149,ROW(INDIRECT("1:"&amp;LEN(A149)))),1)),"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",LEN(A149))),LEN(A149)))))))/10))*100+1</f>
        <v>701</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106">
        <v>2</v>
      </c>
      <c r="B151" s="106"/>
      <c r="C151" s="115"/>
      <c r="D151" s="116"/>
      <c r="E151" s="116"/>
      <c r="F151" s="116"/>
      <c r="G151" s="116"/>
      <c r="H151" s="117"/>
      <c r="I151" s="1"/>
      <c r="J151" s="1"/>
      <c r="K151" s="1"/>
      <c r="L151" s="1"/>
      <c r="M151" s="1"/>
      <c r="N151" s="1"/>
      <c r="O151" s="1"/>
      <c r="P151" s="1"/>
      <c r="Q151" s="1"/>
      <c r="R151" s="1"/>
      <c r="S151" s="1"/>
      <c r="T151" s="21" t="str">
        <f t="shared" ref="T151:T157" ca="1" si="2">U151&amp;""&amp;" to "&amp;""&amp;V151</f>
        <v>202 to 702</v>
      </c>
      <c r="U151" s="21">
        <f ca="1">U150+1</f>
        <v>202</v>
      </c>
      <c r="V151" s="21">
        <f ca="1">V150+1</f>
        <v>702</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106">
        <v>3</v>
      </c>
      <c r="B152" s="106"/>
      <c r="C152" s="53" t="s">
        <v>94</v>
      </c>
      <c r="D152" s="53" t="s">
        <v>281</v>
      </c>
      <c r="E152" s="32">
        <f>(62.93)*(10.764)</f>
        <v>677.37851999999998</v>
      </c>
      <c r="F152" s="31">
        <f>(1.07*2.95+1.52*1)*(10.764)</f>
        <v>50.337846000000006</v>
      </c>
      <c r="G152" s="31">
        <v>0</v>
      </c>
      <c r="H152" s="31">
        <f t="shared" ref="H152:H155" si="3">E152+F152+(IF(G152&lt;101,G152,IF(G152&lt;201,G152/2,IF(G152&lt;=301,G152/3,G152/4))))</f>
        <v>727.71636599999999</v>
      </c>
      <c r="I152" s="1"/>
      <c r="J152" s="1"/>
      <c r="K152" s="1"/>
      <c r="L152" s="1"/>
      <c r="M152" s="1"/>
      <c r="N152" s="1"/>
      <c r="O152" s="1"/>
      <c r="P152" s="1"/>
      <c r="Q152" s="1"/>
      <c r="R152" s="1"/>
      <c r="S152" s="1"/>
      <c r="T152" s="21" t="str">
        <f t="shared" ca="1" si="2"/>
        <v>203 to 703</v>
      </c>
      <c r="U152" s="21">
        <f t="shared" ref="U152:V157" ca="1" si="4">U151+1</f>
        <v>203</v>
      </c>
      <c r="V152" s="21">
        <f t="shared" ca="1" si="4"/>
        <v>703</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106">
        <v>4</v>
      </c>
      <c r="B153" s="106"/>
      <c r="C153" s="53" t="s">
        <v>94</v>
      </c>
      <c r="D153" s="53" t="s">
        <v>281</v>
      </c>
      <c r="E153" s="32">
        <f>(62.93)*(10.764)</f>
        <v>677.37851999999998</v>
      </c>
      <c r="F153" s="31">
        <f>(1.07*2.95+1.52*1)*(10.764)</f>
        <v>50.337846000000006</v>
      </c>
      <c r="G153" s="31">
        <v>0</v>
      </c>
      <c r="H153" s="31">
        <f t="shared" si="3"/>
        <v>727.71636599999999</v>
      </c>
      <c r="I153" s="1"/>
      <c r="J153" s="1"/>
      <c r="K153" s="1"/>
      <c r="L153" s="1"/>
      <c r="M153" s="1"/>
      <c r="N153" s="1"/>
      <c r="O153" s="1"/>
      <c r="P153" s="1"/>
      <c r="Q153" s="1"/>
      <c r="R153" s="1"/>
      <c r="S153" s="1"/>
      <c r="T153" s="21" t="str">
        <f t="shared" ca="1" si="2"/>
        <v>204 to 704</v>
      </c>
      <c r="U153" s="21">
        <f t="shared" ca="1" si="4"/>
        <v>204</v>
      </c>
      <c r="V153" s="21">
        <f t="shared" ca="1" si="4"/>
        <v>704</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106">
        <v>5</v>
      </c>
      <c r="B154" s="106"/>
      <c r="C154" s="53" t="s">
        <v>94</v>
      </c>
      <c r="D154" s="53" t="s">
        <v>280</v>
      </c>
      <c r="E154" s="32">
        <f>(85.65)*(10.764)</f>
        <v>921.9366</v>
      </c>
      <c r="F154" s="32">
        <f>(1.23*3.25+1.08*1.55)*(10.764)</f>
        <v>61.048025999999993</v>
      </c>
      <c r="G154" s="31">
        <v>0</v>
      </c>
      <c r="H154" s="31">
        <f t="shared" si="3"/>
        <v>982.98462599999993</v>
      </c>
      <c r="I154" s="1"/>
      <c r="J154" s="1"/>
      <c r="K154" s="1"/>
      <c r="L154" s="1"/>
      <c r="M154" s="1"/>
      <c r="N154" s="1"/>
      <c r="O154" s="1"/>
      <c r="P154" s="1"/>
      <c r="Q154" s="1"/>
      <c r="R154" s="1"/>
      <c r="S154" s="1"/>
      <c r="T154" s="21" t="str">
        <f t="shared" ca="1" si="2"/>
        <v>205 to 705</v>
      </c>
      <c r="U154" s="21">
        <f t="shared" ca="1" si="4"/>
        <v>205</v>
      </c>
      <c r="V154" s="21">
        <f t="shared" ca="1" si="4"/>
        <v>705</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106">
        <v>6</v>
      </c>
      <c r="B155" s="106"/>
      <c r="C155" s="53" t="s">
        <v>94</v>
      </c>
      <c r="D155" s="53" t="s">
        <v>281</v>
      </c>
      <c r="E155" s="32">
        <f>(69.08)*(10.764)</f>
        <v>743.57711999999992</v>
      </c>
      <c r="F155" s="32">
        <f>(1.23*3.25+1.08*1.55)*(10.764)</f>
        <v>61.048025999999993</v>
      </c>
      <c r="G155" s="31">
        <v>0</v>
      </c>
      <c r="H155" s="31">
        <f t="shared" si="3"/>
        <v>804.62514599999986</v>
      </c>
      <c r="I155" s="1"/>
      <c r="J155" s="1"/>
      <c r="K155" s="1"/>
      <c r="L155" s="1"/>
      <c r="M155" s="1"/>
      <c r="N155" s="1"/>
      <c r="O155" s="1"/>
      <c r="P155" s="1"/>
      <c r="Q155" s="1"/>
      <c r="R155" s="1"/>
      <c r="S155" s="1"/>
      <c r="T155" s="21" t="str">
        <f t="shared" ca="1" si="2"/>
        <v>206 to 706</v>
      </c>
      <c r="U155" s="21">
        <f t="shared" ca="1" si="4"/>
        <v>206</v>
      </c>
      <c r="V155" s="21">
        <f t="shared" ca="1" si="4"/>
        <v>706</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106">
        <v>7</v>
      </c>
      <c r="B156" s="106"/>
      <c r="C156" s="112" t="s">
        <v>278</v>
      </c>
      <c r="D156" s="113"/>
      <c r="E156" s="113"/>
      <c r="F156" s="113"/>
      <c r="G156" s="113"/>
      <c r="H156" s="114"/>
      <c r="I156" s="1"/>
      <c r="J156" s="1"/>
      <c r="K156" s="1"/>
      <c r="L156" s="1"/>
      <c r="M156" s="1"/>
      <c r="N156" s="1"/>
      <c r="O156" s="1"/>
      <c r="P156" s="1"/>
      <c r="Q156" s="1"/>
      <c r="R156" s="1"/>
      <c r="S156" s="1"/>
      <c r="T156" s="21" t="str">
        <f t="shared" ca="1" si="2"/>
        <v>207 to 707</v>
      </c>
      <c r="U156" s="21">
        <f t="shared" ca="1" si="4"/>
        <v>207</v>
      </c>
      <c r="V156" s="21">
        <f t="shared" ca="1" si="4"/>
        <v>707</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106">
        <v>8</v>
      </c>
      <c r="B157" s="106"/>
      <c r="C157" s="115"/>
      <c r="D157" s="116"/>
      <c r="E157" s="116"/>
      <c r="F157" s="116"/>
      <c r="G157" s="116"/>
      <c r="H157" s="117"/>
      <c r="I157" s="1"/>
      <c r="J157" s="1"/>
      <c r="K157" s="1"/>
      <c r="L157" s="1"/>
      <c r="M157" s="1"/>
      <c r="N157" s="1"/>
      <c r="O157" s="1"/>
      <c r="P157" s="1"/>
      <c r="Q157" s="1"/>
      <c r="R157" s="1"/>
      <c r="S157" s="1"/>
      <c r="T157" s="21" t="str">
        <f t="shared" ca="1" si="2"/>
        <v>208 to 708</v>
      </c>
      <c r="U157" s="21">
        <f t="shared" ca="1" si="4"/>
        <v>208</v>
      </c>
      <c r="V157" s="21">
        <f t="shared" ca="1" si="4"/>
        <v>708</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x14ac:dyDescent="0.25">
      <c r="A158" s="109" t="s">
        <v>283</v>
      </c>
      <c r="B158" s="110"/>
      <c r="C158" s="110"/>
      <c r="D158" s="110"/>
      <c r="E158" s="110"/>
      <c r="F158" s="110"/>
      <c r="G158" s="110"/>
      <c r="H158" s="11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106">
        <v>1</v>
      </c>
      <c r="B159" s="106"/>
      <c r="C159" s="112" t="s">
        <v>279</v>
      </c>
      <c r="D159" s="113"/>
      <c r="E159" s="113"/>
      <c r="F159" s="113"/>
      <c r="G159" s="113"/>
      <c r="H159" s="114"/>
      <c r="I159" s="1"/>
      <c r="J159" s="1"/>
      <c r="K159" s="1"/>
      <c r="L159" s="1"/>
      <c r="M159" s="1"/>
      <c r="N159" s="1"/>
      <c r="O159" s="1"/>
      <c r="P159" s="1"/>
      <c r="Q159" s="1"/>
      <c r="R159" s="1"/>
      <c r="S159" s="1"/>
      <c r="T159" s="21" t="e">
        <f ca="1">U159&amp;""&amp;" to "&amp;""&amp;V159</f>
        <v>#REF!</v>
      </c>
      <c r="U159" s="21" t="e">
        <f ca="1">(SUMPRODUCT(MID(0&amp;(LEFT(A158,SUM(LEN(A158)-LEN(SUBSTITUTE(A158,{"0","1","2","3"},""))))), LARGE(INDEX(ISNUMBER(--MID((LEFT(A158,SUM(LEN(A158)-LEN(SUBSTITUTE(A158,{"0","1","2","3"},""))))), ROW(INDIRECT("1:"&amp;LEN((LEFT(A158,SUM(LEN(A158)-LEN(SUBSTITUTE(A158,{"0","1","2","3"},"")))))))), 1)) * ROW(INDIRECT("1:"&amp;LEN((LEFT(A158,SUM(LEN(A158)-LEN(SUBSTITUTE(A158,{"0","1","2","3"},"")))))))), 0), ROW(INDIRECT("1:"&amp;LEN((LEFT(A158,SUM(LEN(A158)-LEN(SUBSTITUTE(A158,{"0","1","2","3"},"")))))))))+1, 1) * 10^ROW(INDIRECT("1:"&amp;LEN((LEFT(A158,SUM(LEN(A158)-LEN(SUBSTITUTE(A158,{"0","1","2","3"},""))))))))/10))*100+1</f>
        <v>#REF!</v>
      </c>
      <c r="V159" s="21">
        <f ca="1">(SUMPRODUCT(MID(0&amp;(--TRIM(RIGHT(SUBSTITUTE(LEFT(A158,_xlfn.AGGREGATE(16,6,FIND({0,1,2,3,4,5,6,7,8,9},A158,ROW(INDIRECT("1:"&amp;LEN(A158)))),1)),"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",LEN(A158))),LEN(A158)))))))/10))*100+1</f>
        <v>801</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106">
        <v>2</v>
      </c>
      <c r="B160" s="106"/>
      <c r="C160" s="115"/>
      <c r="D160" s="116"/>
      <c r="E160" s="116"/>
      <c r="F160" s="116"/>
      <c r="G160" s="116"/>
      <c r="H160" s="117"/>
      <c r="I160" s="1"/>
      <c r="J160" s="1"/>
      <c r="K160" s="1"/>
      <c r="L160" s="1"/>
      <c r="M160" s="1"/>
      <c r="N160" s="1"/>
      <c r="O160" s="1"/>
      <c r="P160" s="1"/>
      <c r="Q160" s="1"/>
      <c r="R160" s="1"/>
      <c r="S160" s="1"/>
      <c r="T160" s="21" t="e">
        <f t="shared" ref="T160:T166" ca="1" si="5">U160&amp;""&amp;" to "&amp;""&amp;V160</f>
        <v>#REF!</v>
      </c>
      <c r="U160" s="21" t="e">
        <f ca="1">U159+1</f>
        <v>#REF!</v>
      </c>
      <c r="V160" s="21">
        <f ca="1">V159+1</f>
        <v>802</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106">
        <v>3</v>
      </c>
      <c r="B161" s="106"/>
      <c r="C161" s="53" t="s">
        <v>94</v>
      </c>
      <c r="D161" s="53" t="s">
        <v>281</v>
      </c>
      <c r="E161" s="32">
        <f>(62.93)*(10.764)</f>
        <v>677.37851999999998</v>
      </c>
      <c r="F161" s="31">
        <f>(1.07*2.95+1.52*1)*(10.764)</f>
        <v>50.337846000000006</v>
      </c>
      <c r="G161" s="31">
        <v>0</v>
      </c>
      <c r="H161" s="31">
        <f t="shared" ref="H161:H162" si="6">E161+F161+(IF(G161&lt;101,G161,IF(G161&lt;201,G161/2,IF(G161&lt;=301,G161/3,G161/4))))</f>
        <v>727.71636599999999</v>
      </c>
      <c r="I161" s="1"/>
      <c r="J161" s="1"/>
      <c r="K161" s="1"/>
      <c r="L161" s="1"/>
      <c r="M161" s="1"/>
      <c r="N161" s="1"/>
      <c r="O161" s="1"/>
      <c r="P161" s="1"/>
      <c r="Q161" s="1"/>
      <c r="R161" s="1"/>
      <c r="S161" s="1"/>
      <c r="T161" s="21" t="e">
        <f t="shared" ca="1" si="5"/>
        <v>#REF!</v>
      </c>
      <c r="U161" s="21" t="e">
        <f t="shared" ref="U161:V161" ca="1" si="7">U160+1</f>
        <v>#REF!</v>
      </c>
      <c r="V161" s="21">
        <f t="shared" ca="1" si="7"/>
        <v>803</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106">
        <v>4</v>
      </c>
      <c r="B162" s="106"/>
      <c r="C162" s="53" t="s">
        <v>94</v>
      </c>
      <c r="D162" s="53" t="s">
        <v>281</v>
      </c>
      <c r="E162" s="32">
        <f>(62.93)*(10.764)</f>
        <v>677.37851999999998</v>
      </c>
      <c r="F162" s="31">
        <f>(1.07*2.95+1.52*1)*(10.764)</f>
        <v>50.337846000000006</v>
      </c>
      <c r="G162" s="31">
        <v>0</v>
      </c>
      <c r="H162" s="31">
        <f t="shared" si="6"/>
        <v>727.71636599999999</v>
      </c>
      <c r="I162" s="1"/>
      <c r="J162" s="1"/>
      <c r="K162" s="1"/>
      <c r="L162" s="1"/>
      <c r="M162" s="1"/>
      <c r="N162" s="1"/>
      <c r="O162" s="1"/>
      <c r="P162" s="1"/>
      <c r="Q162" s="1"/>
      <c r="R162" s="1"/>
      <c r="S162" s="1"/>
      <c r="T162" s="21" t="e">
        <f t="shared" ca="1" si="5"/>
        <v>#REF!</v>
      </c>
      <c r="U162" s="21" t="e">
        <f t="shared" ref="U162:V162" ca="1" si="8">U161+1</f>
        <v>#REF!</v>
      </c>
      <c r="V162" s="21">
        <f t="shared" ca="1" si="8"/>
        <v>804</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106">
        <v>5</v>
      </c>
      <c r="B163" s="106"/>
      <c r="C163" s="112" t="s">
        <v>284</v>
      </c>
      <c r="D163" s="113"/>
      <c r="E163" s="113"/>
      <c r="F163" s="113"/>
      <c r="G163" s="113"/>
      <c r="H163" s="114"/>
      <c r="I163" s="1"/>
      <c r="J163" s="1"/>
      <c r="K163" s="1"/>
      <c r="L163" s="1"/>
      <c r="M163" s="1"/>
      <c r="N163" s="1"/>
      <c r="O163" s="1"/>
      <c r="P163" s="1"/>
      <c r="Q163" s="1"/>
      <c r="R163" s="1"/>
      <c r="S163" s="1"/>
      <c r="T163" s="21" t="e">
        <f t="shared" ca="1" si="5"/>
        <v>#REF!</v>
      </c>
      <c r="U163" s="21" t="e">
        <f t="shared" ref="U163:V163" ca="1" si="9">U162+1</f>
        <v>#REF!</v>
      </c>
      <c r="V163" s="21">
        <f t="shared" ca="1" si="9"/>
        <v>805</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106">
        <v>6</v>
      </c>
      <c r="B164" s="106"/>
      <c r="C164" s="115"/>
      <c r="D164" s="116"/>
      <c r="E164" s="116"/>
      <c r="F164" s="116"/>
      <c r="G164" s="116"/>
      <c r="H164" s="117"/>
      <c r="I164" s="1"/>
      <c r="J164" s="1"/>
      <c r="K164" s="1"/>
      <c r="L164" s="1"/>
      <c r="M164" s="1"/>
      <c r="N164" s="1"/>
      <c r="O164" s="1"/>
      <c r="P164" s="1"/>
      <c r="Q164" s="1"/>
      <c r="R164" s="1"/>
      <c r="S164" s="1"/>
      <c r="T164" s="21" t="e">
        <f t="shared" ca="1" si="5"/>
        <v>#REF!</v>
      </c>
      <c r="U164" s="21" t="e">
        <f t="shared" ref="U164:V164" ca="1" si="10">U163+1</f>
        <v>#REF!</v>
      </c>
      <c r="V164" s="21">
        <f t="shared" ca="1" si="10"/>
        <v>806</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106">
        <v>7</v>
      </c>
      <c r="B165" s="106"/>
      <c r="C165" s="112" t="s">
        <v>279</v>
      </c>
      <c r="D165" s="113"/>
      <c r="E165" s="113"/>
      <c r="F165" s="113"/>
      <c r="G165" s="113"/>
      <c r="H165" s="114"/>
      <c r="I165" s="1"/>
      <c r="J165" s="1"/>
      <c r="K165" s="1"/>
      <c r="L165" s="1"/>
      <c r="M165" s="1"/>
      <c r="N165" s="1"/>
      <c r="O165" s="1"/>
      <c r="P165" s="1"/>
      <c r="Q165" s="1"/>
      <c r="R165" s="1"/>
      <c r="S165" s="1"/>
      <c r="T165" s="21" t="e">
        <f t="shared" ca="1" si="5"/>
        <v>#REF!</v>
      </c>
      <c r="U165" s="21" t="e">
        <f t="shared" ref="U165:V165" ca="1" si="11">U164+1</f>
        <v>#REF!</v>
      </c>
      <c r="V165" s="21">
        <f t="shared" ca="1" si="11"/>
        <v>807</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106">
        <v>8</v>
      </c>
      <c r="B166" s="106"/>
      <c r="C166" s="115"/>
      <c r="D166" s="116"/>
      <c r="E166" s="116"/>
      <c r="F166" s="116"/>
      <c r="G166" s="116"/>
      <c r="H166" s="117"/>
      <c r="I166" s="1"/>
      <c r="J166" s="1"/>
      <c r="K166" s="1"/>
      <c r="L166" s="1"/>
      <c r="M166" s="1"/>
      <c r="N166" s="1"/>
      <c r="O166" s="1"/>
      <c r="P166" s="1"/>
      <c r="Q166" s="1"/>
      <c r="R166" s="1"/>
      <c r="S166" s="1"/>
      <c r="T166" s="21" t="e">
        <f t="shared" ca="1" si="5"/>
        <v>#REF!</v>
      </c>
      <c r="U166" s="21" t="e">
        <f t="shared" ref="U166:V166" ca="1" si="12">U165+1</f>
        <v>#REF!</v>
      </c>
      <c r="V166" s="21">
        <f t="shared" ca="1" si="12"/>
        <v>808</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x14ac:dyDescent="0.25">
      <c r="A167" s="137" t="s">
        <v>285</v>
      </c>
      <c r="B167" s="138"/>
      <c r="C167" s="138"/>
      <c r="D167" s="138"/>
      <c r="E167" s="138"/>
      <c r="F167" s="138"/>
      <c r="G167" s="138"/>
      <c r="H167" s="1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x14ac:dyDescent="0.25">
      <c r="A168" s="106">
        <v>1</v>
      </c>
      <c r="B168" s="106"/>
      <c r="C168" s="112" t="s">
        <v>278</v>
      </c>
      <c r="D168" s="113"/>
      <c r="E168" s="113"/>
      <c r="F168" s="113"/>
      <c r="G168" s="113"/>
      <c r="H168" s="114"/>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x14ac:dyDescent="0.25">
      <c r="A169" s="143">
        <f>A168+1</f>
        <v>2</v>
      </c>
      <c r="B169" s="144"/>
      <c r="C169" s="115"/>
      <c r="D169" s="116"/>
      <c r="E169" s="116"/>
      <c r="F169" s="116"/>
      <c r="G169" s="116"/>
      <c r="H169" s="117"/>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x14ac:dyDescent="0.25">
      <c r="A170" s="143">
        <f t="shared" ref="A170:A175" si="13">A169+1</f>
        <v>3</v>
      </c>
      <c r="B170" s="144"/>
      <c r="C170" s="53" t="s">
        <v>94</v>
      </c>
      <c r="D170" s="53" t="s">
        <v>281</v>
      </c>
      <c r="E170" s="32">
        <f>(62.93)*(10.764)</f>
        <v>677.37851999999998</v>
      </c>
      <c r="F170" s="31">
        <f>(1.07*2.95+1.52*1)*(10.764)</f>
        <v>50.337846000000006</v>
      </c>
      <c r="G170" s="31">
        <v>0</v>
      </c>
      <c r="H170" s="31">
        <f t="shared" ref="H170:H173" si="14">E170+F170+(IF(G170&lt;101,G170,IF(G170&lt;201,G170/2,IF(G170&lt;=301,G170/3,G170/4))))</f>
        <v>727.71636599999999</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143">
        <f t="shared" si="13"/>
        <v>4</v>
      </c>
      <c r="B171" s="144"/>
      <c r="C171" s="53" t="s">
        <v>94</v>
      </c>
      <c r="D171" s="53" t="s">
        <v>281</v>
      </c>
      <c r="E171" s="32">
        <f>(62.93)*(10.764)</f>
        <v>677.37851999999998</v>
      </c>
      <c r="F171" s="31">
        <f>(1.07*2.95+1.52*1)*(10.764)</f>
        <v>50.337846000000006</v>
      </c>
      <c r="G171" s="31">
        <v>0</v>
      </c>
      <c r="H171" s="31">
        <f t="shared" si="14"/>
        <v>727.71636599999999</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143">
        <f t="shared" si="13"/>
        <v>5</v>
      </c>
      <c r="B172" s="144"/>
      <c r="C172" s="53" t="s">
        <v>94</v>
      </c>
      <c r="D172" s="53" t="s">
        <v>280</v>
      </c>
      <c r="E172" s="32">
        <f>(85.65)*(10.764)</f>
        <v>921.9366</v>
      </c>
      <c r="F172" s="32">
        <f>(1.23*3.25+1.08*1.55)*(10.764)</f>
        <v>61.048025999999993</v>
      </c>
      <c r="G172" s="31">
        <v>0</v>
      </c>
      <c r="H172" s="31">
        <f t="shared" si="14"/>
        <v>982.98462599999993</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143">
        <f t="shared" si="13"/>
        <v>6</v>
      </c>
      <c r="B173" s="144"/>
      <c r="C173" s="53" t="s">
        <v>94</v>
      </c>
      <c r="D173" s="53" t="s">
        <v>281</v>
      </c>
      <c r="E173" s="32">
        <f>(69.08)*(10.764)</f>
        <v>743.57711999999992</v>
      </c>
      <c r="F173" s="32">
        <f>(1.23*3.25+1.08*1.55)*(10.764)</f>
        <v>61.048025999999993</v>
      </c>
      <c r="G173" s="31">
        <v>0</v>
      </c>
      <c r="H173" s="31">
        <f t="shared" si="14"/>
        <v>804.62514599999986</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143">
        <f t="shared" si="13"/>
        <v>7</v>
      </c>
      <c r="B174" s="144"/>
      <c r="C174" s="112" t="s">
        <v>286</v>
      </c>
      <c r="D174" s="113"/>
      <c r="E174" s="113"/>
      <c r="F174" s="113"/>
      <c r="G174" s="113"/>
      <c r="H174" s="114"/>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143">
        <f t="shared" si="13"/>
        <v>8</v>
      </c>
      <c r="B175" s="144"/>
      <c r="C175" s="115"/>
      <c r="D175" s="116"/>
      <c r="E175" s="116"/>
      <c r="F175" s="116"/>
      <c r="G175" s="116"/>
      <c r="H175" s="117"/>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x14ac:dyDescent="0.25">
      <c r="A176" s="109" t="s">
        <v>287</v>
      </c>
      <c r="B176" s="110"/>
      <c r="C176" s="110"/>
      <c r="D176" s="110"/>
      <c r="E176" s="110"/>
      <c r="F176" s="110"/>
      <c r="G176" s="110"/>
      <c r="H176" s="11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25">
      <c r="A177" s="106">
        <v>1</v>
      </c>
      <c r="B177" s="106"/>
      <c r="C177" s="53" t="s">
        <v>94</v>
      </c>
      <c r="D177" s="53" t="s">
        <v>280</v>
      </c>
      <c r="E177" s="32">
        <f>(78.3)*(10.764)</f>
        <v>842.82119999999986</v>
      </c>
      <c r="F177" s="31">
        <f>(3.05*1.23+1.08*1.53)*(10.764)</f>
        <v>58.167579599999996</v>
      </c>
      <c r="G177" s="31">
        <v>0</v>
      </c>
      <c r="H177" s="31">
        <f>E177+F177+(IF(G177&lt;101,G177,IF(G177&lt;201,G177/2,IF(G177&lt;=301,G177/3,G177/4))))</f>
        <v>900.98877959999982</v>
      </c>
      <c r="I177" s="1"/>
      <c r="J177" s="1"/>
      <c r="K177" s="1"/>
      <c r="L177" s="1"/>
      <c r="M177" s="1"/>
      <c r="N177" s="1"/>
      <c r="O177" s="1"/>
      <c r="P177" s="1"/>
      <c r="Q177" s="1"/>
      <c r="R177" s="1"/>
      <c r="S177" s="1"/>
      <c r="T177" s="21" t="str">
        <f t="shared" ref="T177:T184" ca="1" si="15">U177&amp;""&amp;",..,"&amp;""&amp;V177</f>
        <v>1001,..,2001</v>
      </c>
      <c r="U177" s="21">
        <f ca="1">(SUMPRODUCT(MID(0&amp;(LEFT(A176,SUM(LEN(A176)-LEN(SUBSTITUTE(A176,{"0","1","2","3"},""))))), LARGE(INDEX(ISNUMBER(--MID((LEFT(A176,SUM(LEN(A176)-LEN(SUBSTITUTE(A176,{"0","1","2","3"},""))))), ROW(INDIRECT("1:"&amp;LEN((LEFT(A176,SUM(LEN(A176)-LEN(SUBSTITUTE(A176,{"0","1","2","3"},"")))))))), 1)) * ROW(INDIRECT("1:"&amp;LEN((LEFT(A176,SUM(LEN(A176)-LEN(SUBSTITUTE(A176,{"0","1","2","3"},"")))))))), 0), ROW(INDIRECT("1:"&amp;LEN((LEFT(A176,SUM(LEN(A176)-LEN(SUBSTITUTE(A176,{"0","1","2","3"},"")))))))))+1, 1) * 10^ROW(INDIRECT("1:"&amp;LEN((LEFT(A176,SUM(LEN(A176)-LEN(SUBSTITUTE(A176,{"0","1","2","3"},""))))))))/10))*100+1</f>
        <v>1001</v>
      </c>
      <c r="V177" s="21">
        <f ca="1">(SUMPRODUCT(MID(0&amp;(--TRIM(RIGHT(SUBSTITUTE(LEFT(A176,_xlfn.AGGREGATE(16,6,FIND({0,1,2,3,4,5,6,7,8,9},A176,ROW(INDIRECT("1:"&amp;LEN(A176)))),1)),"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",LEN(A176))),LEN(A176)))))))/10))*100+1</f>
        <v>2001</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25">
      <c r="A178" s="106">
        <v>2</v>
      </c>
      <c r="B178" s="106"/>
      <c r="C178" s="53" t="s">
        <v>94</v>
      </c>
      <c r="D178" s="53" t="s">
        <v>280</v>
      </c>
      <c r="E178" s="32">
        <f>(78.3)*(10.764)</f>
        <v>842.82119999999986</v>
      </c>
      <c r="F178" s="31">
        <f>(3.05*1.23+1.08*1.53)*(10.764)</f>
        <v>58.167579599999996</v>
      </c>
      <c r="G178" s="31">
        <v>0</v>
      </c>
      <c r="H178" s="31">
        <f t="shared" ref="H178:H184" si="16">E178+F178+(IF(G178&lt;101,G178,IF(G178&lt;201,G178/2,IF(G178&lt;=301,G178/3,G178/4))))</f>
        <v>900.98877959999982</v>
      </c>
      <c r="I178" s="1"/>
      <c r="J178" s="1"/>
      <c r="K178" s="1"/>
      <c r="L178" s="1"/>
      <c r="M178" s="1"/>
      <c r="N178" s="1"/>
      <c r="O178" s="1"/>
      <c r="P178" s="1"/>
      <c r="Q178" s="1"/>
      <c r="R178" s="1"/>
      <c r="S178" s="1"/>
      <c r="T178" s="21" t="str">
        <f t="shared" ca="1" si="15"/>
        <v>1002,..,2002</v>
      </c>
      <c r="U178" s="21">
        <f ca="1">U177+1</f>
        <v>1002</v>
      </c>
      <c r="V178" s="21">
        <f ca="1">V177+1</f>
        <v>2002</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106">
        <v>3</v>
      </c>
      <c r="B179" s="106"/>
      <c r="C179" s="53" t="s">
        <v>94</v>
      </c>
      <c r="D179" s="53" t="s">
        <v>281</v>
      </c>
      <c r="E179" s="32">
        <f>(62.93)*(10.764)</f>
        <v>677.37851999999998</v>
      </c>
      <c r="F179" s="31">
        <f>(1.07*2.95+1.52*1)*(10.764)</f>
        <v>50.337846000000006</v>
      </c>
      <c r="G179" s="31">
        <v>0</v>
      </c>
      <c r="H179" s="31">
        <f t="shared" si="16"/>
        <v>727.71636599999999</v>
      </c>
      <c r="I179" s="1"/>
      <c r="J179" s="1"/>
      <c r="K179" s="1"/>
      <c r="L179" s="1"/>
      <c r="M179" s="1"/>
      <c r="N179" s="1"/>
      <c r="O179" s="1"/>
      <c r="P179" s="1"/>
      <c r="Q179" s="1"/>
      <c r="R179" s="1"/>
      <c r="S179" s="1"/>
      <c r="T179" s="21" t="str">
        <f t="shared" ca="1" si="15"/>
        <v>1003,..,2003</v>
      </c>
      <c r="U179" s="21">
        <f t="shared" ref="U179:V184" ca="1" si="17">U178+1</f>
        <v>1003</v>
      </c>
      <c r="V179" s="21">
        <f t="shared" ca="1" si="17"/>
        <v>2003</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25">
      <c r="A180" s="106">
        <v>4</v>
      </c>
      <c r="B180" s="106"/>
      <c r="C180" s="53" t="s">
        <v>94</v>
      </c>
      <c r="D180" s="53" t="s">
        <v>281</v>
      </c>
      <c r="E180" s="32">
        <f>(62.93)*(10.764)</f>
        <v>677.37851999999998</v>
      </c>
      <c r="F180" s="31">
        <f>(1.07*2.95+1.52*1)*(10.764)</f>
        <v>50.337846000000006</v>
      </c>
      <c r="G180" s="31">
        <v>0</v>
      </c>
      <c r="H180" s="31">
        <f t="shared" si="16"/>
        <v>727.71636599999999</v>
      </c>
      <c r="I180" s="1"/>
      <c r="J180" s="1"/>
      <c r="K180" s="1"/>
      <c r="L180" s="1"/>
      <c r="M180" s="1"/>
      <c r="N180" s="1"/>
      <c r="O180" s="1"/>
      <c r="P180" s="1"/>
      <c r="Q180" s="1"/>
      <c r="R180" s="1"/>
      <c r="S180" s="1"/>
      <c r="T180" s="21" t="str">
        <f t="shared" ca="1" si="15"/>
        <v>1004,..,2004</v>
      </c>
      <c r="U180" s="21">
        <f t="shared" ca="1" si="17"/>
        <v>1004</v>
      </c>
      <c r="V180" s="21">
        <f t="shared" ca="1" si="17"/>
        <v>2004</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106">
        <v>5</v>
      </c>
      <c r="B181" s="106"/>
      <c r="C181" s="53" t="s">
        <v>94</v>
      </c>
      <c r="D181" s="53" t="s">
        <v>280</v>
      </c>
      <c r="E181" s="32">
        <f>(85.65)*(10.764)</f>
        <v>921.9366</v>
      </c>
      <c r="F181" s="31">
        <f>(1.23*3.25+1.08*1.55)*(10.764)</f>
        <v>61.048025999999993</v>
      </c>
      <c r="G181" s="31">
        <v>0</v>
      </c>
      <c r="H181" s="31">
        <f t="shared" si="16"/>
        <v>982.98462599999993</v>
      </c>
      <c r="I181" s="1"/>
      <c r="J181" s="1"/>
      <c r="K181" s="1"/>
      <c r="L181" s="1"/>
      <c r="M181" s="1"/>
      <c r="N181" s="1"/>
      <c r="O181" s="1"/>
      <c r="P181" s="1"/>
      <c r="Q181" s="1"/>
      <c r="R181" s="1"/>
      <c r="S181" s="1"/>
      <c r="T181" s="21" t="str">
        <f t="shared" ca="1" si="15"/>
        <v>1005,..,2005</v>
      </c>
      <c r="U181" s="21">
        <f t="shared" ca="1" si="17"/>
        <v>1005</v>
      </c>
      <c r="V181" s="21">
        <f t="shared" ca="1" si="17"/>
        <v>2005</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25">
      <c r="A182" s="106">
        <v>6</v>
      </c>
      <c r="B182" s="106"/>
      <c r="C182" s="53" t="s">
        <v>94</v>
      </c>
      <c r="D182" s="53" t="s">
        <v>280</v>
      </c>
      <c r="E182" s="32">
        <f>(85.65)*(10.764)</f>
        <v>921.9366</v>
      </c>
      <c r="F182" s="31">
        <f>(1.23*3.25+1.08*1.55)*(10.764)</f>
        <v>61.048025999999993</v>
      </c>
      <c r="G182" s="31">
        <v>0</v>
      </c>
      <c r="H182" s="31">
        <f t="shared" si="16"/>
        <v>982.98462599999993</v>
      </c>
      <c r="I182" s="1"/>
      <c r="J182" s="1"/>
      <c r="K182" s="1"/>
      <c r="L182" s="1"/>
      <c r="M182" s="1"/>
      <c r="N182" s="1"/>
      <c r="O182" s="1"/>
      <c r="P182" s="1"/>
      <c r="Q182" s="1"/>
      <c r="R182" s="1"/>
      <c r="S182" s="1"/>
      <c r="T182" s="21" t="str">
        <f t="shared" ca="1" si="15"/>
        <v>1006,..,2006</v>
      </c>
      <c r="U182" s="21">
        <f t="shared" ca="1" si="17"/>
        <v>1006</v>
      </c>
      <c r="V182" s="21">
        <f t="shared" ca="1" si="17"/>
        <v>2006</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106">
        <v>7</v>
      </c>
      <c r="B183" s="106"/>
      <c r="C183" s="53" t="s">
        <v>94</v>
      </c>
      <c r="D183" s="53" t="s">
        <v>281</v>
      </c>
      <c r="E183" s="32">
        <f>(60.72)*(10.764)</f>
        <v>653.59007999999994</v>
      </c>
      <c r="F183" s="31">
        <f>(1.07*2.95+1.52*1)*(10.764)</f>
        <v>50.337846000000006</v>
      </c>
      <c r="G183" s="31">
        <v>0</v>
      </c>
      <c r="H183" s="31">
        <f t="shared" si="16"/>
        <v>703.92792599999996</v>
      </c>
      <c r="I183" s="1"/>
      <c r="J183" s="1"/>
      <c r="K183" s="1"/>
      <c r="L183" s="1"/>
      <c r="M183" s="1"/>
      <c r="N183" s="1"/>
      <c r="O183" s="1"/>
      <c r="P183" s="1"/>
      <c r="Q183" s="1"/>
      <c r="R183" s="1"/>
      <c r="S183" s="1"/>
      <c r="T183" s="21" t="str">
        <f t="shared" ca="1" si="15"/>
        <v>1007,..,2007</v>
      </c>
      <c r="U183" s="21">
        <f t="shared" ca="1" si="17"/>
        <v>1007</v>
      </c>
      <c r="V183" s="21">
        <f t="shared" ca="1" si="17"/>
        <v>2007</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106">
        <v>8</v>
      </c>
      <c r="B184" s="106"/>
      <c r="C184" s="53" t="s">
        <v>94</v>
      </c>
      <c r="D184" s="53" t="s">
        <v>281</v>
      </c>
      <c r="E184" s="32">
        <f>(60.72)*(10.764)</f>
        <v>653.59007999999994</v>
      </c>
      <c r="F184" s="31">
        <f>(1.07*2.95+1.52*1)*(10.764)</f>
        <v>50.337846000000006</v>
      </c>
      <c r="G184" s="31">
        <v>0</v>
      </c>
      <c r="H184" s="31">
        <f t="shared" si="16"/>
        <v>703.92792599999996</v>
      </c>
      <c r="I184" s="1"/>
      <c r="J184" s="1"/>
      <c r="K184" s="1"/>
      <c r="L184" s="1"/>
      <c r="M184" s="1"/>
      <c r="N184" s="1"/>
      <c r="O184" s="1"/>
      <c r="P184" s="1"/>
      <c r="Q184" s="1"/>
      <c r="R184" s="1"/>
      <c r="S184" s="1"/>
      <c r="T184" s="21" t="str">
        <f t="shared" ca="1" si="15"/>
        <v>1008,..,2008</v>
      </c>
      <c r="U184" s="21">
        <f t="shared" ca="1" si="17"/>
        <v>1008</v>
      </c>
      <c r="V184" s="21">
        <f t="shared" ca="1" si="17"/>
        <v>2008</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x14ac:dyDescent="0.25">
      <c r="A185" s="109" t="s">
        <v>288</v>
      </c>
      <c r="B185" s="110"/>
      <c r="C185" s="110"/>
      <c r="D185" s="110"/>
      <c r="E185" s="110"/>
      <c r="F185" s="110"/>
      <c r="G185" s="110"/>
      <c r="H185" s="11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106">
        <v>1</v>
      </c>
      <c r="B186" s="106"/>
      <c r="C186" s="53" t="s">
        <v>94</v>
      </c>
      <c r="D186" s="53" t="s">
        <v>280</v>
      </c>
      <c r="E186" s="32">
        <f>(78.3)*(10.764)</f>
        <v>842.82119999999986</v>
      </c>
      <c r="F186" s="31">
        <f>(3.05*1.23+1.08*1.53)*(10.764)</f>
        <v>58.167579599999996</v>
      </c>
      <c r="G186" s="31">
        <v>0</v>
      </c>
      <c r="H186" s="31">
        <f>E186+F186+(IF(G186&lt;101,G186,IF(G186&lt;201,G186/2,IF(G186&lt;=301,G186/3,G186/4))))</f>
        <v>900.98877959999982</v>
      </c>
      <c r="I186" s="1"/>
      <c r="J186" s="1"/>
      <c r="K186" s="1"/>
      <c r="L186" s="1"/>
      <c r="M186" s="1"/>
      <c r="N186" s="1"/>
      <c r="O186" s="1"/>
      <c r="P186" s="1"/>
      <c r="Q186" s="1"/>
      <c r="R186" s="1"/>
      <c r="S186" s="1"/>
      <c r="T186" s="21" t="str">
        <f t="shared" ref="T186:T193" ca="1" si="18">U186&amp;""&amp;",..,"&amp;""&amp;V186</f>
        <v>101,..,1501</v>
      </c>
      <c r="U186" s="21">
        <f ca="1">(SUMPRODUCT(MID(0&amp;(LEFT(A185,SUM(LEN(A185)-LEN(SUBSTITUTE(A185,{"0","1","2","3"},""))))), LARGE(INDEX(ISNUMBER(--MID((LEFT(A185,SUM(LEN(A185)-LEN(SUBSTITUTE(A185,{"0","1","2","3"},""))))), ROW(INDIRECT("1:"&amp;LEN((LEFT(A185,SUM(LEN(A185)-LEN(SUBSTITUTE(A185,{"0","1","2","3"},"")))))))), 1)) * ROW(INDIRECT("1:"&amp;LEN((LEFT(A185,SUM(LEN(A185)-LEN(SUBSTITUTE(A185,{"0","1","2","3"},"")))))))), 0), ROW(INDIRECT("1:"&amp;LEN((LEFT(A185,SUM(LEN(A185)-LEN(SUBSTITUTE(A185,{"0","1","2","3"},"")))))))))+1, 1) * 10^ROW(INDIRECT("1:"&amp;LEN((LEFT(A185,SUM(LEN(A185)-LEN(SUBSTITUTE(A185,{"0","1","2","3"},""))))))))/10))*100+1</f>
        <v>101</v>
      </c>
      <c r="V186" s="21">
        <f ca="1">(SUMPRODUCT(MID(0&amp;(--TRIM(RIGHT(SUBSTITUTE(LEFT(A185,_xlfn.AGGREGATE(16,6,FIND({0,1,2,3,4,5,6,7,8,9},A185,ROW(INDIRECT("1:"&amp;LEN(A185)))),1)),"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",LEN(A185))),LEN(A185)))))))/10))*100+1</f>
        <v>1501</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106">
        <v>2</v>
      </c>
      <c r="B187" s="106"/>
      <c r="C187" s="53" t="s">
        <v>94</v>
      </c>
      <c r="D187" s="53" t="s">
        <v>280</v>
      </c>
      <c r="E187" s="32">
        <f>(78.3)*(10.764)</f>
        <v>842.82119999999986</v>
      </c>
      <c r="F187" s="31">
        <f>(3.05*1.23+1.08*1.53)*(10.764)</f>
        <v>58.167579599999996</v>
      </c>
      <c r="G187" s="31">
        <v>0</v>
      </c>
      <c r="H187" s="31">
        <f t="shared" ref="H187:H193" si="19">E187+F187+(IF(G187&lt;101,G187,IF(G187&lt;201,G187/2,IF(G187&lt;=301,G187/3,G187/4))))</f>
        <v>900.98877959999982</v>
      </c>
      <c r="I187" s="1"/>
      <c r="J187" s="1"/>
      <c r="K187" s="1"/>
      <c r="L187" s="1"/>
      <c r="M187" s="1"/>
      <c r="N187" s="1"/>
      <c r="O187" s="1"/>
      <c r="P187" s="1"/>
      <c r="Q187" s="1"/>
      <c r="R187" s="1"/>
      <c r="S187" s="1"/>
      <c r="T187" s="21" t="str">
        <f t="shared" ca="1" si="18"/>
        <v>102,..,1502</v>
      </c>
      <c r="U187" s="21">
        <f ca="1">U186+1</f>
        <v>102</v>
      </c>
      <c r="V187" s="21">
        <f ca="1">V186+1</f>
        <v>1502</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25">
      <c r="A188" s="106">
        <v>3</v>
      </c>
      <c r="B188" s="106"/>
      <c r="C188" s="53" t="s">
        <v>94</v>
      </c>
      <c r="D188" s="53" t="s">
        <v>281</v>
      </c>
      <c r="E188" s="32">
        <f>(62.93)*(10.764)</f>
        <v>677.37851999999998</v>
      </c>
      <c r="F188" s="31">
        <f>(1.07*2.95+1.52*1)*(10.764)</f>
        <v>50.337846000000006</v>
      </c>
      <c r="G188" s="31">
        <v>0</v>
      </c>
      <c r="H188" s="31">
        <f t="shared" si="19"/>
        <v>727.71636599999999</v>
      </c>
      <c r="I188" s="1"/>
      <c r="J188" s="1"/>
      <c r="K188" s="1"/>
      <c r="L188" s="1"/>
      <c r="M188" s="1"/>
      <c r="N188" s="1"/>
      <c r="O188" s="1"/>
      <c r="P188" s="1"/>
      <c r="Q188" s="1"/>
      <c r="R188" s="1"/>
      <c r="S188" s="1"/>
      <c r="T188" s="21" t="str">
        <f t="shared" ca="1" si="18"/>
        <v>103,..,1503</v>
      </c>
      <c r="U188" s="21">
        <f t="shared" ref="U188:V188" ca="1" si="20">U187+1</f>
        <v>103</v>
      </c>
      <c r="V188" s="21">
        <f t="shared" ca="1" si="20"/>
        <v>1503</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25">
      <c r="A189" s="106">
        <v>4</v>
      </c>
      <c r="B189" s="106"/>
      <c r="C189" s="53" t="s">
        <v>94</v>
      </c>
      <c r="D189" s="53" t="s">
        <v>281</v>
      </c>
      <c r="E189" s="32">
        <f>(62.93)*(10.764)</f>
        <v>677.37851999999998</v>
      </c>
      <c r="F189" s="31">
        <f>(1.07*2.95+1.52*1)*(10.764)</f>
        <v>50.337846000000006</v>
      </c>
      <c r="G189" s="31">
        <v>0</v>
      </c>
      <c r="H189" s="31">
        <f t="shared" si="19"/>
        <v>727.71636599999999</v>
      </c>
      <c r="I189" s="1"/>
      <c r="J189" s="1"/>
      <c r="K189" s="1"/>
      <c r="L189" s="1"/>
      <c r="M189" s="1"/>
      <c r="N189" s="1"/>
      <c r="O189" s="1"/>
      <c r="P189" s="1"/>
      <c r="Q189" s="1"/>
      <c r="R189" s="1"/>
      <c r="S189" s="1"/>
      <c r="T189" s="21" t="str">
        <f t="shared" ca="1" si="18"/>
        <v>104,..,1504</v>
      </c>
      <c r="U189" s="21">
        <f t="shared" ref="U189:V189" ca="1" si="21">U188+1</f>
        <v>104</v>
      </c>
      <c r="V189" s="21">
        <f t="shared" ca="1" si="21"/>
        <v>1504</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25">
      <c r="A190" s="106">
        <v>5</v>
      </c>
      <c r="B190" s="106"/>
      <c r="C190" s="112" t="s">
        <v>284</v>
      </c>
      <c r="D190" s="113"/>
      <c r="E190" s="113"/>
      <c r="F190" s="113"/>
      <c r="G190" s="113"/>
      <c r="H190" s="114"/>
      <c r="I190" s="1"/>
      <c r="J190" s="1"/>
      <c r="K190" s="1"/>
      <c r="L190" s="1"/>
      <c r="M190" s="1"/>
      <c r="N190" s="1"/>
      <c r="O190" s="1"/>
      <c r="P190" s="1"/>
      <c r="Q190" s="1"/>
      <c r="R190" s="1"/>
      <c r="S190" s="1"/>
      <c r="T190" s="21" t="str">
        <f t="shared" ca="1" si="18"/>
        <v>105,..,1505</v>
      </c>
      <c r="U190" s="21">
        <f t="shared" ref="U190:V190" ca="1" si="22">U189+1</f>
        <v>105</v>
      </c>
      <c r="V190" s="21">
        <f t="shared" ca="1" si="22"/>
        <v>1505</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106">
        <v>6</v>
      </c>
      <c r="B191" s="106"/>
      <c r="C191" s="115"/>
      <c r="D191" s="116"/>
      <c r="E191" s="116"/>
      <c r="F191" s="116"/>
      <c r="G191" s="116"/>
      <c r="H191" s="117"/>
      <c r="I191" s="1"/>
      <c r="J191" s="1"/>
      <c r="K191" s="1"/>
      <c r="L191" s="1"/>
      <c r="M191" s="1"/>
      <c r="N191" s="1"/>
      <c r="O191" s="1"/>
      <c r="P191" s="1"/>
      <c r="Q191" s="1"/>
      <c r="R191" s="1"/>
      <c r="S191" s="1"/>
      <c r="T191" s="21" t="str">
        <f t="shared" ca="1" si="18"/>
        <v>106,..,1506</v>
      </c>
      <c r="U191" s="21">
        <f t="shared" ref="U191:V191" ca="1" si="23">U190+1</f>
        <v>106</v>
      </c>
      <c r="V191" s="21">
        <f t="shared" ca="1" si="23"/>
        <v>1506</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106">
        <v>7</v>
      </c>
      <c r="B192" s="106"/>
      <c r="C192" s="53" t="s">
        <v>94</v>
      </c>
      <c r="D192" s="53" t="s">
        <v>281</v>
      </c>
      <c r="E192" s="32">
        <f>(60.72)*(10.764)</f>
        <v>653.59007999999994</v>
      </c>
      <c r="F192" s="31">
        <f>(1.07*2.95+1.52*1)*(10.764)</f>
        <v>50.337846000000006</v>
      </c>
      <c r="G192" s="31">
        <v>0</v>
      </c>
      <c r="H192" s="31">
        <f t="shared" si="19"/>
        <v>703.92792599999996</v>
      </c>
      <c r="I192" s="1"/>
      <c r="J192" s="1"/>
      <c r="K192" s="1"/>
      <c r="L192" s="1"/>
      <c r="M192" s="1"/>
      <c r="N192" s="1"/>
      <c r="O192" s="1"/>
      <c r="P192" s="1"/>
      <c r="Q192" s="1"/>
      <c r="R192" s="1"/>
      <c r="S192" s="1"/>
      <c r="T192" s="21" t="str">
        <f t="shared" ca="1" si="18"/>
        <v>107,..,1507</v>
      </c>
      <c r="U192" s="21">
        <f t="shared" ref="U192:V192" ca="1" si="24">U191+1</f>
        <v>107</v>
      </c>
      <c r="V192" s="21">
        <f t="shared" ca="1" si="24"/>
        <v>1507</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106">
        <v>8</v>
      </c>
      <c r="B193" s="106"/>
      <c r="C193" s="53" t="s">
        <v>94</v>
      </c>
      <c r="D193" s="53" t="s">
        <v>281</v>
      </c>
      <c r="E193" s="32">
        <f>(60.72)*(10.764)</f>
        <v>653.59007999999994</v>
      </c>
      <c r="F193" s="31">
        <f>(1.07*2.95+1.52*1)*(10.764)</f>
        <v>50.337846000000006</v>
      </c>
      <c r="G193" s="31">
        <v>0</v>
      </c>
      <c r="H193" s="31">
        <f t="shared" si="19"/>
        <v>703.92792599999996</v>
      </c>
      <c r="I193" s="1"/>
      <c r="J193" s="1"/>
      <c r="K193" s="1"/>
      <c r="L193" s="1"/>
      <c r="M193" s="1"/>
      <c r="N193" s="1"/>
      <c r="O193" s="1"/>
      <c r="P193" s="1"/>
      <c r="Q193" s="1"/>
      <c r="R193" s="1"/>
      <c r="S193" s="1"/>
      <c r="T193" s="21" t="str">
        <f t="shared" ca="1" si="18"/>
        <v>108,..,1508</v>
      </c>
      <c r="U193" s="21">
        <f t="shared" ref="U193:V193" ca="1" si="25">U192+1</f>
        <v>108</v>
      </c>
      <c r="V193" s="21">
        <f t="shared" ca="1" si="25"/>
        <v>1508</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x14ac:dyDescent="0.25">
      <c r="A194" s="109" t="s">
        <v>289</v>
      </c>
      <c r="B194" s="110"/>
      <c r="C194" s="110"/>
      <c r="D194" s="110"/>
      <c r="E194" s="110"/>
      <c r="F194" s="110"/>
      <c r="G194" s="110"/>
      <c r="H194" s="11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25">
      <c r="A195" s="106">
        <v>1</v>
      </c>
      <c r="B195" s="106"/>
      <c r="C195" s="53" t="s">
        <v>94</v>
      </c>
      <c r="D195" s="53" t="s">
        <v>280</v>
      </c>
      <c r="E195" s="32">
        <f>(78.3)*(10.764)</f>
        <v>842.82119999999986</v>
      </c>
      <c r="F195" s="31">
        <f>(3.05*1.23+1.08*1.53)*(10.764)</f>
        <v>58.167579599999996</v>
      </c>
      <c r="G195" s="31">
        <v>0</v>
      </c>
      <c r="H195" s="31">
        <f>E195+F195+(IF(G195&lt;101,G195,IF(G195&lt;201,G195/2,IF(G195&lt;=301,G195/3,G195/4))))</f>
        <v>900.98877959999982</v>
      </c>
      <c r="I195" s="1"/>
      <c r="J195" s="1"/>
      <c r="K195" s="1"/>
      <c r="L195" s="1"/>
      <c r="M195" s="1"/>
      <c r="N195" s="1"/>
      <c r="O195" s="1"/>
      <c r="P195" s="1"/>
      <c r="Q195" s="1"/>
      <c r="R195" s="1"/>
      <c r="S195" s="1"/>
      <c r="T195" s="21" t="str">
        <f t="shared" ref="T195:T202" ca="1" si="26">U195&amp;""&amp;",..,"&amp;""&amp;V195</f>
        <v>212301,..,4401</v>
      </c>
      <c r="U195" s="21">
        <f ca="1">(SUMPRODUCT(MID(0&amp;(LEFT(A194,SUM(LEN(A194)-LEN(SUBSTITUTE(A194,{"0","1","2","3"},""))))), LARGE(INDEX(ISNUMBER(--MID((LEFT(A194,SUM(LEN(A194)-LEN(SUBSTITUTE(A194,{"0","1","2","3"},""))))), ROW(INDIRECT("1:"&amp;LEN((LEFT(A194,SUM(LEN(A194)-LEN(SUBSTITUTE(A194,{"0","1","2","3"},"")))))))), 1)) * ROW(INDIRECT("1:"&amp;LEN((LEFT(A194,SUM(LEN(A194)-LEN(SUBSTITUTE(A194,{"0","1","2","3"},"")))))))), 0), ROW(INDIRECT("1:"&amp;LEN((LEFT(A194,SUM(LEN(A194)-LEN(SUBSTITUTE(A194,{"0","1","2","3"},"")))))))))+1, 1) * 10^ROW(INDIRECT("1:"&amp;LEN((LEFT(A194,SUM(LEN(A194)-LEN(SUBSTITUTE(A194,{"0","1","2","3"},""))))))))/10))*100+1</f>
        <v>212301</v>
      </c>
      <c r="V195" s="21">
        <f ca="1">(SUMPRODUCT(MID(0&amp;(--TRIM(RIGHT(SUBSTITUTE(LEFT(A194,_xlfn.AGGREGATE(16,6,FIND({0,1,2,3,4,5,6,7,8,9},A194,ROW(INDIRECT("1:"&amp;LEN(A194)))),1)),"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",LEN(A194))),LEN(A194)))))))/10))*100+1</f>
        <v>4401</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106">
        <v>2</v>
      </c>
      <c r="B196" s="106"/>
      <c r="C196" s="53" t="s">
        <v>94</v>
      </c>
      <c r="D196" s="53" t="s">
        <v>280</v>
      </c>
      <c r="E196" s="32">
        <f>(78.3)*(10.764)</f>
        <v>842.82119999999986</v>
      </c>
      <c r="F196" s="31">
        <f>(3.05*1.23+1.08*1.53)*(10.764)</f>
        <v>58.167579599999996</v>
      </c>
      <c r="G196" s="31">
        <v>0</v>
      </c>
      <c r="H196" s="31">
        <f t="shared" ref="H196:H202" si="27">E196+F196+(IF(G196&lt;101,G196,IF(G196&lt;201,G196/2,IF(G196&lt;=301,G196/3,G196/4))))</f>
        <v>900.98877959999982</v>
      </c>
      <c r="I196" s="1"/>
      <c r="J196" s="1"/>
      <c r="K196" s="1"/>
      <c r="L196" s="1"/>
      <c r="M196" s="1"/>
      <c r="N196" s="1"/>
      <c r="O196" s="1"/>
      <c r="P196" s="1"/>
      <c r="Q196" s="1"/>
      <c r="R196" s="1"/>
      <c r="S196" s="1"/>
      <c r="T196" s="21" t="str">
        <f t="shared" ca="1" si="26"/>
        <v>212302,..,4402</v>
      </c>
      <c r="U196" s="21">
        <f ca="1">U195+1</f>
        <v>212302</v>
      </c>
      <c r="V196" s="21">
        <f ca="1">V195+1</f>
        <v>4402</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106">
        <v>3</v>
      </c>
      <c r="B197" s="106"/>
      <c r="C197" s="53" t="s">
        <v>94</v>
      </c>
      <c r="D197" s="53" t="s">
        <v>281</v>
      </c>
      <c r="E197" s="32">
        <f>(63.35)*(10.764)</f>
        <v>681.89940000000001</v>
      </c>
      <c r="F197" s="31">
        <f>(1.07*2.95+1.52*1)*(10.764)</f>
        <v>50.337846000000006</v>
      </c>
      <c r="G197" s="31">
        <v>0</v>
      </c>
      <c r="H197" s="31">
        <f t="shared" si="27"/>
        <v>732.23724600000003</v>
      </c>
      <c r="I197" s="1"/>
      <c r="J197" s="1"/>
      <c r="K197" s="1"/>
      <c r="L197" s="1"/>
      <c r="M197" s="1"/>
      <c r="N197" s="1"/>
      <c r="O197" s="1"/>
      <c r="P197" s="1"/>
      <c r="Q197" s="1"/>
      <c r="R197" s="1"/>
      <c r="S197" s="1"/>
      <c r="T197" s="21" t="str">
        <f t="shared" ca="1" si="26"/>
        <v>212303,..,4403</v>
      </c>
      <c r="U197" s="21">
        <f t="shared" ref="U197:V202" ca="1" si="28">U196+1</f>
        <v>212303</v>
      </c>
      <c r="V197" s="21">
        <f t="shared" ca="1" si="28"/>
        <v>4403</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25">
      <c r="A198" s="106">
        <v>4</v>
      </c>
      <c r="B198" s="106"/>
      <c r="C198" s="53" t="s">
        <v>94</v>
      </c>
      <c r="D198" s="53" t="s">
        <v>281</v>
      </c>
      <c r="E198" s="32">
        <f>(63.35)*(10.764)</f>
        <v>681.89940000000001</v>
      </c>
      <c r="F198" s="31">
        <f>(1.07*2.95+1.52*1)*(10.764)</f>
        <v>50.337846000000006</v>
      </c>
      <c r="G198" s="31">
        <v>0</v>
      </c>
      <c r="H198" s="31">
        <f t="shared" si="27"/>
        <v>732.23724600000003</v>
      </c>
      <c r="I198" s="1"/>
      <c r="J198" s="1"/>
      <c r="K198" s="1"/>
      <c r="L198" s="1"/>
      <c r="M198" s="1"/>
      <c r="N198" s="1"/>
      <c r="O198" s="1"/>
      <c r="P198" s="1"/>
      <c r="Q198" s="1"/>
      <c r="R198" s="1"/>
      <c r="S198" s="1"/>
      <c r="T198" s="21" t="str">
        <f t="shared" ca="1" si="26"/>
        <v>212304,..,4404</v>
      </c>
      <c r="U198" s="21">
        <f t="shared" ca="1" si="28"/>
        <v>212304</v>
      </c>
      <c r="V198" s="21">
        <f t="shared" ca="1" si="28"/>
        <v>4404</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106">
        <v>5</v>
      </c>
      <c r="B199" s="106"/>
      <c r="C199" s="53" t="s">
        <v>94</v>
      </c>
      <c r="D199" s="53" t="s">
        <v>280</v>
      </c>
      <c r="E199" s="32">
        <f>(85.65)*(10.764)</f>
        <v>921.9366</v>
      </c>
      <c r="F199" s="31">
        <f>(1.23*3.25+1.08*1.55)*(10.764)</f>
        <v>61.048025999999993</v>
      </c>
      <c r="G199" s="31">
        <v>0</v>
      </c>
      <c r="H199" s="31">
        <f t="shared" si="27"/>
        <v>982.98462599999993</v>
      </c>
      <c r="I199" s="1"/>
      <c r="J199" s="1"/>
      <c r="K199" s="1"/>
      <c r="L199" s="1"/>
      <c r="M199" s="1"/>
      <c r="N199" s="1"/>
      <c r="O199" s="1"/>
      <c r="P199" s="1"/>
      <c r="Q199" s="1"/>
      <c r="R199" s="1"/>
      <c r="S199" s="1"/>
      <c r="T199" s="21" t="str">
        <f t="shared" ca="1" si="26"/>
        <v>212305,..,4405</v>
      </c>
      <c r="U199" s="21">
        <f t="shared" ca="1" si="28"/>
        <v>212305</v>
      </c>
      <c r="V199" s="21">
        <f t="shared" ca="1" si="28"/>
        <v>4405</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25">
      <c r="A200" s="106">
        <v>6</v>
      </c>
      <c r="B200" s="106"/>
      <c r="C200" s="53" t="s">
        <v>94</v>
      </c>
      <c r="D200" s="53" t="s">
        <v>280</v>
      </c>
      <c r="E200" s="32">
        <f>(85.65)*(10.764)</f>
        <v>921.9366</v>
      </c>
      <c r="F200" s="31">
        <f>(1.23*3.25+1.08*1.55)*(10.764)</f>
        <v>61.048025999999993</v>
      </c>
      <c r="G200" s="31">
        <v>0</v>
      </c>
      <c r="H200" s="31">
        <f t="shared" si="27"/>
        <v>982.98462599999993</v>
      </c>
      <c r="I200" s="1"/>
      <c r="J200" s="1"/>
      <c r="K200" s="1"/>
      <c r="L200" s="1"/>
      <c r="M200" s="1"/>
      <c r="N200" s="1"/>
      <c r="O200" s="1"/>
      <c r="P200" s="1"/>
      <c r="Q200" s="1"/>
      <c r="R200" s="1"/>
      <c r="S200" s="1"/>
      <c r="T200" s="21" t="str">
        <f t="shared" ca="1" si="26"/>
        <v>212306,..,4406</v>
      </c>
      <c r="U200" s="21">
        <f t="shared" ca="1" si="28"/>
        <v>212306</v>
      </c>
      <c r="V200" s="21">
        <f t="shared" ca="1" si="28"/>
        <v>4406</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25">
      <c r="A201" s="106">
        <v>7</v>
      </c>
      <c r="B201" s="106"/>
      <c r="C201" s="53" t="s">
        <v>94</v>
      </c>
      <c r="D201" s="53" t="s">
        <v>281</v>
      </c>
      <c r="E201" s="32">
        <f>(61.13)*(10.764)</f>
        <v>658.00332000000003</v>
      </c>
      <c r="F201" s="31">
        <f>(1.07*2.95+1.52*1)*(10.764)</f>
        <v>50.337846000000006</v>
      </c>
      <c r="G201" s="31">
        <v>0</v>
      </c>
      <c r="H201" s="31">
        <f t="shared" si="27"/>
        <v>708.34116600000004</v>
      </c>
      <c r="I201" s="1"/>
      <c r="J201" s="1"/>
      <c r="K201" s="1"/>
      <c r="L201" s="1"/>
      <c r="M201" s="1"/>
      <c r="N201" s="1"/>
      <c r="O201" s="1"/>
      <c r="P201" s="1"/>
      <c r="Q201" s="1"/>
      <c r="R201" s="1"/>
      <c r="S201" s="1"/>
      <c r="T201" s="21" t="str">
        <f t="shared" ca="1" si="26"/>
        <v>212307,..,4407</v>
      </c>
      <c r="U201" s="21">
        <f t="shared" ca="1" si="28"/>
        <v>212307</v>
      </c>
      <c r="V201" s="21">
        <f t="shared" ca="1" si="28"/>
        <v>4407</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106">
        <v>8</v>
      </c>
      <c r="B202" s="106"/>
      <c r="C202" s="53" t="s">
        <v>94</v>
      </c>
      <c r="D202" s="53" t="s">
        <v>281</v>
      </c>
      <c r="E202" s="32">
        <f>(61.13)*(10.764)</f>
        <v>658.00332000000003</v>
      </c>
      <c r="F202" s="31">
        <f>(1.07*2.95+1.52*1)*(10.764)</f>
        <v>50.337846000000006</v>
      </c>
      <c r="G202" s="31">
        <v>0</v>
      </c>
      <c r="H202" s="31">
        <f t="shared" si="27"/>
        <v>708.34116600000004</v>
      </c>
      <c r="I202" s="1"/>
      <c r="J202" s="1"/>
      <c r="K202" s="1"/>
      <c r="L202" s="1"/>
      <c r="M202" s="1"/>
      <c r="N202" s="1"/>
      <c r="O202" s="1"/>
      <c r="P202" s="1"/>
      <c r="Q202" s="1"/>
      <c r="R202" s="1"/>
      <c r="S202" s="1"/>
      <c r="T202" s="21" t="str">
        <f t="shared" ca="1" si="26"/>
        <v>212308,..,4408</v>
      </c>
      <c r="U202" s="21">
        <f t="shared" ca="1" si="28"/>
        <v>212308</v>
      </c>
      <c r="V202" s="21">
        <f t="shared" ca="1" si="28"/>
        <v>4408</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x14ac:dyDescent="0.25">
      <c r="A203" s="109" t="s">
        <v>290</v>
      </c>
      <c r="B203" s="110"/>
      <c r="C203" s="110"/>
      <c r="D203" s="110"/>
      <c r="E203" s="110"/>
      <c r="F203" s="110"/>
      <c r="G203" s="110"/>
      <c r="H203" s="11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25">
      <c r="A204" s="106">
        <v>1</v>
      </c>
      <c r="B204" s="106"/>
      <c r="C204" s="53" t="s">
        <v>94</v>
      </c>
      <c r="D204" s="53" t="s">
        <v>280</v>
      </c>
      <c r="E204" s="32">
        <f>(78.3)*(10.764)</f>
        <v>842.82119999999986</v>
      </c>
      <c r="F204" s="31">
        <f>(3.05*1.23+1.08*1.53)*(10.764)</f>
        <v>58.167579599999996</v>
      </c>
      <c r="G204" s="31">
        <v>0</v>
      </c>
      <c r="H204" s="31">
        <f>E204+F204+(IF(G204&lt;101,G204,IF(G204&lt;201,G204/2,IF(G204&lt;=301,G204/3,G204/4))))</f>
        <v>900.98877959999982</v>
      </c>
      <c r="I204" s="1"/>
      <c r="J204" s="1"/>
      <c r="K204" s="1"/>
      <c r="L204" s="1"/>
      <c r="M204" s="1"/>
      <c r="N204" s="1"/>
      <c r="O204" s="1"/>
      <c r="P204" s="1"/>
      <c r="Q204" s="1"/>
      <c r="R204" s="1"/>
      <c r="S204" s="1"/>
      <c r="T204" s="21" t="str">
        <f t="shared" ref="T204:T211" ca="1" si="29">U204&amp;""&amp;",..,"&amp;""&amp;V204</f>
        <v>2201,..,3601</v>
      </c>
      <c r="U204" s="21">
        <f ca="1">(SUMPRODUCT(MID(0&amp;(LEFT(A203,SUM(LEN(A203)-LEN(SUBSTITUTE(A203,{"0","1","2","3"},""))))), LARGE(INDEX(ISNUMBER(--MID((LEFT(A203,SUM(LEN(A203)-LEN(SUBSTITUTE(A203,{"0","1","2","3"},""))))), ROW(INDIRECT("1:"&amp;LEN((LEFT(A203,SUM(LEN(A203)-LEN(SUBSTITUTE(A203,{"0","1","2","3"},"")))))))), 1)) * ROW(INDIRECT("1:"&amp;LEN((LEFT(A203,SUM(LEN(A203)-LEN(SUBSTITUTE(A203,{"0","1","2","3"},"")))))))), 0), ROW(INDIRECT("1:"&amp;LEN((LEFT(A203,SUM(LEN(A203)-LEN(SUBSTITUTE(A203,{"0","1","2","3"},"")))))))))+1, 1) * 10^ROW(INDIRECT("1:"&amp;LEN((LEFT(A203,SUM(LEN(A203)-LEN(SUBSTITUTE(A203,{"0","1","2","3"},""))))))))/10))*100+1</f>
        <v>2201</v>
      </c>
      <c r="V204" s="21">
        <f ca="1">(SUMPRODUCT(MID(0&amp;(--TRIM(RIGHT(SUBSTITUTE(LEFT(A203,_xlfn.AGGREGATE(16,6,FIND({0,1,2,3,4,5,6,7,8,9},A203,ROW(INDIRECT("1:"&amp;LEN(A203)))),1)),"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",LEN(A203))),LEN(A203)))))))/10))*100+1</f>
        <v>3601</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customHeight="1" x14ac:dyDescent="0.25">
      <c r="A205" s="106">
        <v>2</v>
      </c>
      <c r="B205" s="106"/>
      <c r="C205" s="53" t="s">
        <v>94</v>
      </c>
      <c r="D205" s="53" t="s">
        <v>280</v>
      </c>
      <c r="E205" s="32">
        <f>(78.3)*(10.764)</f>
        <v>842.82119999999986</v>
      </c>
      <c r="F205" s="31">
        <f>(3.05*1.23+1.08*1.53)*(10.764)</f>
        <v>58.167579599999996</v>
      </c>
      <c r="G205" s="31">
        <v>0</v>
      </c>
      <c r="H205" s="31">
        <f t="shared" ref="H205:H211" si="30">E205+F205+(IF(G205&lt;101,G205,IF(G205&lt;201,G205/2,IF(G205&lt;=301,G205/3,G205/4))))</f>
        <v>900.98877959999982</v>
      </c>
      <c r="I205" s="1"/>
      <c r="J205" s="1"/>
      <c r="K205" s="1"/>
      <c r="L205" s="1"/>
      <c r="M205" s="1"/>
      <c r="N205" s="1"/>
      <c r="O205" s="1"/>
      <c r="P205" s="1"/>
      <c r="Q205" s="1"/>
      <c r="R205" s="1"/>
      <c r="S205" s="1"/>
      <c r="T205" s="21" t="str">
        <f t="shared" ca="1" si="29"/>
        <v>2202,..,3602</v>
      </c>
      <c r="U205" s="21">
        <f ca="1">U204+1</f>
        <v>2202</v>
      </c>
      <c r="V205" s="21">
        <f ca="1">V204+1</f>
        <v>3602</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25">
      <c r="A206" s="106">
        <v>3</v>
      </c>
      <c r="B206" s="106"/>
      <c r="C206" s="53" t="s">
        <v>94</v>
      </c>
      <c r="D206" s="53" t="s">
        <v>281</v>
      </c>
      <c r="E206" s="32">
        <f>(63.35)*(10.764)</f>
        <v>681.89940000000001</v>
      </c>
      <c r="F206" s="31">
        <f>(1.07*2.95+1.52*1)*(10.764)</f>
        <v>50.337846000000006</v>
      </c>
      <c r="G206" s="31">
        <v>0</v>
      </c>
      <c r="H206" s="31">
        <f t="shared" si="30"/>
        <v>732.23724600000003</v>
      </c>
      <c r="I206" s="1"/>
      <c r="J206" s="1"/>
      <c r="K206" s="1"/>
      <c r="L206" s="1"/>
      <c r="M206" s="1"/>
      <c r="N206" s="1"/>
      <c r="O206" s="1"/>
      <c r="P206" s="1"/>
      <c r="Q206" s="1"/>
      <c r="R206" s="1"/>
      <c r="S206" s="1"/>
      <c r="T206" s="21" t="str">
        <f t="shared" ca="1" si="29"/>
        <v>2203,..,3603</v>
      </c>
      <c r="U206" s="21">
        <f t="shared" ref="U206:V206" ca="1" si="31">U205+1</f>
        <v>2203</v>
      </c>
      <c r="V206" s="21">
        <f t="shared" ca="1" si="31"/>
        <v>3603</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25">
      <c r="A207" s="106">
        <v>4</v>
      </c>
      <c r="B207" s="106"/>
      <c r="C207" s="53" t="s">
        <v>94</v>
      </c>
      <c r="D207" s="53" t="s">
        <v>281</v>
      </c>
      <c r="E207" s="32">
        <f>(63.35)*(10.764)</f>
        <v>681.89940000000001</v>
      </c>
      <c r="F207" s="31">
        <f>(1.07*2.95+1.52*1)*(10.764)</f>
        <v>50.337846000000006</v>
      </c>
      <c r="G207" s="31">
        <v>0</v>
      </c>
      <c r="H207" s="31">
        <f t="shared" si="30"/>
        <v>732.23724600000003</v>
      </c>
      <c r="I207" s="1"/>
      <c r="J207" s="1"/>
      <c r="K207" s="1"/>
      <c r="L207" s="1"/>
      <c r="M207" s="1"/>
      <c r="N207" s="1"/>
      <c r="O207" s="1"/>
      <c r="P207" s="1"/>
      <c r="Q207" s="1"/>
      <c r="R207" s="1"/>
      <c r="S207" s="1"/>
      <c r="T207" s="21" t="str">
        <f t="shared" ca="1" si="29"/>
        <v>2204,..,3604</v>
      </c>
      <c r="U207" s="21">
        <f t="shared" ref="U207:V207" ca="1" si="32">U206+1</f>
        <v>2204</v>
      </c>
      <c r="V207" s="21">
        <f t="shared" ca="1" si="32"/>
        <v>3604</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106">
        <v>5</v>
      </c>
      <c r="B208" s="106"/>
      <c r="C208" s="112" t="s">
        <v>284</v>
      </c>
      <c r="D208" s="113"/>
      <c r="E208" s="113"/>
      <c r="F208" s="113"/>
      <c r="G208" s="113"/>
      <c r="H208" s="114"/>
      <c r="I208" s="1"/>
      <c r="J208" s="1"/>
      <c r="K208" s="1"/>
      <c r="L208" s="1"/>
      <c r="M208" s="1"/>
      <c r="N208" s="1"/>
      <c r="O208" s="1"/>
      <c r="P208" s="1"/>
      <c r="Q208" s="1"/>
      <c r="R208" s="1"/>
      <c r="S208" s="1"/>
      <c r="T208" s="21" t="str">
        <f t="shared" ca="1" si="29"/>
        <v>2205,..,3605</v>
      </c>
      <c r="U208" s="21">
        <f t="shared" ref="U208:V208" ca="1" si="33">U207+1</f>
        <v>2205</v>
      </c>
      <c r="V208" s="21">
        <f t="shared" ca="1" si="33"/>
        <v>3605</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106">
        <v>6</v>
      </c>
      <c r="B209" s="106"/>
      <c r="C209" s="115"/>
      <c r="D209" s="116"/>
      <c r="E209" s="116"/>
      <c r="F209" s="116"/>
      <c r="G209" s="116"/>
      <c r="H209" s="117"/>
      <c r="I209" s="1"/>
      <c r="J209" s="1"/>
      <c r="K209" s="1"/>
      <c r="L209" s="1"/>
      <c r="M209" s="1"/>
      <c r="N209" s="1"/>
      <c r="O209" s="1"/>
      <c r="P209" s="1"/>
      <c r="Q209" s="1"/>
      <c r="R209" s="1"/>
      <c r="S209" s="1"/>
      <c r="T209" s="21" t="str">
        <f t="shared" ca="1" si="29"/>
        <v>2206,..,3606</v>
      </c>
      <c r="U209" s="21">
        <f t="shared" ref="U209:V209" ca="1" si="34">U208+1</f>
        <v>2206</v>
      </c>
      <c r="V209" s="21">
        <f t="shared" ca="1" si="34"/>
        <v>3606</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25">
      <c r="A210" s="106">
        <v>7</v>
      </c>
      <c r="B210" s="106"/>
      <c r="C210" s="53" t="s">
        <v>94</v>
      </c>
      <c r="D210" s="53" t="s">
        <v>281</v>
      </c>
      <c r="E210" s="32">
        <f>(61.13)*(10.764)</f>
        <v>658.00332000000003</v>
      </c>
      <c r="F210" s="31">
        <f>(1.07*2.95+1.52*1)*(10.764)</f>
        <v>50.337846000000006</v>
      </c>
      <c r="G210" s="31">
        <v>0</v>
      </c>
      <c r="H210" s="31">
        <f t="shared" si="30"/>
        <v>708.34116600000004</v>
      </c>
      <c r="I210" s="1"/>
      <c r="J210" s="1"/>
      <c r="K210" s="1"/>
      <c r="L210" s="1"/>
      <c r="M210" s="1"/>
      <c r="N210" s="1"/>
      <c r="O210" s="1"/>
      <c r="P210" s="1"/>
      <c r="Q210" s="1"/>
      <c r="R210" s="1"/>
      <c r="S210" s="1"/>
      <c r="T210" s="21" t="str">
        <f t="shared" ca="1" si="29"/>
        <v>2207,..,3607</v>
      </c>
      <c r="U210" s="21">
        <f t="shared" ref="U210:V210" ca="1" si="35">U209+1</f>
        <v>2207</v>
      </c>
      <c r="V210" s="21">
        <f t="shared" ca="1" si="35"/>
        <v>3607</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customHeight="1" x14ac:dyDescent="0.25">
      <c r="A211" s="106">
        <v>8</v>
      </c>
      <c r="B211" s="106"/>
      <c r="C211" s="53" t="s">
        <v>94</v>
      </c>
      <c r="D211" s="53" t="s">
        <v>281</v>
      </c>
      <c r="E211" s="32">
        <f>(61.13)*(10.764)</f>
        <v>658.00332000000003</v>
      </c>
      <c r="F211" s="31">
        <f>(1.07*2.95+1.52*1)*(10.764)</f>
        <v>50.337846000000006</v>
      </c>
      <c r="G211" s="31">
        <v>0</v>
      </c>
      <c r="H211" s="31">
        <f t="shared" si="30"/>
        <v>708.34116600000004</v>
      </c>
      <c r="I211" s="1"/>
      <c r="J211" s="1"/>
      <c r="K211" s="1"/>
      <c r="L211" s="1"/>
      <c r="M211" s="1"/>
      <c r="N211" s="1"/>
      <c r="O211" s="1"/>
      <c r="P211" s="1"/>
      <c r="Q211" s="1"/>
      <c r="R211" s="1"/>
      <c r="S211" s="1"/>
      <c r="T211" s="21" t="str">
        <f t="shared" ca="1" si="29"/>
        <v>2208,..,3608</v>
      </c>
      <c r="U211" s="21">
        <f t="shared" ref="U211:V211" ca="1" si="36">U210+1</f>
        <v>2208</v>
      </c>
      <c r="V211" s="21">
        <f t="shared" ca="1" si="36"/>
        <v>3608</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x14ac:dyDescent="0.25">
      <c r="A212" s="137" t="s">
        <v>291</v>
      </c>
      <c r="B212" s="138"/>
      <c r="C212" s="138"/>
      <c r="D212" s="138"/>
      <c r="E212" s="138"/>
      <c r="F212" s="138"/>
      <c r="G212" s="138"/>
      <c r="H212" s="1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x14ac:dyDescent="0.25">
      <c r="A213" s="106">
        <v>1</v>
      </c>
      <c r="B213" s="106"/>
      <c r="C213" s="53" t="s">
        <v>94</v>
      </c>
      <c r="D213" s="53" t="s">
        <v>280</v>
      </c>
      <c r="E213" s="32">
        <f>(78.3)*(10.764)</f>
        <v>842.82119999999986</v>
      </c>
      <c r="F213" s="31">
        <f>(3.05*1.23+1.08*1.53)*(10.764)</f>
        <v>58.167579599999996</v>
      </c>
      <c r="G213" s="31">
        <v>0</v>
      </c>
      <c r="H213" s="31">
        <f>E213+F213+(IF(G213&lt;101,G213,IF(G213&lt;201,G213/2,IF(G213&lt;=301,G213/3,G213/4))))</f>
        <v>900.98877959999982</v>
      </c>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x14ac:dyDescent="0.25">
      <c r="A214" s="143">
        <f>A213+1</f>
        <v>2</v>
      </c>
      <c r="B214" s="144"/>
      <c r="C214" s="53" t="s">
        <v>94</v>
      </c>
      <c r="D214" s="53" t="s">
        <v>280</v>
      </c>
      <c r="E214" s="32">
        <f>(78.3)*(10.764)</f>
        <v>842.82119999999986</v>
      </c>
      <c r="F214" s="31">
        <f>(3.05*1.23+1.08*1.53)*(10.764)</f>
        <v>58.167579599999996</v>
      </c>
      <c r="G214" s="31">
        <v>0</v>
      </c>
      <c r="H214" s="31">
        <f t="shared" ref="H214:H220" si="37">E214+F214+(IF(G214&lt;101,G214,IF(G214&lt;201,G214/2,IF(G214&lt;=301,G214/3,G214/4))))</f>
        <v>900.98877959999982</v>
      </c>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x14ac:dyDescent="0.25">
      <c r="A215" s="143">
        <f t="shared" ref="A215:A220" si="38">A214+1</f>
        <v>3</v>
      </c>
      <c r="B215" s="144"/>
      <c r="C215" s="53" t="s">
        <v>94</v>
      </c>
      <c r="D215" s="53" t="s">
        <v>281</v>
      </c>
      <c r="E215" s="32">
        <f>(63.35)*(10.764)</f>
        <v>681.89940000000001</v>
      </c>
      <c r="F215" s="31">
        <f>(1.07*2.95+1.52*1)*(10.764)</f>
        <v>50.337846000000006</v>
      </c>
      <c r="G215" s="31">
        <v>0</v>
      </c>
      <c r="H215" s="31">
        <f t="shared" si="37"/>
        <v>732.23724600000003</v>
      </c>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25">
      <c r="A216" s="143">
        <f t="shared" si="38"/>
        <v>4</v>
      </c>
      <c r="B216" s="144"/>
      <c r="C216" s="53" t="s">
        <v>94</v>
      </c>
      <c r="D216" s="53" t="s">
        <v>281</v>
      </c>
      <c r="E216" s="32">
        <f>(63.35)*(10.764)</f>
        <v>681.89940000000001</v>
      </c>
      <c r="F216" s="31">
        <f>(1.07*2.95+1.52*1)*(10.764)</f>
        <v>50.337846000000006</v>
      </c>
      <c r="G216" s="31">
        <v>0</v>
      </c>
      <c r="H216" s="31">
        <f t="shared" si="37"/>
        <v>732.23724600000003</v>
      </c>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25">
      <c r="A217" s="143">
        <f t="shared" si="38"/>
        <v>5</v>
      </c>
      <c r="B217" s="144"/>
      <c r="C217" s="146" t="s">
        <v>284</v>
      </c>
      <c r="D217" s="147"/>
      <c r="E217" s="147"/>
      <c r="F217" s="147"/>
      <c r="G217" s="147"/>
      <c r="H217" s="148"/>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143">
        <f t="shared" si="38"/>
        <v>6</v>
      </c>
      <c r="B218" s="144"/>
      <c r="C218" s="53" t="s">
        <v>94</v>
      </c>
      <c r="D218" s="53" t="s">
        <v>280</v>
      </c>
      <c r="E218" s="32">
        <f>(102.68)*(10.764)</f>
        <v>1105.2475199999999</v>
      </c>
      <c r="F218" s="31">
        <f>(6.65*1.23+1.08*1.55)*(10.764)</f>
        <v>106.063074</v>
      </c>
      <c r="G218" s="31">
        <v>0</v>
      </c>
      <c r="H218" s="31">
        <f t="shared" si="37"/>
        <v>1211.3105939999998</v>
      </c>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25">
      <c r="A219" s="143">
        <f t="shared" si="38"/>
        <v>7</v>
      </c>
      <c r="B219" s="144"/>
      <c r="C219" s="53" t="s">
        <v>94</v>
      </c>
      <c r="D219" s="53" t="s">
        <v>281</v>
      </c>
      <c r="E219" s="32">
        <f>(61.13)*(10.764)</f>
        <v>658.00332000000003</v>
      </c>
      <c r="F219" s="31">
        <f>(1.07*2.95+1.52*1)*(10.764)</f>
        <v>50.337846000000006</v>
      </c>
      <c r="G219" s="31">
        <v>0</v>
      </c>
      <c r="H219" s="31">
        <f t="shared" si="37"/>
        <v>708.34116600000004</v>
      </c>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customHeight="1" x14ac:dyDescent="0.25">
      <c r="A220" s="143">
        <f t="shared" si="38"/>
        <v>8</v>
      </c>
      <c r="B220" s="144"/>
      <c r="C220" s="53" t="s">
        <v>94</v>
      </c>
      <c r="D220" s="53" t="s">
        <v>281</v>
      </c>
      <c r="E220" s="32">
        <f>(61.13)*(10.764)</f>
        <v>658.00332000000003</v>
      </c>
      <c r="F220" s="31">
        <f>(1.07*2.95+1.52*1)*(10.764)</f>
        <v>50.337846000000006</v>
      </c>
      <c r="G220" s="31">
        <v>0</v>
      </c>
      <c r="H220" s="31">
        <f t="shared" si="37"/>
        <v>708.34116600000004</v>
      </c>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x14ac:dyDescent="0.25">
      <c r="A221" s="137" t="s">
        <v>229</v>
      </c>
      <c r="B221" s="138"/>
      <c r="C221" s="138"/>
      <c r="D221" s="138"/>
      <c r="E221" s="138"/>
      <c r="F221" s="138"/>
      <c r="G221" s="138"/>
      <c r="H221" s="1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x14ac:dyDescent="0.25">
      <c r="A222" s="137" t="s">
        <v>276</v>
      </c>
      <c r="B222" s="138"/>
      <c r="C222" s="138"/>
      <c r="D222" s="138"/>
      <c r="E222" s="138"/>
      <c r="F222" s="138"/>
      <c r="G222" s="138"/>
      <c r="H222" s="1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x14ac:dyDescent="0.25">
      <c r="A223" s="137" t="s">
        <v>277</v>
      </c>
      <c r="B223" s="138"/>
      <c r="C223" s="138"/>
      <c r="D223" s="138"/>
      <c r="E223" s="138"/>
      <c r="F223" s="138"/>
      <c r="G223" s="138"/>
      <c r="H223" s="1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x14ac:dyDescent="0.25">
      <c r="A224" s="106">
        <v>1</v>
      </c>
      <c r="B224" s="106"/>
      <c r="C224" s="112" t="s">
        <v>278</v>
      </c>
      <c r="D224" s="113"/>
      <c r="E224" s="113"/>
      <c r="F224" s="113"/>
      <c r="G224" s="113"/>
      <c r="H224" s="11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x14ac:dyDescent="0.25">
      <c r="A225" s="143">
        <f>A224+1</f>
        <v>2</v>
      </c>
      <c r="B225" s="144"/>
      <c r="C225" s="115"/>
      <c r="D225" s="116"/>
      <c r="E225" s="116"/>
      <c r="F225" s="116"/>
      <c r="G225" s="116"/>
      <c r="H225" s="117"/>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x14ac:dyDescent="0.25">
      <c r="A226" s="143">
        <f t="shared" ref="A226:A231" si="39">A225+1</f>
        <v>3</v>
      </c>
      <c r="B226" s="144"/>
      <c r="C226" s="112" t="s">
        <v>279</v>
      </c>
      <c r="D226" s="113"/>
      <c r="E226" s="113"/>
      <c r="F226" s="113"/>
      <c r="G226" s="113"/>
      <c r="H226" s="11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25">
      <c r="A227" s="143">
        <f t="shared" si="39"/>
        <v>4</v>
      </c>
      <c r="B227" s="144"/>
      <c r="C227" s="115"/>
      <c r="D227" s="116"/>
      <c r="E227" s="116"/>
      <c r="F227" s="116"/>
      <c r="G227" s="116"/>
      <c r="H227" s="117"/>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25">
      <c r="A228" s="143">
        <f t="shared" si="39"/>
        <v>5</v>
      </c>
      <c r="B228" s="144"/>
      <c r="C228" s="53" t="s">
        <v>94</v>
      </c>
      <c r="D228" s="53" t="s">
        <v>281</v>
      </c>
      <c r="E228" s="31">
        <f>(56.47)*(10.764)</f>
        <v>607.84307999999999</v>
      </c>
      <c r="F228" s="32">
        <f>(3.05*0.93+1*1.53)*(10.764)</f>
        <v>47.001005999999997</v>
      </c>
      <c r="G228" s="31">
        <v>0</v>
      </c>
      <c r="H228" s="31">
        <f t="shared" ref="H228:H231" si="40">E228+F228+(IF(G228&lt;101,G228,IF(G228&lt;201,G228/2,IF(G228&lt;=301,G228/3,G228/4))))</f>
        <v>654.84408599999995</v>
      </c>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25">
      <c r="A229" s="143">
        <f t="shared" si="39"/>
        <v>6</v>
      </c>
      <c r="B229" s="144"/>
      <c r="C229" s="53" t="s">
        <v>94</v>
      </c>
      <c r="D229" s="53" t="s">
        <v>281</v>
      </c>
      <c r="E229" s="31">
        <f>(56.47)*(10.764)</f>
        <v>607.84307999999999</v>
      </c>
      <c r="F229" s="32">
        <f>(3.05*0.93+1*1.53)*(10.764)</f>
        <v>47.001005999999997</v>
      </c>
      <c r="G229" s="31">
        <v>0</v>
      </c>
      <c r="H229" s="31">
        <f t="shared" si="40"/>
        <v>654.84408599999995</v>
      </c>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25">
      <c r="A230" s="143">
        <f t="shared" si="39"/>
        <v>7</v>
      </c>
      <c r="B230" s="144"/>
      <c r="C230" s="53" t="s">
        <v>94</v>
      </c>
      <c r="D230" s="53" t="s">
        <v>281</v>
      </c>
      <c r="E230" s="31">
        <f>(49.4)*(10.764)</f>
        <v>531.74159999999995</v>
      </c>
      <c r="F230" s="32">
        <f>(1.4*0.93)*(10.764)</f>
        <v>14.014728</v>
      </c>
      <c r="G230" s="31">
        <v>0</v>
      </c>
      <c r="H230" s="31">
        <f t="shared" si="40"/>
        <v>545.75632799999994</v>
      </c>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25">
      <c r="A231" s="143">
        <f t="shared" si="39"/>
        <v>8</v>
      </c>
      <c r="B231" s="144"/>
      <c r="C231" s="53" t="s">
        <v>94</v>
      </c>
      <c r="D231" s="53" t="s">
        <v>281</v>
      </c>
      <c r="E231" s="31">
        <f>(49.4)*(10.764)</f>
        <v>531.74159999999995</v>
      </c>
      <c r="F231" s="32">
        <f>(1.4*0.93)*(10.764)</f>
        <v>14.014728</v>
      </c>
      <c r="G231" s="31">
        <v>0</v>
      </c>
      <c r="H231" s="31">
        <f t="shared" si="40"/>
        <v>545.75632799999994</v>
      </c>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x14ac:dyDescent="0.25">
      <c r="A232" s="109" t="s">
        <v>282</v>
      </c>
      <c r="B232" s="110"/>
      <c r="C232" s="110"/>
      <c r="D232" s="110"/>
      <c r="E232" s="110"/>
      <c r="F232" s="110"/>
      <c r="G232" s="110"/>
      <c r="H232" s="11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25">
      <c r="A233" s="106">
        <v>1</v>
      </c>
      <c r="B233" s="106"/>
      <c r="C233" s="112" t="s">
        <v>278</v>
      </c>
      <c r="D233" s="113"/>
      <c r="E233" s="113"/>
      <c r="F233" s="113"/>
      <c r="G233" s="113"/>
      <c r="H233" s="114"/>
      <c r="I233" s="1"/>
      <c r="J233" s="1"/>
      <c r="K233" s="1"/>
      <c r="L233" s="1"/>
      <c r="M233" s="1"/>
      <c r="N233" s="1"/>
      <c r="O233" s="1"/>
      <c r="P233" s="1"/>
      <c r="Q233" s="1"/>
      <c r="R233" s="1"/>
      <c r="S233" s="1"/>
      <c r="T233" s="21" t="str">
        <f ca="1">U233&amp;""&amp;" to "&amp;""&amp;V233</f>
        <v>201 to 701</v>
      </c>
      <c r="U233" s="21">
        <f ca="1">(SUMPRODUCT(MID(0&amp;(LEFT(A232,SUM(LEN(A232)-LEN(SUBSTITUTE(A232,{"0","1","2","3"},""))))), LARGE(INDEX(ISNUMBER(--MID((LEFT(A232,SUM(LEN(A232)-LEN(SUBSTITUTE(A232,{"0","1","2","3"},""))))), ROW(INDIRECT("1:"&amp;LEN((LEFT(A232,SUM(LEN(A232)-LEN(SUBSTITUTE(A232,{"0","1","2","3"},"")))))))), 1)) * ROW(INDIRECT("1:"&amp;LEN((LEFT(A232,SUM(LEN(A232)-LEN(SUBSTITUTE(A232,{"0","1","2","3"},"")))))))), 0), ROW(INDIRECT("1:"&amp;LEN((LEFT(A232,SUM(LEN(A232)-LEN(SUBSTITUTE(A232,{"0","1","2","3"},"")))))))))+1, 1) * 10^ROW(INDIRECT("1:"&amp;LEN((LEFT(A232,SUM(LEN(A232)-LEN(SUBSTITUTE(A232,{"0","1","2","3"},""))))))))/10))*100+1</f>
        <v>201</v>
      </c>
      <c r="V233" s="21">
        <f ca="1">(SUMPRODUCT(MID(0&amp;(--TRIM(RIGHT(SUBSTITUTE(LEFT(A232,_xlfn.AGGREGATE(16,6,FIND({0,1,2,3,4,5,6,7,8,9},A232,ROW(INDIRECT("1:"&amp;LEN(A232)))),1))," ",REPT(" ",LEN(A232))),LEN(A232)))), LARGE(INDEX(ISNUMBER(--MID((--TRIM(RIGHT(SUBSTITUTE(LEFT(A232,_xlfn.AGGREGATE(16,6,FIND({0,1,2,3,4,5,6,7,8,9},A232,ROW(INDIRECT("1:"&amp;LEN(A232)))),1))," ",REPT(" ",LEN(A232))),LEN(A232)))), ROW(INDIRECT("1:"&amp;LEN((--TRIM(RIGHT(SUBSTITUTE(LEFT(A232,_xlfn.AGGREGATE(16,6,FIND({0,1,2,3,4,5,6,7,8,9},A232,ROW(INDIRECT("1:"&amp;LEN(A232)))),1))," ",REPT(" ",LEN(A232))),LEN(A232))))))), 1)) * ROW(INDIRECT("1:"&amp;LEN((--TRIM(RIGHT(SUBSTITUTE(LEFT(A232,_xlfn.AGGREGATE(16,6,FIND({0,1,2,3,4,5,6,7,8,9},A232,ROW(INDIRECT("1:"&amp;LEN(A232)))),1))," ",REPT(" ",LEN(A232))),LEN(A232))))))), 0), ROW(INDIRECT("1:"&amp;LEN((--TRIM(RIGHT(SUBSTITUTE(LEFT(A232,_xlfn.AGGREGATE(16,6,FIND({0,1,2,3,4,5,6,7,8,9},A232,ROW(INDIRECT("1:"&amp;LEN(A232)))),1))," ",REPT(" ",LEN(A232))),LEN(A232))))))))+1, 1) * 10^ROW(INDIRECT("1:"&amp;LEN((--TRIM(RIGHT(SUBSTITUTE(LEFT(A232,_xlfn.AGGREGATE(16,6,FIND({0,1,2,3,4,5,6,7,8,9},A232,ROW(INDIRECT("1:"&amp;LEN(A232)))),1))," ",REPT(" ",LEN(A232))),LEN(A232)))))))/10))*100+1</f>
        <v>701</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25">
      <c r="A234" s="106">
        <v>2</v>
      </c>
      <c r="B234" s="106"/>
      <c r="C234" s="115"/>
      <c r="D234" s="116"/>
      <c r="E234" s="116"/>
      <c r="F234" s="116"/>
      <c r="G234" s="116"/>
      <c r="H234" s="117"/>
      <c r="I234" s="1"/>
      <c r="J234" s="1"/>
      <c r="K234" s="1"/>
      <c r="L234" s="1"/>
      <c r="M234" s="1"/>
      <c r="N234" s="1"/>
      <c r="O234" s="1"/>
      <c r="P234" s="1"/>
      <c r="Q234" s="1"/>
      <c r="R234" s="1"/>
      <c r="S234" s="1"/>
      <c r="T234" s="21" t="str">
        <f t="shared" ref="T234:T240" ca="1" si="41">U234&amp;""&amp;" to "&amp;""&amp;V234</f>
        <v>202 to 702</v>
      </c>
      <c r="U234" s="21">
        <f ca="1">U233+1</f>
        <v>202</v>
      </c>
      <c r="V234" s="21">
        <f ca="1">V233+1</f>
        <v>702</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25">
      <c r="A235" s="106">
        <v>3</v>
      </c>
      <c r="B235" s="106"/>
      <c r="C235" s="53" t="s">
        <v>94</v>
      </c>
      <c r="D235" s="53" t="s">
        <v>281</v>
      </c>
      <c r="E235" s="32">
        <f>(60.72)*(10.764)</f>
        <v>653.59007999999994</v>
      </c>
      <c r="F235" s="31">
        <f>(1.07*2.95+1.53*1)*(10.764)</f>
        <v>50.445486000000002</v>
      </c>
      <c r="G235" s="31">
        <v>0</v>
      </c>
      <c r="H235" s="31">
        <f t="shared" ref="H235:H240" si="42">E235+F235+(IF(G235&lt;101,G235,IF(G235&lt;201,G235/2,IF(G235&lt;=301,G235/3,G235/4))))</f>
        <v>704.0355659999999</v>
      </c>
      <c r="I235" s="1"/>
      <c r="J235" s="1"/>
      <c r="K235" s="1"/>
      <c r="L235" s="1"/>
      <c r="M235" s="1"/>
      <c r="N235" s="1"/>
      <c r="O235" s="1"/>
      <c r="P235" s="1"/>
      <c r="Q235" s="1"/>
      <c r="R235" s="1"/>
      <c r="S235" s="1"/>
      <c r="T235" s="21" t="str">
        <f t="shared" ca="1" si="41"/>
        <v>203 to 703</v>
      </c>
      <c r="U235" s="21">
        <f t="shared" ref="U235:V240" ca="1" si="43">U234+1</f>
        <v>203</v>
      </c>
      <c r="V235" s="21">
        <f t="shared" ca="1" si="43"/>
        <v>703</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25">
      <c r="A236" s="106">
        <v>4</v>
      </c>
      <c r="B236" s="106"/>
      <c r="C236" s="53" t="s">
        <v>94</v>
      </c>
      <c r="D236" s="53" t="s">
        <v>281</v>
      </c>
      <c r="E236" s="32">
        <f>(60.72)*(10.764)</f>
        <v>653.59007999999994</v>
      </c>
      <c r="F236" s="31">
        <f>(1.07*2.95+1.53*1)*(10.764)</f>
        <v>50.445486000000002</v>
      </c>
      <c r="G236" s="31">
        <v>0</v>
      </c>
      <c r="H236" s="31">
        <f t="shared" si="42"/>
        <v>704.0355659999999</v>
      </c>
      <c r="I236" s="1"/>
      <c r="J236" s="1"/>
      <c r="K236" s="1"/>
      <c r="L236" s="1"/>
      <c r="M236" s="1"/>
      <c r="N236" s="1"/>
      <c r="O236" s="1"/>
      <c r="P236" s="1"/>
      <c r="Q236" s="1"/>
      <c r="R236" s="1"/>
      <c r="S236" s="1"/>
      <c r="T236" s="21" t="str">
        <f t="shared" ca="1" si="41"/>
        <v>204 to 704</v>
      </c>
      <c r="U236" s="21">
        <f t="shared" ca="1" si="43"/>
        <v>204</v>
      </c>
      <c r="V236" s="21">
        <f t="shared" ca="1" si="43"/>
        <v>704</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25">
      <c r="A237" s="106">
        <v>5</v>
      </c>
      <c r="B237" s="106"/>
      <c r="C237" s="53" t="s">
        <v>94</v>
      </c>
      <c r="D237" s="53" t="s">
        <v>281</v>
      </c>
      <c r="E237" s="32">
        <f>(56.47)*(10.764)</f>
        <v>607.84307999999999</v>
      </c>
      <c r="F237" s="31">
        <f>(3.05*0.93+1*1.53)*(10.764)</f>
        <v>47.001005999999997</v>
      </c>
      <c r="G237" s="31">
        <v>0</v>
      </c>
      <c r="H237" s="31">
        <f t="shared" si="42"/>
        <v>654.84408599999995</v>
      </c>
      <c r="I237" s="1"/>
      <c r="J237" s="1"/>
      <c r="K237" s="1"/>
      <c r="L237" s="1"/>
      <c r="M237" s="1"/>
      <c r="N237" s="1"/>
      <c r="O237" s="1"/>
      <c r="P237" s="1"/>
      <c r="Q237" s="1"/>
      <c r="R237" s="1"/>
      <c r="S237" s="1"/>
      <c r="T237" s="21" t="str">
        <f t="shared" ca="1" si="41"/>
        <v>205 to 705</v>
      </c>
      <c r="U237" s="21">
        <f t="shared" ca="1" si="43"/>
        <v>205</v>
      </c>
      <c r="V237" s="21">
        <f t="shared" ca="1" si="43"/>
        <v>705</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25">
      <c r="A238" s="106">
        <v>6</v>
      </c>
      <c r="B238" s="106"/>
      <c r="C238" s="53" t="s">
        <v>94</v>
      </c>
      <c r="D238" s="53" t="s">
        <v>281</v>
      </c>
      <c r="E238" s="32">
        <f>(56.47)*(10.764)</f>
        <v>607.84307999999999</v>
      </c>
      <c r="F238" s="31">
        <f>(3.05*0.93+1*1.53)*(10.764)</f>
        <v>47.001005999999997</v>
      </c>
      <c r="G238" s="31">
        <v>0</v>
      </c>
      <c r="H238" s="31">
        <f t="shared" si="42"/>
        <v>654.84408599999995</v>
      </c>
      <c r="I238" s="1"/>
      <c r="J238" s="1"/>
      <c r="K238" s="1"/>
      <c r="L238" s="1"/>
      <c r="M238" s="1"/>
      <c r="N238" s="1"/>
      <c r="O238" s="1"/>
      <c r="P238" s="1"/>
      <c r="Q238" s="1"/>
      <c r="R238" s="1"/>
      <c r="S238" s="1"/>
      <c r="T238" s="21" t="str">
        <f t="shared" ca="1" si="41"/>
        <v>206 to 706</v>
      </c>
      <c r="U238" s="21">
        <f t="shared" ca="1" si="43"/>
        <v>206</v>
      </c>
      <c r="V238" s="21">
        <f t="shared" ca="1" si="43"/>
        <v>706</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25">
      <c r="A239" s="106">
        <v>7</v>
      </c>
      <c r="B239" s="106"/>
      <c r="C239" s="53" t="s">
        <v>94</v>
      </c>
      <c r="D239" s="53" t="s">
        <v>281</v>
      </c>
      <c r="E239" s="32">
        <f>(49.4)*(10.764)</f>
        <v>531.74159999999995</v>
      </c>
      <c r="F239" s="31">
        <f>(1.4*0.93)*(10.764)</f>
        <v>14.014728</v>
      </c>
      <c r="G239" s="31">
        <v>0</v>
      </c>
      <c r="H239" s="31">
        <f t="shared" si="42"/>
        <v>545.75632799999994</v>
      </c>
      <c r="I239" s="1"/>
      <c r="J239" s="1"/>
      <c r="K239" s="1"/>
      <c r="L239" s="1"/>
      <c r="M239" s="1"/>
      <c r="N239" s="1"/>
      <c r="O239" s="1"/>
      <c r="P239" s="1"/>
      <c r="Q239" s="1"/>
      <c r="R239" s="1"/>
      <c r="S239" s="1"/>
      <c r="T239" s="21" t="str">
        <f t="shared" ca="1" si="41"/>
        <v>207 to 707</v>
      </c>
      <c r="U239" s="21">
        <f t="shared" ca="1" si="43"/>
        <v>207</v>
      </c>
      <c r="V239" s="21">
        <f t="shared" ca="1" si="43"/>
        <v>707</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customHeight="1" x14ac:dyDescent="0.25">
      <c r="A240" s="106">
        <v>8</v>
      </c>
      <c r="B240" s="106"/>
      <c r="C240" s="53" t="s">
        <v>94</v>
      </c>
      <c r="D240" s="53" t="s">
        <v>281</v>
      </c>
      <c r="E240" s="32">
        <f>(49.4)*(10.764)</f>
        <v>531.74159999999995</v>
      </c>
      <c r="F240" s="31">
        <f>(1.4*0.93)*(10.764)</f>
        <v>14.014728</v>
      </c>
      <c r="G240" s="31">
        <v>0</v>
      </c>
      <c r="H240" s="31">
        <f t="shared" si="42"/>
        <v>545.75632799999994</v>
      </c>
      <c r="I240" s="1"/>
      <c r="J240" s="1"/>
      <c r="K240" s="1"/>
      <c r="L240" s="1"/>
      <c r="M240" s="1"/>
      <c r="N240" s="1"/>
      <c r="O240" s="1"/>
      <c r="P240" s="1"/>
      <c r="Q240" s="1"/>
      <c r="R240" s="1"/>
      <c r="S240" s="1"/>
      <c r="T240" s="21" t="str">
        <f t="shared" ca="1" si="41"/>
        <v>208 to 708</v>
      </c>
      <c r="U240" s="21">
        <f t="shared" ca="1" si="43"/>
        <v>208</v>
      </c>
      <c r="V240" s="21">
        <f t="shared" ca="1" si="43"/>
        <v>708</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x14ac:dyDescent="0.25">
      <c r="A241" s="137" t="s">
        <v>283</v>
      </c>
      <c r="B241" s="138"/>
      <c r="C241" s="138"/>
      <c r="D241" s="138"/>
      <c r="E241" s="138"/>
      <c r="F241" s="138"/>
      <c r="G241" s="138"/>
      <c r="H241" s="1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x14ac:dyDescent="0.25">
      <c r="A242" s="106">
        <v>1</v>
      </c>
      <c r="B242" s="106"/>
      <c r="C242" s="112" t="s">
        <v>279</v>
      </c>
      <c r="D242" s="113"/>
      <c r="E242" s="113"/>
      <c r="F242" s="113"/>
      <c r="G242" s="113"/>
      <c r="H242" s="114"/>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x14ac:dyDescent="0.25">
      <c r="A243" s="143">
        <f>A242+1</f>
        <v>2</v>
      </c>
      <c r="B243" s="144"/>
      <c r="C243" s="115"/>
      <c r="D243" s="116"/>
      <c r="E243" s="116"/>
      <c r="F243" s="116"/>
      <c r="G243" s="116"/>
      <c r="H243" s="117"/>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x14ac:dyDescent="0.25">
      <c r="A244" s="143">
        <f t="shared" ref="A244:A249" si="44">A243+1</f>
        <v>3</v>
      </c>
      <c r="B244" s="144"/>
      <c r="C244" s="53" t="s">
        <v>94</v>
      </c>
      <c r="D244" s="53" t="s">
        <v>281</v>
      </c>
      <c r="E244" s="32">
        <f>(60.72)*(10.764)</f>
        <v>653.59007999999994</v>
      </c>
      <c r="F244" s="31">
        <f>(1.07*2.95+1.53*1)*(10.764)</f>
        <v>50.445486000000002</v>
      </c>
      <c r="G244" s="31">
        <v>0</v>
      </c>
      <c r="H244" s="31">
        <f t="shared" ref="H244:H249" si="45">E244+F244+(IF(G244&lt;101,G244,IF(G244&lt;201,G244/2,IF(G244&lt;=301,G244/3,G244/4))))</f>
        <v>704.0355659999999</v>
      </c>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25">
      <c r="A245" s="143">
        <f t="shared" si="44"/>
        <v>4</v>
      </c>
      <c r="B245" s="144"/>
      <c r="C245" s="53" t="s">
        <v>94</v>
      </c>
      <c r="D245" s="53" t="s">
        <v>281</v>
      </c>
      <c r="E245" s="32">
        <f>(60.72)*(10.764)</f>
        <v>653.59007999999994</v>
      </c>
      <c r="F245" s="31">
        <f>(1.07*2.95+1.53*1)*(10.764)</f>
        <v>50.445486000000002</v>
      </c>
      <c r="G245" s="31">
        <v>0</v>
      </c>
      <c r="H245" s="31">
        <f t="shared" si="45"/>
        <v>704.0355659999999</v>
      </c>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customHeight="1" x14ac:dyDescent="0.25">
      <c r="A246" s="143">
        <f t="shared" si="44"/>
        <v>5</v>
      </c>
      <c r="B246" s="144"/>
      <c r="C246" s="112" t="s">
        <v>284</v>
      </c>
      <c r="D246" s="113"/>
      <c r="E246" s="113"/>
      <c r="F246" s="113"/>
      <c r="G246" s="113"/>
      <c r="H246" s="114"/>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25">
      <c r="A247" s="143">
        <f t="shared" si="44"/>
        <v>6</v>
      </c>
      <c r="B247" s="144"/>
      <c r="C247" s="115"/>
      <c r="D247" s="116"/>
      <c r="E247" s="116"/>
      <c r="F247" s="116"/>
      <c r="G247" s="116"/>
      <c r="H247" s="117"/>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25">
      <c r="A248" s="143">
        <f t="shared" si="44"/>
        <v>7</v>
      </c>
      <c r="B248" s="144"/>
      <c r="C248" s="53" t="s">
        <v>94</v>
      </c>
      <c r="D248" s="53" t="s">
        <v>281</v>
      </c>
      <c r="E248" s="32">
        <f>(49.4)*(10.764)</f>
        <v>531.74159999999995</v>
      </c>
      <c r="F248" s="31">
        <f>(1.4*0.93)*(10.764)</f>
        <v>14.014728</v>
      </c>
      <c r="G248" s="31">
        <v>0</v>
      </c>
      <c r="H248" s="31">
        <f t="shared" si="45"/>
        <v>545.75632799999994</v>
      </c>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25">
      <c r="A249" s="143">
        <f t="shared" si="44"/>
        <v>8</v>
      </c>
      <c r="B249" s="144"/>
      <c r="C249" s="53" t="s">
        <v>94</v>
      </c>
      <c r="D249" s="53" t="s">
        <v>281</v>
      </c>
      <c r="E249" s="32">
        <f>(49.4)*(10.764)</f>
        <v>531.74159999999995</v>
      </c>
      <c r="F249" s="31">
        <f>(1.4*0.93)*(10.764)</f>
        <v>14.014728</v>
      </c>
      <c r="G249" s="31">
        <v>0</v>
      </c>
      <c r="H249" s="31">
        <f t="shared" si="45"/>
        <v>545.75632799999994</v>
      </c>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x14ac:dyDescent="0.25">
      <c r="A250" s="137" t="s">
        <v>292</v>
      </c>
      <c r="B250" s="138"/>
      <c r="C250" s="138"/>
      <c r="D250" s="138"/>
      <c r="E250" s="138"/>
      <c r="F250" s="138"/>
      <c r="G250" s="138"/>
      <c r="H250" s="1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x14ac:dyDescent="0.25">
      <c r="A251" s="106">
        <v>1</v>
      </c>
      <c r="B251" s="106"/>
      <c r="C251" s="112" t="s">
        <v>286</v>
      </c>
      <c r="D251" s="113"/>
      <c r="E251" s="113"/>
      <c r="F251" s="113"/>
      <c r="G251" s="113"/>
      <c r="H251" s="114"/>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x14ac:dyDescent="0.25">
      <c r="A252" s="143">
        <f>A251+1</f>
        <v>2</v>
      </c>
      <c r="B252" s="144"/>
      <c r="C252" s="115"/>
      <c r="D252" s="116"/>
      <c r="E252" s="116"/>
      <c r="F252" s="116"/>
      <c r="G252" s="116"/>
      <c r="H252" s="117"/>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x14ac:dyDescent="0.25">
      <c r="A253" s="143">
        <f t="shared" ref="A253:A258" si="46">A252+1</f>
        <v>3</v>
      </c>
      <c r="B253" s="144"/>
      <c r="C253" s="53" t="s">
        <v>94</v>
      </c>
      <c r="D253" s="53" t="s">
        <v>281</v>
      </c>
      <c r="E253" s="32">
        <f>(60.72)*(10.764)</f>
        <v>653.59007999999994</v>
      </c>
      <c r="F253" s="31">
        <f>(1.07*2.95+1.53*1)*(10.764)</f>
        <v>50.445486000000002</v>
      </c>
      <c r="G253" s="31">
        <v>0</v>
      </c>
      <c r="H253" s="31">
        <f t="shared" ref="H253:H256" si="47">E253+F253+(IF(G253&lt;101,G253,IF(G253&lt;201,G253/2,IF(G253&lt;=301,G253/3,G253/4))))</f>
        <v>704.0355659999999</v>
      </c>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25">
      <c r="A254" s="143">
        <f t="shared" si="46"/>
        <v>4</v>
      </c>
      <c r="B254" s="144"/>
      <c r="C254" s="53" t="s">
        <v>94</v>
      </c>
      <c r="D254" s="53" t="s">
        <v>281</v>
      </c>
      <c r="E254" s="32">
        <f>(60.72)*(10.764)</f>
        <v>653.59007999999994</v>
      </c>
      <c r="F254" s="31">
        <f>(1.07*2.95+1.53*1)*(10.764)</f>
        <v>50.445486000000002</v>
      </c>
      <c r="G254" s="31">
        <v>0</v>
      </c>
      <c r="H254" s="31">
        <f t="shared" si="47"/>
        <v>704.0355659999999</v>
      </c>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customHeight="1" x14ac:dyDescent="0.25">
      <c r="A255" s="143">
        <f t="shared" si="46"/>
        <v>5</v>
      </c>
      <c r="B255" s="144"/>
      <c r="C255" s="53" t="s">
        <v>94</v>
      </c>
      <c r="D255" s="53" t="s">
        <v>281</v>
      </c>
      <c r="E255" s="32">
        <f>(56.47)*(10.764)</f>
        <v>607.84307999999999</v>
      </c>
      <c r="F255" s="31">
        <f>(3.05*0.93+1*1.53)*(10.764)</f>
        <v>47.001005999999997</v>
      </c>
      <c r="G255" s="31">
        <v>0</v>
      </c>
      <c r="H255" s="31">
        <f t="shared" si="47"/>
        <v>654.84408599999995</v>
      </c>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customHeight="1" x14ac:dyDescent="0.25">
      <c r="A256" s="143">
        <f t="shared" si="46"/>
        <v>6</v>
      </c>
      <c r="B256" s="144"/>
      <c r="C256" s="53" t="s">
        <v>94</v>
      </c>
      <c r="D256" s="53" t="s">
        <v>281</v>
      </c>
      <c r="E256" s="32">
        <f>(56.47)*(10.764)</f>
        <v>607.84307999999999</v>
      </c>
      <c r="F256" s="31">
        <f>(3.05*0.93+1*1.53)*(10.764)</f>
        <v>47.001005999999997</v>
      </c>
      <c r="G256" s="31">
        <v>0</v>
      </c>
      <c r="H256" s="31">
        <f t="shared" si="47"/>
        <v>654.84408599999995</v>
      </c>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customHeight="1" x14ac:dyDescent="0.25">
      <c r="A257" s="143">
        <f t="shared" si="46"/>
        <v>7</v>
      </c>
      <c r="B257" s="144"/>
      <c r="C257" s="53" t="s">
        <v>94</v>
      </c>
      <c r="D257" s="53" t="s">
        <v>281</v>
      </c>
      <c r="E257" s="32">
        <f>(49.4)*(10.764)</f>
        <v>531.74159999999995</v>
      </c>
      <c r="F257" s="31">
        <f>(1.4*0.93)*(10.764)</f>
        <v>14.014728</v>
      </c>
      <c r="G257" s="31">
        <v>0</v>
      </c>
      <c r="H257" s="31">
        <f t="shared" ref="H257:H258" si="48">E257+F257+(IF(G257&lt;101,G257,IF(G257&lt;201,G257/2,IF(G257&lt;=301,G257/3,G257/4))))</f>
        <v>545.75632799999994</v>
      </c>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customHeight="1" x14ac:dyDescent="0.25">
      <c r="A258" s="143">
        <f t="shared" si="46"/>
        <v>8</v>
      </c>
      <c r="B258" s="144"/>
      <c r="C258" s="53" t="s">
        <v>94</v>
      </c>
      <c r="D258" s="53" t="s">
        <v>281</v>
      </c>
      <c r="E258" s="32">
        <f>(49.4)*(10.764)</f>
        <v>531.74159999999995</v>
      </c>
      <c r="F258" s="31">
        <f>(1.4*0.93)*(10.764)</f>
        <v>14.014728</v>
      </c>
      <c r="G258" s="31">
        <v>0</v>
      </c>
      <c r="H258" s="31">
        <f t="shared" si="48"/>
        <v>545.75632799999994</v>
      </c>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x14ac:dyDescent="0.25">
      <c r="A259" s="109" t="s">
        <v>293</v>
      </c>
      <c r="B259" s="110"/>
      <c r="C259" s="110"/>
      <c r="D259" s="110"/>
      <c r="E259" s="110"/>
      <c r="F259" s="110"/>
      <c r="G259" s="110"/>
      <c r="H259" s="11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customHeight="1" x14ac:dyDescent="0.25">
      <c r="A260" s="106">
        <v>1</v>
      </c>
      <c r="B260" s="106"/>
      <c r="C260" s="53" t="s">
        <v>94</v>
      </c>
      <c r="D260" s="53" t="s">
        <v>281</v>
      </c>
      <c r="E260" s="32">
        <f>(56.47)*(10.764)</f>
        <v>607.84307999999999</v>
      </c>
      <c r="F260" s="31">
        <f>(3.05*0.93+1*1.53)*(10.764)</f>
        <v>47.001005999999997</v>
      </c>
      <c r="G260" s="31">
        <v>0</v>
      </c>
      <c r="H260" s="31">
        <f>E260+F260+(IF(G260&lt;101,G260,IF(G260&lt;201,G260/2,IF(G260&lt;=301,G260/3,G260/4))))</f>
        <v>654.84408599999995</v>
      </c>
      <c r="I260" s="1"/>
      <c r="J260" s="1"/>
      <c r="K260" s="1"/>
      <c r="L260" s="1"/>
      <c r="M260" s="1"/>
      <c r="N260" s="1"/>
      <c r="O260" s="1"/>
      <c r="P260" s="1"/>
      <c r="Q260" s="1"/>
      <c r="R260" s="1"/>
      <c r="S260" s="1"/>
      <c r="T260" s="21" t="str">
        <f t="shared" ref="T260:T267" ca="1" si="49">U260&amp;""&amp;",..,"&amp;""&amp;V260</f>
        <v>1001,..,2001</v>
      </c>
      <c r="U260" s="21">
        <f ca="1">(SUMPRODUCT(MID(0&amp;(LEFT(A259,SUM(LEN(A259)-LEN(SUBSTITUTE(A259,{"0","1","2","3"},""))))), LARGE(INDEX(ISNUMBER(--MID((LEFT(A259,SUM(LEN(A259)-LEN(SUBSTITUTE(A259,{"0","1","2","3"},""))))), ROW(INDIRECT("1:"&amp;LEN((LEFT(A259,SUM(LEN(A259)-LEN(SUBSTITUTE(A259,{"0","1","2","3"},"")))))))), 1)) * ROW(INDIRECT("1:"&amp;LEN((LEFT(A259,SUM(LEN(A259)-LEN(SUBSTITUTE(A259,{"0","1","2","3"},"")))))))), 0), ROW(INDIRECT("1:"&amp;LEN((LEFT(A259,SUM(LEN(A259)-LEN(SUBSTITUTE(A259,{"0","1","2","3"},"")))))))))+1, 1) * 10^ROW(INDIRECT("1:"&amp;LEN((LEFT(A259,SUM(LEN(A259)-LEN(SUBSTITUTE(A259,{"0","1","2","3"},""))))))))/10))*100+1</f>
        <v>1001</v>
      </c>
      <c r="V260" s="21">
        <f ca="1">(SUMPRODUCT(MID(0&amp;(--TRIM(RIGHT(SUBSTITUTE(LEFT(A259,_xlfn.AGGREGATE(16,6,FIND({0,1,2,3,4,5,6,7,8,9},A259,ROW(INDIRECT("1:"&amp;LEN(A259)))),1))," ",REPT(" ",LEN(A259))),LEN(A259)))), LARGE(INDEX(ISNUMBER(--MID((--TRIM(RIGHT(SUBSTITUTE(LEFT(A259,_xlfn.AGGREGATE(16,6,FIND({0,1,2,3,4,5,6,7,8,9},A259,ROW(INDIRECT("1:"&amp;LEN(A259)))),1))," ",REPT(" ",LEN(A259))),LEN(A259)))), ROW(INDIRECT("1:"&amp;LEN((--TRIM(RIGHT(SUBSTITUTE(LEFT(A259,_xlfn.AGGREGATE(16,6,FIND({0,1,2,3,4,5,6,7,8,9},A259,ROW(INDIRECT("1:"&amp;LEN(A259)))),1))," ",REPT(" ",LEN(A259))),LEN(A259))))))), 1)) * ROW(INDIRECT("1:"&amp;LEN((--TRIM(RIGHT(SUBSTITUTE(LEFT(A259,_xlfn.AGGREGATE(16,6,FIND({0,1,2,3,4,5,6,7,8,9},A259,ROW(INDIRECT("1:"&amp;LEN(A259)))),1))," ",REPT(" ",LEN(A259))),LEN(A259))))))), 0), ROW(INDIRECT("1:"&amp;LEN((--TRIM(RIGHT(SUBSTITUTE(LEFT(A259,_xlfn.AGGREGATE(16,6,FIND({0,1,2,3,4,5,6,7,8,9},A259,ROW(INDIRECT("1:"&amp;LEN(A259)))),1))," ",REPT(" ",LEN(A259))),LEN(A259))))))))+1, 1) * 10^ROW(INDIRECT("1:"&amp;LEN((--TRIM(RIGHT(SUBSTITUTE(LEFT(A259,_xlfn.AGGREGATE(16,6,FIND({0,1,2,3,4,5,6,7,8,9},A259,ROW(INDIRECT("1:"&amp;LEN(A259)))),1))," ",REPT(" ",LEN(A259))),LEN(A259)))))))/10))*100+1</f>
        <v>2001</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customHeight="1" x14ac:dyDescent="0.25">
      <c r="A261" s="106">
        <v>2</v>
      </c>
      <c r="B261" s="106"/>
      <c r="C261" s="53" t="s">
        <v>94</v>
      </c>
      <c r="D261" s="53" t="s">
        <v>281</v>
      </c>
      <c r="E261" s="32">
        <f>(56.47)*(10.764)</f>
        <v>607.84307999999999</v>
      </c>
      <c r="F261" s="31">
        <f>(3.05*0.93+1*1.53)*(10.764)</f>
        <v>47.001005999999997</v>
      </c>
      <c r="G261" s="31">
        <v>0</v>
      </c>
      <c r="H261" s="31">
        <f t="shared" ref="H261:H267" si="50">E261+F261+(IF(G261&lt;101,G261,IF(G261&lt;201,G261/2,IF(G261&lt;=301,G261/3,G261/4))))</f>
        <v>654.84408599999995</v>
      </c>
      <c r="I261" s="1"/>
      <c r="J261" s="1"/>
      <c r="K261" s="1"/>
      <c r="L261" s="1"/>
      <c r="M261" s="1"/>
      <c r="N261" s="1"/>
      <c r="O261" s="1"/>
      <c r="P261" s="1"/>
      <c r="Q261" s="1"/>
      <c r="R261" s="1"/>
      <c r="S261" s="1"/>
      <c r="T261" s="21" t="str">
        <f t="shared" ca="1" si="49"/>
        <v>1002,..,2002</v>
      </c>
      <c r="U261" s="21">
        <f ca="1">U260+1</f>
        <v>1002</v>
      </c>
      <c r="V261" s="21">
        <f ca="1">V260+1</f>
        <v>2002</v>
      </c>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customHeight="1" x14ac:dyDescent="0.25">
      <c r="A262" s="106">
        <v>3</v>
      </c>
      <c r="B262" s="106"/>
      <c r="C262" s="53" t="s">
        <v>94</v>
      </c>
      <c r="D262" s="53" t="s">
        <v>281</v>
      </c>
      <c r="E262" s="32">
        <f>(60.72)*(10.764)</f>
        <v>653.59007999999994</v>
      </c>
      <c r="F262" s="31">
        <f>(1.07*2.95+1.53*1)*(10.764)</f>
        <v>50.445486000000002</v>
      </c>
      <c r="G262" s="31">
        <v>0</v>
      </c>
      <c r="H262" s="31">
        <f t="shared" si="50"/>
        <v>704.0355659999999</v>
      </c>
      <c r="I262" s="1"/>
      <c r="J262" s="1"/>
      <c r="K262" s="1"/>
      <c r="L262" s="1"/>
      <c r="M262" s="1"/>
      <c r="N262" s="1"/>
      <c r="O262" s="1"/>
      <c r="P262" s="1"/>
      <c r="Q262" s="1"/>
      <c r="R262" s="1"/>
      <c r="S262" s="1"/>
      <c r="T262" s="21" t="str">
        <f t="shared" ca="1" si="49"/>
        <v>1003,..,2003</v>
      </c>
      <c r="U262" s="21">
        <f t="shared" ref="U262:V267" ca="1" si="51">U261+1</f>
        <v>1003</v>
      </c>
      <c r="V262" s="21">
        <f t="shared" ca="1" si="51"/>
        <v>2003</v>
      </c>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customHeight="1" x14ac:dyDescent="0.25">
      <c r="A263" s="106">
        <v>4</v>
      </c>
      <c r="B263" s="106"/>
      <c r="C263" s="53" t="s">
        <v>94</v>
      </c>
      <c r="D263" s="53" t="s">
        <v>281</v>
      </c>
      <c r="E263" s="32">
        <f>(60.72)*(10.764)</f>
        <v>653.59007999999994</v>
      </c>
      <c r="F263" s="31">
        <f>(1.07*2.95+1.53*1)*(10.764)</f>
        <v>50.445486000000002</v>
      </c>
      <c r="G263" s="31">
        <v>0</v>
      </c>
      <c r="H263" s="31">
        <f t="shared" si="50"/>
        <v>704.0355659999999</v>
      </c>
      <c r="I263" s="1"/>
      <c r="J263" s="1"/>
      <c r="K263" s="1"/>
      <c r="L263" s="1"/>
      <c r="M263" s="1"/>
      <c r="N263" s="1"/>
      <c r="O263" s="1"/>
      <c r="P263" s="1"/>
      <c r="Q263" s="1"/>
      <c r="R263" s="1"/>
      <c r="S263" s="1"/>
      <c r="T263" s="21" t="str">
        <f t="shared" ca="1" si="49"/>
        <v>1004,..,2004</v>
      </c>
      <c r="U263" s="21">
        <f t="shared" ca="1" si="51"/>
        <v>1004</v>
      </c>
      <c r="V263" s="21">
        <f t="shared" ca="1" si="51"/>
        <v>2004</v>
      </c>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customHeight="1" x14ac:dyDescent="0.25">
      <c r="A264" s="106">
        <v>5</v>
      </c>
      <c r="B264" s="106"/>
      <c r="C264" s="53" t="s">
        <v>94</v>
      </c>
      <c r="D264" s="53" t="s">
        <v>281</v>
      </c>
      <c r="E264" s="32">
        <f>(56.47)*(10.764)</f>
        <v>607.84307999999999</v>
      </c>
      <c r="F264" s="31">
        <f>(3.05*0.93+1*1.53)*(10.764)</f>
        <v>47.001005999999997</v>
      </c>
      <c r="G264" s="31">
        <v>0</v>
      </c>
      <c r="H264" s="31">
        <f t="shared" si="50"/>
        <v>654.84408599999995</v>
      </c>
      <c r="I264" s="1"/>
      <c r="J264" s="1"/>
      <c r="K264" s="1"/>
      <c r="L264" s="1"/>
      <c r="M264" s="1"/>
      <c r="N264" s="1"/>
      <c r="O264" s="1"/>
      <c r="P264" s="1"/>
      <c r="Q264" s="1"/>
      <c r="R264" s="1"/>
      <c r="S264" s="1"/>
      <c r="T264" s="21" t="str">
        <f t="shared" ca="1" si="49"/>
        <v>1005,..,2005</v>
      </c>
      <c r="U264" s="21">
        <f t="shared" ca="1" si="51"/>
        <v>1005</v>
      </c>
      <c r="V264" s="21">
        <f t="shared" ca="1" si="51"/>
        <v>2005</v>
      </c>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customHeight="1" x14ac:dyDescent="0.25">
      <c r="A265" s="106">
        <v>6</v>
      </c>
      <c r="B265" s="106"/>
      <c r="C265" s="53" t="s">
        <v>94</v>
      </c>
      <c r="D265" s="53" t="s">
        <v>281</v>
      </c>
      <c r="E265" s="32">
        <f>(56.47)*(10.764)</f>
        <v>607.84307999999999</v>
      </c>
      <c r="F265" s="31">
        <f>(3.05*0.93+1*1.53)*(10.764)</f>
        <v>47.001005999999997</v>
      </c>
      <c r="G265" s="31">
        <v>0</v>
      </c>
      <c r="H265" s="31">
        <f t="shared" si="50"/>
        <v>654.84408599999995</v>
      </c>
      <c r="I265" s="1"/>
      <c r="J265" s="1"/>
      <c r="K265" s="1"/>
      <c r="L265" s="1"/>
      <c r="M265" s="1"/>
      <c r="N265" s="1"/>
      <c r="O265" s="1"/>
      <c r="P265" s="1"/>
      <c r="Q265" s="1"/>
      <c r="R265" s="1"/>
      <c r="S265" s="1"/>
      <c r="T265" s="21" t="str">
        <f t="shared" ca="1" si="49"/>
        <v>1006,..,2006</v>
      </c>
      <c r="U265" s="21">
        <f t="shared" ca="1" si="51"/>
        <v>1006</v>
      </c>
      <c r="V265" s="21">
        <f t="shared" ca="1" si="51"/>
        <v>2006</v>
      </c>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customHeight="1" x14ac:dyDescent="0.25">
      <c r="A266" s="106">
        <v>7</v>
      </c>
      <c r="B266" s="106"/>
      <c r="C266" s="53" t="s">
        <v>94</v>
      </c>
      <c r="D266" s="53" t="s">
        <v>281</v>
      </c>
      <c r="E266" s="32">
        <f>(49.4)*(10.764)</f>
        <v>531.74159999999995</v>
      </c>
      <c r="F266" s="31">
        <f>(1.43*0.93)*(10.764)</f>
        <v>14.315043599999999</v>
      </c>
      <c r="G266" s="31">
        <v>0</v>
      </c>
      <c r="H266" s="31">
        <f t="shared" si="50"/>
        <v>546.05664359999992</v>
      </c>
      <c r="I266" s="1"/>
      <c r="J266" s="1"/>
      <c r="K266" s="1"/>
      <c r="L266" s="1"/>
      <c r="M266" s="1"/>
      <c r="N266" s="1"/>
      <c r="O266" s="1"/>
      <c r="P266" s="1"/>
      <c r="Q266" s="1"/>
      <c r="R266" s="1"/>
      <c r="S266" s="1"/>
      <c r="T266" s="21" t="str">
        <f t="shared" ca="1" si="49"/>
        <v>1007,..,2007</v>
      </c>
      <c r="U266" s="21">
        <f t="shared" ca="1" si="51"/>
        <v>1007</v>
      </c>
      <c r="V266" s="21">
        <f t="shared" ca="1" si="51"/>
        <v>2007</v>
      </c>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customHeight="1" x14ac:dyDescent="0.25">
      <c r="A267" s="106">
        <v>8</v>
      </c>
      <c r="B267" s="106"/>
      <c r="C267" s="53" t="s">
        <v>94</v>
      </c>
      <c r="D267" s="53" t="s">
        <v>281</v>
      </c>
      <c r="E267" s="32">
        <f>(49.4)*(10.764)</f>
        <v>531.74159999999995</v>
      </c>
      <c r="F267" s="31">
        <f>(1.43*0.93)*(10.764)</f>
        <v>14.315043599999999</v>
      </c>
      <c r="G267" s="31">
        <v>0</v>
      </c>
      <c r="H267" s="31">
        <f t="shared" si="50"/>
        <v>546.05664359999992</v>
      </c>
      <c r="I267" s="1"/>
      <c r="J267" s="1"/>
      <c r="K267" s="1"/>
      <c r="L267" s="1"/>
      <c r="M267" s="1"/>
      <c r="N267" s="1"/>
      <c r="O267" s="1"/>
      <c r="P267" s="1"/>
      <c r="Q267" s="1"/>
      <c r="R267" s="1"/>
      <c r="S267" s="1"/>
      <c r="T267" s="21" t="str">
        <f t="shared" ca="1" si="49"/>
        <v>1008,..,2008</v>
      </c>
      <c r="U267" s="21">
        <f t="shared" ca="1" si="51"/>
        <v>1008</v>
      </c>
      <c r="V267" s="21">
        <f t="shared" ca="1" si="51"/>
        <v>2008</v>
      </c>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x14ac:dyDescent="0.25">
      <c r="A268" s="137" t="s">
        <v>288</v>
      </c>
      <c r="B268" s="138"/>
      <c r="C268" s="138"/>
      <c r="D268" s="138"/>
      <c r="E268" s="138"/>
      <c r="F268" s="138"/>
      <c r="G268" s="138"/>
      <c r="H268" s="1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x14ac:dyDescent="0.25">
      <c r="A269" s="106">
        <v>1</v>
      </c>
      <c r="B269" s="106"/>
      <c r="C269" s="53" t="s">
        <v>94</v>
      </c>
      <c r="D269" s="53" t="s">
        <v>281</v>
      </c>
      <c r="E269" s="32">
        <f>(56.47)*(10.764)</f>
        <v>607.84307999999999</v>
      </c>
      <c r="F269" s="31">
        <f>(3.05*0.93+1*1.53)*(10.764)</f>
        <v>47.001005999999997</v>
      </c>
      <c r="G269" s="31">
        <v>0</v>
      </c>
      <c r="H269" s="31">
        <f>E269+F269+(IF(G269&lt;101,G269,IF(G269&lt;201,G269/2,IF(G269&lt;=301,G269/3,G269/4))))</f>
        <v>654.84408599999995</v>
      </c>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x14ac:dyDescent="0.25">
      <c r="A270" s="143">
        <f>A269+1</f>
        <v>2</v>
      </c>
      <c r="B270" s="144"/>
      <c r="C270" s="53" t="s">
        <v>94</v>
      </c>
      <c r="D270" s="53" t="s">
        <v>281</v>
      </c>
      <c r="E270" s="32">
        <f>(56.47)*(10.764)</f>
        <v>607.84307999999999</v>
      </c>
      <c r="F270" s="31">
        <f>(3.05*0.93+1*1.53)*(10.764)</f>
        <v>47.001005999999997</v>
      </c>
      <c r="G270" s="31">
        <v>0</v>
      </c>
      <c r="H270" s="31">
        <f t="shared" ref="H270:H276" si="52">E270+F270+(IF(G270&lt;101,G270,IF(G270&lt;201,G270/2,IF(G270&lt;=301,G270/3,G270/4))))</f>
        <v>654.84408599999995</v>
      </c>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x14ac:dyDescent="0.25">
      <c r="A271" s="143">
        <f t="shared" ref="A271:A276" si="53">A270+1</f>
        <v>3</v>
      </c>
      <c r="B271" s="144"/>
      <c r="C271" s="53" t="s">
        <v>94</v>
      </c>
      <c r="D271" s="53" t="s">
        <v>281</v>
      </c>
      <c r="E271" s="32">
        <f>(60.72)*(10.764)</f>
        <v>653.59007999999994</v>
      </c>
      <c r="F271" s="31">
        <f>(1.07*2.95+1.53*1)*(10.764)</f>
        <v>50.445486000000002</v>
      </c>
      <c r="G271" s="31">
        <v>0</v>
      </c>
      <c r="H271" s="31">
        <f t="shared" si="52"/>
        <v>704.0355659999999</v>
      </c>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customHeight="1" x14ac:dyDescent="0.25">
      <c r="A272" s="143">
        <f t="shared" si="53"/>
        <v>4</v>
      </c>
      <c r="B272" s="144"/>
      <c r="C272" s="53" t="s">
        <v>94</v>
      </c>
      <c r="D272" s="53" t="s">
        <v>281</v>
      </c>
      <c r="E272" s="32">
        <f>(60.72)*(10.764)</f>
        <v>653.59007999999994</v>
      </c>
      <c r="F272" s="31">
        <f>(1.07*2.95+1.53*1)*(10.764)</f>
        <v>50.445486000000002</v>
      </c>
      <c r="G272" s="31">
        <v>0</v>
      </c>
      <c r="H272" s="31">
        <f t="shared" si="52"/>
        <v>704.0355659999999</v>
      </c>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customHeight="1" x14ac:dyDescent="0.25">
      <c r="A273" s="143">
        <f t="shared" si="53"/>
        <v>5</v>
      </c>
      <c r="B273" s="144"/>
      <c r="C273" s="112" t="s">
        <v>284</v>
      </c>
      <c r="D273" s="113"/>
      <c r="E273" s="113"/>
      <c r="F273" s="113"/>
      <c r="G273" s="113"/>
      <c r="H273" s="114"/>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customHeight="1" x14ac:dyDescent="0.25">
      <c r="A274" s="143">
        <f t="shared" si="53"/>
        <v>6</v>
      </c>
      <c r="B274" s="144"/>
      <c r="C274" s="115"/>
      <c r="D274" s="116"/>
      <c r="E274" s="116"/>
      <c r="F274" s="116"/>
      <c r="G274" s="116"/>
      <c r="H274" s="117"/>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customHeight="1" x14ac:dyDescent="0.25">
      <c r="A275" s="143">
        <f t="shared" si="53"/>
        <v>7</v>
      </c>
      <c r="B275" s="144"/>
      <c r="C275" s="53" t="s">
        <v>94</v>
      </c>
      <c r="D275" s="53" t="s">
        <v>281</v>
      </c>
      <c r="E275" s="32">
        <f>(49.4)*(10.764)</f>
        <v>531.74159999999995</v>
      </c>
      <c r="F275" s="31">
        <f>(1.43*0.93)*(10.764)</f>
        <v>14.315043599999999</v>
      </c>
      <c r="G275" s="31">
        <v>0</v>
      </c>
      <c r="H275" s="31">
        <f t="shared" si="52"/>
        <v>546.05664359999992</v>
      </c>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customHeight="1" x14ac:dyDescent="0.25">
      <c r="A276" s="143">
        <f t="shared" si="53"/>
        <v>8</v>
      </c>
      <c r="B276" s="144"/>
      <c r="C276" s="53" t="s">
        <v>94</v>
      </c>
      <c r="D276" s="53" t="s">
        <v>281</v>
      </c>
      <c r="E276" s="32">
        <f>(49.4)*(10.764)</f>
        <v>531.74159999999995</v>
      </c>
      <c r="F276" s="31">
        <f>(1.43*0.93)*(10.764)</f>
        <v>14.315043599999999</v>
      </c>
      <c r="G276" s="31">
        <v>0</v>
      </c>
      <c r="H276" s="31">
        <f t="shared" si="52"/>
        <v>546.05664359999992</v>
      </c>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x14ac:dyDescent="0.25">
      <c r="A277" s="109" t="s">
        <v>294</v>
      </c>
      <c r="B277" s="110"/>
      <c r="C277" s="110"/>
      <c r="D277" s="110"/>
      <c r="E277" s="110"/>
      <c r="F277" s="110"/>
      <c r="G277" s="110"/>
      <c r="H277" s="11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customHeight="1" x14ac:dyDescent="0.25">
      <c r="A278" s="106">
        <v>1</v>
      </c>
      <c r="B278" s="106"/>
      <c r="C278" s="53" t="s">
        <v>94</v>
      </c>
      <c r="D278" s="53" t="s">
        <v>281</v>
      </c>
      <c r="E278" s="32">
        <f>(56.47)*(10.764)</f>
        <v>607.84307999999999</v>
      </c>
      <c r="F278" s="31">
        <f>(3.05*0.93+1*1.53)*(10.764)</f>
        <v>47.001005999999997</v>
      </c>
      <c r="G278" s="31">
        <v>0</v>
      </c>
      <c r="H278" s="31">
        <f>E278+F278+(IF(G278&lt;101,G278,IF(G278&lt;201,G278/2,IF(G278&lt;=301,G278/3,G278/4))))</f>
        <v>654.84408599999995</v>
      </c>
      <c r="I278" s="1"/>
      <c r="J278" s="1"/>
      <c r="K278" s="1"/>
      <c r="L278" s="1"/>
      <c r="M278" s="1"/>
      <c r="N278" s="1"/>
      <c r="O278" s="1"/>
      <c r="P278" s="1"/>
      <c r="Q278" s="1"/>
      <c r="R278" s="1"/>
      <c r="S278" s="1"/>
      <c r="T278" s="21" t="str">
        <f t="shared" ref="T278:T285" ca="1" si="54">U278&amp;""&amp;",..,"&amp;""&amp;V278</f>
        <v>212301,..,4201</v>
      </c>
      <c r="U278" s="21">
        <f ca="1">(SUMPRODUCT(MID(0&amp;(LEFT(A277,SUM(LEN(A277)-LEN(SUBSTITUTE(A277,{"0","1","2","3"},""))))), LARGE(INDEX(ISNUMBER(--MID((LEFT(A277,SUM(LEN(A277)-LEN(SUBSTITUTE(A277,{"0","1","2","3"},""))))), ROW(INDIRECT("1:"&amp;LEN((LEFT(A277,SUM(LEN(A277)-LEN(SUBSTITUTE(A277,{"0","1","2","3"},"")))))))), 1)) * ROW(INDIRECT("1:"&amp;LEN((LEFT(A277,SUM(LEN(A277)-LEN(SUBSTITUTE(A277,{"0","1","2","3"},"")))))))), 0), ROW(INDIRECT("1:"&amp;LEN((LEFT(A277,SUM(LEN(A277)-LEN(SUBSTITUTE(A277,{"0","1","2","3"},"")))))))))+1, 1) * 10^ROW(INDIRECT("1:"&amp;LEN((LEFT(A277,SUM(LEN(A277)-LEN(SUBSTITUTE(A277,{"0","1","2","3"},""))))))))/10))*100+1</f>
        <v>212301</v>
      </c>
      <c r="V278" s="21">
        <f ca="1">(SUMPRODUCT(MID(0&amp;(--TRIM(RIGHT(SUBSTITUTE(LEFT(A277,_xlfn.AGGREGATE(16,6,FIND({0,1,2,3,4,5,6,7,8,9},A277,ROW(INDIRECT("1:"&amp;LEN(A277)))),1))," ",REPT(" ",LEN(A277))),LEN(A277)))), LARGE(INDEX(ISNUMBER(--MID((--TRIM(RIGHT(SUBSTITUTE(LEFT(A277,_xlfn.AGGREGATE(16,6,FIND({0,1,2,3,4,5,6,7,8,9},A277,ROW(INDIRECT("1:"&amp;LEN(A277)))),1))," ",REPT(" ",LEN(A277))),LEN(A277)))), ROW(INDIRECT("1:"&amp;LEN((--TRIM(RIGHT(SUBSTITUTE(LEFT(A277,_xlfn.AGGREGATE(16,6,FIND({0,1,2,3,4,5,6,7,8,9},A277,ROW(INDIRECT("1:"&amp;LEN(A277)))),1))," ",REPT(" ",LEN(A277))),LEN(A277))))))), 1)) * ROW(INDIRECT("1:"&amp;LEN((--TRIM(RIGHT(SUBSTITUTE(LEFT(A277,_xlfn.AGGREGATE(16,6,FIND({0,1,2,3,4,5,6,7,8,9},A277,ROW(INDIRECT("1:"&amp;LEN(A277)))),1))," ",REPT(" ",LEN(A277))),LEN(A277))))))), 0), ROW(INDIRECT("1:"&amp;LEN((--TRIM(RIGHT(SUBSTITUTE(LEFT(A277,_xlfn.AGGREGATE(16,6,FIND({0,1,2,3,4,5,6,7,8,9},A277,ROW(INDIRECT("1:"&amp;LEN(A277)))),1))," ",REPT(" ",LEN(A277))),LEN(A277))))))))+1, 1) * 10^ROW(INDIRECT("1:"&amp;LEN((--TRIM(RIGHT(SUBSTITUTE(LEFT(A277,_xlfn.AGGREGATE(16,6,FIND({0,1,2,3,4,5,6,7,8,9},A277,ROW(INDIRECT("1:"&amp;LEN(A277)))),1))," ",REPT(" ",LEN(A277))),LEN(A277)))))))/10))*100+1</f>
        <v>4201</v>
      </c>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customHeight="1" x14ac:dyDescent="0.25">
      <c r="A279" s="106">
        <v>2</v>
      </c>
      <c r="B279" s="106"/>
      <c r="C279" s="53" t="s">
        <v>94</v>
      </c>
      <c r="D279" s="53" t="s">
        <v>281</v>
      </c>
      <c r="E279" s="32">
        <f>(56.47)*(10.764)</f>
        <v>607.84307999999999</v>
      </c>
      <c r="F279" s="31">
        <f>(3.05*0.93+1*1.53)*(10.764)</f>
        <v>47.001005999999997</v>
      </c>
      <c r="G279" s="31">
        <v>0</v>
      </c>
      <c r="H279" s="31">
        <f t="shared" ref="H279:H285" si="55">E279+F279+(IF(G279&lt;101,G279,IF(G279&lt;201,G279/2,IF(G279&lt;=301,G279/3,G279/4))))</f>
        <v>654.84408599999995</v>
      </c>
      <c r="I279" s="1"/>
      <c r="J279" s="1"/>
      <c r="K279" s="1"/>
      <c r="L279" s="1"/>
      <c r="M279" s="1"/>
      <c r="N279" s="1"/>
      <c r="O279" s="1"/>
      <c r="P279" s="1"/>
      <c r="Q279" s="1"/>
      <c r="R279" s="1"/>
      <c r="S279" s="1"/>
      <c r="T279" s="21" t="str">
        <f t="shared" ca="1" si="54"/>
        <v>212302,..,4202</v>
      </c>
      <c r="U279" s="21">
        <f ca="1">U278+1</f>
        <v>212302</v>
      </c>
      <c r="V279" s="21">
        <f ca="1">V278+1</f>
        <v>4202</v>
      </c>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customHeight="1" x14ac:dyDescent="0.25">
      <c r="A280" s="106">
        <v>3</v>
      </c>
      <c r="B280" s="106"/>
      <c r="C280" s="53" t="s">
        <v>94</v>
      </c>
      <c r="D280" s="53" t="s">
        <v>281</v>
      </c>
      <c r="E280" s="32">
        <f>(61.54)*(10.764)</f>
        <v>662.41656</v>
      </c>
      <c r="F280" s="31">
        <f>(1.07*2.95+1.53*1)*(10.764)</f>
        <v>50.445486000000002</v>
      </c>
      <c r="G280" s="31">
        <v>0</v>
      </c>
      <c r="H280" s="31">
        <f t="shared" si="55"/>
        <v>712.86204599999996</v>
      </c>
      <c r="I280" s="1"/>
      <c r="J280" s="1"/>
      <c r="K280" s="1"/>
      <c r="L280" s="1"/>
      <c r="M280" s="1"/>
      <c r="N280" s="1"/>
      <c r="O280" s="1"/>
      <c r="P280" s="1"/>
      <c r="Q280" s="1"/>
      <c r="R280" s="1"/>
      <c r="S280" s="1"/>
      <c r="T280" s="21" t="str">
        <f t="shared" ca="1" si="54"/>
        <v>212303,..,4203</v>
      </c>
      <c r="U280" s="21">
        <f t="shared" ref="U280:V285" ca="1" si="56">U279+1</f>
        <v>212303</v>
      </c>
      <c r="V280" s="21">
        <f t="shared" ca="1" si="56"/>
        <v>4203</v>
      </c>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customHeight="1" x14ac:dyDescent="0.25">
      <c r="A281" s="106">
        <v>4</v>
      </c>
      <c r="B281" s="106"/>
      <c r="C281" s="53" t="s">
        <v>94</v>
      </c>
      <c r="D281" s="53" t="s">
        <v>281</v>
      </c>
      <c r="E281" s="32">
        <f>(61.54)*(10.764)</f>
        <v>662.41656</v>
      </c>
      <c r="F281" s="31">
        <f>(1.07*2.95+1.53*1)*(10.764)</f>
        <v>50.445486000000002</v>
      </c>
      <c r="G281" s="31">
        <v>0</v>
      </c>
      <c r="H281" s="31">
        <f t="shared" si="55"/>
        <v>712.86204599999996</v>
      </c>
      <c r="I281" s="1"/>
      <c r="J281" s="1"/>
      <c r="K281" s="1"/>
      <c r="L281" s="1"/>
      <c r="M281" s="1"/>
      <c r="N281" s="1"/>
      <c r="O281" s="1"/>
      <c r="P281" s="1"/>
      <c r="Q281" s="1"/>
      <c r="R281" s="1"/>
      <c r="S281" s="1"/>
      <c r="T281" s="21" t="str">
        <f t="shared" ca="1" si="54"/>
        <v>212304,..,4204</v>
      </c>
      <c r="U281" s="21">
        <f t="shared" ca="1" si="56"/>
        <v>212304</v>
      </c>
      <c r="V281" s="21">
        <f t="shared" ca="1" si="56"/>
        <v>4204</v>
      </c>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customHeight="1" x14ac:dyDescent="0.25">
      <c r="A282" s="106">
        <v>5</v>
      </c>
      <c r="B282" s="106"/>
      <c r="C282" s="53" t="s">
        <v>94</v>
      </c>
      <c r="D282" s="53" t="s">
        <v>281</v>
      </c>
      <c r="E282" s="32">
        <f>(56.47)*(10.764)</f>
        <v>607.84307999999999</v>
      </c>
      <c r="F282" s="31">
        <f>(3.05*0.93+1*1.53)*(10.764)</f>
        <v>47.001005999999997</v>
      </c>
      <c r="G282" s="31">
        <v>0</v>
      </c>
      <c r="H282" s="31">
        <f t="shared" si="55"/>
        <v>654.84408599999995</v>
      </c>
      <c r="I282" s="1"/>
      <c r="J282" s="1"/>
      <c r="K282" s="1"/>
      <c r="L282" s="1"/>
      <c r="M282" s="1"/>
      <c r="N282" s="1"/>
      <c r="O282" s="1"/>
      <c r="P282" s="1"/>
      <c r="Q282" s="1"/>
      <c r="R282" s="1"/>
      <c r="S282" s="1"/>
      <c r="T282" s="21" t="str">
        <f t="shared" ca="1" si="54"/>
        <v>212305,..,4205</v>
      </c>
      <c r="U282" s="21">
        <f t="shared" ca="1" si="56"/>
        <v>212305</v>
      </c>
      <c r="V282" s="21">
        <f t="shared" ca="1" si="56"/>
        <v>4205</v>
      </c>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customHeight="1" x14ac:dyDescent="0.25">
      <c r="A283" s="106">
        <v>6</v>
      </c>
      <c r="B283" s="106"/>
      <c r="C283" s="53" t="s">
        <v>94</v>
      </c>
      <c r="D283" s="53" t="s">
        <v>281</v>
      </c>
      <c r="E283" s="32">
        <f>(56.47)*(10.764)</f>
        <v>607.84307999999999</v>
      </c>
      <c r="F283" s="31">
        <f>(3.05*0.93+1*1.53)*(10.764)</f>
        <v>47.001005999999997</v>
      </c>
      <c r="G283" s="31">
        <v>0</v>
      </c>
      <c r="H283" s="31">
        <f t="shared" si="55"/>
        <v>654.84408599999995</v>
      </c>
      <c r="I283" s="1"/>
      <c r="J283" s="1"/>
      <c r="K283" s="1"/>
      <c r="L283" s="1"/>
      <c r="M283" s="1"/>
      <c r="N283" s="1"/>
      <c r="O283" s="1"/>
      <c r="P283" s="1"/>
      <c r="Q283" s="1"/>
      <c r="R283" s="1"/>
      <c r="S283" s="1"/>
      <c r="T283" s="21" t="str">
        <f t="shared" ca="1" si="54"/>
        <v>212306,..,4206</v>
      </c>
      <c r="U283" s="21">
        <f t="shared" ca="1" si="56"/>
        <v>212306</v>
      </c>
      <c r="V283" s="21">
        <f t="shared" ca="1" si="56"/>
        <v>4206</v>
      </c>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customHeight="1" x14ac:dyDescent="0.25">
      <c r="A284" s="106">
        <v>7</v>
      </c>
      <c r="B284" s="106"/>
      <c r="C284" s="53" t="s">
        <v>94</v>
      </c>
      <c r="D284" s="53" t="s">
        <v>281</v>
      </c>
      <c r="E284" s="32">
        <f>(49.99)*(10.764)</f>
        <v>538.09235999999999</v>
      </c>
      <c r="F284" s="31">
        <f>(1.43*0.93)*(10.764)</f>
        <v>14.315043599999999</v>
      </c>
      <c r="G284" s="31">
        <v>0</v>
      </c>
      <c r="H284" s="31">
        <f t="shared" si="55"/>
        <v>552.40740359999995</v>
      </c>
      <c r="I284" s="1"/>
      <c r="J284" s="1"/>
      <c r="K284" s="1"/>
      <c r="L284" s="1"/>
      <c r="M284" s="1"/>
      <c r="N284" s="1"/>
      <c r="O284" s="1"/>
      <c r="P284" s="1"/>
      <c r="Q284" s="1"/>
      <c r="R284" s="1"/>
      <c r="S284" s="1"/>
      <c r="T284" s="21" t="str">
        <f t="shared" ca="1" si="54"/>
        <v>212307,..,4207</v>
      </c>
      <c r="U284" s="21">
        <f t="shared" ca="1" si="56"/>
        <v>212307</v>
      </c>
      <c r="V284" s="21">
        <f t="shared" ca="1" si="56"/>
        <v>4207</v>
      </c>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customHeight="1" x14ac:dyDescent="0.25">
      <c r="A285" s="106">
        <v>8</v>
      </c>
      <c r="B285" s="106"/>
      <c r="C285" s="53" t="s">
        <v>94</v>
      </c>
      <c r="D285" s="53" t="s">
        <v>281</v>
      </c>
      <c r="E285" s="32">
        <f>(49.99)*(10.764)</f>
        <v>538.09235999999999</v>
      </c>
      <c r="F285" s="31">
        <f>(1.43*0.93)*(10.764)</f>
        <v>14.315043599999999</v>
      </c>
      <c r="G285" s="31">
        <v>0</v>
      </c>
      <c r="H285" s="31">
        <f t="shared" si="55"/>
        <v>552.40740359999995</v>
      </c>
      <c r="I285" s="1"/>
      <c r="J285" s="1"/>
      <c r="K285" s="1"/>
      <c r="L285" s="1"/>
      <c r="M285" s="1"/>
      <c r="N285" s="1"/>
      <c r="O285" s="1"/>
      <c r="P285" s="1"/>
      <c r="Q285" s="1"/>
      <c r="R285" s="1"/>
      <c r="S285" s="1"/>
      <c r="T285" s="21" t="str">
        <f t="shared" ca="1" si="54"/>
        <v>212308,..,4208</v>
      </c>
      <c r="U285" s="21">
        <f t="shared" ca="1" si="56"/>
        <v>212308</v>
      </c>
      <c r="V285" s="21">
        <f t="shared" ca="1" si="56"/>
        <v>4208</v>
      </c>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x14ac:dyDescent="0.25">
      <c r="A286" s="109" t="s">
        <v>290</v>
      </c>
      <c r="B286" s="110"/>
      <c r="C286" s="110"/>
      <c r="D286" s="110"/>
      <c r="E286" s="110"/>
      <c r="F286" s="110"/>
      <c r="G286" s="110"/>
      <c r="H286" s="11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customHeight="1" x14ac:dyDescent="0.25">
      <c r="A287" s="106">
        <v>1</v>
      </c>
      <c r="B287" s="106"/>
      <c r="C287" s="53" t="s">
        <v>94</v>
      </c>
      <c r="D287" s="53" t="s">
        <v>281</v>
      </c>
      <c r="E287" s="32">
        <f>(56.47)*(10.764)</f>
        <v>607.84307999999999</v>
      </c>
      <c r="F287" s="31">
        <f>(3.05*0.93+1*1.53)*(10.764)</f>
        <v>47.001005999999997</v>
      </c>
      <c r="G287" s="31">
        <v>0</v>
      </c>
      <c r="H287" s="31">
        <f>E287+F287+(IF(G287&lt;101,G287,IF(G287&lt;201,G287/2,IF(G287&lt;=301,G287/3,G287/4))))</f>
        <v>654.84408599999995</v>
      </c>
      <c r="I287" s="1"/>
      <c r="J287" s="1"/>
      <c r="K287" s="1"/>
      <c r="L287" s="1"/>
      <c r="M287" s="1"/>
      <c r="N287" s="1"/>
      <c r="O287" s="1"/>
      <c r="P287" s="1"/>
      <c r="Q287" s="1"/>
      <c r="R287" s="1"/>
      <c r="S287" s="1"/>
      <c r="T287" s="21" t="str">
        <f t="shared" ref="T287:T294" ca="1" si="57">U287&amp;""&amp;",..,"&amp;""&amp;V287</f>
        <v>2201,..,3601</v>
      </c>
      <c r="U287" s="21">
        <f ca="1">(SUMPRODUCT(MID(0&amp;(LEFT(A286,SUM(LEN(A286)-LEN(SUBSTITUTE(A286,{"0","1","2","3"},""))))), LARGE(INDEX(ISNUMBER(--MID((LEFT(A286,SUM(LEN(A286)-LEN(SUBSTITUTE(A286,{"0","1","2","3"},""))))), ROW(INDIRECT("1:"&amp;LEN((LEFT(A286,SUM(LEN(A286)-LEN(SUBSTITUTE(A286,{"0","1","2","3"},"")))))))), 1)) * ROW(INDIRECT("1:"&amp;LEN((LEFT(A286,SUM(LEN(A286)-LEN(SUBSTITUTE(A286,{"0","1","2","3"},"")))))))), 0), ROW(INDIRECT("1:"&amp;LEN((LEFT(A286,SUM(LEN(A286)-LEN(SUBSTITUTE(A286,{"0","1","2","3"},"")))))))))+1, 1) * 10^ROW(INDIRECT("1:"&amp;LEN((LEFT(A286,SUM(LEN(A286)-LEN(SUBSTITUTE(A286,{"0","1","2","3"},""))))))))/10))*100+1</f>
        <v>2201</v>
      </c>
      <c r="V287" s="21">
        <f ca="1">(SUMPRODUCT(MID(0&amp;(--TRIM(RIGHT(SUBSTITUTE(LEFT(A286,_xlfn.AGGREGATE(16,6,FIND({0,1,2,3,4,5,6,7,8,9},A286,ROW(INDIRECT("1:"&amp;LEN(A286)))),1))," ",REPT(" ",LEN(A286))),LEN(A286)))), LARGE(INDEX(ISNUMBER(--MID((--TRIM(RIGHT(SUBSTITUTE(LEFT(A286,_xlfn.AGGREGATE(16,6,FIND({0,1,2,3,4,5,6,7,8,9},A286,ROW(INDIRECT("1:"&amp;LEN(A286)))),1))," ",REPT(" ",LEN(A286))),LEN(A286)))), ROW(INDIRECT("1:"&amp;LEN((--TRIM(RIGHT(SUBSTITUTE(LEFT(A286,_xlfn.AGGREGATE(16,6,FIND({0,1,2,3,4,5,6,7,8,9},A286,ROW(INDIRECT("1:"&amp;LEN(A286)))),1))," ",REPT(" ",LEN(A286))),LEN(A286))))))), 1)) * ROW(INDIRECT("1:"&amp;LEN((--TRIM(RIGHT(SUBSTITUTE(LEFT(A286,_xlfn.AGGREGATE(16,6,FIND({0,1,2,3,4,5,6,7,8,9},A286,ROW(INDIRECT("1:"&amp;LEN(A286)))),1))," ",REPT(" ",LEN(A286))),LEN(A286))))))), 0), ROW(INDIRECT("1:"&amp;LEN((--TRIM(RIGHT(SUBSTITUTE(LEFT(A286,_xlfn.AGGREGATE(16,6,FIND({0,1,2,3,4,5,6,7,8,9},A286,ROW(INDIRECT("1:"&amp;LEN(A286)))),1))," ",REPT(" ",LEN(A286))),LEN(A286))))))))+1, 1) * 10^ROW(INDIRECT("1:"&amp;LEN((--TRIM(RIGHT(SUBSTITUTE(LEFT(A286,_xlfn.AGGREGATE(16,6,FIND({0,1,2,3,4,5,6,7,8,9},A286,ROW(INDIRECT("1:"&amp;LEN(A286)))),1))," ",REPT(" ",LEN(A286))),LEN(A286)))))))/10))*100+1</f>
        <v>3601</v>
      </c>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customHeight="1" x14ac:dyDescent="0.25">
      <c r="A288" s="106">
        <v>2</v>
      </c>
      <c r="B288" s="106"/>
      <c r="C288" s="53" t="s">
        <v>94</v>
      </c>
      <c r="D288" s="53" t="s">
        <v>281</v>
      </c>
      <c r="E288" s="32">
        <f>(56.47)*(10.764)</f>
        <v>607.84307999999999</v>
      </c>
      <c r="F288" s="31">
        <f>(3.05*0.93+1*1.53)*(10.764)</f>
        <v>47.001005999999997</v>
      </c>
      <c r="G288" s="31">
        <v>0</v>
      </c>
      <c r="H288" s="31">
        <f t="shared" ref="H288:H294" si="58">E288+F288+(IF(G288&lt;101,G288,IF(G288&lt;201,G288/2,IF(G288&lt;=301,G288/3,G288/4))))</f>
        <v>654.84408599999995</v>
      </c>
      <c r="I288" s="1"/>
      <c r="J288" s="1"/>
      <c r="K288" s="1"/>
      <c r="L288" s="1"/>
      <c r="M288" s="1"/>
      <c r="N288" s="1"/>
      <c r="O288" s="1"/>
      <c r="P288" s="1"/>
      <c r="Q288" s="1"/>
      <c r="R288" s="1"/>
      <c r="S288" s="1"/>
      <c r="T288" s="21" t="str">
        <f t="shared" ca="1" si="57"/>
        <v>2202,..,3602</v>
      </c>
      <c r="U288" s="21">
        <f ca="1">U287+1</f>
        <v>2202</v>
      </c>
      <c r="V288" s="21">
        <f ca="1">V287+1</f>
        <v>3602</v>
      </c>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customHeight="1" x14ac:dyDescent="0.25">
      <c r="A289" s="106">
        <v>3</v>
      </c>
      <c r="B289" s="106"/>
      <c r="C289" s="53" t="s">
        <v>94</v>
      </c>
      <c r="D289" s="53" t="s">
        <v>281</v>
      </c>
      <c r="E289" s="32">
        <f>(61.54)*(10.764)</f>
        <v>662.41656</v>
      </c>
      <c r="F289" s="31">
        <f>(1.07*2.95+1.53*1)*(10.764)</f>
        <v>50.445486000000002</v>
      </c>
      <c r="G289" s="31">
        <v>0</v>
      </c>
      <c r="H289" s="31">
        <f t="shared" si="58"/>
        <v>712.86204599999996</v>
      </c>
      <c r="I289" s="1"/>
      <c r="J289" s="1"/>
      <c r="K289" s="1"/>
      <c r="L289" s="1"/>
      <c r="M289" s="1"/>
      <c r="N289" s="1"/>
      <c r="O289" s="1"/>
      <c r="P289" s="1"/>
      <c r="Q289" s="1"/>
      <c r="R289" s="1"/>
      <c r="S289" s="1"/>
      <c r="T289" s="21" t="str">
        <f t="shared" ca="1" si="57"/>
        <v>2203,..,3603</v>
      </c>
      <c r="U289" s="21">
        <f t="shared" ref="U289:V289" ca="1" si="59">U288+1</f>
        <v>2203</v>
      </c>
      <c r="V289" s="21">
        <f t="shared" ca="1" si="59"/>
        <v>3603</v>
      </c>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25" customHeight="1" x14ac:dyDescent="0.25">
      <c r="A290" s="106">
        <v>4</v>
      </c>
      <c r="B290" s="106"/>
      <c r="C290" s="53" t="s">
        <v>94</v>
      </c>
      <c r="D290" s="53" t="s">
        <v>281</v>
      </c>
      <c r="E290" s="32">
        <f>(61.54)*(10.764)</f>
        <v>662.41656</v>
      </c>
      <c r="F290" s="31">
        <f>(1.07*2.95+1.53*1)*(10.764)</f>
        <v>50.445486000000002</v>
      </c>
      <c r="G290" s="31">
        <v>0</v>
      </c>
      <c r="H290" s="31">
        <f t="shared" si="58"/>
        <v>712.86204599999996</v>
      </c>
      <c r="I290" s="1"/>
      <c r="J290" s="1"/>
      <c r="K290" s="1"/>
      <c r="L290" s="1"/>
      <c r="M290" s="1"/>
      <c r="N290" s="1"/>
      <c r="O290" s="1"/>
      <c r="P290" s="1"/>
      <c r="Q290" s="1"/>
      <c r="R290" s="1"/>
      <c r="S290" s="1"/>
      <c r="T290" s="21" t="str">
        <f t="shared" ca="1" si="57"/>
        <v>2204,..,3604</v>
      </c>
      <c r="U290" s="21">
        <f t="shared" ref="U290:V290" ca="1" si="60">U289+1</f>
        <v>2204</v>
      </c>
      <c r="V290" s="21">
        <f t="shared" ca="1" si="60"/>
        <v>3604</v>
      </c>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customHeight="1" x14ac:dyDescent="0.25">
      <c r="A291" s="106">
        <v>5</v>
      </c>
      <c r="B291" s="106"/>
      <c r="C291" s="112" t="s">
        <v>284</v>
      </c>
      <c r="D291" s="113"/>
      <c r="E291" s="113"/>
      <c r="F291" s="113"/>
      <c r="G291" s="113"/>
      <c r="H291" s="114"/>
      <c r="I291" s="1"/>
      <c r="J291" s="1"/>
      <c r="K291" s="1"/>
      <c r="L291" s="1"/>
      <c r="M291" s="1"/>
      <c r="N291" s="1"/>
      <c r="O291" s="1"/>
      <c r="P291" s="1"/>
      <c r="Q291" s="1"/>
      <c r="R291" s="1"/>
      <c r="S291" s="1"/>
      <c r="T291" s="21" t="str">
        <f t="shared" ca="1" si="57"/>
        <v>2205,..,3605</v>
      </c>
      <c r="U291" s="21">
        <f t="shared" ref="U291:V291" ca="1" si="61">U290+1</f>
        <v>2205</v>
      </c>
      <c r="V291" s="21">
        <f t="shared" ca="1" si="61"/>
        <v>3605</v>
      </c>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customHeight="1" x14ac:dyDescent="0.25">
      <c r="A292" s="106">
        <v>6</v>
      </c>
      <c r="B292" s="106"/>
      <c r="C292" s="115"/>
      <c r="D292" s="116"/>
      <c r="E292" s="116"/>
      <c r="F292" s="116"/>
      <c r="G292" s="116"/>
      <c r="H292" s="117"/>
      <c r="I292" s="1"/>
      <c r="J292" s="1"/>
      <c r="K292" s="1"/>
      <c r="L292" s="1"/>
      <c r="M292" s="1"/>
      <c r="N292" s="1"/>
      <c r="O292" s="1"/>
      <c r="P292" s="1"/>
      <c r="Q292" s="1"/>
      <c r="R292" s="1"/>
      <c r="S292" s="1"/>
      <c r="T292" s="21" t="str">
        <f t="shared" ca="1" si="57"/>
        <v>2206,..,3606</v>
      </c>
      <c r="U292" s="21">
        <f t="shared" ref="U292:V292" ca="1" si="62">U291+1</f>
        <v>2206</v>
      </c>
      <c r="V292" s="21">
        <f t="shared" ca="1" si="62"/>
        <v>3606</v>
      </c>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customHeight="1" x14ac:dyDescent="0.25">
      <c r="A293" s="106">
        <v>7</v>
      </c>
      <c r="B293" s="106"/>
      <c r="C293" s="53" t="s">
        <v>94</v>
      </c>
      <c r="D293" s="53" t="s">
        <v>281</v>
      </c>
      <c r="E293" s="32">
        <f>(49.99)*(10.764)</f>
        <v>538.09235999999999</v>
      </c>
      <c r="F293" s="31">
        <f>(1.43*0.93)*(10.764)</f>
        <v>14.315043599999999</v>
      </c>
      <c r="G293" s="31">
        <v>0</v>
      </c>
      <c r="H293" s="31">
        <f t="shared" si="58"/>
        <v>552.40740359999995</v>
      </c>
      <c r="I293" s="1"/>
      <c r="J293" s="1"/>
      <c r="K293" s="1"/>
      <c r="L293" s="1"/>
      <c r="M293" s="1"/>
      <c r="N293" s="1"/>
      <c r="O293" s="1"/>
      <c r="P293" s="1"/>
      <c r="Q293" s="1"/>
      <c r="R293" s="1"/>
      <c r="S293" s="1"/>
      <c r="T293" s="21" t="str">
        <f t="shared" ca="1" si="57"/>
        <v>2207,..,3607</v>
      </c>
      <c r="U293" s="21">
        <f t="shared" ref="U293:V293" ca="1" si="63">U292+1</f>
        <v>2207</v>
      </c>
      <c r="V293" s="21">
        <f t="shared" ca="1" si="63"/>
        <v>3607</v>
      </c>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customHeight="1" x14ac:dyDescent="0.25">
      <c r="A294" s="106">
        <v>8</v>
      </c>
      <c r="B294" s="106"/>
      <c r="C294" s="53" t="s">
        <v>94</v>
      </c>
      <c r="D294" s="53" t="s">
        <v>281</v>
      </c>
      <c r="E294" s="32">
        <f>(49.99)*(10.764)</f>
        <v>538.09235999999999</v>
      </c>
      <c r="F294" s="31">
        <f>(1.43*0.93)*(10.764)</f>
        <v>14.315043599999999</v>
      </c>
      <c r="G294" s="31">
        <v>0</v>
      </c>
      <c r="H294" s="31">
        <f t="shared" si="58"/>
        <v>552.40740359999995</v>
      </c>
      <c r="I294" s="1"/>
      <c r="J294" s="1"/>
      <c r="K294" s="1"/>
      <c r="L294" s="1"/>
      <c r="M294" s="1"/>
      <c r="N294" s="1"/>
      <c r="O294" s="1"/>
      <c r="P294" s="1"/>
      <c r="Q294" s="1"/>
      <c r="R294" s="1"/>
      <c r="S294" s="1"/>
      <c r="T294" s="21" t="str">
        <f t="shared" ca="1" si="57"/>
        <v>2208,..,3608</v>
      </c>
      <c r="U294" s="21">
        <f t="shared" ref="U294:V294" ca="1" si="64">U293+1</f>
        <v>2208</v>
      </c>
      <c r="V294" s="21">
        <f t="shared" ca="1" si="64"/>
        <v>3608</v>
      </c>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x14ac:dyDescent="0.25">
      <c r="A295" s="109" t="s">
        <v>291</v>
      </c>
      <c r="B295" s="110"/>
      <c r="C295" s="110"/>
      <c r="D295" s="110"/>
      <c r="E295" s="110"/>
      <c r="F295" s="110"/>
      <c r="G295" s="110"/>
      <c r="H295" s="11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customHeight="1" x14ac:dyDescent="0.25">
      <c r="A296" s="106">
        <v>1</v>
      </c>
      <c r="B296" s="106"/>
      <c r="C296" s="53" t="s">
        <v>94</v>
      </c>
      <c r="D296" s="53" t="s">
        <v>281</v>
      </c>
      <c r="E296" s="32">
        <f>(56.47)*(10.764)</f>
        <v>607.84307999999999</v>
      </c>
      <c r="F296" s="31">
        <f>(3.05*0.93+1*1.53)*(10.764)</f>
        <v>47.001005999999997</v>
      </c>
      <c r="G296" s="31">
        <v>0</v>
      </c>
      <c r="H296" s="31">
        <f>E296+F296+(IF(G296&lt;101,G296,IF(G296&lt;201,G296/2,IF(G296&lt;=301,G296/3,G296/4))))</f>
        <v>654.84408599999995</v>
      </c>
      <c r="I296" s="1"/>
      <c r="J296" s="1"/>
      <c r="K296" s="1"/>
      <c r="L296" s="1"/>
      <c r="M296" s="1"/>
      <c r="N296" s="1"/>
      <c r="O296" s="1"/>
      <c r="P296" s="1"/>
      <c r="Q296" s="1"/>
      <c r="R296" s="1"/>
      <c r="S296" s="1"/>
      <c r="T296" s="21" t="str">
        <f t="shared" ref="T296:T303" ca="1" si="65">U296&amp;""&amp;",..,"&amp;""&amp;V296</f>
        <v>401,..,4301</v>
      </c>
      <c r="U296" s="21">
        <f ca="1">(SUMPRODUCT(MID(0&amp;(LEFT(A295,SUM(LEN(A295)-LEN(SUBSTITUTE(A295,{"0","1","2","3"},""))))), LARGE(INDEX(ISNUMBER(--MID((LEFT(A295,SUM(LEN(A295)-LEN(SUBSTITUTE(A295,{"0","1","2","3"},""))))), ROW(INDIRECT("1:"&amp;LEN((LEFT(A295,SUM(LEN(A295)-LEN(SUBSTITUTE(A295,{"0","1","2","3"},"")))))))), 1)) * ROW(INDIRECT("1:"&amp;LEN((LEFT(A295,SUM(LEN(A295)-LEN(SUBSTITUTE(A295,{"0","1","2","3"},"")))))))), 0), ROW(INDIRECT("1:"&amp;LEN((LEFT(A295,SUM(LEN(A295)-LEN(SUBSTITUTE(A295,{"0","1","2","3"},"")))))))))+1, 1) * 10^ROW(INDIRECT("1:"&amp;LEN((LEFT(A295,SUM(LEN(A295)-LEN(SUBSTITUTE(A295,{"0","1","2","3"},""))))))))/10))*100+1</f>
        <v>401</v>
      </c>
      <c r="V296" s="21">
        <f ca="1">(SUMPRODUCT(MID(0&amp;(--TRIM(RIGHT(SUBSTITUTE(LEFT(A295,_xlfn.AGGREGATE(16,6,FIND({0,1,2,3,4,5,6,7,8,9},A295,ROW(INDIRECT("1:"&amp;LEN(A295)))),1))," ",REPT(" ",LEN(A295))),LEN(A295)))), LARGE(INDEX(ISNUMBER(--MID((--TRIM(RIGHT(SUBSTITUTE(LEFT(A295,_xlfn.AGGREGATE(16,6,FIND({0,1,2,3,4,5,6,7,8,9},A295,ROW(INDIRECT("1:"&amp;LEN(A295)))),1))," ",REPT(" ",LEN(A295))),LEN(A295)))), ROW(INDIRECT("1:"&amp;LEN((--TRIM(RIGHT(SUBSTITUTE(LEFT(A295,_xlfn.AGGREGATE(16,6,FIND({0,1,2,3,4,5,6,7,8,9},A295,ROW(INDIRECT("1:"&amp;LEN(A295)))),1))," ",REPT(" ",LEN(A295))),LEN(A295))))))), 1)) * ROW(INDIRECT("1:"&amp;LEN((--TRIM(RIGHT(SUBSTITUTE(LEFT(A295,_xlfn.AGGREGATE(16,6,FIND({0,1,2,3,4,5,6,7,8,9},A295,ROW(INDIRECT("1:"&amp;LEN(A295)))),1))," ",REPT(" ",LEN(A295))),LEN(A295))))))), 0), ROW(INDIRECT("1:"&amp;LEN((--TRIM(RIGHT(SUBSTITUTE(LEFT(A295,_xlfn.AGGREGATE(16,6,FIND({0,1,2,3,4,5,6,7,8,9},A295,ROW(INDIRECT("1:"&amp;LEN(A295)))),1))," ",REPT(" ",LEN(A295))),LEN(A295))))))))+1, 1) * 10^ROW(INDIRECT("1:"&amp;LEN((--TRIM(RIGHT(SUBSTITUTE(LEFT(A295,_xlfn.AGGREGATE(16,6,FIND({0,1,2,3,4,5,6,7,8,9},A295,ROW(INDIRECT("1:"&amp;LEN(A295)))),1))," ",REPT(" ",LEN(A295))),LEN(A295)))))))/10))*100+1</f>
        <v>4301</v>
      </c>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customHeight="1" x14ac:dyDescent="0.25">
      <c r="A297" s="106">
        <v>2</v>
      </c>
      <c r="B297" s="106"/>
      <c r="C297" s="53" t="s">
        <v>94</v>
      </c>
      <c r="D297" s="53" t="s">
        <v>281</v>
      </c>
      <c r="E297" s="32">
        <f>(56.47)*(10.764)</f>
        <v>607.84307999999999</v>
      </c>
      <c r="F297" s="31">
        <f>(3.05*0.93+1*1.53)*(10.764)</f>
        <v>47.001005999999997</v>
      </c>
      <c r="G297" s="31">
        <v>0</v>
      </c>
      <c r="H297" s="31">
        <f t="shared" ref="H297:H299" si="66">E297+F297+(IF(G297&lt;101,G297,IF(G297&lt;201,G297/2,IF(G297&lt;=301,G297/3,G297/4))))</f>
        <v>654.84408599999995</v>
      </c>
      <c r="I297" s="1"/>
      <c r="J297" s="1"/>
      <c r="K297" s="1"/>
      <c r="L297" s="1"/>
      <c r="M297" s="1"/>
      <c r="N297" s="1"/>
      <c r="O297" s="1"/>
      <c r="P297" s="1"/>
      <c r="Q297" s="1"/>
      <c r="R297" s="1"/>
      <c r="S297" s="1"/>
      <c r="T297" s="21" t="str">
        <f t="shared" ca="1" si="65"/>
        <v>402,..,4302</v>
      </c>
      <c r="U297" s="21">
        <f ca="1">U296+1</f>
        <v>402</v>
      </c>
      <c r="V297" s="21">
        <f ca="1">V296+1</f>
        <v>4302</v>
      </c>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customHeight="1" x14ac:dyDescent="0.25">
      <c r="A298" s="106">
        <v>3</v>
      </c>
      <c r="B298" s="106"/>
      <c r="C298" s="53" t="s">
        <v>94</v>
      </c>
      <c r="D298" s="53" t="s">
        <v>281</v>
      </c>
      <c r="E298" s="32">
        <f>(61.54)*(10.764)</f>
        <v>662.41656</v>
      </c>
      <c r="F298" s="31">
        <f>(1.07*2.95+1.53*1)*(10.764)</f>
        <v>50.445486000000002</v>
      </c>
      <c r="G298" s="31">
        <v>0</v>
      </c>
      <c r="H298" s="31">
        <f t="shared" si="66"/>
        <v>712.86204599999996</v>
      </c>
      <c r="I298" s="1"/>
      <c r="J298" s="1"/>
      <c r="K298" s="1"/>
      <c r="L298" s="1"/>
      <c r="M298" s="1"/>
      <c r="N298" s="1"/>
      <c r="O298" s="1"/>
      <c r="P298" s="1"/>
      <c r="Q298" s="1"/>
      <c r="R298" s="1"/>
      <c r="S298" s="1"/>
      <c r="T298" s="21" t="str">
        <f t="shared" ca="1" si="65"/>
        <v>403,..,4303</v>
      </c>
      <c r="U298" s="21">
        <f t="shared" ref="U298:V298" ca="1" si="67">U297+1</f>
        <v>403</v>
      </c>
      <c r="V298" s="21">
        <f t="shared" ca="1" si="67"/>
        <v>4303</v>
      </c>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customHeight="1" x14ac:dyDescent="0.25">
      <c r="A299" s="106">
        <v>4</v>
      </c>
      <c r="B299" s="106"/>
      <c r="C299" s="53" t="s">
        <v>94</v>
      </c>
      <c r="D299" s="53" t="s">
        <v>281</v>
      </c>
      <c r="E299" s="32">
        <f>(61.54)*(10.764)</f>
        <v>662.41656</v>
      </c>
      <c r="F299" s="31">
        <f>(1.07*2.95+1.53*1)*(10.764)</f>
        <v>50.445486000000002</v>
      </c>
      <c r="G299" s="31">
        <v>0</v>
      </c>
      <c r="H299" s="31">
        <f t="shared" si="66"/>
        <v>712.86204599999996</v>
      </c>
      <c r="I299" s="1"/>
      <c r="J299" s="1"/>
      <c r="K299" s="1"/>
      <c r="L299" s="1"/>
      <c r="M299" s="1"/>
      <c r="N299" s="1"/>
      <c r="O299" s="1"/>
      <c r="P299" s="1"/>
      <c r="Q299" s="1"/>
      <c r="R299" s="1"/>
      <c r="S299" s="1"/>
      <c r="T299" s="21" t="str">
        <f t="shared" ca="1" si="65"/>
        <v>404,..,4304</v>
      </c>
      <c r="U299" s="21">
        <f t="shared" ref="U299:V299" ca="1" si="68">U298+1</f>
        <v>404</v>
      </c>
      <c r="V299" s="21">
        <f t="shared" ca="1" si="68"/>
        <v>4304</v>
      </c>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customHeight="1" x14ac:dyDescent="0.25">
      <c r="A300" s="106">
        <v>5</v>
      </c>
      <c r="B300" s="106"/>
      <c r="C300" s="112" t="s">
        <v>284</v>
      </c>
      <c r="D300" s="113"/>
      <c r="E300" s="113"/>
      <c r="F300" s="113"/>
      <c r="G300" s="113"/>
      <c r="H300" s="114"/>
      <c r="I300" s="1"/>
      <c r="J300" s="1"/>
      <c r="K300" s="1"/>
      <c r="L300" s="1"/>
      <c r="M300" s="1"/>
      <c r="N300" s="1"/>
      <c r="O300" s="1"/>
      <c r="P300" s="1"/>
      <c r="Q300" s="1"/>
      <c r="R300" s="1"/>
      <c r="S300" s="1"/>
      <c r="T300" s="21" t="str">
        <f t="shared" ca="1" si="65"/>
        <v>405,..,4305</v>
      </c>
      <c r="U300" s="21">
        <f t="shared" ref="U300:V300" ca="1" si="69">U299+1</f>
        <v>405</v>
      </c>
      <c r="V300" s="21">
        <f t="shared" ca="1" si="69"/>
        <v>4305</v>
      </c>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customHeight="1" x14ac:dyDescent="0.25">
      <c r="A301" s="106">
        <v>6</v>
      </c>
      <c r="B301" s="106"/>
      <c r="C301" s="53" t="s">
        <v>94</v>
      </c>
      <c r="D301" s="53" t="s">
        <v>281</v>
      </c>
      <c r="E301" s="31">
        <f>(69.13)*(10.764)</f>
        <v>744.11531999999988</v>
      </c>
      <c r="F301" s="31">
        <f>(6.25*0.93+1*1.53)*(10.764)</f>
        <v>79.034669999999991</v>
      </c>
      <c r="G301" s="31">
        <v>0</v>
      </c>
      <c r="H301" s="31">
        <f t="shared" ref="H301:H303" si="70">E301+F301+(IF(G301&lt;101,G301,IF(G301&lt;201,G301/2,IF(G301&lt;=301,G301/3,G301/4))))</f>
        <v>823.14998999999989</v>
      </c>
      <c r="I301" s="1"/>
      <c r="J301" s="1"/>
      <c r="K301" s="1"/>
      <c r="L301" s="1"/>
      <c r="M301" s="1"/>
      <c r="N301" s="1"/>
      <c r="O301" s="1"/>
      <c r="P301" s="1"/>
      <c r="Q301" s="1"/>
      <c r="R301" s="1"/>
      <c r="S301" s="1"/>
      <c r="T301" s="21" t="str">
        <f t="shared" ca="1" si="65"/>
        <v>406,..,4306</v>
      </c>
      <c r="U301" s="21">
        <f t="shared" ref="U301:V301" ca="1" si="71">U300+1</f>
        <v>406</v>
      </c>
      <c r="V301" s="21">
        <f t="shared" ca="1" si="71"/>
        <v>4306</v>
      </c>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customHeight="1" x14ac:dyDescent="0.25">
      <c r="A302" s="106">
        <v>7</v>
      </c>
      <c r="B302" s="106"/>
      <c r="C302" s="53" t="s">
        <v>94</v>
      </c>
      <c r="D302" s="53" t="s">
        <v>281</v>
      </c>
      <c r="E302" s="32">
        <f>(49.99)*(10.764)</f>
        <v>538.09235999999999</v>
      </c>
      <c r="F302" s="31">
        <f>(1.43*0.93)*(10.764)</f>
        <v>14.315043599999999</v>
      </c>
      <c r="G302" s="31">
        <v>0</v>
      </c>
      <c r="H302" s="31">
        <f t="shared" si="70"/>
        <v>552.40740359999995</v>
      </c>
      <c r="I302" s="1"/>
      <c r="J302" s="1"/>
      <c r="K302" s="1"/>
      <c r="L302" s="1"/>
      <c r="M302" s="1"/>
      <c r="N302" s="1"/>
      <c r="O302" s="1"/>
      <c r="P302" s="1"/>
      <c r="Q302" s="1"/>
      <c r="R302" s="1"/>
      <c r="S302" s="1"/>
      <c r="T302" s="21" t="str">
        <f t="shared" ca="1" si="65"/>
        <v>407,..,4307</v>
      </c>
      <c r="U302" s="21">
        <f t="shared" ref="U302:V302" ca="1" si="72">U301+1</f>
        <v>407</v>
      </c>
      <c r="V302" s="21">
        <f t="shared" ca="1" si="72"/>
        <v>4307</v>
      </c>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customHeight="1" x14ac:dyDescent="0.25">
      <c r="A303" s="106">
        <v>8</v>
      </c>
      <c r="B303" s="106"/>
      <c r="C303" s="53" t="s">
        <v>94</v>
      </c>
      <c r="D303" s="53" t="s">
        <v>281</v>
      </c>
      <c r="E303" s="32">
        <f>(49.99)*(10.764)</f>
        <v>538.09235999999999</v>
      </c>
      <c r="F303" s="31">
        <f>(1.43*0.93)*(10.764)</f>
        <v>14.315043599999999</v>
      </c>
      <c r="G303" s="31">
        <v>0</v>
      </c>
      <c r="H303" s="31">
        <f t="shared" si="70"/>
        <v>552.40740359999995</v>
      </c>
      <c r="I303" s="1"/>
      <c r="J303" s="1"/>
      <c r="K303" s="1"/>
      <c r="L303" s="1"/>
      <c r="M303" s="1"/>
      <c r="N303" s="1"/>
      <c r="O303" s="1"/>
      <c r="P303" s="1"/>
      <c r="Q303" s="1"/>
      <c r="R303" s="1"/>
      <c r="S303" s="1"/>
      <c r="T303" s="21" t="str">
        <f t="shared" ca="1" si="65"/>
        <v>408,..,4308</v>
      </c>
      <c r="U303" s="21">
        <f t="shared" ref="U303:V303" ca="1" si="73">U302+1</f>
        <v>408</v>
      </c>
      <c r="V303" s="21">
        <f t="shared" ca="1" si="73"/>
        <v>4308</v>
      </c>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x14ac:dyDescent="0.25">
      <c r="A304" s="137" t="s">
        <v>307</v>
      </c>
      <c r="B304" s="138"/>
      <c r="C304" s="138"/>
      <c r="D304" s="138"/>
      <c r="E304" s="138"/>
      <c r="F304" s="138"/>
      <c r="G304" s="138"/>
      <c r="H304" s="139"/>
      <c r="I304" s="32">
        <v>10.763999999999999</v>
      </c>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x14ac:dyDescent="0.25">
      <c r="A305" s="109" t="s">
        <v>315</v>
      </c>
      <c r="B305" s="110"/>
      <c r="C305" s="110"/>
      <c r="D305" s="110"/>
      <c r="E305" s="110"/>
      <c r="F305" s="110"/>
      <c r="G305" s="110"/>
      <c r="H305" s="11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x14ac:dyDescent="0.25">
      <c r="A306" s="109" t="s">
        <v>314</v>
      </c>
      <c r="B306" s="110"/>
      <c r="C306" s="110"/>
      <c r="D306" s="110"/>
      <c r="E306" s="110"/>
      <c r="F306" s="110"/>
      <c r="G306" s="110"/>
      <c r="H306" s="11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x14ac:dyDescent="0.25">
      <c r="A307" s="109" t="s">
        <v>316</v>
      </c>
      <c r="B307" s="110"/>
      <c r="C307" s="110"/>
      <c r="D307" s="110"/>
      <c r="E307" s="110"/>
      <c r="F307" s="110"/>
      <c r="G307" s="110"/>
      <c r="H307" s="11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customHeight="1" x14ac:dyDescent="0.25">
      <c r="A308" s="106">
        <v>1</v>
      </c>
      <c r="B308" s="106"/>
      <c r="C308" s="53" t="s">
        <v>94</v>
      </c>
      <c r="D308" s="53" t="s">
        <v>317</v>
      </c>
      <c r="E308" s="32">
        <f>(10.62*4+5.15*2.65+2.1*1.25+2*1.2)*10.764</f>
        <v>658.24550999999997</v>
      </c>
      <c r="F308" s="31">
        <v>0</v>
      </c>
      <c r="G308" s="31">
        <v>0</v>
      </c>
      <c r="H308" s="31">
        <f>E308+F308+(IF(G308&lt;101,G308,IF(G308&lt;201,G308/2,IF(G308&lt;=301,G308/3,G308/4))))</f>
        <v>658.24550999999997</v>
      </c>
      <c r="I308" s="1"/>
      <c r="J308" s="1"/>
      <c r="K308" s="1"/>
      <c r="L308" s="1"/>
      <c r="M308" s="1"/>
      <c r="N308" s="1"/>
      <c r="O308" s="1"/>
      <c r="P308" s="1"/>
      <c r="Q308" s="1"/>
      <c r="R308" s="1"/>
      <c r="S308" s="1"/>
      <c r="T308" s="21" t="e">
        <f t="shared" ref="T308:T315" ca="1" si="74">U308&amp;""&amp;",..,"&amp;""&amp;V308</f>
        <v>#REF!</v>
      </c>
      <c r="U308" s="21" t="e">
        <f ca="1">(SUMPRODUCT(MID(0&amp;(LEFT(A307,SUM(LEN(A307)-LEN(SUBSTITUTE(A307,{"0","1","2","3"},""))))), LARGE(INDEX(ISNUMBER(--MID((LEFT(A307,SUM(LEN(A307)-LEN(SUBSTITUTE(A307,{"0","1","2","3"},""))))), ROW(INDIRECT("1:"&amp;LEN((LEFT(A307,SUM(LEN(A307)-LEN(SUBSTITUTE(A307,{"0","1","2","3"},"")))))))), 1)) * ROW(INDIRECT("1:"&amp;LEN((LEFT(A307,SUM(LEN(A307)-LEN(SUBSTITUTE(A307,{"0","1","2","3"},"")))))))), 0), ROW(INDIRECT("1:"&amp;LEN((LEFT(A307,SUM(LEN(A307)-LEN(SUBSTITUTE(A307,{"0","1","2","3"},"")))))))))+1, 1) * 10^ROW(INDIRECT("1:"&amp;LEN((LEFT(A307,SUM(LEN(A307)-LEN(SUBSTITUTE(A307,{"0","1","2","3"},""))))))))/10))*100+1</f>
        <v>#REF!</v>
      </c>
      <c r="V308" s="21" t="e">
        <f ca="1">(SUMPRODUCT(MID(0&amp;(--TRIM(RIGHT(SUBSTITUTE(LEFT(A307,_xlfn.AGGREGATE(16,6,FIND({0,1,2,3,4,5,6,7,8,9},A307,ROW(INDIRECT("1:"&amp;LEN(A307)))),1))," ",REPT(" ",LEN(A307))),LEN(A307)))), LARGE(INDEX(ISNUMBER(--MID((--TRIM(RIGHT(SUBSTITUTE(LEFT(A307,_xlfn.AGGREGATE(16,6,FIND({0,1,2,3,4,5,6,7,8,9},A307,ROW(INDIRECT("1:"&amp;LEN(A307)))),1))," ",REPT(" ",LEN(A307))),LEN(A307)))), ROW(INDIRECT("1:"&amp;LEN((--TRIM(RIGHT(SUBSTITUTE(LEFT(A307,_xlfn.AGGREGATE(16,6,FIND({0,1,2,3,4,5,6,7,8,9},A307,ROW(INDIRECT("1:"&amp;LEN(A307)))),1))," ",REPT(" ",LEN(A307))),LEN(A307))))))), 1)) * ROW(INDIRECT("1:"&amp;LEN((--TRIM(RIGHT(SUBSTITUTE(LEFT(A307,_xlfn.AGGREGATE(16,6,FIND({0,1,2,3,4,5,6,7,8,9},A307,ROW(INDIRECT("1:"&amp;LEN(A307)))),1))," ",REPT(" ",LEN(A307))),LEN(A307))))))), 0), ROW(INDIRECT("1:"&amp;LEN((--TRIM(RIGHT(SUBSTITUTE(LEFT(A307,_xlfn.AGGREGATE(16,6,FIND({0,1,2,3,4,5,6,7,8,9},A307,ROW(INDIRECT("1:"&amp;LEN(A307)))),1))," ",REPT(" ",LEN(A307))),LEN(A307))))))))+1, 1) * 10^ROW(INDIRECT("1:"&amp;LEN((--TRIM(RIGHT(SUBSTITUTE(LEFT(A307,_xlfn.AGGREGATE(16,6,FIND({0,1,2,3,4,5,6,7,8,9},A307,ROW(INDIRECT("1:"&amp;LEN(A307)))),1))," ",REPT(" ",LEN(A307))),LEN(A307)))))))/10))*100+1</f>
        <v>#NUM!</v>
      </c>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customHeight="1" x14ac:dyDescent="0.25">
      <c r="A309" s="106">
        <f>A308+1</f>
        <v>2</v>
      </c>
      <c r="B309" s="106"/>
      <c r="C309" s="53" t="s">
        <v>94</v>
      </c>
      <c r="D309" s="53" t="s">
        <v>317</v>
      </c>
      <c r="E309" s="32">
        <f>(11.2*4+4.58*2.65+2*1.2+1.53*1.25)*10.764</f>
        <v>659.2896179999999</v>
      </c>
      <c r="F309" s="31">
        <v>0</v>
      </c>
      <c r="G309" s="31">
        <v>0</v>
      </c>
      <c r="H309" s="31">
        <f t="shared" ref="H309:H315" si="75">E309+F309+(IF(G309&lt;101,G309,IF(G309&lt;201,G309/2,IF(G309&lt;=301,G309/3,G309/4))))</f>
        <v>659.2896179999999</v>
      </c>
      <c r="I309" s="1"/>
      <c r="J309" s="1"/>
      <c r="K309" s="1"/>
      <c r="L309" s="1"/>
      <c r="M309" s="1"/>
      <c r="N309" s="1"/>
      <c r="O309" s="1"/>
      <c r="P309" s="1"/>
      <c r="Q309" s="1"/>
      <c r="R309" s="1"/>
      <c r="S309" s="1"/>
      <c r="T309" s="21" t="e">
        <f t="shared" ca="1" si="74"/>
        <v>#REF!</v>
      </c>
      <c r="U309" s="21" t="e">
        <f ca="1">U308+1</f>
        <v>#REF!</v>
      </c>
      <c r="V309" s="21" t="e">
        <f ca="1">V308+1</f>
        <v>#NUM!</v>
      </c>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customHeight="1" x14ac:dyDescent="0.25">
      <c r="A310" s="106">
        <f t="shared" ref="A310:A315" si="76">A309+1</f>
        <v>3</v>
      </c>
      <c r="B310" s="106"/>
      <c r="C310" s="53" t="s">
        <v>94</v>
      </c>
      <c r="D310" s="53" t="s">
        <v>317</v>
      </c>
      <c r="E310" s="32">
        <f>(11.2*4+4.58*2.65+2*1.2+1.53*1.2)*10.764</f>
        <v>658.46617199999991</v>
      </c>
      <c r="F310" s="31">
        <v>0</v>
      </c>
      <c r="G310" s="31">
        <v>0</v>
      </c>
      <c r="H310" s="31">
        <f t="shared" si="75"/>
        <v>658.46617199999991</v>
      </c>
      <c r="I310" s="1"/>
      <c r="J310" s="1"/>
      <c r="K310" s="1"/>
      <c r="L310" s="1"/>
      <c r="M310" s="1"/>
      <c r="N310" s="1"/>
      <c r="O310" s="1"/>
      <c r="P310" s="1"/>
      <c r="Q310" s="1"/>
      <c r="R310" s="1"/>
      <c r="S310" s="1"/>
      <c r="T310" s="21" t="e">
        <f t="shared" ca="1" si="74"/>
        <v>#REF!</v>
      </c>
      <c r="U310" s="21" t="e">
        <f t="shared" ref="U310:U324" ca="1" si="77">U309+1</f>
        <v>#REF!</v>
      </c>
      <c r="V310" s="21" t="e">
        <f t="shared" ref="V310:V324" ca="1" si="78">V309+1</f>
        <v>#NUM!</v>
      </c>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20.25" customHeight="1" x14ac:dyDescent="0.25">
      <c r="A311" s="106">
        <f t="shared" si="76"/>
        <v>4</v>
      </c>
      <c r="B311" s="106"/>
      <c r="C311" s="53" t="s">
        <v>94</v>
      </c>
      <c r="D311" s="53" t="s">
        <v>317</v>
      </c>
      <c r="E311" s="32">
        <f>(10.63*4+5.15*2.65+2*1.2+2.1*1.25)*10.764</f>
        <v>658.67606999999998</v>
      </c>
      <c r="F311" s="31">
        <v>0</v>
      </c>
      <c r="G311" s="31">
        <v>0</v>
      </c>
      <c r="H311" s="31">
        <f t="shared" si="75"/>
        <v>658.67606999999998</v>
      </c>
      <c r="I311" s="1"/>
      <c r="J311" s="1"/>
      <c r="K311" s="1"/>
      <c r="L311" s="1"/>
      <c r="M311" s="1"/>
      <c r="N311" s="1"/>
      <c r="O311" s="1"/>
      <c r="P311" s="1"/>
      <c r="Q311" s="1"/>
      <c r="R311" s="1"/>
      <c r="S311" s="1"/>
      <c r="T311" s="21" t="e">
        <f t="shared" ca="1" si="74"/>
        <v>#REF!</v>
      </c>
      <c r="U311" s="21" t="e">
        <f t="shared" ca="1" si="77"/>
        <v>#REF!</v>
      </c>
      <c r="V311" s="21" t="e">
        <f t="shared" ca="1" si="78"/>
        <v>#NUM!</v>
      </c>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25" customHeight="1" x14ac:dyDescent="0.25">
      <c r="A312" s="106">
        <f t="shared" si="76"/>
        <v>5</v>
      </c>
      <c r="B312" s="106"/>
      <c r="C312" s="53" t="s">
        <v>94</v>
      </c>
      <c r="D312" s="53" t="s">
        <v>317</v>
      </c>
      <c r="E312" s="32">
        <f>(10.63*4+5.15*2.65+2*1.2+2.1*1.25)*10.764</f>
        <v>658.67606999999998</v>
      </c>
      <c r="F312" s="31">
        <v>0</v>
      </c>
      <c r="G312" s="31">
        <v>0</v>
      </c>
      <c r="H312" s="31">
        <f t="shared" si="75"/>
        <v>658.67606999999998</v>
      </c>
      <c r="I312" s="1"/>
      <c r="J312" s="1"/>
      <c r="K312" s="1"/>
      <c r="L312" s="1"/>
      <c r="M312" s="1"/>
      <c r="N312" s="1"/>
      <c r="O312" s="1"/>
      <c r="P312" s="1"/>
      <c r="Q312" s="1"/>
      <c r="R312" s="1"/>
      <c r="S312" s="1"/>
      <c r="T312" s="21" t="e">
        <f t="shared" ca="1" si="74"/>
        <v>#REF!</v>
      </c>
      <c r="U312" s="21" t="e">
        <f t="shared" ca="1" si="77"/>
        <v>#REF!</v>
      </c>
      <c r="V312" s="21" t="e">
        <f t="shared" ca="1" si="78"/>
        <v>#NUM!</v>
      </c>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25" customHeight="1" x14ac:dyDescent="0.25">
      <c r="A313" s="106">
        <f t="shared" si="76"/>
        <v>6</v>
      </c>
      <c r="B313" s="106"/>
      <c r="C313" s="53" t="s">
        <v>94</v>
      </c>
      <c r="D313" s="53" t="s">
        <v>317</v>
      </c>
      <c r="E313" s="32">
        <f>(10.63*4+5.15*2.64+2*1.2+2.1*1.26)*10.764</f>
        <v>658.34776799999997</v>
      </c>
      <c r="F313" s="31">
        <v>0</v>
      </c>
      <c r="G313" s="31">
        <v>0</v>
      </c>
      <c r="H313" s="31">
        <f t="shared" si="75"/>
        <v>658.34776799999997</v>
      </c>
      <c r="I313" s="1"/>
      <c r="J313" s="1"/>
      <c r="K313" s="1"/>
      <c r="L313" s="1"/>
      <c r="M313" s="1"/>
      <c r="N313" s="1"/>
      <c r="O313" s="1"/>
      <c r="P313" s="1"/>
      <c r="Q313" s="1"/>
      <c r="R313" s="1"/>
      <c r="S313" s="1"/>
      <c r="T313" s="21" t="e">
        <f t="shared" ca="1" si="74"/>
        <v>#REF!</v>
      </c>
      <c r="U313" s="21" t="e">
        <f t="shared" ca="1" si="77"/>
        <v>#REF!</v>
      </c>
      <c r="V313" s="21" t="e">
        <f t="shared" ca="1" si="78"/>
        <v>#NUM!</v>
      </c>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customHeight="1" x14ac:dyDescent="0.25">
      <c r="A314" s="106">
        <f t="shared" si="76"/>
        <v>7</v>
      </c>
      <c r="B314" s="106"/>
      <c r="C314" s="53" t="s">
        <v>94</v>
      </c>
      <c r="D314" s="53" t="s">
        <v>317</v>
      </c>
      <c r="E314" s="32">
        <f>(10.63*4+5.15*2.66+2*1.2+2.1*1.24)*10.764</f>
        <v>659.00437199999999</v>
      </c>
      <c r="F314" s="31">
        <v>0</v>
      </c>
      <c r="G314" s="31">
        <v>0</v>
      </c>
      <c r="H314" s="31">
        <f t="shared" si="75"/>
        <v>659.00437199999999</v>
      </c>
      <c r="I314" s="1"/>
      <c r="J314" s="1"/>
      <c r="K314" s="1"/>
      <c r="L314" s="1"/>
      <c r="M314" s="1"/>
      <c r="N314" s="1"/>
      <c r="O314" s="1"/>
      <c r="P314" s="1"/>
      <c r="Q314" s="1"/>
      <c r="R314" s="1"/>
      <c r="S314" s="1"/>
      <c r="T314" s="21" t="e">
        <f t="shared" ca="1" si="74"/>
        <v>#REF!</v>
      </c>
      <c r="U314" s="21" t="e">
        <f t="shared" ca="1" si="77"/>
        <v>#REF!</v>
      </c>
      <c r="V314" s="21" t="e">
        <f t="shared" ca="1" si="78"/>
        <v>#NUM!</v>
      </c>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customHeight="1" x14ac:dyDescent="0.25">
      <c r="A315" s="106">
        <f t="shared" si="76"/>
        <v>8</v>
      </c>
      <c r="B315" s="106"/>
      <c r="C315" s="53" t="s">
        <v>94</v>
      </c>
      <c r="D315" s="53" t="s">
        <v>317</v>
      </c>
      <c r="E315" s="32">
        <f>(11.2*4+7.13*2.65+2.4*1.35+2*1.2+1.53*1.25)*10.764</f>
        <v>766.90270799999996</v>
      </c>
      <c r="F315" s="31">
        <v>0</v>
      </c>
      <c r="G315" s="31">
        <v>0</v>
      </c>
      <c r="H315" s="31">
        <f t="shared" si="75"/>
        <v>766.90270799999996</v>
      </c>
      <c r="I315" s="1"/>
      <c r="J315" s="1"/>
      <c r="K315" s="1"/>
      <c r="L315" s="1"/>
      <c r="M315" s="1"/>
      <c r="N315" s="1"/>
      <c r="O315" s="1"/>
      <c r="P315" s="1"/>
      <c r="Q315" s="1"/>
      <c r="R315" s="1"/>
      <c r="S315" s="1"/>
      <c r="T315" s="21" t="e">
        <f t="shared" ca="1" si="74"/>
        <v>#REF!</v>
      </c>
      <c r="U315" s="21" t="e">
        <f t="shared" ca="1" si="77"/>
        <v>#REF!</v>
      </c>
      <c r="V315" s="21" t="e">
        <f t="shared" ca="1" si="78"/>
        <v>#NUM!</v>
      </c>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20.25" customHeight="1" x14ac:dyDescent="0.25">
      <c r="A316" s="106">
        <f t="shared" ref="A316:A324" si="79">A315+1</f>
        <v>9</v>
      </c>
      <c r="B316" s="106"/>
      <c r="C316" s="53" t="s">
        <v>94</v>
      </c>
      <c r="D316" s="53" t="s">
        <v>317</v>
      </c>
      <c r="E316" s="32">
        <f>(11.2*4+7.13*2.65+2.4*1.35+2*1.2+1.53*1.25)*10.764</f>
        <v>766.90270799999996</v>
      </c>
      <c r="F316" s="31">
        <v>0</v>
      </c>
      <c r="G316" s="31">
        <v>0</v>
      </c>
      <c r="H316" s="31">
        <f t="shared" ref="H316:H324" si="80">E316+F316+(IF(G316&lt;101,G316,IF(G316&lt;201,G316/2,IF(G316&lt;=301,G316/3,G316/4))))</f>
        <v>766.90270799999996</v>
      </c>
      <c r="I316" s="1"/>
      <c r="J316" s="1"/>
      <c r="K316" s="1"/>
      <c r="L316" s="1"/>
      <c r="M316" s="1"/>
      <c r="N316" s="1"/>
      <c r="O316" s="1"/>
      <c r="P316" s="1"/>
      <c r="Q316" s="1"/>
      <c r="R316" s="1"/>
      <c r="S316" s="1"/>
      <c r="T316" s="21" t="e">
        <f t="shared" ref="T316:T324" ca="1" si="81">U316&amp;""&amp;",..,"&amp;""&amp;V316</f>
        <v>#REF!</v>
      </c>
      <c r="U316" s="21" t="e">
        <f t="shared" ca="1" si="77"/>
        <v>#REF!</v>
      </c>
      <c r="V316" s="21" t="e">
        <f t="shared" ca="1" si="78"/>
        <v>#NUM!</v>
      </c>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customHeight="1" x14ac:dyDescent="0.25">
      <c r="A317" s="106">
        <f t="shared" si="79"/>
        <v>10</v>
      </c>
      <c r="B317" s="106"/>
      <c r="C317" s="53" t="s">
        <v>94</v>
      </c>
      <c r="D317" s="53" t="s">
        <v>317</v>
      </c>
      <c r="E317" s="32">
        <f>(10.63*4+7.7*2.65+2.15*1.35+2*1.2+2.1*1.25)*10.764</f>
        <v>762.65631000000008</v>
      </c>
      <c r="F317" s="31">
        <v>0</v>
      </c>
      <c r="G317" s="31">
        <v>0</v>
      </c>
      <c r="H317" s="31">
        <f t="shared" si="80"/>
        <v>762.65631000000008</v>
      </c>
      <c r="I317" s="1"/>
      <c r="J317" s="1"/>
      <c r="K317" s="1"/>
      <c r="L317" s="1"/>
      <c r="M317" s="1"/>
      <c r="N317" s="1"/>
      <c r="O317" s="1"/>
      <c r="P317" s="1"/>
      <c r="Q317" s="1"/>
      <c r="R317" s="1"/>
      <c r="S317" s="1"/>
      <c r="T317" s="21" t="e">
        <f t="shared" ca="1" si="81"/>
        <v>#REF!</v>
      </c>
      <c r="U317" s="21" t="e">
        <f t="shared" ca="1" si="77"/>
        <v>#REF!</v>
      </c>
      <c r="V317" s="21" t="e">
        <f t="shared" ca="1" si="78"/>
        <v>#NUM!</v>
      </c>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customHeight="1" x14ac:dyDescent="0.25">
      <c r="A318" s="106">
        <f t="shared" si="79"/>
        <v>11</v>
      </c>
      <c r="B318" s="106"/>
      <c r="C318" s="53" t="s">
        <v>94</v>
      </c>
      <c r="D318" s="53" t="s">
        <v>317</v>
      </c>
      <c r="E318" s="32">
        <f>(4.57*7.87+3.22+4.58+1.2*2+1.25*1.53)*10.764</f>
        <v>517.51589760000002</v>
      </c>
      <c r="F318" s="31">
        <v>0</v>
      </c>
      <c r="G318" s="31">
        <v>0</v>
      </c>
      <c r="H318" s="31">
        <f t="shared" si="80"/>
        <v>517.51589760000002</v>
      </c>
      <c r="I318" s="1"/>
      <c r="J318" s="1"/>
      <c r="K318" s="1"/>
      <c r="L318" s="1"/>
      <c r="M318" s="1"/>
      <c r="N318" s="1"/>
      <c r="O318" s="1"/>
      <c r="P318" s="1"/>
      <c r="Q318" s="1"/>
      <c r="R318" s="1"/>
      <c r="S318" s="1"/>
      <c r="T318" s="21" t="e">
        <f t="shared" ca="1" si="81"/>
        <v>#REF!</v>
      </c>
      <c r="U318" s="21" t="e">
        <f t="shared" ca="1" si="77"/>
        <v>#REF!</v>
      </c>
      <c r="V318" s="21" t="e">
        <f t="shared" ca="1" si="78"/>
        <v>#NUM!</v>
      </c>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customHeight="1" x14ac:dyDescent="0.25">
      <c r="A319" s="106">
        <f t="shared" si="79"/>
        <v>12</v>
      </c>
      <c r="B319" s="106"/>
      <c r="C319" s="53" t="s">
        <v>94</v>
      </c>
      <c r="D319" s="53" t="s">
        <v>317</v>
      </c>
      <c r="E319" s="32">
        <f>(4.57*7.87+3.22*4.58+1.2*2+1.25*1.53)*10.764</f>
        <v>592.29986399999996</v>
      </c>
      <c r="F319" s="31">
        <v>0</v>
      </c>
      <c r="G319" s="31">
        <v>0</v>
      </c>
      <c r="H319" s="31">
        <f t="shared" si="80"/>
        <v>592.29986399999996</v>
      </c>
      <c r="I319" s="1"/>
      <c r="J319" s="1"/>
      <c r="K319" s="1"/>
      <c r="L319" s="1"/>
      <c r="M319" s="1"/>
      <c r="N319" s="1"/>
      <c r="O319" s="1"/>
      <c r="P319" s="1"/>
      <c r="Q319" s="1"/>
      <c r="R319" s="1"/>
      <c r="S319" s="1"/>
      <c r="T319" s="21" t="e">
        <f t="shared" ca="1" si="81"/>
        <v>#REF!</v>
      </c>
      <c r="U319" s="21" t="e">
        <f t="shared" ca="1" si="77"/>
        <v>#REF!</v>
      </c>
      <c r="V319" s="21" t="e">
        <f t="shared" ca="1" si="78"/>
        <v>#NUM!</v>
      </c>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customHeight="1" x14ac:dyDescent="0.25">
      <c r="A320" s="106">
        <f t="shared" si="79"/>
        <v>13</v>
      </c>
      <c r="B320" s="106"/>
      <c r="C320" s="53" t="s">
        <v>94</v>
      </c>
      <c r="D320" s="53" t="s">
        <v>317</v>
      </c>
      <c r="E320" s="32">
        <f>(4.57*7.87+3.22*4.58+1.2*2+1.25*1.53)*10.764</f>
        <v>592.29986399999996</v>
      </c>
      <c r="F320" s="31">
        <v>0</v>
      </c>
      <c r="G320" s="31">
        <v>0</v>
      </c>
      <c r="H320" s="31">
        <f t="shared" si="80"/>
        <v>592.29986399999996</v>
      </c>
      <c r="I320" s="1"/>
      <c r="J320" s="1"/>
      <c r="K320" s="1"/>
      <c r="L320" s="1"/>
      <c r="M320" s="1"/>
      <c r="N320" s="1"/>
      <c r="O320" s="1"/>
      <c r="P320" s="1"/>
      <c r="Q320" s="1"/>
      <c r="R320" s="1"/>
      <c r="S320" s="1"/>
      <c r="T320" s="21" t="e">
        <f t="shared" ca="1" si="81"/>
        <v>#REF!</v>
      </c>
      <c r="U320" s="21" t="e">
        <f t="shared" ca="1" si="77"/>
        <v>#REF!</v>
      </c>
      <c r="V320" s="21" t="e">
        <f t="shared" ca="1" si="78"/>
        <v>#NUM!</v>
      </c>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customHeight="1" x14ac:dyDescent="0.25">
      <c r="A321" s="106">
        <f t="shared" si="79"/>
        <v>14</v>
      </c>
      <c r="B321" s="106"/>
      <c r="C321" s="53" t="s">
        <v>94</v>
      </c>
      <c r="D321" s="53" t="s">
        <v>317</v>
      </c>
      <c r="E321" s="32">
        <f>(8.05*3.38+3.42*1.35+1.53*1.25+2*1.2)*10.764</f>
        <v>388.99481399999996</v>
      </c>
      <c r="F321" s="31">
        <v>0</v>
      </c>
      <c r="G321" s="31">
        <v>0</v>
      </c>
      <c r="H321" s="31">
        <f t="shared" si="80"/>
        <v>388.99481399999996</v>
      </c>
      <c r="I321" s="1"/>
      <c r="J321" s="1"/>
      <c r="K321" s="1"/>
      <c r="L321" s="1"/>
      <c r="M321" s="1"/>
      <c r="N321" s="1"/>
      <c r="O321" s="1"/>
      <c r="P321" s="1"/>
      <c r="Q321" s="1"/>
      <c r="R321" s="1"/>
      <c r="S321" s="1"/>
      <c r="T321" s="21" t="e">
        <f t="shared" ca="1" si="81"/>
        <v>#REF!</v>
      </c>
      <c r="U321" s="21" t="e">
        <f t="shared" ca="1" si="77"/>
        <v>#REF!</v>
      </c>
      <c r="V321" s="21" t="e">
        <f t="shared" ca="1" si="78"/>
        <v>#NUM!</v>
      </c>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customHeight="1" x14ac:dyDescent="0.25">
      <c r="A322" s="106">
        <f t="shared" si="79"/>
        <v>15</v>
      </c>
      <c r="B322" s="106"/>
      <c r="C322" s="53" t="s">
        <v>94</v>
      </c>
      <c r="D322" s="53" t="s">
        <v>317</v>
      </c>
      <c r="E322" s="32">
        <f>(8.05*3.38+3.42*1.35+1.53*1.25+2*1.2)*10.764</f>
        <v>388.99481399999996</v>
      </c>
      <c r="F322" s="31">
        <v>0</v>
      </c>
      <c r="G322" s="31">
        <v>0</v>
      </c>
      <c r="H322" s="31">
        <f t="shared" si="80"/>
        <v>388.99481399999996</v>
      </c>
      <c r="I322" s="1"/>
      <c r="J322" s="1"/>
      <c r="K322" s="1"/>
      <c r="L322" s="1"/>
      <c r="M322" s="1"/>
      <c r="N322" s="1"/>
      <c r="O322" s="1"/>
      <c r="P322" s="1"/>
      <c r="Q322" s="1"/>
      <c r="R322" s="1"/>
      <c r="S322" s="1"/>
      <c r="T322" s="21" t="e">
        <f t="shared" ca="1" si="81"/>
        <v>#REF!</v>
      </c>
      <c r="U322" s="21" t="e">
        <f t="shared" ca="1" si="77"/>
        <v>#REF!</v>
      </c>
      <c r="V322" s="21" t="e">
        <f t="shared" ca="1" si="78"/>
        <v>#NUM!</v>
      </c>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customHeight="1" x14ac:dyDescent="0.25">
      <c r="A323" s="106">
        <f t="shared" si="79"/>
        <v>16</v>
      </c>
      <c r="B323" s="106"/>
      <c r="C323" s="53" t="s">
        <v>94</v>
      </c>
      <c r="D323" s="53" t="s">
        <v>317</v>
      </c>
      <c r="E323" s="32">
        <f>(4.57*7.87+3.22*4.73+1.25*1.53+1.2*2)*10.764</f>
        <v>597.498876</v>
      </c>
      <c r="F323" s="31">
        <v>0</v>
      </c>
      <c r="G323" s="31">
        <v>0</v>
      </c>
      <c r="H323" s="31">
        <f t="shared" si="80"/>
        <v>597.498876</v>
      </c>
      <c r="I323" s="1"/>
      <c r="J323" s="1"/>
      <c r="K323" s="1"/>
      <c r="L323" s="1"/>
      <c r="M323" s="1"/>
      <c r="N323" s="1"/>
      <c r="O323" s="1"/>
      <c r="P323" s="1"/>
      <c r="Q323" s="1"/>
      <c r="R323" s="1"/>
      <c r="S323" s="1"/>
      <c r="T323" s="21" t="e">
        <f t="shared" ca="1" si="81"/>
        <v>#REF!</v>
      </c>
      <c r="U323" s="21" t="e">
        <f t="shared" ca="1" si="77"/>
        <v>#REF!</v>
      </c>
      <c r="V323" s="21" t="e">
        <f t="shared" ca="1" si="78"/>
        <v>#NUM!</v>
      </c>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25" customHeight="1" x14ac:dyDescent="0.25">
      <c r="A324" s="106">
        <f t="shared" si="79"/>
        <v>17</v>
      </c>
      <c r="B324" s="106"/>
      <c r="C324" s="53" t="s">
        <v>94</v>
      </c>
      <c r="D324" s="53" t="s">
        <v>317</v>
      </c>
      <c r="E324" s="32">
        <f>(4.57*7.87+3.22*4.57+1.25*1.53+1.2*2)*10.764</f>
        <v>591.95326320000004</v>
      </c>
      <c r="F324" s="31">
        <v>0</v>
      </c>
      <c r="G324" s="31">
        <v>0</v>
      </c>
      <c r="H324" s="31">
        <f t="shared" si="80"/>
        <v>591.95326320000004</v>
      </c>
      <c r="I324" s="1"/>
      <c r="J324" s="1"/>
      <c r="K324" s="1"/>
      <c r="L324" s="1"/>
      <c r="M324" s="1"/>
      <c r="N324" s="1"/>
      <c r="O324" s="1"/>
      <c r="P324" s="1"/>
      <c r="Q324" s="1"/>
      <c r="R324" s="1"/>
      <c r="S324" s="1"/>
      <c r="T324" s="21" t="e">
        <f t="shared" ca="1" si="81"/>
        <v>#REF!</v>
      </c>
      <c r="U324" s="21" t="e">
        <f t="shared" ca="1" si="77"/>
        <v>#REF!</v>
      </c>
      <c r="V324" s="21" t="e">
        <f t="shared" ca="1" si="78"/>
        <v>#NUM!</v>
      </c>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x14ac:dyDescent="0.25">
      <c r="A325" s="109" t="s">
        <v>323</v>
      </c>
      <c r="B325" s="110"/>
      <c r="C325" s="110"/>
      <c r="D325" s="110"/>
      <c r="E325" s="110"/>
      <c r="F325" s="110"/>
      <c r="G325" s="110"/>
      <c r="H325" s="11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customHeight="1" x14ac:dyDescent="0.25">
      <c r="A326" s="106">
        <v>1</v>
      </c>
      <c r="B326" s="106"/>
      <c r="C326" s="53" t="s">
        <v>94</v>
      </c>
      <c r="D326" s="53" t="s">
        <v>325</v>
      </c>
      <c r="E326" s="32">
        <f>(10.95*4+5.15*2.65+2*1.2+2.1*1.25)*10.764</f>
        <v>672.45398999999998</v>
      </c>
      <c r="F326" s="31">
        <v>0</v>
      </c>
      <c r="G326" s="31">
        <v>0</v>
      </c>
      <c r="H326" s="31">
        <f>E326+F326+(IF(G326&lt;101,G326,IF(G326&lt;201,G326/2,IF(G326&lt;=301,G326/3,G326/4))))</f>
        <v>672.45398999999998</v>
      </c>
      <c r="I326" s="1"/>
      <c r="J326" s="1"/>
      <c r="K326" s="1"/>
      <c r="L326" s="1"/>
      <c r="M326" s="1"/>
      <c r="N326" s="1"/>
      <c r="O326" s="1"/>
      <c r="P326" s="1"/>
      <c r="Q326" s="1"/>
      <c r="R326" s="1"/>
      <c r="S326" s="1"/>
      <c r="T326" s="21" t="str">
        <f ca="1">U326&amp;""&amp;" to "&amp;""&amp;V326</f>
        <v>101 to 101</v>
      </c>
      <c r="U326" s="21">
        <f ca="1">(SUMPRODUCT(MID(0&amp;(LEFT(A325,SUM(LEN(A325)-LEN(SUBSTITUTE(A325,{"0","1","2","3"},""))))), LARGE(INDEX(ISNUMBER(--MID((LEFT(A325,SUM(LEN(A325)-LEN(SUBSTITUTE(A325,{"0","1","2","3"},""))))), ROW(INDIRECT("1:"&amp;LEN((LEFT(A325,SUM(LEN(A325)-LEN(SUBSTITUTE(A325,{"0","1","2","3"},"")))))))), 1)) * ROW(INDIRECT("1:"&amp;LEN((LEFT(A325,SUM(LEN(A325)-LEN(SUBSTITUTE(A325,{"0","1","2","3"},"")))))))), 0), ROW(INDIRECT("1:"&amp;LEN((LEFT(A325,SUM(LEN(A325)-LEN(SUBSTITUTE(A325,{"0","1","2","3"},"")))))))))+1, 1) * 10^ROW(INDIRECT("1:"&amp;LEN((LEFT(A325,SUM(LEN(A325)-LEN(SUBSTITUTE(A325,{"0","1","2","3"},""))))))))/10))*100+1</f>
        <v>101</v>
      </c>
      <c r="V326" s="21">
        <f ca="1">(SUMPRODUCT(MID(0&amp;(--TRIM(RIGHT(SUBSTITUTE(LEFT(A325,_xlfn.AGGREGATE(16,6,FIND({0,1,2,3,4,5,6,7,8,9},A325,ROW(INDIRECT("1:"&amp;LEN(A325)))),1))," ",REPT(" ",LEN(A325))),LEN(A325)))), LARGE(INDEX(ISNUMBER(--MID((--TRIM(RIGHT(SUBSTITUTE(LEFT(A325,_xlfn.AGGREGATE(16,6,FIND({0,1,2,3,4,5,6,7,8,9},A325,ROW(INDIRECT("1:"&amp;LEN(A325)))),1))," ",REPT(" ",LEN(A325))),LEN(A325)))), ROW(INDIRECT("1:"&amp;LEN((--TRIM(RIGHT(SUBSTITUTE(LEFT(A325,_xlfn.AGGREGATE(16,6,FIND({0,1,2,3,4,5,6,7,8,9},A325,ROW(INDIRECT("1:"&amp;LEN(A325)))),1))," ",REPT(" ",LEN(A325))),LEN(A325))))))), 1)) * ROW(INDIRECT("1:"&amp;LEN((--TRIM(RIGHT(SUBSTITUTE(LEFT(A325,_xlfn.AGGREGATE(16,6,FIND({0,1,2,3,4,5,6,7,8,9},A325,ROW(INDIRECT("1:"&amp;LEN(A325)))),1))," ",REPT(" ",LEN(A325))),LEN(A325))))))), 0), ROW(INDIRECT("1:"&amp;LEN((--TRIM(RIGHT(SUBSTITUTE(LEFT(A325,_xlfn.AGGREGATE(16,6,FIND({0,1,2,3,4,5,6,7,8,9},A325,ROW(INDIRECT("1:"&amp;LEN(A325)))),1))," ",REPT(" ",LEN(A325))),LEN(A325))))))))+1, 1) * 10^ROW(INDIRECT("1:"&amp;LEN((--TRIM(RIGHT(SUBSTITUTE(LEFT(A325,_xlfn.AGGREGATE(16,6,FIND({0,1,2,3,4,5,6,7,8,9},A325,ROW(INDIRECT("1:"&amp;LEN(A325)))),1))," ",REPT(" ",LEN(A325))),LEN(A325)))))))/10))*100+1</f>
        <v>101</v>
      </c>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customHeight="1" x14ac:dyDescent="0.25">
      <c r="A327" s="106">
        <f>A326+1</f>
        <v>2</v>
      </c>
      <c r="B327" s="106"/>
      <c r="C327" s="53" t="s">
        <v>94</v>
      </c>
      <c r="D327" s="53" t="s">
        <v>325</v>
      </c>
      <c r="E327" s="32">
        <f>(11.52*4+4.58*2.65+2*1.2+1.53*1.25)*10.764</f>
        <v>673.0675379999999</v>
      </c>
      <c r="F327" s="31">
        <v>0</v>
      </c>
      <c r="G327" s="31">
        <v>0</v>
      </c>
      <c r="H327" s="31">
        <f t="shared" ref="H327:H333" si="82">E327+F327+(IF(G327&lt;101,G327,IF(G327&lt;201,G327/2,IF(G327&lt;=301,G327/3,G327/4))))</f>
        <v>673.0675379999999</v>
      </c>
      <c r="I327" s="1"/>
      <c r="J327" s="1"/>
      <c r="K327" s="1"/>
      <c r="L327" s="1"/>
      <c r="M327" s="1"/>
      <c r="N327" s="1"/>
      <c r="O327" s="1"/>
      <c r="P327" s="1"/>
      <c r="Q327" s="1"/>
      <c r="R327" s="1"/>
      <c r="S327" s="1"/>
      <c r="T327" s="21" t="str">
        <f t="shared" ref="T327:T333" ca="1" si="83">U327&amp;""&amp;" to "&amp;""&amp;V327</f>
        <v>102 to 102</v>
      </c>
      <c r="U327" s="21">
        <f ca="1">U326+1</f>
        <v>102</v>
      </c>
      <c r="V327" s="21">
        <f ca="1">V326+1</f>
        <v>102</v>
      </c>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customHeight="1" x14ac:dyDescent="0.25">
      <c r="A328" s="106">
        <f t="shared" ref="A328:A333" si="84">A327+1</f>
        <v>3</v>
      </c>
      <c r="B328" s="106"/>
      <c r="C328" s="53" t="s">
        <v>94</v>
      </c>
      <c r="D328" s="53" t="s">
        <v>325</v>
      </c>
      <c r="E328" s="32">
        <f>(11.52*4+4.58*2.65+2*1.2+1.53*1.25)*10.764</f>
        <v>673.0675379999999</v>
      </c>
      <c r="F328" s="31">
        <v>0</v>
      </c>
      <c r="G328" s="31">
        <v>0</v>
      </c>
      <c r="H328" s="31">
        <f t="shared" si="82"/>
        <v>673.0675379999999</v>
      </c>
      <c r="I328" s="1"/>
      <c r="J328" s="1"/>
      <c r="K328" s="1"/>
      <c r="L328" s="1"/>
      <c r="M328" s="1"/>
      <c r="N328" s="1"/>
      <c r="O328" s="1"/>
      <c r="P328" s="1"/>
      <c r="Q328" s="1"/>
      <c r="R328" s="1"/>
      <c r="S328" s="1"/>
      <c r="T328" s="21" t="str">
        <f t="shared" ca="1" si="83"/>
        <v>103 to 103</v>
      </c>
      <c r="U328" s="21">
        <f t="shared" ref="U328:U343" ca="1" si="85">U327+1</f>
        <v>103</v>
      </c>
      <c r="V328" s="21">
        <f t="shared" ref="V328:V343" ca="1" si="86">V327+1</f>
        <v>103</v>
      </c>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customHeight="1" x14ac:dyDescent="0.25">
      <c r="A329" s="106">
        <f t="shared" si="84"/>
        <v>4</v>
      </c>
      <c r="B329" s="106"/>
      <c r="C329" s="53" t="s">
        <v>94</v>
      </c>
      <c r="D329" s="53" t="s">
        <v>325</v>
      </c>
      <c r="E329" s="32">
        <f>(10.95*4+5.15*2.65+2*1.2+2.1*1.25)*10.764</f>
        <v>672.45398999999998</v>
      </c>
      <c r="F329" s="31">
        <v>0</v>
      </c>
      <c r="G329" s="31">
        <v>0</v>
      </c>
      <c r="H329" s="31">
        <f t="shared" si="82"/>
        <v>672.45398999999998</v>
      </c>
      <c r="I329" s="1"/>
      <c r="J329" s="1"/>
      <c r="K329" s="1"/>
      <c r="L329" s="1"/>
      <c r="M329" s="1"/>
      <c r="N329" s="1"/>
      <c r="O329" s="1"/>
      <c r="P329" s="1"/>
      <c r="Q329" s="1"/>
      <c r="R329" s="1"/>
      <c r="S329" s="1"/>
      <c r="T329" s="21" t="str">
        <f t="shared" ca="1" si="83"/>
        <v>104 to 104</v>
      </c>
      <c r="U329" s="21">
        <f t="shared" ca="1" si="85"/>
        <v>104</v>
      </c>
      <c r="V329" s="21">
        <f t="shared" ca="1" si="86"/>
        <v>104</v>
      </c>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20.25" customHeight="1" x14ac:dyDescent="0.25">
      <c r="A330" s="106">
        <f t="shared" si="84"/>
        <v>5</v>
      </c>
      <c r="B330" s="106"/>
      <c r="C330" s="53" t="s">
        <v>94</v>
      </c>
      <c r="D330" s="53" t="s">
        <v>325</v>
      </c>
      <c r="E330" s="32">
        <f>(10.95*4+5.15*2.65+2*1.2+2.1*1.25)*10.764</f>
        <v>672.45398999999998</v>
      </c>
      <c r="F330" s="31">
        <v>0</v>
      </c>
      <c r="G330" s="31">
        <v>0</v>
      </c>
      <c r="H330" s="31">
        <f t="shared" si="82"/>
        <v>672.45398999999998</v>
      </c>
      <c r="I330" s="1"/>
      <c r="J330" s="1"/>
      <c r="K330" s="1"/>
      <c r="L330" s="1"/>
      <c r="M330" s="1"/>
      <c r="N330" s="1"/>
      <c r="O330" s="1"/>
      <c r="P330" s="1"/>
      <c r="Q330" s="1"/>
      <c r="R330" s="1"/>
      <c r="S330" s="1"/>
      <c r="T330" s="21" t="str">
        <f t="shared" ca="1" si="83"/>
        <v>105 to 105</v>
      </c>
      <c r="U330" s="21">
        <f t="shared" ca="1" si="85"/>
        <v>105</v>
      </c>
      <c r="V330" s="21">
        <f t="shared" ca="1" si="86"/>
        <v>105</v>
      </c>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customHeight="1" x14ac:dyDescent="0.25">
      <c r="A331" s="106">
        <f t="shared" si="84"/>
        <v>6</v>
      </c>
      <c r="B331" s="106"/>
      <c r="C331" s="53" t="s">
        <v>94</v>
      </c>
      <c r="D331" s="53" t="s">
        <v>325</v>
      </c>
      <c r="E331" s="32">
        <f>(10.95*4+5.15*2.64+2*1.2+2.1*1.25)*10.764</f>
        <v>671.89964399999997</v>
      </c>
      <c r="F331" s="31">
        <v>0</v>
      </c>
      <c r="G331" s="31">
        <v>0</v>
      </c>
      <c r="H331" s="31">
        <f t="shared" si="82"/>
        <v>671.89964399999997</v>
      </c>
      <c r="I331" s="1"/>
      <c r="J331" s="1"/>
      <c r="K331" s="1"/>
      <c r="L331" s="1"/>
      <c r="M331" s="1"/>
      <c r="N331" s="1"/>
      <c r="O331" s="1"/>
      <c r="P331" s="1"/>
      <c r="Q331" s="1"/>
      <c r="R331" s="1"/>
      <c r="S331" s="1"/>
      <c r="T331" s="21" t="str">
        <f t="shared" ca="1" si="83"/>
        <v>106 to 106</v>
      </c>
      <c r="U331" s="21">
        <f t="shared" ca="1" si="85"/>
        <v>106</v>
      </c>
      <c r="V331" s="21">
        <f t="shared" ca="1" si="86"/>
        <v>106</v>
      </c>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customHeight="1" x14ac:dyDescent="0.25">
      <c r="A332" s="106">
        <f t="shared" si="84"/>
        <v>7</v>
      </c>
      <c r="B332" s="106"/>
      <c r="C332" s="53" t="s">
        <v>94</v>
      </c>
      <c r="D332" s="53" t="s">
        <v>325</v>
      </c>
      <c r="E332" s="32">
        <f>(10.95*4+5.15*2.66+2*1.2+2.1*1.25)*10.764</f>
        <v>673.00833599999987</v>
      </c>
      <c r="F332" s="31">
        <v>0</v>
      </c>
      <c r="G332" s="31">
        <v>0</v>
      </c>
      <c r="H332" s="31">
        <f t="shared" si="82"/>
        <v>673.00833599999987</v>
      </c>
      <c r="I332" s="1"/>
      <c r="J332" s="1"/>
      <c r="K332" s="1"/>
      <c r="L332" s="1"/>
      <c r="M332" s="1"/>
      <c r="N332" s="1"/>
      <c r="O332" s="1"/>
      <c r="P332" s="1"/>
      <c r="Q332" s="1"/>
      <c r="R332" s="1"/>
      <c r="S332" s="1"/>
      <c r="T332" s="21" t="str">
        <f t="shared" ca="1" si="83"/>
        <v>107 to 107</v>
      </c>
      <c r="U332" s="21">
        <f t="shared" ca="1" si="85"/>
        <v>107</v>
      </c>
      <c r="V332" s="21">
        <f t="shared" ca="1" si="86"/>
        <v>107</v>
      </c>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customHeight="1" x14ac:dyDescent="0.25">
      <c r="A333" s="106">
        <f t="shared" si="84"/>
        <v>8</v>
      </c>
      <c r="B333" s="106"/>
      <c r="C333" s="53" t="s">
        <v>94</v>
      </c>
      <c r="D333" s="53" t="s">
        <v>325</v>
      </c>
      <c r="E333" s="32">
        <f>(11.52*4+4.57*2.65+2*1.2+1.53*1.25)*10.764</f>
        <v>672.78229199999998</v>
      </c>
      <c r="F333" s="31">
        <v>0</v>
      </c>
      <c r="G333" s="31">
        <v>0</v>
      </c>
      <c r="H333" s="31">
        <f t="shared" si="82"/>
        <v>672.78229199999998</v>
      </c>
      <c r="I333" s="1"/>
      <c r="J333" s="1"/>
      <c r="K333" s="1"/>
      <c r="L333" s="1"/>
      <c r="M333" s="1"/>
      <c r="N333" s="1"/>
      <c r="O333" s="1"/>
      <c r="P333" s="1"/>
      <c r="Q333" s="1"/>
      <c r="R333" s="1"/>
      <c r="S333" s="1"/>
      <c r="T333" s="21" t="str">
        <f t="shared" ca="1" si="83"/>
        <v>108 to 108</v>
      </c>
      <c r="U333" s="21">
        <f t="shared" ca="1" si="85"/>
        <v>108</v>
      </c>
      <c r="V333" s="21">
        <f t="shared" ca="1" si="86"/>
        <v>108</v>
      </c>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20.25" customHeight="1" x14ac:dyDescent="0.25">
      <c r="A334" s="106">
        <f t="shared" ref="A334:A342" si="87">A333+1</f>
        <v>9</v>
      </c>
      <c r="B334" s="106"/>
      <c r="C334" s="53" t="s">
        <v>94</v>
      </c>
      <c r="D334" s="53" t="s">
        <v>325</v>
      </c>
      <c r="E334" s="32">
        <f>(11.52*4+4.57*2.65+2*1.2+1.53*1.25)*10.764</f>
        <v>672.78229199999998</v>
      </c>
      <c r="F334" s="31">
        <v>0</v>
      </c>
      <c r="G334" s="31">
        <v>0</v>
      </c>
      <c r="H334" s="31">
        <f t="shared" ref="H334:H342" si="88">E334+F334+(IF(G334&lt;101,G334,IF(G334&lt;201,G334/2,IF(G334&lt;=301,G334/3,G334/4))))</f>
        <v>672.78229199999998</v>
      </c>
      <c r="I334" s="1"/>
      <c r="J334" s="1"/>
      <c r="K334" s="1"/>
      <c r="L334" s="1"/>
      <c r="M334" s="1"/>
      <c r="N334" s="1"/>
      <c r="O334" s="1"/>
      <c r="P334" s="1"/>
      <c r="Q334" s="1"/>
      <c r="R334" s="1"/>
      <c r="S334" s="1"/>
      <c r="T334" s="21" t="str">
        <f t="shared" ref="T334:T342" ca="1" si="89">U334&amp;""&amp;" to "&amp;""&amp;V334</f>
        <v>109 to 109</v>
      </c>
      <c r="U334" s="21">
        <f t="shared" ca="1" si="85"/>
        <v>109</v>
      </c>
      <c r="V334" s="21">
        <f t="shared" ca="1" si="86"/>
        <v>109</v>
      </c>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25" customHeight="1" x14ac:dyDescent="0.25">
      <c r="A335" s="106">
        <f t="shared" si="87"/>
        <v>10</v>
      </c>
      <c r="B335" s="106"/>
      <c r="C335" s="53" t="s">
        <v>94</v>
      </c>
      <c r="D335" s="53" t="s">
        <v>325</v>
      </c>
      <c r="E335" s="32">
        <f>(10.95*4+5.15*2.65+2*1.2+2.1*1.25)*10.764</f>
        <v>672.45398999999998</v>
      </c>
      <c r="F335" s="31">
        <v>0</v>
      </c>
      <c r="G335" s="31">
        <v>0</v>
      </c>
      <c r="H335" s="31">
        <f t="shared" si="88"/>
        <v>672.45398999999998</v>
      </c>
      <c r="I335" s="1"/>
      <c r="J335" s="1"/>
      <c r="K335" s="1"/>
      <c r="L335" s="1"/>
      <c r="M335" s="1"/>
      <c r="N335" s="1"/>
      <c r="O335" s="1"/>
      <c r="P335" s="1"/>
      <c r="Q335" s="1"/>
      <c r="R335" s="1"/>
      <c r="S335" s="1"/>
      <c r="T335" s="21" t="str">
        <f t="shared" ca="1" si="89"/>
        <v>110 to 110</v>
      </c>
      <c r="U335" s="21">
        <f t="shared" ca="1" si="85"/>
        <v>110</v>
      </c>
      <c r="V335" s="21">
        <f t="shared" ca="1" si="86"/>
        <v>110</v>
      </c>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customHeight="1" x14ac:dyDescent="0.25">
      <c r="A336" s="106">
        <f t="shared" si="87"/>
        <v>11</v>
      </c>
      <c r="B336" s="106"/>
      <c r="C336" s="53" t="s">
        <v>94</v>
      </c>
      <c r="D336" s="53" t="s">
        <v>325</v>
      </c>
      <c r="E336" s="32">
        <f>(4.57*7.88+3.22*4.58+1.2*2+1.25*1.53)*10.764</f>
        <v>592.79177879999997</v>
      </c>
      <c r="F336" s="31">
        <v>0</v>
      </c>
      <c r="G336" s="31">
        <v>0</v>
      </c>
      <c r="H336" s="31">
        <f t="shared" si="88"/>
        <v>592.79177879999997</v>
      </c>
      <c r="I336" s="1"/>
      <c r="J336" s="1"/>
      <c r="K336" s="1"/>
      <c r="L336" s="1"/>
      <c r="M336" s="1"/>
      <c r="N336" s="1"/>
      <c r="O336" s="1"/>
      <c r="P336" s="1"/>
      <c r="Q336" s="1"/>
      <c r="R336" s="1"/>
      <c r="S336" s="1"/>
      <c r="T336" s="21" t="str">
        <f t="shared" ca="1" si="89"/>
        <v>111 to 111</v>
      </c>
      <c r="U336" s="21">
        <f t="shared" ca="1" si="85"/>
        <v>111</v>
      </c>
      <c r="V336" s="21">
        <f t="shared" ca="1" si="86"/>
        <v>111</v>
      </c>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0.25" customHeight="1" x14ac:dyDescent="0.25">
      <c r="A337" s="106">
        <f t="shared" si="87"/>
        <v>12</v>
      </c>
      <c r="B337" s="106"/>
      <c r="C337" s="53" t="s">
        <v>94</v>
      </c>
      <c r="D337" s="53" t="s">
        <v>325</v>
      </c>
      <c r="E337" s="32">
        <f>(4.57*7.88+3.22*4.58+1.2*2+1.25*1.53)*10.764</f>
        <v>592.79177879999997</v>
      </c>
      <c r="F337" s="31">
        <v>0</v>
      </c>
      <c r="G337" s="31">
        <v>0</v>
      </c>
      <c r="H337" s="31">
        <f t="shared" si="88"/>
        <v>592.79177879999997</v>
      </c>
      <c r="I337" s="1"/>
      <c r="J337" s="1"/>
      <c r="K337" s="1"/>
      <c r="L337" s="1"/>
      <c r="M337" s="1"/>
      <c r="N337" s="1"/>
      <c r="O337" s="1"/>
      <c r="P337" s="1"/>
      <c r="Q337" s="1"/>
      <c r="R337" s="1"/>
      <c r="S337" s="1"/>
      <c r="T337" s="21" t="str">
        <f t="shared" ca="1" si="89"/>
        <v>112 to 112</v>
      </c>
      <c r="U337" s="21">
        <f t="shared" ca="1" si="85"/>
        <v>112</v>
      </c>
      <c r="V337" s="21">
        <f t="shared" ca="1" si="86"/>
        <v>112</v>
      </c>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customHeight="1" x14ac:dyDescent="0.25">
      <c r="A338" s="106">
        <f t="shared" si="87"/>
        <v>13</v>
      </c>
      <c r="B338" s="106"/>
      <c r="C338" s="53" t="s">
        <v>94</v>
      </c>
      <c r="D338" s="53" t="s">
        <v>325</v>
      </c>
      <c r="E338" s="32">
        <f>(4.72*7.88+3.37*4.73+4.72*2+1.2*2+1.25*1.53)*10.764</f>
        <v>719.96305679999978</v>
      </c>
      <c r="F338" s="31">
        <v>0</v>
      </c>
      <c r="G338" s="31">
        <v>0</v>
      </c>
      <c r="H338" s="31">
        <f t="shared" si="88"/>
        <v>719.96305679999978</v>
      </c>
      <c r="I338" s="1"/>
      <c r="J338" s="1"/>
      <c r="K338" s="1"/>
      <c r="L338" s="1"/>
      <c r="M338" s="1"/>
      <c r="N338" s="1"/>
      <c r="O338" s="1"/>
      <c r="P338" s="1"/>
      <c r="Q338" s="1"/>
      <c r="R338" s="1"/>
      <c r="S338" s="1"/>
      <c r="T338" s="21" t="str">
        <f t="shared" ca="1" si="89"/>
        <v>113 to 113</v>
      </c>
      <c r="U338" s="21">
        <f t="shared" ca="1" si="85"/>
        <v>113</v>
      </c>
      <c r="V338" s="21">
        <f t="shared" ca="1" si="86"/>
        <v>113</v>
      </c>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customHeight="1" x14ac:dyDescent="0.25">
      <c r="A339" s="106">
        <f t="shared" si="87"/>
        <v>14</v>
      </c>
      <c r="B339" s="106"/>
      <c r="C339" s="53" t="s">
        <v>94</v>
      </c>
      <c r="D339" s="53" t="s">
        <v>325</v>
      </c>
      <c r="E339" s="32">
        <f>(8.2*3.38+3.48*1.35+1.53*1.25+2*1.2)*10.764</f>
        <v>395.32404600000001</v>
      </c>
      <c r="F339" s="31">
        <v>0</v>
      </c>
      <c r="G339" s="31">
        <v>0</v>
      </c>
      <c r="H339" s="31">
        <f t="shared" si="88"/>
        <v>395.32404600000001</v>
      </c>
      <c r="I339" s="1"/>
      <c r="J339" s="1"/>
      <c r="K339" s="1"/>
      <c r="L339" s="1"/>
      <c r="M339" s="1"/>
      <c r="N339" s="1"/>
      <c r="O339" s="1"/>
      <c r="P339" s="1"/>
      <c r="Q339" s="1"/>
      <c r="R339" s="1"/>
      <c r="S339" s="1"/>
      <c r="T339" s="21" t="str">
        <f t="shared" ca="1" si="89"/>
        <v>114 to 114</v>
      </c>
      <c r="U339" s="21">
        <f t="shared" ca="1" si="85"/>
        <v>114</v>
      </c>
      <c r="V339" s="21">
        <f t="shared" ca="1" si="86"/>
        <v>114</v>
      </c>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customHeight="1" x14ac:dyDescent="0.25">
      <c r="A340" s="106">
        <f t="shared" si="87"/>
        <v>15</v>
      </c>
      <c r="B340" s="106"/>
      <c r="C340" s="53" t="s">
        <v>94</v>
      </c>
      <c r="D340" s="53" t="s">
        <v>325</v>
      </c>
      <c r="E340" s="32">
        <f>(8.2*3.38+3.48*1.35+1.53*1.25+2*1.2)*10.764</f>
        <v>395.32404600000001</v>
      </c>
      <c r="F340" s="31">
        <v>0</v>
      </c>
      <c r="G340" s="31">
        <v>0</v>
      </c>
      <c r="H340" s="31">
        <f t="shared" si="88"/>
        <v>395.32404600000001</v>
      </c>
      <c r="I340" s="1"/>
      <c r="J340" s="1"/>
      <c r="K340" s="1"/>
      <c r="L340" s="1"/>
      <c r="M340" s="1"/>
      <c r="N340" s="1"/>
      <c r="O340" s="1"/>
      <c r="P340" s="1"/>
      <c r="Q340" s="1"/>
      <c r="R340" s="1"/>
      <c r="S340" s="1"/>
      <c r="T340" s="21" t="str">
        <f t="shared" ca="1" si="89"/>
        <v>115 to 115</v>
      </c>
      <c r="U340" s="21">
        <f t="shared" ca="1" si="85"/>
        <v>115</v>
      </c>
      <c r="V340" s="21">
        <f t="shared" ca="1" si="86"/>
        <v>115</v>
      </c>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0.25" customHeight="1" x14ac:dyDescent="0.25">
      <c r="A341" s="106">
        <f t="shared" si="87"/>
        <v>16</v>
      </c>
      <c r="B341" s="106"/>
      <c r="C341" s="53" t="s">
        <v>94</v>
      </c>
      <c r="D341" s="53" t="s">
        <v>325</v>
      </c>
      <c r="E341" s="32">
        <f>(4.72*7.88+3.37*4.73+4.72*2+1.25*1.53+1.2*2)*10.764</f>
        <v>719.9630568</v>
      </c>
      <c r="F341" s="31">
        <v>0</v>
      </c>
      <c r="G341" s="31">
        <v>0</v>
      </c>
      <c r="H341" s="31">
        <f t="shared" si="88"/>
        <v>719.9630568</v>
      </c>
      <c r="I341" s="1"/>
      <c r="J341" s="1"/>
      <c r="K341" s="1"/>
      <c r="L341" s="1"/>
      <c r="M341" s="1"/>
      <c r="N341" s="1"/>
      <c r="O341" s="1"/>
      <c r="P341" s="1"/>
      <c r="Q341" s="1"/>
      <c r="R341" s="1"/>
      <c r="S341" s="1"/>
      <c r="T341" s="21" t="str">
        <f t="shared" ca="1" si="89"/>
        <v>116 to 116</v>
      </c>
      <c r="U341" s="21">
        <f t="shared" ca="1" si="85"/>
        <v>116</v>
      </c>
      <c r="V341" s="21">
        <f t="shared" ca="1" si="86"/>
        <v>116</v>
      </c>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customHeight="1" x14ac:dyDescent="0.25">
      <c r="A342" s="106">
        <f t="shared" si="87"/>
        <v>17</v>
      </c>
      <c r="B342" s="106"/>
      <c r="C342" s="53" t="s">
        <v>94</v>
      </c>
      <c r="D342" s="53" t="s">
        <v>325</v>
      </c>
      <c r="E342" s="32">
        <f>(4.55*7.88+3.2*4.57+1.25*1.53+1.2*2)*10.764</f>
        <v>589.76494200000002</v>
      </c>
      <c r="F342" s="31">
        <v>0</v>
      </c>
      <c r="G342" s="31">
        <v>0</v>
      </c>
      <c r="H342" s="31">
        <f t="shared" si="88"/>
        <v>589.76494200000002</v>
      </c>
      <c r="I342" s="1"/>
      <c r="J342" s="1"/>
      <c r="K342" s="1"/>
      <c r="L342" s="1"/>
      <c r="M342" s="1"/>
      <c r="N342" s="1"/>
      <c r="O342" s="1"/>
      <c r="P342" s="1"/>
      <c r="Q342" s="1"/>
      <c r="R342" s="1"/>
      <c r="S342" s="1"/>
      <c r="T342" s="21" t="str">
        <f t="shared" ca="1" si="89"/>
        <v>117 to 117</v>
      </c>
      <c r="U342" s="21">
        <f t="shared" ca="1" si="85"/>
        <v>117</v>
      </c>
      <c r="V342" s="21">
        <f t="shared" ca="1" si="86"/>
        <v>117</v>
      </c>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customHeight="1" x14ac:dyDescent="0.25">
      <c r="A343" s="106">
        <f t="shared" ref="A343" si="90">A342+1</f>
        <v>18</v>
      </c>
      <c r="B343" s="106"/>
      <c r="C343" s="53" t="s">
        <v>94</v>
      </c>
      <c r="D343" s="53" t="s">
        <v>325</v>
      </c>
      <c r="E343" s="32">
        <f>(4.58*7.88+3.23*4.58+1.25*1.53+1.2*2)*10.764</f>
        <v>594.13297319999992</v>
      </c>
      <c r="F343" s="31">
        <v>0</v>
      </c>
      <c r="G343" s="31">
        <v>0</v>
      </c>
      <c r="H343" s="31">
        <f t="shared" ref="H343" si="91">E343+F343+(IF(G343&lt;101,G343,IF(G343&lt;201,G343/2,IF(G343&lt;=301,G343/3,G343/4))))</f>
        <v>594.13297319999992</v>
      </c>
      <c r="I343" s="1"/>
      <c r="J343" s="1"/>
      <c r="K343" s="1"/>
      <c r="L343" s="1"/>
      <c r="M343" s="1"/>
      <c r="N343" s="1"/>
      <c r="O343" s="1"/>
      <c r="P343" s="1"/>
      <c r="Q343" s="1"/>
      <c r="R343" s="1"/>
      <c r="S343" s="1"/>
      <c r="T343" s="21" t="str">
        <f t="shared" ref="T343" ca="1" si="92">U343&amp;""&amp;" to "&amp;""&amp;V343</f>
        <v>118 to 118</v>
      </c>
      <c r="U343" s="21">
        <f t="shared" ca="1" si="85"/>
        <v>118</v>
      </c>
      <c r="V343" s="21">
        <f t="shared" ca="1" si="86"/>
        <v>118</v>
      </c>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x14ac:dyDescent="0.25">
      <c r="A344" s="109" t="s">
        <v>324</v>
      </c>
      <c r="B344" s="110"/>
      <c r="C344" s="110"/>
      <c r="D344" s="110"/>
      <c r="E344" s="110"/>
      <c r="F344" s="110"/>
      <c r="G344" s="110"/>
      <c r="H344" s="11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customHeight="1" x14ac:dyDescent="0.25">
      <c r="A345" s="106">
        <v>1</v>
      </c>
      <c r="B345" s="106"/>
      <c r="C345" s="53" t="s">
        <v>94</v>
      </c>
      <c r="D345" s="53" t="s">
        <v>325</v>
      </c>
      <c r="E345" s="32">
        <f>(10.95*4+5.15*2.65+2*1.2+2.1*1.25)*10.764</f>
        <v>672.45398999999998</v>
      </c>
      <c r="F345" s="31">
        <v>0</v>
      </c>
      <c r="G345" s="31">
        <v>0</v>
      </c>
      <c r="H345" s="31">
        <f>E345+F345+(IF(G345&lt;101,G345,IF(G345&lt;201,G345/2,IF(G345&lt;=301,G345/3,G345/4))))</f>
        <v>672.45398999999998</v>
      </c>
      <c r="I345" s="1"/>
      <c r="J345" s="1"/>
      <c r="K345" s="1"/>
      <c r="L345" s="1"/>
      <c r="M345" s="1"/>
      <c r="N345" s="1"/>
      <c r="O345" s="1"/>
      <c r="P345" s="1"/>
      <c r="Q345" s="1"/>
      <c r="R345" s="1"/>
      <c r="S345" s="1"/>
      <c r="T345" s="21" t="str">
        <f ca="1">U345&amp;""&amp;" to "&amp;""&amp;V345</f>
        <v>201 to 401</v>
      </c>
      <c r="U345" s="21">
        <f ca="1">(SUMPRODUCT(MID(0&amp;(LEFT(A344,SUM(LEN(A344)-LEN(SUBSTITUTE(A344,{"0","1","2","3"},""))))), LARGE(INDEX(ISNUMBER(--MID((LEFT(A344,SUM(LEN(A344)-LEN(SUBSTITUTE(A344,{"0","1","2","3"},""))))), ROW(INDIRECT("1:"&amp;LEN((LEFT(A344,SUM(LEN(A344)-LEN(SUBSTITUTE(A344,{"0","1","2","3"},"")))))))), 1)) * ROW(INDIRECT("1:"&amp;LEN((LEFT(A344,SUM(LEN(A344)-LEN(SUBSTITUTE(A344,{"0","1","2","3"},"")))))))), 0), ROW(INDIRECT("1:"&amp;LEN((LEFT(A344,SUM(LEN(A344)-LEN(SUBSTITUTE(A344,{"0","1","2","3"},"")))))))))+1, 1) * 10^ROW(INDIRECT("1:"&amp;LEN((LEFT(A344,SUM(LEN(A344)-LEN(SUBSTITUTE(A344,{"0","1","2","3"},""))))))))/10))*100+1</f>
        <v>201</v>
      </c>
      <c r="V345" s="21">
        <f ca="1">(SUMPRODUCT(MID(0&amp;(--TRIM(RIGHT(SUBSTITUTE(LEFT(A344,_xlfn.AGGREGATE(16,6,FIND({0,1,2,3,4,5,6,7,8,9},A344,ROW(INDIRECT("1:"&amp;LEN(A344)))),1))," ",REPT(" ",LEN(A344))),LEN(A344)))), LARGE(INDEX(ISNUMBER(--MID((--TRIM(RIGHT(SUBSTITUTE(LEFT(A344,_xlfn.AGGREGATE(16,6,FIND({0,1,2,3,4,5,6,7,8,9},A344,ROW(INDIRECT("1:"&amp;LEN(A344)))),1))," ",REPT(" ",LEN(A344))),LEN(A344)))), ROW(INDIRECT("1:"&amp;LEN((--TRIM(RIGHT(SUBSTITUTE(LEFT(A344,_xlfn.AGGREGATE(16,6,FIND({0,1,2,3,4,5,6,7,8,9},A344,ROW(INDIRECT("1:"&amp;LEN(A344)))),1))," ",REPT(" ",LEN(A344))),LEN(A344))))))), 1)) * ROW(INDIRECT("1:"&amp;LEN((--TRIM(RIGHT(SUBSTITUTE(LEFT(A344,_xlfn.AGGREGATE(16,6,FIND({0,1,2,3,4,5,6,7,8,9},A344,ROW(INDIRECT("1:"&amp;LEN(A344)))),1))," ",REPT(" ",LEN(A344))),LEN(A344))))))), 0), ROW(INDIRECT("1:"&amp;LEN((--TRIM(RIGHT(SUBSTITUTE(LEFT(A344,_xlfn.AGGREGATE(16,6,FIND({0,1,2,3,4,5,6,7,8,9},A344,ROW(INDIRECT("1:"&amp;LEN(A344)))),1))," ",REPT(" ",LEN(A344))),LEN(A344))))))))+1, 1) * 10^ROW(INDIRECT("1:"&amp;LEN((--TRIM(RIGHT(SUBSTITUTE(LEFT(A344,_xlfn.AGGREGATE(16,6,FIND({0,1,2,3,4,5,6,7,8,9},A344,ROW(INDIRECT("1:"&amp;LEN(A344)))),1))," ",REPT(" ",LEN(A344))),LEN(A344)))))))/10))*100+1</f>
        <v>401</v>
      </c>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25" customHeight="1" x14ac:dyDescent="0.25">
      <c r="A346" s="106">
        <f>A345+1</f>
        <v>2</v>
      </c>
      <c r="B346" s="106"/>
      <c r="C346" s="53" t="s">
        <v>94</v>
      </c>
      <c r="D346" s="53" t="s">
        <v>325</v>
      </c>
      <c r="E346" s="32">
        <f>(11.52*4+4.58*2.65+2*1.2+1.53*1.25)*10.764</f>
        <v>673.0675379999999</v>
      </c>
      <c r="F346" s="31">
        <v>0</v>
      </c>
      <c r="G346" s="31">
        <v>0</v>
      </c>
      <c r="H346" s="31">
        <f t="shared" ref="H346:H362" si="93">E346+F346+(IF(G346&lt;101,G346,IF(G346&lt;201,G346/2,IF(G346&lt;=301,G346/3,G346/4))))</f>
        <v>673.0675379999999</v>
      </c>
      <c r="I346" s="1"/>
      <c r="J346" s="1"/>
      <c r="K346" s="1"/>
      <c r="L346" s="1"/>
      <c r="M346" s="1"/>
      <c r="N346" s="1"/>
      <c r="O346" s="1"/>
      <c r="P346" s="1"/>
      <c r="Q346" s="1"/>
      <c r="R346" s="1"/>
      <c r="S346" s="1"/>
      <c r="T346" s="21" t="str">
        <f t="shared" ref="T346:T362" ca="1" si="94">U346&amp;""&amp;" to "&amp;""&amp;V346</f>
        <v>202 to 402</v>
      </c>
      <c r="U346" s="21">
        <f ca="1">U345+1</f>
        <v>202</v>
      </c>
      <c r="V346" s="21">
        <f ca="1">V345+1</f>
        <v>402</v>
      </c>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25" customHeight="1" x14ac:dyDescent="0.25">
      <c r="A347" s="106">
        <f t="shared" ref="A347:A362" si="95">A346+1</f>
        <v>3</v>
      </c>
      <c r="B347" s="106"/>
      <c r="C347" s="53" t="s">
        <v>94</v>
      </c>
      <c r="D347" s="53" t="s">
        <v>325</v>
      </c>
      <c r="E347" s="32">
        <f>(11.52*4+4.58*2.65+2*1.2+1.53*1.25)*10.764</f>
        <v>673.0675379999999</v>
      </c>
      <c r="F347" s="31">
        <v>0</v>
      </c>
      <c r="G347" s="31">
        <v>0</v>
      </c>
      <c r="H347" s="31">
        <f t="shared" si="93"/>
        <v>673.0675379999999</v>
      </c>
      <c r="I347" s="1"/>
      <c r="J347" s="1"/>
      <c r="K347" s="1"/>
      <c r="L347" s="1"/>
      <c r="M347" s="1"/>
      <c r="N347" s="1"/>
      <c r="O347" s="1"/>
      <c r="P347" s="1"/>
      <c r="Q347" s="1"/>
      <c r="R347" s="1"/>
      <c r="S347" s="1"/>
      <c r="T347" s="21" t="str">
        <f t="shared" ca="1" si="94"/>
        <v>203 to 403</v>
      </c>
      <c r="U347" s="21">
        <f t="shared" ref="U347:V362" ca="1" si="96">U346+1</f>
        <v>203</v>
      </c>
      <c r="V347" s="21">
        <f t="shared" ca="1" si="96"/>
        <v>403</v>
      </c>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25" customHeight="1" x14ac:dyDescent="0.25">
      <c r="A348" s="106">
        <f t="shared" si="95"/>
        <v>4</v>
      </c>
      <c r="B348" s="106"/>
      <c r="C348" s="53" t="s">
        <v>94</v>
      </c>
      <c r="D348" s="53" t="s">
        <v>325</v>
      </c>
      <c r="E348" s="32">
        <f>(10.95*4+5.15*2.65+2*1.2+2.1*1.25)*10.764</f>
        <v>672.45398999999998</v>
      </c>
      <c r="F348" s="31">
        <v>0</v>
      </c>
      <c r="G348" s="31">
        <v>0</v>
      </c>
      <c r="H348" s="31">
        <f t="shared" si="93"/>
        <v>672.45398999999998</v>
      </c>
      <c r="I348" s="1"/>
      <c r="J348" s="1"/>
      <c r="K348" s="1"/>
      <c r="L348" s="1"/>
      <c r="M348" s="1"/>
      <c r="N348" s="1"/>
      <c r="O348" s="1"/>
      <c r="P348" s="1"/>
      <c r="Q348" s="1"/>
      <c r="R348" s="1"/>
      <c r="S348" s="1"/>
      <c r="T348" s="21" t="str">
        <f t="shared" ca="1" si="94"/>
        <v>204 to 404</v>
      </c>
      <c r="U348" s="21">
        <f t="shared" ca="1" si="96"/>
        <v>204</v>
      </c>
      <c r="V348" s="21">
        <f t="shared" ca="1" si="96"/>
        <v>404</v>
      </c>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25" customHeight="1" x14ac:dyDescent="0.25">
      <c r="A349" s="106">
        <f t="shared" si="95"/>
        <v>5</v>
      </c>
      <c r="B349" s="106"/>
      <c r="C349" s="53" t="s">
        <v>94</v>
      </c>
      <c r="D349" s="53" t="s">
        <v>325</v>
      </c>
      <c r="E349" s="32">
        <f>(10.95*4+5.15*2.65+2*1.2+2.1*1.25)*10.764</f>
        <v>672.45398999999998</v>
      </c>
      <c r="F349" s="31">
        <v>0</v>
      </c>
      <c r="G349" s="31">
        <v>0</v>
      </c>
      <c r="H349" s="31">
        <f t="shared" si="93"/>
        <v>672.45398999999998</v>
      </c>
      <c r="I349" s="1"/>
      <c r="J349" s="1"/>
      <c r="K349" s="1"/>
      <c r="L349" s="1"/>
      <c r="M349" s="1"/>
      <c r="N349" s="1"/>
      <c r="O349" s="1"/>
      <c r="P349" s="1"/>
      <c r="Q349" s="1"/>
      <c r="R349" s="1"/>
      <c r="S349" s="1"/>
      <c r="T349" s="21" t="str">
        <f t="shared" ca="1" si="94"/>
        <v>205 to 405</v>
      </c>
      <c r="U349" s="21">
        <f t="shared" ca="1" si="96"/>
        <v>205</v>
      </c>
      <c r="V349" s="21">
        <f t="shared" ca="1" si="96"/>
        <v>405</v>
      </c>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s="3" customFormat="1" ht="20.25" customHeight="1" x14ac:dyDescent="0.25">
      <c r="A350" s="106">
        <f t="shared" si="95"/>
        <v>6</v>
      </c>
      <c r="B350" s="106"/>
      <c r="C350" s="53" t="s">
        <v>94</v>
      </c>
      <c r="D350" s="53" t="s">
        <v>325</v>
      </c>
      <c r="E350" s="32">
        <f>(10.95*4+5.15*2.64+2*1.2+2.1*1.25)*10.764</f>
        <v>671.89964399999997</v>
      </c>
      <c r="F350" s="31">
        <v>0</v>
      </c>
      <c r="G350" s="31">
        <v>0</v>
      </c>
      <c r="H350" s="31">
        <f t="shared" si="93"/>
        <v>671.89964399999997</v>
      </c>
      <c r="I350" s="1"/>
      <c r="J350" s="1"/>
      <c r="K350" s="1"/>
      <c r="L350" s="1"/>
      <c r="M350" s="1"/>
      <c r="N350" s="1"/>
      <c r="O350" s="1"/>
      <c r="P350" s="1"/>
      <c r="Q350" s="1"/>
      <c r="R350" s="1"/>
      <c r="S350" s="1"/>
      <c r="T350" s="21" t="str">
        <f t="shared" ca="1" si="94"/>
        <v>206 to 406</v>
      </c>
      <c r="U350" s="21">
        <f t="shared" ca="1" si="96"/>
        <v>206</v>
      </c>
      <c r="V350" s="21">
        <f t="shared" ca="1" si="96"/>
        <v>406</v>
      </c>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row>
    <row r="351" spans="1:150 16226:16383" s="3" customFormat="1" ht="20.25" customHeight="1" x14ac:dyDescent="0.25">
      <c r="A351" s="106">
        <f t="shared" si="95"/>
        <v>7</v>
      </c>
      <c r="B351" s="106"/>
      <c r="C351" s="53" t="s">
        <v>94</v>
      </c>
      <c r="D351" s="53" t="s">
        <v>325</v>
      </c>
      <c r="E351" s="32">
        <f>(10.95*4+5.15*2.66+2*1.2+2.1*1.25)*10.764</f>
        <v>673.00833599999987</v>
      </c>
      <c r="F351" s="31">
        <v>0</v>
      </c>
      <c r="G351" s="31">
        <v>0</v>
      </c>
      <c r="H351" s="31">
        <f t="shared" si="93"/>
        <v>673.00833599999987</v>
      </c>
      <c r="I351" s="1"/>
      <c r="J351" s="1"/>
      <c r="K351" s="1"/>
      <c r="L351" s="1"/>
      <c r="M351" s="1"/>
      <c r="N351" s="1"/>
      <c r="O351" s="1"/>
      <c r="P351" s="1"/>
      <c r="Q351" s="1"/>
      <c r="R351" s="1"/>
      <c r="S351" s="1"/>
      <c r="T351" s="21" t="str">
        <f t="shared" ca="1" si="94"/>
        <v>207 to 407</v>
      </c>
      <c r="U351" s="21">
        <f t="shared" ca="1" si="96"/>
        <v>207</v>
      </c>
      <c r="V351" s="21">
        <f t="shared" ca="1" si="96"/>
        <v>407</v>
      </c>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row>
    <row r="352" spans="1:150 16226:16383" s="3" customFormat="1" ht="20.25" customHeight="1" x14ac:dyDescent="0.25">
      <c r="A352" s="106">
        <f t="shared" si="95"/>
        <v>8</v>
      </c>
      <c r="B352" s="106"/>
      <c r="C352" s="53" t="s">
        <v>94</v>
      </c>
      <c r="D352" s="53" t="s">
        <v>325</v>
      </c>
      <c r="E352" s="32">
        <f>(11.52*4+4.57*2.65+2*1.2+1.53*1.25)*10.764</f>
        <v>672.78229199999998</v>
      </c>
      <c r="F352" s="31">
        <v>0</v>
      </c>
      <c r="G352" s="31">
        <v>0</v>
      </c>
      <c r="H352" s="31">
        <f t="shared" si="93"/>
        <v>672.78229199999998</v>
      </c>
      <c r="I352" s="1"/>
      <c r="J352" s="1"/>
      <c r="K352" s="1"/>
      <c r="L352" s="1"/>
      <c r="M352" s="1"/>
      <c r="N352" s="1"/>
      <c r="O352" s="1"/>
      <c r="P352" s="1"/>
      <c r="Q352" s="1"/>
      <c r="R352" s="1"/>
      <c r="S352" s="1"/>
      <c r="T352" s="21" t="str">
        <f t="shared" ca="1" si="94"/>
        <v>208 to 408</v>
      </c>
      <c r="U352" s="21">
        <f t="shared" ca="1" si="96"/>
        <v>208</v>
      </c>
      <c r="V352" s="21">
        <f t="shared" ca="1" si="96"/>
        <v>408</v>
      </c>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row>
    <row r="353" spans="1:150 16226:16383" s="3" customFormat="1" ht="20.25" customHeight="1" x14ac:dyDescent="0.25">
      <c r="A353" s="106">
        <f t="shared" si="95"/>
        <v>9</v>
      </c>
      <c r="B353" s="106"/>
      <c r="C353" s="53" t="s">
        <v>94</v>
      </c>
      <c r="D353" s="53" t="s">
        <v>325</v>
      </c>
      <c r="E353" s="32">
        <f>(11.52*4+4.57*2.65+2*1.2+1.53*1.25)*10.764</f>
        <v>672.78229199999998</v>
      </c>
      <c r="F353" s="31">
        <v>0</v>
      </c>
      <c r="G353" s="31">
        <v>0</v>
      </c>
      <c r="H353" s="31">
        <f t="shared" si="93"/>
        <v>672.78229199999998</v>
      </c>
      <c r="I353" s="1"/>
      <c r="J353" s="1"/>
      <c r="K353" s="1"/>
      <c r="L353" s="1"/>
      <c r="M353" s="1"/>
      <c r="N353" s="1"/>
      <c r="O353" s="1"/>
      <c r="P353" s="1"/>
      <c r="Q353" s="1"/>
      <c r="R353" s="1"/>
      <c r="S353" s="1"/>
      <c r="T353" s="21" t="str">
        <f t="shared" ca="1" si="94"/>
        <v>209 to 409</v>
      </c>
      <c r="U353" s="21">
        <f t="shared" ca="1" si="96"/>
        <v>209</v>
      </c>
      <c r="V353" s="21">
        <f t="shared" ca="1" si="96"/>
        <v>409</v>
      </c>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row>
    <row r="354" spans="1:150 16226:16383" s="3" customFormat="1" ht="20.25" customHeight="1" x14ac:dyDescent="0.25">
      <c r="A354" s="106">
        <f t="shared" si="95"/>
        <v>10</v>
      </c>
      <c r="B354" s="106"/>
      <c r="C354" s="53" t="s">
        <v>94</v>
      </c>
      <c r="D354" s="53" t="s">
        <v>325</v>
      </c>
      <c r="E354" s="32">
        <f>(10.95*4+5.15*2.65+2*1.2+2.1*1.25)*10.764</f>
        <v>672.45398999999998</v>
      </c>
      <c r="F354" s="31">
        <v>0</v>
      </c>
      <c r="G354" s="31">
        <v>0</v>
      </c>
      <c r="H354" s="31">
        <f t="shared" si="93"/>
        <v>672.45398999999998</v>
      </c>
      <c r="I354" s="1"/>
      <c r="J354" s="1"/>
      <c r="K354" s="1"/>
      <c r="L354" s="1"/>
      <c r="M354" s="1"/>
      <c r="N354" s="1"/>
      <c r="O354" s="1"/>
      <c r="P354" s="1"/>
      <c r="Q354" s="1"/>
      <c r="R354" s="1"/>
      <c r="S354" s="1"/>
      <c r="T354" s="21" t="str">
        <f t="shared" ca="1" si="94"/>
        <v>210 to 410</v>
      </c>
      <c r="U354" s="21">
        <f t="shared" ca="1" si="96"/>
        <v>210</v>
      </c>
      <c r="V354" s="21">
        <f t="shared" ca="1" si="96"/>
        <v>410</v>
      </c>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row>
    <row r="355" spans="1:150 16226:16383" s="3" customFormat="1" ht="20.25" customHeight="1" x14ac:dyDescent="0.25">
      <c r="A355" s="106">
        <f t="shared" si="95"/>
        <v>11</v>
      </c>
      <c r="B355" s="106"/>
      <c r="C355" s="53" t="s">
        <v>94</v>
      </c>
      <c r="D355" s="53" t="s">
        <v>325</v>
      </c>
      <c r="E355" s="32">
        <f>(4.57*7.88+3.22*4.58+1.2*2+1.25*1.53)*10.764</f>
        <v>592.79177879999997</v>
      </c>
      <c r="F355" s="31">
        <v>0</v>
      </c>
      <c r="G355" s="31">
        <v>0</v>
      </c>
      <c r="H355" s="31">
        <f t="shared" si="93"/>
        <v>592.79177879999997</v>
      </c>
      <c r="I355" s="1"/>
      <c r="J355" s="1"/>
      <c r="K355" s="1"/>
      <c r="L355" s="1"/>
      <c r="M355" s="1"/>
      <c r="N355" s="1"/>
      <c r="O355" s="1"/>
      <c r="P355" s="1"/>
      <c r="Q355" s="1"/>
      <c r="R355" s="1"/>
      <c r="S355" s="1"/>
      <c r="T355" s="21" t="str">
        <f t="shared" ca="1" si="94"/>
        <v>211 to 411</v>
      </c>
      <c r="U355" s="21">
        <f t="shared" ca="1" si="96"/>
        <v>211</v>
      </c>
      <c r="V355" s="21">
        <f t="shared" ca="1" si="96"/>
        <v>411</v>
      </c>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row>
    <row r="356" spans="1:150 16226:16383" s="3" customFormat="1" ht="20.25" customHeight="1" x14ac:dyDescent="0.25">
      <c r="A356" s="106">
        <f t="shared" si="95"/>
        <v>12</v>
      </c>
      <c r="B356" s="106"/>
      <c r="C356" s="53" t="s">
        <v>94</v>
      </c>
      <c r="D356" s="53" t="s">
        <v>325</v>
      </c>
      <c r="E356" s="32">
        <f>(4.57*7.88+3.22*4.58+1.2*2+1.25*1.53)*10.764</f>
        <v>592.79177879999997</v>
      </c>
      <c r="F356" s="31">
        <v>0</v>
      </c>
      <c r="G356" s="31">
        <v>0</v>
      </c>
      <c r="H356" s="31">
        <f t="shared" si="93"/>
        <v>592.79177879999997</v>
      </c>
      <c r="I356" s="1"/>
      <c r="J356" s="1"/>
      <c r="K356" s="1"/>
      <c r="L356" s="1"/>
      <c r="M356" s="1"/>
      <c r="N356" s="1"/>
      <c r="O356" s="1"/>
      <c r="P356" s="1"/>
      <c r="Q356" s="1"/>
      <c r="R356" s="1"/>
      <c r="S356" s="1"/>
      <c r="T356" s="21" t="str">
        <f t="shared" ca="1" si="94"/>
        <v>212 to 412</v>
      </c>
      <c r="U356" s="21">
        <f t="shared" ca="1" si="96"/>
        <v>212</v>
      </c>
      <c r="V356" s="21">
        <f t="shared" ca="1" si="96"/>
        <v>412</v>
      </c>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WZB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row>
    <row r="357" spans="1:150 16226:16383" s="3" customFormat="1" ht="20.25" customHeight="1" x14ac:dyDescent="0.25">
      <c r="A357" s="106">
        <f t="shared" si="95"/>
        <v>13</v>
      </c>
      <c r="B357" s="106"/>
      <c r="C357" s="53" t="s">
        <v>94</v>
      </c>
      <c r="D357" s="53" t="s">
        <v>325</v>
      </c>
      <c r="E357" s="32">
        <f>(4.72*7.88+3.37*4.73+4.72*2+1.2*2+1.25*1.53)*10.764</f>
        <v>719.96305679999978</v>
      </c>
      <c r="F357" s="31">
        <v>0</v>
      </c>
      <c r="G357" s="31">
        <v>0</v>
      </c>
      <c r="H357" s="31">
        <f t="shared" si="93"/>
        <v>719.96305679999978</v>
      </c>
      <c r="I357" s="1"/>
      <c r="J357" s="1"/>
      <c r="K357" s="1"/>
      <c r="L357" s="1"/>
      <c r="M357" s="1"/>
      <c r="N357" s="1"/>
      <c r="O357" s="1"/>
      <c r="P357" s="1"/>
      <c r="Q357" s="1"/>
      <c r="R357" s="1"/>
      <c r="S357" s="1"/>
      <c r="T357" s="21" t="str">
        <f t="shared" ca="1" si="94"/>
        <v>213 to 413</v>
      </c>
      <c r="U357" s="21">
        <f t="shared" ca="1" si="96"/>
        <v>213</v>
      </c>
      <c r="V357" s="21">
        <f t="shared" ca="1" si="96"/>
        <v>413</v>
      </c>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WZB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row>
    <row r="358" spans="1:150 16226:16383" s="3" customFormat="1" ht="20.25" customHeight="1" x14ac:dyDescent="0.25">
      <c r="A358" s="106">
        <f t="shared" si="95"/>
        <v>14</v>
      </c>
      <c r="B358" s="106"/>
      <c r="C358" s="53" t="s">
        <v>94</v>
      </c>
      <c r="D358" s="53" t="s">
        <v>325</v>
      </c>
      <c r="E358" s="32">
        <f>(8.02*3.38+3.48*1.35+2*1.2+1.53*1.25)*10.764</f>
        <v>388.77522839999995</v>
      </c>
      <c r="F358" s="31">
        <v>0</v>
      </c>
      <c r="G358" s="31">
        <v>0</v>
      </c>
      <c r="H358" s="31">
        <f t="shared" si="93"/>
        <v>388.77522839999995</v>
      </c>
      <c r="I358" s="1"/>
      <c r="J358" s="1"/>
      <c r="K358" s="1"/>
      <c r="L358" s="1"/>
      <c r="M358" s="1"/>
      <c r="N358" s="1"/>
      <c r="O358" s="1"/>
      <c r="P358" s="1"/>
      <c r="Q358" s="1"/>
      <c r="R358" s="1"/>
      <c r="S358" s="1"/>
      <c r="T358" s="21" t="str">
        <f t="shared" ca="1" si="94"/>
        <v>214 to 414</v>
      </c>
      <c r="U358" s="21">
        <f t="shared" ca="1" si="96"/>
        <v>214</v>
      </c>
      <c r="V358" s="21">
        <f t="shared" ca="1" si="96"/>
        <v>414</v>
      </c>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WZB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row>
    <row r="359" spans="1:150 16226:16383" s="3" customFormat="1" ht="20.25" customHeight="1" x14ac:dyDescent="0.25">
      <c r="A359" s="106">
        <f t="shared" si="95"/>
        <v>15</v>
      </c>
      <c r="B359" s="106"/>
      <c r="C359" s="53" t="s">
        <v>94</v>
      </c>
      <c r="D359" s="53" t="s">
        <v>325</v>
      </c>
      <c r="E359" s="32">
        <f>(8.02*3.38+3.48*1.35+2*1.2+1.53*1.25)*10.764</f>
        <v>388.77522839999995</v>
      </c>
      <c r="F359" s="31">
        <v>0</v>
      </c>
      <c r="G359" s="31">
        <v>0</v>
      </c>
      <c r="H359" s="31">
        <f t="shared" si="93"/>
        <v>388.77522839999995</v>
      </c>
      <c r="I359" s="1"/>
      <c r="J359" s="1"/>
      <c r="K359" s="1"/>
      <c r="L359" s="1"/>
      <c r="M359" s="1"/>
      <c r="N359" s="1"/>
      <c r="O359" s="1"/>
      <c r="P359" s="1"/>
      <c r="Q359" s="1"/>
      <c r="R359" s="1"/>
      <c r="S359" s="1"/>
      <c r="T359" s="21" t="str">
        <f t="shared" ca="1" si="94"/>
        <v>215 to 415</v>
      </c>
      <c r="U359" s="21">
        <f t="shared" ca="1" si="96"/>
        <v>215</v>
      </c>
      <c r="V359" s="21">
        <f t="shared" ca="1" si="96"/>
        <v>415</v>
      </c>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WZB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row>
    <row r="360" spans="1:150 16226:16383" s="3" customFormat="1" ht="20.25" customHeight="1" x14ac:dyDescent="0.25">
      <c r="A360" s="106">
        <f t="shared" si="95"/>
        <v>16</v>
      </c>
      <c r="B360" s="106"/>
      <c r="C360" s="53" t="s">
        <v>94</v>
      </c>
      <c r="D360" s="53" t="s">
        <v>325</v>
      </c>
      <c r="E360" s="32">
        <f>(4.72*(7.88+2)+3.37*4.73+1.25*1.53+1.2*2)*10.764</f>
        <v>719.9630568</v>
      </c>
      <c r="F360" s="31">
        <v>0</v>
      </c>
      <c r="G360" s="31">
        <v>0</v>
      </c>
      <c r="H360" s="31">
        <f t="shared" si="93"/>
        <v>719.9630568</v>
      </c>
      <c r="I360" s="1"/>
      <c r="J360" s="1"/>
      <c r="K360" s="1"/>
      <c r="L360" s="1"/>
      <c r="M360" s="1"/>
      <c r="N360" s="1"/>
      <c r="O360" s="1"/>
      <c r="P360" s="1"/>
      <c r="Q360" s="1"/>
      <c r="R360" s="1"/>
      <c r="S360" s="1"/>
      <c r="T360" s="21" t="str">
        <f t="shared" ca="1" si="94"/>
        <v>216 to 416</v>
      </c>
      <c r="U360" s="21">
        <f t="shared" ca="1" si="96"/>
        <v>216</v>
      </c>
      <c r="V360" s="21">
        <f t="shared" ca="1" si="96"/>
        <v>416</v>
      </c>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WZB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row>
    <row r="361" spans="1:150 16226:16383" s="3" customFormat="1" ht="20.25" customHeight="1" x14ac:dyDescent="0.25">
      <c r="A361" s="106">
        <f t="shared" si="95"/>
        <v>17</v>
      </c>
      <c r="B361" s="106"/>
      <c r="C361" s="53" t="s">
        <v>94</v>
      </c>
      <c r="D361" s="53" t="s">
        <v>325</v>
      </c>
      <c r="E361" s="32">
        <f>(4.55*7.88+3.2*4.57+1.25*1.53+1.2*2)*10.764</f>
        <v>589.76494200000002</v>
      </c>
      <c r="F361" s="31">
        <v>0</v>
      </c>
      <c r="G361" s="31">
        <v>0</v>
      </c>
      <c r="H361" s="31">
        <f t="shared" si="93"/>
        <v>589.76494200000002</v>
      </c>
      <c r="I361" s="1"/>
      <c r="J361" s="1"/>
      <c r="K361" s="1"/>
      <c r="L361" s="1"/>
      <c r="M361" s="1"/>
      <c r="N361" s="1"/>
      <c r="O361" s="1"/>
      <c r="P361" s="1"/>
      <c r="Q361" s="1"/>
      <c r="R361" s="1"/>
      <c r="S361" s="1"/>
      <c r="T361" s="21" t="str">
        <f t="shared" ca="1" si="94"/>
        <v>217 to 417</v>
      </c>
      <c r="U361" s="21">
        <f t="shared" ca="1" si="96"/>
        <v>217</v>
      </c>
      <c r="V361" s="21">
        <f t="shared" ca="1" si="96"/>
        <v>417</v>
      </c>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row>
    <row r="362" spans="1:150 16226:16383" s="3" customFormat="1" ht="20.25" customHeight="1" x14ac:dyDescent="0.25">
      <c r="A362" s="106">
        <f t="shared" si="95"/>
        <v>18</v>
      </c>
      <c r="B362" s="106"/>
      <c r="C362" s="53" t="s">
        <v>94</v>
      </c>
      <c r="D362" s="53" t="s">
        <v>325</v>
      </c>
      <c r="E362" s="32">
        <f>(4.58*7.88+3.23*4.58+1.25*1.53+1.2*2)*10.764</f>
        <v>594.13297319999992</v>
      </c>
      <c r="F362" s="31">
        <v>0</v>
      </c>
      <c r="G362" s="31">
        <v>0</v>
      </c>
      <c r="H362" s="31">
        <f t="shared" si="93"/>
        <v>594.13297319999992</v>
      </c>
      <c r="I362" s="1"/>
      <c r="J362" s="1"/>
      <c r="K362" s="1"/>
      <c r="L362" s="1"/>
      <c r="M362" s="1"/>
      <c r="N362" s="1"/>
      <c r="O362" s="1"/>
      <c r="P362" s="1"/>
      <c r="Q362" s="1"/>
      <c r="R362" s="1"/>
      <c r="S362" s="1"/>
      <c r="T362" s="21" t="str">
        <f t="shared" ca="1" si="94"/>
        <v>218 to 418</v>
      </c>
      <c r="U362" s="21">
        <f t="shared" ca="1" si="96"/>
        <v>218</v>
      </c>
      <c r="V362" s="21">
        <f t="shared" ca="1" si="96"/>
        <v>418</v>
      </c>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WZB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row>
    <row r="363" spans="1:150 16226:16383" s="3" customFormat="1" ht="20.25" hidden="1" x14ac:dyDescent="0.25">
      <c r="A363" s="109" t="s">
        <v>128</v>
      </c>
      <c r="B363" s="110"/>
      <c r="C363" s="110"/>
      <c r="D363" s="110"/>
      <c r="E363" s="110"/>
      <c r="F363" s="110"/>
      <c r="G363" s="110"/>
      <c r="H363" s="11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WZB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row>
    <row r="364" spans="1:150 16226:16383" s="3" customFormat="1" ht="20.25" hidden="1" customHeight="1" x14ac:dyDescent="0.25">
      <c r="A364" s="106" t="str">
        <f ca="1">T364</f>
        <v>201 &amp; 501</v>
      </c>
      <c r="B364" s="106"/>
      <c r="C364" s="53"/>
      <c r="D364" s="53"/>
      <c r="E364" s="32">
        <v>0</v>
      </c>
      <c r="F364" s="31">
        <v>0</v>
      </c>
      <c r="G364" s="31">
        <v>0</v>
      </c>
      <c r="H364" s="31">
        <f>E364+F364+(IF(G364&lt;101,G364,IF(G364&lt;201,G364/2,IF(G364&lt;=301,G364/3,G364/4))))</f>
        <v>0</v>
      </c>
      <c r="I364" s="1"/>
      <c r="J364" s="1"/>
      <c r="K364" s="1"/>
      <c r="L364" s="1"/>
      <c r="M364" s="1"/>
      <c r="N364" s="1"/>
      <c r="O364" s="1"/>
      <c r="P364" s="1"/>
      <c r="Q364" s="1"/>
      <c r="R364" s="1"/>
      <c r="S364" s="1"/>
      <c r="T364" s="21" t="str">
        <f ca="1">U364&amp;""&amp;" &amp; "&amp;""&amp;V364</f>
        <v>201 &amp; 501</v>
      </c>
      <c r="U364" s="21">
        <f ca="1">(SUMPRODUCT(MID(0&amp;(LEFT(A363,SUM(LEN(A363)-LEN(SUBSTITUTE(A363,{"0","1","2","3"},""))))), LARGE(INDEX(ISNUMBER(--MID((LEFT(A363,SUM(LEN(A363)-LEN(SUBSTITUTE(A363,{"0","1","2","3"},""))))), ROW(INDIRECT("1:"&amp;LEN((LEFT(A363,SUM(LEN(A363)-LEN(SUBSTITUTE(A363,{"0","1","2","3"},"")))))))), 1)) * ROW(INDIRECT("1:"&amp;LEN((LEFT(A363,SUM(LEN(A363)-LEN(SUBSTITUTE(A363,{"0","1","2","3"},"")))))))), 0), ROW(INDIRECT("1:"&amp;LEN((LEFT(A363,SUM(LEN(A363)-LEN(SUBSTITUTE(A363,{"0","1","2","3"},"")))))))))+1, 1) * 10^ROW(INDIRECT("1:"&amp;LEN((LEFT(A363,SUM(LEN(A363)-LEN(SUBSTITUTE(A363,{"0","1","2","3"},""))))))))/10))*100+1</f>
        <v>201</v>
      </c>
      <c r="V364" s="21">
        <f ca="1">(SUMPRODUCT(MID(0&amp;(--TRIM(RIGHT(SUBSTITUTE(LEFT(A363,_xlfn.AGGREGATE(16,6,FIND({0,1,2,3,4,5,6,7,8,9},A363,ROW(INDIRECT("1:"&amp;LEN(A363)))),1))," ",REPT(" ",LEN(A363))),LEN(A363)))), LARGE(INDEX(ISNUMBER(--MID((--TRIM(RIGHT(SUBSTITUTE(LEFT(A363,_xlfn.AGGREGATE(16,6,FIND({0,1,2,3,4,5,6,7,8,9},A363,ROW(INDIRECT("1:"&amp;LEN(A363)))),1))," ",REPT(" ",LEN(A363))),LEN(A363)))), ROW(INDIRECT("1:"&amp;LEN((--TRIM(RIGHT(SUBSTITUTE(LEFT(A363,_xlfn.AGGREGATE(16,6,FIND({0,1,2,3,4,5,6,7,8,9},A363,ROW(INDIRECT("1:"&amp;LEN(A363)))),1))," ",REPT(" ",LEN(A363))),LEN(A363))))))), 1)) * ROW(INDIRECT("1:"&amp;LEN((--TRIM(RIGHT(SUBSTITUTE(LEFT(A363,_xlfn.AGGREGATE(16,6,FIND({0,1,2,3,4,5,6,7,8,9},A363,ROW(INDIRECT("1:"&amp;LEN(A363)))),1))," ",REPT(" ",LEN(A363))),LEN(A363))))))), 0), ROW(INDIRECT("1:"&amp;LEN((--TRIM(RIGHT(SUBSTITUTE(LEFT(A363,_xlfn.AGGREGATE(16,6,FIND({0,1,2,3,4,5,6,7,8,9},A363,ROW(INDIRECT("1:"&amp;LEN(A363)))),1))," ",REPT(" ",LEN(A363))),LEN(A363))))))))+1, 1) * 10^ROW(INDIRECT("1:"&amp;LEN((--TRIM(RIGHT(SUBSTITUTE(LEFT(A363,_xlfn.AGGREGATE(16,6,FIND({0,1,2,3,4,5,6,7,8,9},A363,ROW(INDIRECT("1:"&amp;LEN(A363)))),1))," ",REPT(" ",LEN(A363))),LEN(A363)))))))/10))*100+1</f>
        <v>501</v>
      </c>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WZB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row>
    <row r="365" spans="1:150 16226:16383" s="3" customFormat="1" ht="20.25" hidden="1" customHeight="1" x14ac:dyDescent="0.25">
      <c r="A365" s="106" t="str">
        <f t="shared" ref="A365:A371" ca="1" si="97">T365</f>
        <v>202 &amp; 502</v>
      </c>
      <c r="B365" s="106"/>
      <c r="C365" s="53"/>
      <c r="D365" s="53"/>
      <c r="E365" s="32"/>
      <c r="F365" s="31"/>
      <c r="G365" s="31"/>
      <c r="H365" s="31">
        <f t="shared" ref="H365:H371" si="98">E365+F365+(IF(G365&lt;101,G365,IF(G365&lt;201,G365/2,IF(G365&lt;=301,G365/3,G365/4))))</f>
        <v>0</v>
      </c>
      <c r="I365" s="1"/>
      <c r="J365" s="1"/>
      <c r="K365" s="1"/>
      <c r="L365" s="1"/>
      <c r="M365" s="1"/>
      <c r="N365" s="1"/>
      <c r="O365" s="1"/>
      <c r="P365" s="1"/>
      <c r="Q365" s="1"/>
      <c r="R365" s="1"/>
      <c r="S365" s="1"/>
      <c r="T365" s="21" t="str">
        <f t="shared" ref="T365:T371" ca="1" si="99">U365&amp;""&amp;" &amp; "&amp;""&amp;V365</f>
        <v>202 &amp; 502</v>
      </c>
      <c r="U365" s="21">
        <f ca="1">U364+1</f>
        <v>202</v>
      </c>
      <c r="V365" s="21">
        <f ca="1">V364+1</f>
        <v>502</v>
      </c>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WZB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row>
    <row r="366" spans="1:150 16226:16383" s="3" customFormat="1" ht="20.25" hidden="1" customHeight="1" x14ac:dyDescent="0.25">
      <c r="A366" s="106" t="str">
        <f t="shared" ca="1" si="97"/>
        <v>203 &amp; 503</v>
      </c>
      <c r="B366" s="106"/>
      <c r="C366" s="53"/>
      <c r="D366" s="53"/>
      <c r="E366" s="32"/>
      <c r="F366" s="31"/>
      <c r="G366" s="31"/>
      <c r="H366" s="31">
        <f t="shared" si="98"/>
        <v>0</v>
      </c>
      <c r="I366" s="1"/>
      <c r="J366" s="1"/>
      <c r="K366" s="1"/>
      <c r="L366" s="1"/>
      <c r="M366" s="1"/>
      <c r="N366" s="1"/>
      <c r="O366" s="1"/>
      <c r="P366" s="1"/>
      <c r="Q366" s="1"/>
      <c r="R366" s="1"/>
      <c r="S366" s="1"/>
      <c r="T366" s="21" t="str">
        <f t="shared" ca="1" si="99"/>
        <v>203 &amp; 503</v>
      </c>
      <c r="U366" s="21">
        <f t="shared" ref="U366:U371" ca="1" si="100">U365+1</f>
        <v>203</v>
      </c>
      <c r="V366" s="21">
        <f t="shared" ref="V366:V371" ca="1" si="101">V365+1</f>
        <v>503</v>
      </c>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row>
    <row r="367" spans="1:150 16226:16383" s="3" customFormat="1" ht="20.25" hidden="1" customHeight="1" x14ac:dyDescent="0.25">
      <c r="A367" s="106" t="str">
        <f t="shared" ca="1" si="97"/>
        <v>204 &amp; 504</v>
      </c>
      <c r="B367" s="106"/>
      <c r="C367" s="53"/>
      <c r="D367" s="53"/>
      <c r="E367" s="32"/>
      <c r="F367" s="31"/>
      <c r="G367" s="31"/>
      <c r="H367" s="31">
        <f t="shared" si="98"/>
        <v>0</v>
      </c>
      <c r="I367" s="1"/>
      <c r="J367" s="1"/>
      <c r="K367" s="1"/>
      <c r="L367" s="1"/>
      <c r="M367" s="1"/>
      <c r="N367" s="1"/>
      <c r="O367" s="1"/>
      <c r="P367" s="1"/>
      <c r="Q367" s="1"/>
      <c r="R367" s="1"/>
      <c r="S367" s="1"/>
      <c r="T367" s="21" t="str">
        <f t="shared" ca="1" si="99"/>
        <v>204 &amp; 504</v>
      </c>
      <c r="U367" s="21">
        <f t="shared" ca="1" si="100"/>
        <v>204</v>
      </c>
      <c r="V367" s="21">
        <f t="shared" ca="1" si="101"/>
        <v>504</v>
      </c>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WZB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row>
    <row r="368" spans="1:150 16226:16383" s="3" customFormat="1" ht="20.25" hidden="1" customHeight="1" x14ac:dyDescent="0.25">
      <c r="A368" s="106" t="str">
        <f t="shared" ca="1" si="97"/>
        <v>205 &amp; 505</v>
      </c>
      <c r="B368" s="106"/>
      <c r="C368" s="53"/>
      <c r="D368" s="53"/>
      <c r="E368" s="32"/>
      <c r="F368" s="31"/>
      <c r="G368" s="31"/>
      <c r="H368" s="31">
        <f t="shared" si="98"/>
        <v>0</v>
      </c>
      <c r="I368" s="1"/>
      <c r="J368" s="1"/>
      <c r="K368" s="1"/>
      <c r="L368" s="1"/>
      <c r="M368" s="1"/>
      <c r="N368" s="1"/>
      <c r="O368" s="1"/>
      <c r="P368" s="1"/>
      <c r="Q368" s="1"/>
      <c r="R368" s="1"/>
      <c r="S368" s="1"/>
      <c r="T368" s="21" t="str">
        <f t="shared" ca="1" si="99"/>
        <v>205 &amp; 505</v>
      </c>
      <c r="U368" s="21">
        <f t="shared" ca="1" si="100"/>
        <v>205</v>
      </c>
      <c r="V368" s="21">
        <f t="shared" ca="1" si="101"/>
        <v>505</v>
      </c>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WZB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row>
    <row r="369" spans="1:150 16226:16383" s="3" customFormat="1" ht="20.25" hidden="1" customHeight="1" x14ac:dyDescent="0.25">
      <c r="A369" s="106" t="str">
        <f t="shared" ca="1" si="97"/>
        <v>206 &amp; 506</v>
      </c>
      <c r="B369" s="106"/>
      <c r="C369" s="53"/>
      <c r="D369" s="53"/>
      <c r="E369" s="32"/>
      <c r="F369" s="31"/>
      <c r="G369" s="31"/>
      <c r="H369" s="31">
        <f t="shared" si="98"/>
        <v>0</v>
      </c>
      <c r="I369" s="1"/>
      <c r="J369" s="1"/>
      <c r="K369" s="1"/>
      <c r="L369" s="1"/>
      <c r="M369" s="1"/>
      <c r="N369" s="1"/>
      <c r="O369" s="1"/>
      <c r="P369" s="1"/>
      <c r="Q369" s="1"/>
      <c r="R369" s="1"/>
      <c r="S369" s="1"/>
      <c r="T369" s="21" t="str">
        <f t="shared" ca="1" si="99"/>
        <v>206 &amp; 506</v>
      </c>
      <c r="U369" s="21">
        <f t="shared" ca="1" si="100"/>
        <v>206</v>
      </c>
      <c r="V369" s="21">
        <f t="shared" ca="1" si="101"/>
        <v>506</v>
      </c>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WZB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row>
    <row r="370" spans="1:150 16226:16383" s="3" customFormat="1" ht="20.25" hidden="1" customHeight="1" x14ac:dyDescent="0.25">
      <c r="A370" s="106" t="str">
        <f t="shared" ca="1" si="97"/>
        <v>207 &amp; 507</v>
      </c>
      <c r="B370" s="106"/>
      <c r="C370" s="53"/>
      <c r="D370" s="53"/>
      <c r="E370" s="32"/>
      <c r="F370" s="31"/>
      <c r="G370" s="31"/>
      <c r="H370" s="31">
        <f t="shared" si="98"/>
        <v>0</v>
      </c>
      <c r="I370" s="1"/>
      <c r="J370" s="1"/>
      <c r="K370" s="1"/>
      <c r="L370" s="1"/>
      <c r="M370" s="1"/>
      <c r="N370" s="1"/>
      <c r="O370" s="1"/>
      <c r="P370" s="1"/>
      <c r="Q370" s="1"/>
      <c r="R370" s="1"/>
      <c r="S370" s="1"/>
      <c r="T370" s="21" t="str">
        <f t="shared" ca="1" si="99"/>
        <v>207 &amp; 507</v>
      </c>
      <c r="U370" s="21">
        <f t="shared" ca="1" si="100"/>
        <v>207</v>
      </c>
      <c r="V370" s="21">
        <f t="shared" ca="1" si="101"/>
        <v>507</v>
      </c>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WZB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row>
    <row r="371" spans="1:150 16226:16383" s="3" customFormat="1" ht="20.25" hidden="1" customHeight="1" x14ac:dyDescent="0.25">
      <c r="A371" s="106" t="str">
        <f t="shared" ca="1" si="97"/>
        <v>208 &amp; 508</v>
      </c>
      <c r="B371" s="106"/>
      <c r="C371" s="53"/>
      <c r="D371" s="53"/>
      <c r="E371" s="32"/>
      <c r="F371" s="31"/>
      <c r="G371" s="31"/>
      <c r="H371" s="31">
        <f t="shared" si="98"/>
        <v>0</v>
      </c>
      <c r="I371" s="1"/>
      <c r="J371" s="1"/>
      <c r="K371" s="1"/>
      <c r="L371" s="1"/>
      <c r="M371" s="1"/>
      <c r="N371" s="1"/>
      <c r="O371" s="1"/>
      <c r="P371" s="1"/>
      <c r="Q371" s="1"/>
      <c r="R371" s="1"/>
      <c r="S371" s="1"/>
      <c r="T371" s="21" t="str">
        <f t="shared" ca="1" si="99"/>
        <v>208 &amp; 508</v>
      </c>
      <c r="U371" s="21">
        <f t="shared" ca="1" si="100"/>
        <v>208</v>
      </c>
      <c r="V371" s="21">
        <f t="shared" ca="1" si="101"/>
        <v>508</v>
      </c>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WZB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row>
    <row r="372" spans="1:150 16226:16383" ht="20.25" x14ac:dyDescent="0.25">
      <c r="A372" s="71" t="s">
        <v>67</v>
      </c>
      <c r="B372" s="71"/>
      <c r="C372" s="71"/>
      <c r="D372" s="71"/>
      <c r="E372" s="71"/>
      <c r="F372" s="71"/>
      <c r="G372" s="71"/>
      <c r="H372" s="71"/>
    </row>
    <row r="373" spans="1:150 16226:16383" ht="86.25" customHeight="1" x14ac:dyDescent="0.25">
      <c r="A373" s="2" t="s">
        <v>237</v>
      </c>
      <c r="B373" s="82" t="s">
        <v>347</v>
      </c>
      <c r="C373" s="108"/>
      <c r="D373" s="108"/>
      <c r="E373" s="108"/>
      <c r="F373" s="108"/>
      <c r="G373" s="108"/>
      <c r="H373" s="83"/>
    </row>
    <row r="374" spans="1:150 16226:16383" ht="20.25" x14ac:dyDescent="0.25">
      <c r="A374" s="2" t="s">
        <v>237</v>
      </c>
      <c r="B374" s="82" t="s">
        <v>238</v>
      </c>
      <c r="C374" s="108"/>
      <c r="D374" s="108"/>
      <c r="E374" s="108"/>
      <c r="F374" s="108"/>
      <c r="G374" s="108"/>
      <c r="H374" s="83"/>
    </row>
    <row r="375" spans="1:150 16226:16383" ht="20.25" x14ac:dyDescent="0.25">
      <c r="A375" s="2" t="s">
        <v>237</v>
      </c>
      <c r="B375" s="82" t="s">
        <v>295</v>
      </c>
      <c r="C375" s="108"/>
      <c r="D375" s="108"/>
      <c r="E375" s="108"/>
      <c r="F375" s="108"/>
      <c r="G375" s="108"/>
      <c r="H375" s="83"/>
    </row>
    <row r="376" spans="1:150 16226:16383" ht="20.25" x14ac:dyDescent="0.25">
      <c r="A376" s="2" t="s">
        <v>237</v>
      </c>
      <c r="B376" s="82" t="s">
        <v>239</v>
      </c>
      <c r="C376" s="108"/>
      <c r="D376" s="108"/>
      <c r="E376" s="108"/>
      <c r="F376" s="108"/>
      <c r="G376" s="108"/>
      <c r="H376" s="83"/>
    </row>
    <row r="377" spans="1:150 16226:16383" ht="20.25" x14ac:dyDescent="0.25">
      <c r="A377" s="2" t="s">
        <v>237</v>
      </c>
      <c r="B377" s="82" t="s">
        <v>240</v>
      </c>
      <c r="C377" s="108"/>
      <c r="D377" s="108"/>
      <c r="E377" s="108"/>
      <c r="F377" s="108"/>
      <c r="G377" s="108"/>
      <c r="H377" s="83"/>
    </row>
    <row r="378" spans="1:150 16226:16383" ht="46.5" hidden="1" customHeight="1" x14ac:dyDescent="0.25">
      <c r="A378" s="2" t="s">
        <v>237</v>
      </c>
      <c r="B378" s="82" t="s">
        <v>241</v>
      </c>
      <c r="C378" s="108"/>
      <c r="D378" s="108"/>
      <c r="E378" s="108"/>
      <c r="F378" s="108"/>
      <c r="G378" s="108"/>
      <c r="H378" s="83"/>
    </row>
    <row r="379" spans="1:150 16226:16383" ht="24.75" customHeight="1" x14ac:dyDescent="0.25">
      <c r="A379" s="2" t="s">
        <v>237</v>
      </c>
      <c r="B379" s="82" t="s">
        <v>296</v>
      </c>
      <c r="C379" s="108"/>
      <c r="D379" s="108"/>
      <c r="E379" s="108"/>
      <c r="F379" s="108"/>
      <c r="G379" s="108"/>
      <c r="H379" s="83"/>
    </row>
    <row r="380" spans="1:150 16226:16383" ht="45.75" hidden="1" customHeight="1" x14ac:dyDescent="0.25">
      <c r="A380" s="2" t="s">
        <v>237</v>
      </c>
      <c r="B380" s="82" t="s">
        <v>328</v>
      </c>
      <c r="C380" s="108"/>
      <c r="D380" s="108"/>
      <c r="E380" s="108"/>
      <c r="F380" s="108"/>
      <c r="G380" s="108"/>
      <c r="H380" s="83"/>
    </row>
    <row r="381" spans="1:150 16226:16383" ht="20.25" x14ac:dyDescent="0.25">
      <c r="A381" s="2" t="s">
        <v>237</v>
      </c>
      <c r="B381" s="82" t="s">
        <v>336</v>
      </c>
      <c r="C381" s="108"/>
      <c r="D381" s="108"/>
      <c r="E381" s="108"/>
      <c r="F381" s="108"/>
      <c r="G381" s="108"/>
      <c r="H381" s="83"/>
    </row>
    <row r="382" spans="1:150 16226:16383" ht="20.25" x14ac:dyDescent="0.25">
      <c r="A382" s="2" t="s">
        <v>237</v>
      </c>
      <c r="B382" s="82" t="s">
        <v>337</v>
      </c>
      <c r="C382" s="108"/>
      <c r="D382" s="108"/>
      <c r="E382" s="108"/>
      <c r="F382" s="108"/>
      <c r="G382" s="108"/>
      <c r="H382" s="83"/>
    </row>
    <row r="383" spans="1:150 16226:16383" ht="20.25" x14ac:dyDescent="0.25">
      <c r="A383" s="2" t="s">
        <v>237</v>
      </c>
      <c r="B383" s="82" t="s">
        <v>335</v>
      </c>
      <c r="C383" s="108"/>
      <c r="D383" s="108"/>
      <c r="E383" s="108"/>
      <c r="F383" s="108"/>
      <c r="G383" s="108"/>
      <c r="H383" s="83"/>
    </row>
    <row r="384" spans="1:150 16226:16383" ht="46.5" hidden="1" customHeight="1" x14ac:dyDescent="0.25">
      <c r="A384" s="2" t="s">
        <v>237</v>
      </c>
      <c r="B384" s="107" t="s">
        <v>241</v>
      </c>
      <c r="C384" s="108"/>
      <c r="D384" s="108"/>
      <c r="E384" s="108"/>
      <c r="F384" s="108"/>
      <c r="G384" s="108"/>
      <c r="H384" s="83"/>
    </row>
    <row r="385" spans="1:9" ht="20.25" x14ac:dyDescent="0.25">
      <c r="A385" s="118" t="s">
        <v>73</v>
      </c>
      <c r="B385" s="118"/>
      <c r="C385" s="118"/>
      <c r="D385" s="118"/>
      <c r="E385" s="118"/>
      <c r="F385" s="118"/>
      <c r="G385" s="118"/>
      <c r="H385" s="118"/>
    </row>
    <row r="386" spans="1:9" ht="20.25" x14ac:dyDescent="0.25">
      <c r="A386" s="77" t="s">
        <v>68</v>
      </c>
      <c r="B386" s="77"/>
      <c r="C386" s="77"/>
      <c r="D386" s="82" t="str">
        <f>C3</f>
        <v>Godrej Nurture (Tower 2 &amp; 3) &amp; Godrej Square</v>
      </c>
      <c r="E386" s="108"/>
      <c r="F386" s="108"/>
      <c r="G386" s="108"/>
      <c r="H386" s="83"/>
    </row>
    <row r="387" spans="1:9" ht="63" customHeight="1" x14ac:dyDescent="0.25">
      <c r="A387" s="77" t="s">
        <v>103</v>
      </c>
      <c r="B387" s="77"/>
      <c r="C387" s="77"/>
      <c r="D387" s="82" t="str">
        <f>C10</f>
        <v xml:space="preserve">Godrej Nurture &amp; Godrej Square, CTS No.216-A &amp; 216-C (Pt), near Filix Tower, LBS Marg, Sonapur, Bhandup, Nahur West, Mumbai, Mumbai - 400078. </v>
      </c>
      <c r="E387" s="108"/>
      <c r="F387" s="108"/>
      <c r="G387" s="108"/>
      <c r="H387" s="83"/>
    </row>
    <row r="388" spans="1:9" ht="20.25" customHeight="1" x14ac:dyDescent="0.25">
      <c r="A388" s="131" t="s">
        <v>109</v>
      </c>
      <c r="B388" s="131"/>
      <c r="C388" s="131"/>
      <c r="D388" s="132" t="str">
        <f>G3</f>
        <v>06/08/2025 at 03:27PM</v>
      </c>
      <c r="E388" s="108"/>
      <c r="F388" s="108"/>
      <c r="G388" s="108"/>
      <c r="H388" s="83"/>
    </row>
    <row r="389" spans="1:9" ht="20.25" x14ac:dyDescent="0.25">
      <c r="A389" s="8"/>
      <c r="B389" s="9"/>
      <c r="C389" s="9"/>
      <c r="D389" s="9"/>
      <c r="E389" s="9"/>
      <c r="F389" s="9"/>
      <c r="G389" s="9"/>
      <c r="H389" s="5"/>
    </row>
    <row r="390" spans="1:9" ht="20.25" x14ac:dyDescent="0.25">
      <c r="A390" s="10"/>
      <c r="B390" s="11"/>
      <c r="C390" s="11"/>
      <c r="D390" s="11"/>
      <c r="E390" s="11"/>
      <c r="F390" s="11"/>
      <c r="G390" s="11"/>
      <c r="H390" s="6"/>
    </row>
    <row r="391" spans="1:9" ht="20.25" x14ac:dyDescent="0.25">
      <c r="A391" s="10"/>
      <c r="B391" s="11"/>
      <c r="C391" s="11"/>
      <c r="D391" s="11"/>
      <c r="E391" s="11"/>
      <c r="F391" s="11"/>
      <c r="G391" s="11"/>
      <c r="H391" s="6"/>
    </row>
    <row r="392" spans="1:9" ht="20.25" x14ac:dyDescent="0.25">
      <c r="A392" s="10"/>
      <c r="B392" s="11"/>
      <c r="C392" s="11"/>
      <c r="D392" s="11"/>
      <c r="E392" s="11"/>
      <c r="F392" s="11"/>
      <c r="G392" s="11"/>
      <c r="H392" s="6"/>
    </row>
    <row r="393" spans="1:9" ht="20.25" x14ac:dyDescent="0.25">
      <c r="A393" s="10"/>
      <c r="B393" s="11"/>
      <c r="C393" s="11"/>
      <c r="D393" s="11"/>
      <c r="E393" s="11"/>
      <c r="F393" s="11"/>
      <c r="G393" s="11"/>
      <c r="H393" s="6"/>
    </row>
    <row r="394" spans="1:9" ht="20.25" x14ac:dyDescent="0.25">
      <c r="A394" s="10"/>
      <c r="B394" s="11"/>
      <c r="C394" s="11"/>
      <c r="D394" s="11"/>
      <c r="E394" s="11"/>
      <c r="F394" s="11"/>
      <c r="G394" s="11"/>
      <c r="H394" s="6"/>
    </row>
    <row r="395" spans="1:9" ht="20.25" x14ac:dyDescent="0.25">
      <c r="A395" s="10"/>
      <c r="B395" s="11"/>
      <c r="C395" s="11"/>
      <c r="D395" s="11"/>
      <c r="E395" s="11"/>
      <c r="F395" s="11"/>
      <c r="G395" s="11"/>
      <c r="H395" s="6"/>
      <c r="I395"/>
    </row>
    <row r="396" spans="1:9" ht="20.25" x14ac:dyDescent="0.25">
      <c r="A396" s="10"/>
      <c r="B396" s="11"/>
      <c r="C396" s="11"/>
      <c r="D396" s="11"/>
      <c r="E396" s="11"/>
      <c r="F396" s="11"/>
      <c r="G396" s="11"/>
      <c r="H396" s="6"/>
    </row>
    <row r="397" spans="1:9" ht="20.25" x14ac:dyDescent="0.25">
      <c r="A397" s="10"/>
      <c r="B397" s="11"/>
      <c r="C397" s="11"/>
      <c r="D397" s="11"/>
      <c r="E397" s="11"/>
      <c r="F397" s="11"/>
      <c r="G397" s="11"/>
      <c r="H397" s="6"/>
    </row>
    <row r="398" spans="1:9" ht="20.25" x14ac:dyDescent="0.25">
      <c r="A398" s="10"/>
      <c r="B398" s="11"/>
      <c r="C398" s="11"/>
      <c r="D398" s="11"/>
      <c r="E398" s="11"/>
      <c r="F398" s="11"/>
      <c r="G398" s="11"/>
      <c r="H398" s="6"/>
    </row>
    <row r="399" spans="1:9" ht="20.25" x14ac:dyDescent="0.25">
      <c r="A399" s="10"/>
      <c r="B399" s="11"/>
      <c r="C399" s="11"/>
      <c r="D399" s="11"/>
      <c r="E399" s="11"/>
      <c r="F399" s="11"/>
      <c r="G399" s="11"/>
      <c r="H399" s="6"/>
    </row>
    <row r="400" spans="1:9" ht="20.25" x14ac:dyDescent="0.25">
      <c r="A400" s="10"/>
      <c r="B400" s="11"/>
      <c r="C400" s="11"/>
      <c r="D400" s="11"/>
      <c r="E400" s="11"/>
      <c r="F400" s="11"/>
      <c r="G400" s="11"/>
      <c r="H400" s="6"/>
    </row>
    <row r="401" spans="1:8" ht="20.25" x14ac:dyDescent="0.25">
      <c r="A401" s="10"/>
      <c r="B401" s="11"/>
      <c r="C401" s="11"/>
      <c r="D401" s="11"/>
      <c r="E401" s="11"/>
      <c r="F401" s="11"/>
      <c r="G401" s="11"/>
      <c r="H401" s="6"/>
    </row>
    <row r="402" spans="1:8" ht="20.25" x14ac:dyDescent="0.25">
      <c r="A402" s="10"/>
      <c r="B402" s="11"/>
      <c r="C402" s="11"/>
      <c r="D402" s="11"/>
      <c r="E402" s="11"/>
      <c r="F402" s="11"/>
      <c r="G402" s="11"/>
      <c r="H402" s="6"/>
    </row>
    <row r="403" spans="1:8" ht="20.25" x14ac:dyDescent="0.25">
      <c r="A403" s="10"/>
      <c r="B403" s="11"/>
      <c r="C403" s="11"/>
      <c r="D403" s="11"/>
      <c r="E403" s="11"/>
      <c r="F403" s="11"/>
      <c r="G403" s="11"/>
      <c r="H403" s="6"/>
    </row>
    <row r="404" spans="1:8" ht="20.25" x14ac:dyDescent="0.25">
      <c r="A404" s="10"/>
      <c r="B404" s="11"/>
      <c r="C404" s="11"/>
      <c r="D404" s="11"/>
      <c r="E404" s="11"/>
      <c r="F404" s="11"/>
      <c r="G404" s="11"/>
      <c r="H404" s="6"/>
    </row>
    <row r="405" spans="1:8" ht="20.25" x14ac:dyDescent="0.25">
      <c r="A405" s="10"/>
      <c r="B405" s="11"/>
      <c r="C405" s="11"/>
      <c r="D405" s="11"/>
      <c r="E405" s="11"/>
      <c r="F405" s="11"/>
      <c r="G405" s="11"/>
      <c r="H405" s="6"/>
    </row>
    <row r="406" spans="1:8" ht="20.25" x14ac:dyDescent="0.25">
      <c r="A406" s="10"/>
      <c r="B406" s="11"/>
      <c r="C406" s="11"/>
      <c r="D406" s="11"/>
      <c r="E406" s="11"/>
      <c r="F406" s="11"/>
      <c r="G406" s="11"/>
      <c r="H406" s="6"/>
    </row>
    <row r="407" spans="1:8" ht="20.25" x14ac:dyDescent="0.25">
      <c r="A407" s="10"/>
      <c r="B407" s="11"/>
      <c r="C407" s="11"/>
      <c r="D407" s="11"/>
      <c r="E407" s="11"/>
      <c r="F407" s="11"/>
      <c r="G407" s="11"/>
      <c r="H407" s="6"/>
    </row>
    <row r="408" spans="1:8" ht="20.25" x14ac:dyDescent="0.25">
      <c r="A408" s="10"/>
      <c r="B408" s="11"/>
      <c r="C408" s="11"/>
      <c r="D408" s="11"/>
      <c r="E408" s="11"/>
      <c r="F408" s="11"/>
      <c r="G408" s="11"/>
      <c r="H408" s="6"/>
    </row>
    <row r="409" spans="1:8" ht="20.25" x14ac:dyDescent="0.25">
      <c r="A409" s="10"/>
      <c r="B409" s="11"/>
      <c r="C409" s="11"/>
      <c r="D409" s="11"/>
      <c r="E409" s="11"/>
      <c r="F409" s="11"/>
      <c r="G409" s="11"/>
      <c r="H409" s="6"/>
    </row>
    <row r="410" spans="1:8" ht="20.25" x14ac:dyDescent="0.25">
      <c r="A410" s="10"/>
      <c r="B410" s="11"/>
      <c r="C410" s="11"/>
      <c r="D410" s="11"/>
      <c r="E410" s="11"/>
      <c r="F410" s="11"/>
      <c r="G410" s="11"/>
      <c r="H410" s="6"/>
    </row>
    <row r="411" spans="1:8" ht="20.25" x14ac:dyDescent="0.25">
      <c r="A411" s="10"/>
      <c r="B411" s="11"/>
      <c r="C411" s="11"/>
      <c r="D411" s="11"/>
      <c r="E411" s="11"/>
      <c r="F411" s="11"/>
      <c r="G411" s="11"/>
      <c r="H411" s="6"/>
    </row>
    <row r="412" spans="1:8" ht="20.25" x14ac:dyDescent="0.25">
      <c r="A412" s="10"/>
      <c r="B412" s="11"/>
      <c r="C412" s="11"/>
      <c r="D412" s="11"/>
      <c r="E412" s="11"/>
      <c r="F412" s="11"/>
      <c r="G412" s="11"/>
      <c r="H412" s="6"/>
    </row>
    <row r="413" spans="1:8" ht="20.25" x14ac:dyDescent="0.25">
      <c r="A413" s="10"/>
      <c r="B413" s="11"/>
      <c r="C413" s="11"/>
      <c r="D413" s="11"/>
      <c r="E413" s="11"/>
      <c r="F413" s="11"/>
      <c r="G413" s="11"/>
      <c r="H413" s="6"/>
    </row>
    <row r="414" spans="1:8" ht="20.25" x14ac:dyDescent="0.25">
      <c r="A414" s="10"/>
      <c r="B414" s="11"/>
      <c r="C414" s="11"/>
      <c r="D414" s="11"/>
      <c r="E414" s="11"/>
      <c r="F414" s="11"/>
      <c r="G414" s="11"/>
      <c r="H414" s="6"/>
    </row>
    <row r="415" spans="1:8" ht="20.25" x14ac:dyDescent="0.25">
      <c r="A415" s="10"/>
      <c r="B415" s="11"/>
      <c r="C415" s="11"/>
      <c r="D415" s="11"/>
      <c r="E415" s="11"/>
      <c r="F415" s="11"/>
      <c r="G415" s="11"/>
      <c r="H415" s="6"/>
    </row>
    <row r="416" spans="1:8" ht="20.25" x14ac:dyDescent="0.25">
      <c r="A416" s="10"/>
      <c r="B416" s="11"/>
      <c r="C416" s="11"/>
      <c r="D416" s="11"/>
      <c r="E416" s="11"/>
      <c r="F416" s="11"/>
      <c r="G416" s="11"/>
      <c r="H416" s="6"/>
    </row>
    <row r="417" spans="1:8" ht="20.25" x14ac:dyDescent="0.25">
      <c r="A417" s="10"/>
      <c r="B417" s="11"/>
      <c r="C417" s="11"/>
      <c r="D417" s="11"/>
      <c r="E417" s="11"/>
      <c r="F417" s="11"/>
      <c r="G417" s="11"/>
      <c r="H417" s="6"/>
    </row>
    <row r="418" spans="1:8" ht="20.25" x14ac:dyDescent="0.25">
      <c r="A418" s="10"/>
      <c r="B418" s="11"/>
      <c r="C418" s="11"/>
      <c r="D418" s="11"/>
      <c r="E418" s="11"/>
      <c r="F418" s="11"/>
      <c r="G418" s="11"/>
      <c r="H418" s="6"/>
    </row>
    <row r="419" spans="1:8" ht="20.25" x14ac:dyDescent="0.25">
      <c r="A419" s="10"/>
      <c r="B419" s="11"/>
      <c r="C419" s="11"/>
      <c r="D419" s="11"/>
      <c r="E419" s="11"/>
      <c r="F419" s="11"/>
      <c r="G419" s="11"/>
      <c r="H419" s="6"/>
    </row>
    <row r="420" spans="1:8" ht="20.25" x14ac:dyDescent="0.25">
      <c r="A420" s="10"/>
      <c r="B420" s="11"/>
      <c r="C420" s="11"/>
      <c r="D420" s="11"/>
      <c r="E420" s="11"/>
      <c r="F420" s="11"/>
      <c r="G420" s="11"/>
      <c r="H420" s="6"/>
    </row>
    <row r="421" spans="1:8" ht="20.25" x14ac:dyDescent="0.25">
      <c r="A421" s="10"/>
      <c r="B421" s="11"/>
      <c r="C421" s="11"/>
      <c r="D421" s="11"/>
      <c r="E421" s="11"/>
      <c r="F421" s="11"/>
      <c r="G421" s="11"/>
      <c r="H421" s="6"/>
    </row>
    <row r="422" spans="1:8" ht="20.25" x14ac:dyDescent="0.25">
      <c r="A422" s="10"/>
      <c r="B422" s="11"/>
      <c r="C422" s="11"/>
      <c r="D422" s="11"/>
      <c r="E422" s="11"/>
      <c r="F422" s="11"/>
      <c r="G422" s="11"/>
      <c r="H422" s="6"/>
    </row>
    <row r="423" spans="1:8" ht="20.25" x14ac:dyDescent="0.25">
      <c r="A423" s="10"/>
      <c r="B423" s="11"/>
      <c r="C423" s="11"/>
      <c r="D423" s="11"/>
      <c r="E423" s="11"/>
      <c r="F423" s="11"/>
      <c r="G423" s="11"/>
      <c r="H423" s="6"/>
    </row>
    <row r="424" spans="1:8" ht="20.25" x14ac:dyDescent="0.25">
      <c r="A424" s="10"/>
      <c r="B424" s="11"/>
      <c r="C424" s="11"/>
      <c r="D424" s="11"/>
      <c r="E424" s="11"/>
      <c r="F424" s="11"/>
      <c r="G424" s="11"/>
      <c r="H424" s="6"/>
    </row>
    <row r="425" spans="1:8" ht="20.25" x14ac:dyDescent="0.25">
      <c r="A425" s="10"/>
      <c r="B425" s="11"/>
      <c r="C425" s="11"/>
      <c r="D425" s="11"/>
      <c r="E425" s="11"/>
      <c r="F425" s="11"/>
      <c r="G425" s="11"/>
      <c r="H425" s="6"/>
    </row>
    <row r="426" spans="1:8" ht="20.25" x14ac:dyDescent="0.25">
      <c r="A426" s="10"/>
      <c r="B426" s="11"/>
      <c r="C426" s="11"/>
      <c r="D426" s="11"/>
      <c r="E426" s="11"/>
      <c r="F426" s="11"/>
      <c r="G426" s="11"/>
      <c r="H426" s="6"/>
    </row>
    <row r="427" spans="1:8" ht="20.25" x14ac:dyDescent="0.25">
      <c r="A427" s="10"/>
      <c r="B427" s="11"/>
      <c r="C427" s="11"/>
      <c r="D427" s="11"/>
      <c r="E427" s="11"/>
      <c r="F427" s="11"/>
      <c r="G427" s="11"/>
      <c r="H427" s="6"/>
    </row>
    <row r="428" spans="1:8" ht="20.25" x14ac:dyDescent="0.25">
      <c r="A428" s="10"/>
      <c r="B428" s="11"/>
      <c r="C428" s="11"/>
      <c r="D428" s="11"/>
      <c r="E428" s="11"/>
      <c r="F428" s="11"/>
      <c r="G428" s="11"/>
      <c r="H428" s="6"/>
    </row>
    <row r="429" spans="1:8" ht="20.25" x14ac:dyDescent="0.25">
      <c r="A429" s="10"/>
      <c r="B429" s="11"/>
      <c r="C429" s="11"/>
      <c r="D429" s="11"/>
      <c r="E429" s="11"/>
      <c r="F429" s="11"/>
      <c r="G429" s="11"/>
      <c r="H429" s="6"/>
    </row>
    <row r="430" spans="1:8" ht="20.25" x14ac:dyDescent="0.25">
      <c r="A430" s="10"/>
      <c r="B430" s="11"/>
      <c r="C430" s="11"/>
      <c r="D430" s="11"/>
      <c r="E430" s="11"/>
      <c r="F430" s="11"/>
      <c r="G430" s="11"/>
      <c r="H430" s="6"/>
    </row>
    <row r="431" spans="1:8" ht="20.25" x14ac:dyDescent="0.25">
      <c r="A431" s="10"/>
      <c r="B431" s="11"/>
      <c r="C431" s="11"/>
      <c r="D431" s="11"/>
      <c r="E431" s="11"/>
      <c r="F431" s="11"/>
      <c r="G431" s="11"/>
      <c r="H431" s="6"/>
    </row>
    <row r="432" spans="1:8" ht="20.25" x14ac:dyDescent="0.25">
      <c r="A432" s="12"/>
      <c r="B432" s="13"/>
      <c r="C432" s="13"/>
      <c r="D432" s="13"/>
      <c r="E432" s="13"/>
      <c r="F432" s="13"/>
      <c r="G432" s="13"/>
      <c r="H432" s="7"/>
    </row>
    <row r="433" spans="1:8" ht="20.25" x14ac:dyDescent="0.25">
      <c r="A433" s="71" t="s">
        <v>160</v>
      </c>
      <c r="B433" s="71"/>
      <c r="C433" s="71"/>
      <c r="D433" s="71"/>
      <c r="E433" s="71"/>
      <c r="F433" s="71"/>
      <c r="G433" s="71"/>
      <c r="H433" s="71"/>
    </row>
    <row r="434" spans="1:8" ht="20.25" x14ac:dyDescent="0.25">
      <c r="A434" s="8"/>
      <c r="B434" s="9"/>
      <c r="C434" s="9"/>
      <c r="D434" s="9"/>
      <c r="E434" s="9"/>
      <c r="F434" s="9"/>
      <c r="G434" s="9"/>
      <c r="H434" s="5"/>
    </row>
    <row r="435" spans="1:8" ht="20.25" x14ac:dyDescent="0.25">
      <c r="A435" s="10"/>
      <c r="B435" s="11"/>
      <c r="C435" s="11"/>
      <c r="D435" s="11"/>
      <c r="E435" s="11"/>
      <c r="F435" s="11"/>
      <c r="G435" s="11"/>
      <c r="H435" s="6"/>
    </row>
    <row r="436" spans="1:8" ht="20.25" x14ac:dyDescent="0.25">
      <c r="A436" s="10"/>
      <c r="B436" s="11"/>
      <c r="C436" s="11"/>
      <c r="D436" s="11"/>
      <c r="E436" s="11"/>
      <c r="F436" s="11"/>
      <c r="G436" s="11"/>
      <c r="H436" s="6"/>
    </row>
    <row r="437" spans="1:8" ht="20.25" x14ac:dyDescent="0.25">
      <c r="A437" s="10"/>
      <c r="B437" s="11"/>
      <c r="C437" s="11"/>
      <c r="D437" s="11"/>
      <c r="E437" s="11"/>
      <c r="F437" s="11"/>
      <c r="G437" s="11"/>
      <c r="H437" s="6"/>
    </row>
    <row r="438" spans="1:8" ht="20.25" x14ac:dyDescent="0.25">
      <c r="A438" s="10"/>
      <c r="B438" s="11"/>
      <c r="C438" s="11"/>
      <c r="D438" s="11"/>
      <c r="E438" s="11"/>
      <c r="F438" s="11"/>
      <c r="G438" s="11"/>
      <c r="H438" s="6"/>
    </row>
    <row r="439" spans="1:8" ht="20.25" x14ac:dyDescent="0.25">
      <c r="A439" s="10"/>
      <c r="B439" s="11"/>
      <c r="C439" s="11"/>
      <c r="D439" s="11"/>
      <c r="E439" s="11"/>
      <c r="F439" s="11"/>
      <c r="G439" s="11"/>
      <c r="H439" s="6"/>
    </row>
    <row r="440" spans="1:8" ht="20.25" x14ac:dyDescent="0.25">
      <c r="A440" s="10"/>
      <c r="B440" s="11"/>
      <c r="C440" s="11"/>
      <c r="D440" s="11"/>
      <c r="E440" s="11"/>
      <c r="F440" s="11"/>
      <c r="G440" s="11"/>
      <c r="H440" s="6"/>
    </row>
    <row r="441" spans="1:8" ht="20.25" x14ac:dyDescent="0.25">
      <c r="A441" s="10"/>
      <c r="B441" s="11"/>
      <c r="C441" s="11"/>
      <c r="D441" s="11"/>
      <c r="E441" s="11"/>
      <c r="F441" s="11"/>
      <c r="G441" s="11"/>
      <c r="H441" s="6"/>
    </row>
    <row r="442" spans="1:8" ht="20.25" x14ac:dyDescent="0.25">
      <c r="A442" s="10"/>
      <c r="B442" s="11"/>
      <c r="C442" s="11"/>
      <c r="D442" s="11"/>
      <c r="E442" s="11"/>
      <c r="F442" s="11"/>
      <c r="G442" s="11"/>
      <c r="H442" s="6"/>
    </row>
    <row r="443" spans="1:8" ht="20.25" x14ac:dyDescent="0.25">
      <c r="A443" s="10"/>
      <c r="B443" s="11"/>
      <c r="C443" s="11"/>
      <c r="D443" s="11"/>
      <c r="E443" s="11"/>
      <c r="F443" s="11"/>
      <c r="G443" s="11"/>
      <c r="H443" s="6"/>
    </row>
    <row r="444" spans="1:8" ht="20.25" x14ac:dyDescent="0.25">
      <c r="A444" s="10"/>
      <c r="B444" s="11"/>
      <c r="C444" s="11"/>
      <c r="D444" s="11"/>
      <c r="E444" s="11"/>
      <c r="F444" s="11"/>
      <c r="G444" s="11"/>
      <c r="H444" s="6"/>
    </row>
    <row r="445" spans="1:8" ht="20.25" x14ac:dyDescent="0.25">
      <c r="A445" s="10"/>
      <c r="B445" s="11"/>
      <c r="C445" s="11"/>
      <c r="D445" s="11"/>
      <c r="E445" s="11"/>
      <c r="F445" s="11"/>
      <c r="G445" s="11"/>
      <c r="H445" s="6"/>
    </row>
    <row r="446" spans="1:8" ht="20.25" x14ac:dyDescent="0.25">
      <c r="A446" s="10"/>
      <c r="B446" s="11"/>
      <c r="C446" s="11"/>
      <c r="D446" s="11"/>
      <c r="E446" s="11"/>
      <c r="F446" s="11"/>
      <c r="G446" s="11"/>
      <c r="H446" s="6"/>
    </row>
    <row r="447" spans="1:8" ht="20.25" x14ac:dyDescent="0.25">
      <c r="A447" s="10"/>
      <c r="B447" s="11"/>
      <c r="C447" s="11"/>
      <c r="D447" s="11"/>
      <c r="E447" s="11"/>
      <c r="F447" s="11"/>
      <c r="G447" s="11"/>
      <c r="H447" s="6"/>
    </row>
    <row r="448" spans="1:8" ht="20.25" x14ac:dyDescent="0.25">
      <c r="A448" s="10"/>
      <c r="B448" s="11"/>
      <c r="C448" s="11"/>
      <c r="D448" s="11"/>
      <c r="E448" s="11"/>
      <c r="F448" s="11"/>
      <c r="G448" s="11"/>
      <c r="H448" s="6"/>
    </row>
    <row r="449" spans="1:8" ht="20.25" x14ac:dyDescent="0.25">
      <c r="A449" s="10"/>
      <c r="B449" s="11"/>
      <c r="C449" s="11"/>
      <c r="D449" s="11"/>
      <c r="E449" s="11"/>
      <c r="F449" s="11"/>
      <c r="G449" s="11"/>
      <c r="H449" s="6"/>
    </row>
    <row r="450" spans="1:8" ht="20.25" x14ac:dyDescent="0.25">
      <c r="A450" s="10"/>
      <c r="B450" s="11"/>
      <c r="C450" s="11"/>
      <c r="D450" s="11"/>
      <c r="E450" s="11"/>
      <c r="F450" s="11"/>
      <c r="G450" s="11"/>
      <c r="H450" s="6"/>
    </row>
    <row r="451" spans="1:8" ht="20.25" x14ac:dyDescent="0.25">
      <c r="A451" s="10"/>
      <c r="B451" s="11"/>
      <c r="C451" s="11"/>
      <c r="D451" s="11"/>
      <c r="E451" s="11"/>
      <c r="F451" s="11"/>
      <c r="G451" s="11"/>
      <c r="H451" s="6"/>
    </row>
    <row r="452" spans="1:8" ht="20.25" x14ac:dyDescent="0.25">
      <c r="A452" s="10"/>
      <c r="B452" s="11"/>
      <c r="C452" s="11"/>
      <c r="D452" s="11"/>
      <c r="E452" s="11"/>
      <c r="F452" s="11"/>
      <c r="G452" s="11"/>
      <c r="H452" s="6"/>
    </row>
    <row r="453" spans="1:8" ht="20.25" x14ac:dyDescent="0.25">
      <c r="A453" s="10"/>
      <c r="B453" s="11"/>
      <c r="C453" s="11"/>
      <c r="D453" s="11"/>
      <c r="E453" s="11"/>
      <c r="F453" s="11"/>
      <c r="G453" s="11"/>
      <c r="H453" s="6"/>
    </row>
    <row r="454" spans="1:8" ht="20.25" x14ac:dyDescent="0.25">
      <c r="A454" s="10"/>
      <c r="B454" s="11"/>
      <c r="C454" s="11"/>
      <c r="D454" s="11"/>
      <c r="E454" s="11"/>
      <c r="F454" s="11"/>
      <c r="G454" s="11"/>
      <c r="H454" s="6"/>
    </row>
    <row r="455" spans="1:8" ht="20.25" x14ac:dyDescent="0.25">
      <c r="A455" s="10"/>
      <c r="B455" s="11"/>
      <c r="C455" s="11"/>
      <c r="D455" s="11"/>
      <c r="E455" s="11"/>
      <c r="F455" s="11"/>
      <c r="G455" s="11"/>
      <c r="H455" s="6"/>
    </row>
    <row r="456" spans="1:8" ht="20.25" x14ac:dyDescent="0.25">
      <c r="A456" s="10"/>
      <c r="B456" s="11"/>
      <c r="C456" s="11"/>
      <c r="D456" s="11"/>
      <c r="E456" s="11"/>
      <c r="F456" s="11"/>
      <c r="G456" s="11"/>
      <c r="H456" s="6"/>
    </row>
    <row r="457" spans="1:8" ht="20.25" x14ac:dyDescent="0.25">
      <c r="A457" s="10"/>
      <c r="B457" s="11"/>
      <c r="C457" s="11"/>
      <c r="D457" s="11"/>
      <c r="E457" s="11"/>
      <c r="F457" s="11"/>
      <c r="G457" s="11"/>
      <c r="H457" s="6"/>
    </row>
    <row r="458" spans="1:8" ht="20.25" x14ac:dyDescent="0.25">
      <c r="A458" s="10"/>
      <c r="B458" s="11"/>
      <c r="C458" s="11"/>
      <c r="D458" s="11"/>
      <c r="E458" s="11"/>
      <c r="F458" s="11"/>
      <c r="G458" s="11"/>
      <c r="H458" s="6"/>
    </row>
    <row r="459" spans="1:8" ht="20.25" x14ac:dyDescent="0.25">
      <c r="A459" s="10"/>
      <c r="B459" s="11"/>
      <c r="C459" s="11"/>
      <c r="D459" s="11"/>
      <c r="E459" s="11"/>
      <c r="F459" s="11"/>
      <c r="G459" s="11"/>
      <c r="H459" s="6"/>
    </row>
    <row r="460" spans="1:8" ht="20.25" x14ac:dyDescent="0.25">
      <c r="A460" s="10"/>
      <c r="B460" s="11"/>
      <c r="C460" s="11"/>
      <c r="D460" s="11"/>
      <c r="E460" s="11"/>
      <c r="F460" s="11"/>
      <c r="G460" s="11"/>
      <c r="H460" s="6"/>
    </row>
    <row r="461" spans="1:8" ht="20.25" x14ac:dyDescent="0.25">
      <c r="A461" s="10"/>
      <c r="B461" s="11"/>
      <c r="C461" s="11"/>
      <c r="D461" s="11"/>
      <c r="E461" s="11"/>
      <c r="F461" s="11"/>
      <c r="G461" s="11"/>
      <c r="H461" s="6"/>
    </row>
    <row r="462" spans="1:8" ht="20.25" x14ac:dyDescent="0.25">
      <c r="A462" s="10"/>
      <c r="B462" s="11"/>
      <c r="C462" s="11"/>
      <c r="D462" s="11"/>
      <c r="E462" s="11"/>
      <c r="F462" s="11"/>
      <c r="G462" s="11"/>
      <c r="H462" s="6"/>
    </row>
    <row r="463" spans="1:8" ht="20.25" x14ac:dyDescent="0.25">
      <c r="A463" s="10"/>
      <c r="B463" s="11"/>
      <c r="C463" s="11"/>
      <c r="D463" s="11"/>
      <c r="E463" s="11"/>
      <c r="F463" s="11"/>
      <c r="G463" s="11"/>
      <c r="H463" s="6"/>
    </row>
    <row r="464" spans="1:8" ht="20.25" x14ac:dyDescent="0.25">
      <c r="A464" s="10"/>
      <c r="B464" s="11"/>
      <c r="C464" s="11"/>
      <c r="D464" s="11"/>
      <c r="E464" s="11"/>
      <c r="F464" s="11"/>
      <c r="G464" s="11"/>
      <c r="H464" s="6"/>
    </row>
    <row r="465" spans="1:8" ht="20.25" x14ac:dyDescent="0.25">
      <c r="A465" s="10"/>
      <c r="B465" s="11"/>
      <c r="C465" s="11"/>
      <c r="D465" s="11"/>
      <c r="E465" s="11"/>
      <c r="F465" s="11"/>
      <c r="G465" s="11"/>
      <c r="H465" s="6"/>
    </row>
    <row r="466" spans="1:8" ht="20.25" x14ac:dyDescent="0.25">
      <c r="A466" s="10"/>
      <c r="B466" s="11"/>
      <c r="C466" s="11"/>
      <c r="D466" s="11"/>
      <c r="E466" s="11"/>
      <c r="F466" s="11"/>
      <c r="G466" s="11"/>
      <c r="H466" s="6"/>
    </row>
    <row r="467" spans="1:8" ht="20.25" x14ac:dyDescent="0.25">
      <c r="A467" s="10"/>
      <c r="B467" s="11"/>
      <c r="C467" s="11"/>
      <c r="D467" s="11"/>
      <c r="E467" s="11"/>
      <c r="F467" s="11"/>
      <c r="G467" s="11"/>
      <c r="H467" s="6"/>
    </row>
    <row r="468" spans="1:8" ht="20.25" x14ac:dyDescent="0.25">
      <c r="A468" s="10"/>
      <c r="B468" s="11"/>
      <c r="C468" s="11"/>
      <c r="D468" s="11"/>
      <c r="E468" s="11"/>
      <c r="F468" s="11"/>
      <c r="G468" s="11"/>
      <c r="H468" s="6"/>
    </row>
    <row r="469" spans="1:8" ht="20.25" x14ac:dyDescent="0.25">
      <c r="A469" s="10"/>
      <c r="B469" s="11"/>
      <c r="C469" s="11"/>
      <c r="D469" s="11"/>
      <c r="E469" s="11"/>
      <c r="F469" s="11"/>
      <c r="G469" s="11"/>
      <c r="H469" s="6"/>
    </row>
    <row r="470" spans="1:8" ht="20.25" x14ac:dyDescent="0.25">
      <c r="A470" s="10"/>
      <c r="B470" s="11"/>
      <c r="C470" s="11"/>
      <c r="D470" s="11"/>
      <c r="E470" s="11"/>
      <c r="F470" s="11"/>
      <c r="G470" s="11"/>
      <c r="H470" s="6"/>
    </row>
    <row r="471" spans="1:8" ht="20.25" x14ac:dyDescent="0.25">
      <c r="A471" s="10"/>
      <c r="B471" s="11"/>
      <c r="C471" s="11"/>
      <c r="D471" s="11"/>
      <c r="E471" s="11"/>
      <c r="F471" s="11"/>
      <c r="G471" s="11"/>
      <c r="H471" s="6"/>
    </row>
    <row r="472" spans="1:8" ht="20.25" x14ac:dyDescent="0.25">
      <c r="A472" s="10"/>
      <c r="B472" s="11"/>
      <c r="C472" s="11"/>
      <c r="D472" s="11"/>
      <c r="E472" s="11"/>
      <c r="F472" s="11"/>
      <c r="G472" s="11"/>
      <c r="H472" s="6"/>
    </row>
    <row r="473" spans="1:8" ht="20.25" x14ac:dyDescent="0.25">
      <c r="A473" s="10"/>
      <c r="B473" s="11"/>
      <c r="C473" s="11"/>
      <c r="D473" s="11"/>
      <c r="E473" s="11"/>
      <c r="F473" s="11"/>
      <c r="G473" s="11"/>
      <c r="H473" s="6"/>
    </row>
    <row r="474" spans="1:8" ht="20.25" x14ac:dyDescent="0.25">
      <c r="A474" s="10"/>
      <c r="B474" s="11"/>
      <c r="C474" s="11"/>
      <c r="D474" s="11"/>
      <c r="E474" s="11"/>
      <c r="F474" s="11"/>
      <c r="G474" s="11"/>
      <c r="H474" s="6"/>
    </row>
    <row r="475" spans="1:8" ht="20.25" x14ac:dyDescent="0.25">
      <c r="A475" s="10"/>
      <c r="B475" s="11"/>
      <c r="C475" s="11"/>
      <c r="D475" s="11"/>
      <c r="E475" s="11"/>
      <c r="F475" s="11"/>
      <c r="G475" s="11"/>
      <c r="H475" s="6"/>
    </row>
    <row r="476" spans="1:8" ht="20.25" x14ac:dyDescent="0.25">
      <c r="A476" s="10"/>
      <c r="B476" s="11"/>
      <c r="C476" s="11"/>
      <c r="D476" s="11"/>
      <c r="E476" s="11"/>
      <c r="F476" s="11"/>
      <c r="G476" s="11"/>
      <c r="H476" s="6"/>
    </row>
    <row r="477" spans="1:8" ht="20.25" x14ac:dyDescent="0.25">
      <c r="A477" s="10"/>
      <c r="B477" s="11"/>
      <c r="C477" s="11"/>
      <c r="D477" s="11"/>
      <c r="E477" s="11"/>
      <c r="F477" s="11"/>
      <c r="G477" s="11"/>
      <c r="H477" s="6"/>
    </row>
    <row r="478" spans="1:8" ht="20.25" x14ac:dyDescent="0.25">
      <c r="A478" s="10"/>
      <c r="B478" s="11"/>
      <c r="C478" s="11"/>
      <c r="D478" s="11"/>
      <c r="E478" s="11"/>
      <c r="F478" s="11"/>
      <c r="G478" s="11"/>
      <c r="H478" s="6"/>
    </row>
    <row r="479" spans="1:8" ht="20.25" x14ac:dyDescent="0.25">
      <c r="A479" s="10"/>
      <c r="B479" s="11"/>
      <c r="C479" s="11"/>
      <c r="D479" s="11"/>
      <c r="E479" s="11"/>
      <c r="F479" s="11"/>
      <c r="G479" s="11"/>
      <c r="H479" s="6"/>
    </row>
    <row r="480" spans="1:8" ht="20.25" x14ac:dyDescent="0.25">
      <c r="A480" s="10"/>
      <c r="B480" s="11"/>
      <c r="C480" s="11"/>
      <c r="D480" s="11"/>
      <c r="E480" s="11"/>
      <c r="F480" s="11"/>
      <c r="G480" s="11"/>
      <c r="H480" s="6"/>
    </row>
    <row r="481" spans="1:8" ht="20.25" x14ac:dyDescent="0.25">
      <c r="A481" s="12"/>
      <c r="B481" s="13"/>
      <c r="C481" s="13"/>
      <c r="D481" s="13"/>
      <c r="E481" s="13"/>
      <c r="F481" s="13"/>
      <c r="G481" s="13"/>
      <c r="H481" s="7"/>
    </row>
    <row r="482" spans="1:8" ht="20.25" x14ac:dyDescent="0.25">
      <c r="A482" s="128" t="s">
        <v>74</v>
      </c>
      <c r="B482" s="129"/>
      <c r="C482" s="129"/>
      <c r="D482" s="129"/>
      <c r="E482" s="129"/>
      <c r="F482" s="129"/>
      <c r="G482" s="129"/>
      <c r="H482" s="130"/>
    </row>
    <row r="483" spans="1:8" ht="20.25" x14ac:dyDescent="0.25">
      <c r="A483" s="8"/>
      <c r="B483" s="9"/>
      <c r="C483" s="9"/>
      <c r="D483" s="9"/>
      <c r="E483" s="9"/>
      <c r="F483" s="9"/>
      <c r="G483" s="9"/>
      <c r="H483" s="5"/>
    </row>
    <row r="484" spans="1:8" ht="20.25" x14ac:dyDescent="0.25">
      <c r="A484" s="10"/>
      <c r="B484" s="11"/>
      <c r="C484" s="11"/>
      <c r="D484" s="11"/>
      <c r="E484" s="11"/>
      <c r="F484" s="11"/>
      <c r="G484" s="11"/>
      <c r="H484" s="6"/>
    </row>
    <row r="485" spans="1:8" ht="20.25" x14ac:dyDescent="0.25">
      <c r="A485" s="10"/>
      <c r="B485" s="11"/>
      <c r="C485" s="11"/>
      <c r="D485" s="11"/>
      <c r="E485" s="11"/>
      <c r="F485" s="11"/>
      <c r="G485" s="11"/>
      <c r="H485" s="6"/>
    </row>
    <row r="486" spans="1:8" ht="20.25" x14ac:dyDescent="0.25">
      <c r="A486" s="10"/>
      <c r="B486" s="11"/>
      <c r="C486" s="11"/>
      <c r="D486" s="11"/>
      <c r="E486" s="11"/>
      <c r="F486" s="11"/>
      <c r="G486" s="11"/>
      <c r="H486" s="6"/>
    </row>
    <row r="487" spans="1:8" ht="20.25" x14ac:dyDescent="0.25">
      <c r="A487" s="10"/>
      <c r="B487" s="11"/>
      <c r="C487" s="11"/>
      <c r="D487" s="11"/>
      <c r="E487" s="11"/>
      <c r="F487" s="11"/>
      <c r="G487" s="11"/>
      <c r="H487" s="6"/>
    </row>
    <row r="488" spans="1:8" ht="20.25" x14ac:dyDescent="0.25">
      <c r="A488" s="10"/>
      <c r="B488" s="11"/>
      <c r="C488" s="11"/>
      <c r="D488" s="11"/>
      <c r="E488" s="11"/>
      <c r="F488" s="11"/>
      <c r="G488" s="11"/>
      <c r="H488" s="6"/>
    </row>
    <row r="489" spans="1:8" ht="20.25" x14ac:dyDescent="0.25">
      <c r="A489" s="10"/>
      <c r="B489" s="11"/>
      <c r="C489" s="11"/>
      <c r="D489" s="11"/>
      <c r="E489" s="11"/>
      <c r="F489" s="11"/>
      <c r="G489" s="11"/>
      <c r="H489" s="6"/>
    </row>
    <row r="490" spans="1:8" ht="20.25" x14ac:dyDescent="0.25">
      <c r="A490" s="10"/>
      <c r="B490" s="11"/>
      <c r="C490" s="11"/>
      <c r="D490" s="11"/>
      <c r="E490" s="11"/>
      <c r="F490" s="11"/>
      <c r="G490" s="11"/>
      <c r="H490" s="6"/>
    </row>
    <row r="491" spans="1:8" ht="20.25" x14ac:dyDescent="0.25">
      <c r="A491" s="10"/>
      <c r="B491" s="11"/>
      <c r="C491" s="11"/>
      <c r="D491" s="11"/>
      <c r="E491" s="11"/>
      <c r="F491" s="11"/>
      <c r="G491" s="11"/>
      <c r="H491" s="6"/>
    </row>
    <row r="492" spans="1:8" ht="20.25" x14ac:dyDescent="0.25">
      <c r="A492" s="10"/>
      <c r="B492" s="11"/>
      <c r="C492" s="11"/>
      <c r="D492" s="11"/>
      <c r="E492" s="11"/>
      <c r="F492" s="11"/>
      <c r="G492" s="11"/>
      <c r="H492" s="6"/>
    </row>
    <row r="493" spans="1:8" ht="20.25" x14ac:dyDescent="0.25">
      <c r="A493" s="10"/>
      <c r="B493" s="11"/>
      <c r="C493" s="11"/>
      <c r="D493" s="11"/>
      <c r="E493" s="11"/>
      <c r="F493" s="11"/>
      <c r="G493" s="11"/>
      <c r="H493" s="6"/>
    </row>
    <row r="494" spans="1:8" ht="20.25" x14ac:dyDescent="0.25">
      <c r="A494" s="10"/>
      <c r="B494" s="11"/>
      <c r="C494" s="11"/>
      <c r="D494" s="11"/>
      <c r="E494" s="11"/>
      <c r="F494" s="11"/>
      <c r="G494" s="11"/>
      <c r="H494" s="6"/>
    </row>
    <row r="495" spans="1:8" ht="20.25" x14ac:dyDescent="0.25">
      <c r="A495" s="10"/>
      <c r="B495" s="11"/>
      <c r="C495" s="11"/>
      <c r="D495" s="11"/>
      <c r="E495" s="11"/>
      <c r="F495" s="11"/>
      <c r="G495" s="11"/>
      <c r="H495" s="6"/>
    </row>
    <row r="496" spans="1:8" ht="20.25" x14ac:dyDescent="0.25">
      <c r="A496" s="10"/>
      <c r="B496" s="11"/>
      <c r="C496" s="11"/>
      <c r="D496" s="11"/>
      <c r="E496" s="11"/>
      <c r="F496" s="11"/>
      <c r="G496" s="11"/>
      <c r="H496" s="6"/>
    </row>
    <row r="497" spans="1:8" ht="20.25" x14ac:dyDescent="0.25">
      <c r="A497" s="10"/>
      <c r="B497" s="11"/>
      <c r="C497" s="11"/>
      <c r="D497" s="11"/>
      <c r="E497" s="11"/>
      <c r="F497" s="11"/>
      <c r="G497" s="11"/>
      <c r="H497" s="6"/>
    </row>
    <row r="498" spans="1:8" ht="20.25" x14ac:dyDescent="0.25">
      <c r="A498" s="10"/>
      <c r="B498" s="11"/>
      <c r="C498" s="11"/>
      <c r="D498" s="11"/>
      <c r="E498" s="11"/>
      <c r="F498" s="11"/>
      <c r="G498" s="11"/>
      <c r="H498" s="6"/>
    </row>
    <row r="499" spans="1:8" ht="20.25" x14ac:dyDescent="0.25">
      <c r="A499" s="10"/>
      <c r="B499" s="11"/>
      <c r="C499" s="11"/>
      <c r="D499" s="11"/>
      <c r="E499" s="11"/>
      <c r="F499" s="11"/>
      <c r="G499" s="11"/>
      <c r="H499" s="6"/>
    </row>
    <row r="500" spans="1:8" ht="20.25" x14ac:dyDescent="0.25">
      <c r="A500" s="10"/>
      <c r="B500" s="11"/>
      <c r="C500" s="11"/>
      <c r="D500" s="11"/>
      <c r="E500" s="11"/>
      <c r="F500" s="11"/>
      <c r="G500" s="11"/>
      <c r="H500" s="6"/>
    </row>
    <row r="501" spans="1:8" ht="20.25" x14ac:dyDescent="0.25">
      <c r="A501" s="10"/>
      <c r="B501" s="11"/>
      <c r="C501" s="11"/>
      <c r="D501" s="11"/>
      <c r="E501" s="11"/>
      <c r="F501" s="11"/>
      <c r="G501" s="11"/>
      <c r="H501" s="6"/>
    </row>
    <row r="502" spans="1:8" ht="20.25" x14ac:dyDescent="0.25">
      <c r="A502" s="10"/>
      <c r="B502" s="11"/>
      <c r="C502" s="11"/>
      <c r="D502" s="11"/>
      <c r="E502" s="11"/>
      <c r="F502" s="11"/>
      <c r="G502" s="11"/>
      <c r="H502" s="6"/>
    </row>
    <row r="503" spans="1:8" ht="20.25" x14ac:dyDescent="0.25">
      <c r="A503" s="10"/>
      <c r="B503" s="11"/>
      <c r="C503" s="11"/>
      <c r="D503" s="11"/>
      <c r="E503" s="11"/>
      <c r="F503" s="11"/>
      <c r="G503" s="11"/>
      <c r="H503" s="6"/>
    </row>
    <row r="504" spans="1:8" ht="20.25" x14ac:dyDescent="0.25">
      <c r="A504" s="10"/>
      <c r="B504" s="11"/>
      <c r="C504" s="11"/>
      <c r="D504" s="11"/>
      <c r="E504" s="11"/>
      <c r="F504" s="11"/>
      <c r="G504" s="11"/>
      <c r="H504" s="6"/>
    </row>
    <row r="505" spans="1:8" ht="20.25" x14ac:dyDescent="0.25">
      <c r="A505" s="10"/>
      <c r="B505" s="11"/>
      <c r="C505" s="11"/>
      <c r="D505" s="11"/>
      <c r="E505" s="11"/>
      <c r="F505" s="11"/>
      <c r="G505" s="11"/>
      <c r="H505" s="6"/>
    </row>
    <row r="506" spans="1:8" ht="20.25" x14ac:dyDescent="0.25">
      <c r="A506" s="10"/>
      <c r="B506" s="11"/>
      <c r="C506" s="11"/>
      <c r="D506" s="11"/>
      <c r="E506" s="11"/>
      <c r="F506" s="11"/>
      <c r="G506" s="11"/>
      <c r="H506" s="6"/>
    </row>
    <row r="507" spans="1:8" ht="20.25" x14ac:dyDescent="0.25">
      <c r="A507" s="10"/>
      <c r="B507" s="11"/>
      <c r="C507" s="11"/>
      <c r="D507" s="11"/>
      <c r="E507" s="11"/>
      <c r="F507" s="11"/>
      <c r="G507" s="11"/>
      <c r="H507" s="6"/>
    </row>
    <row r="508" spans="1:8" ht="20.25" x14ac:dyDescent="0.25">
      <c r="A508" s="10"/>
      <c r="B508" s="11"/>
      <c r="C508" s="11"/>
      <c r="D508" s="11"/>
      <c r="E508" s="11"/>
      <c r="F508" s="11"/>
      <c r="G508" s="11"/>
      <c r="H508" s="6"/>
    </row>
    <row r="509" spans="1:8" ht="20.25" x14ac:dyDescent="0.25">
      <c r="A509" s="10"/>
      <c r="B509" s="11"/>
      <c r="C509" s="11"/>
      <c r="D509" s="11"/>
      <c r="E509" s="11"/>
      <c r="F509" s="11"/>
      <c r="G509" s="11"/>
      <c r="H509" s="6"/>
    </row>
    <row r="510" spans="1:8" ht="20.25" x14ac:dyDescent="0.25">
      <c r="A510" s="71" t="s">
        <v>24</v>
      </c>
      <c r="B510" s="71"/>
      <c r="C510" s="71"/>
      <c r="D510" s="71"/>
      <c r="E510" s="71"/>
      <c r="F510" s="71"/>
      <c r="G510" s="71"/>
      <c r="H510" s="71"/>
    </row>
    <row r="511" spans="1:8" ht="20.25" x14ac:dyDescent="0.25">
      <c r="A511" s="119" t="s">
        <v>75</v>
      </c>
      <c r="B511" s="120"/>
      <c r="C511" s="120"/>
      <c r="D511" s="120"/>
      <c r="E511" s="120"/>
      <c r="F511" s="120"/>
      <c r="G511" s="120"/>
      <c r="H511" s="121"/>
    </row>
    <row r="512" spans="1:8" ht="20.25" x14ac:dyDescent="0.25">
      <c r="A512" s="122" t="s">
        <v>76</v>
      </c>
      <c r="B512" s="123"/>
      <c r="C512" s="123"/>
      <c r="D512" s="123"/>
      <c r="E512" s="123"/>
      <c r="F512" s="123"/>
      <c r="G512" s="123"/>
      <c r="H512" s="124"/>
    </row>
    <row r="513" spans="1:8" ht="45" customHeight="1" x14ac:dyDescent="0.25">
      <c r="A513" s="122" t="s">
        <v>77</v>
      </c>
      <c r="B513" s="123"/>
      <c r="C513" s="123"/>
      <c r="D513" s="123"/>
      <c r="E513" s="123"/>
      <c r="F513" s="123"/>
      <c r="G513" s="123"/>
      <c r="H513" s="124"/>
    </row>
    <row r="514" spans="1:8" ht="42.75" customHeight="1" x14ac:dyDescent="0.25">
      <c r="A514" s="122" t="s">
        <v>78</v>
      </c>
      <c r="B514" s="123"/>
      <c r="C514" s="123"/>
      <c r="D514" s="123"/>
      <c r="E514" s="123"/>
      <c r="F514" s="123"/>
      <c r="G514" s="123"/>
      <c r="H514" s="124"/>
    </row>
    <row r="515" spans="1:8" ht="20.25" x14ac:dyDescent="0.25">
      <c r="A515" s="122" t="s">
        <v>79</v>
      </c>
      <c r="B515" s="123"/>
      <c r="C515" s="123"/>
      <c r="D515" s="123"/>
      <c r="E515" s="123"/>
      <c r="F515" s="123"/>
      <c r="G515" s="123"/>
      <c r="H515" s="124"/>
    </row>
    <row r="516" spans="1:8" ht="20.25" x14ac:dyDescent="0.25">
      <c r="A516" s="122" t="s">
        <v>80</v>
      </c>
      <c r="B516" s="123"/>
      <c r="C516" s="123"/>
      <c r="D516" s="123"/>
      <c r="E516" s="123"/>
      <c r="F516" s="123"/>
      <c r="G516" s="123"/>
      <c r="H516" s="124"/>
    </row>
    <row r="517" spans="1:8" ht="45" customHeight="1" x14ac:dyDescent="0.25">
      <c r="A517" s="122" t="s">
        <v>81</v>
      </c>
      <c r="B517" s="123"/>
      <c r="C517" s="123"/>
      <c r="D517" s="123"/>
      <c r="E517" s="123"/>
      <c r="F517" s="123"/>
      <c r="G517" s="123"/>
      <c r="H517" s="124"/>
    </row>
    <row r="518" spans="1:8" ht="45" customHeight="1" x14ac:dyDescent="0.25">
      <c r="A518" s="122" t="s">
        <v>82</v>
      </c>
      <c r="B518" s="123"/>
      <c r="C518" s="123"/>
      <c r="D518" s="123"/>
      <c r="E518" s="123"/>
      <c r="F518" s="123"/>
      <c r="G518" s="123"/>
      <c r="H518" s="124"/>
    </row>
    <row r="519" spans="1:8" ht="20.25" x14ac:dyDescent="0.25">
      <c r="A519" s="125" t="s">
        <v>83</v>
      </c>
      <c r="B519" s="126"/>
      <c r="C519" s="126"/>
      <c r="D519" s="126"/>
      <c r="E519" s="126"/>
      <c r="F519" s="126"/>
      <c r="G519" s="126"/>
      <c r="H519" s="127"/>
    </row>
    <row r="520" spans="1:8" ht="57" customHeight="1" x14ac:dyDescent="0.25">
      <c r="A520" s="133" t="s">
        <v>30</v>
      </c>
      <c r="B520" s="134"/>
      <c r="C520" s="103" t="s">
        <v>300</v>
      </c>
      <c r="D520" s="104"/>
      <c r="E520" s="133" t="s">
        <v>9</v>
      </c>
      <c r="F520" s="134"/>
      <c r="G520" s="70"/>
      <c r="H520" s="70"/>
    </row>
  </sheetData>
  <mergeCells count="592">
    <mergeCell ref="A349:B349"/>
    <mergeCell ref="A350:B350"/>
    <mergeCell ref="A351:B351"/>
    <mergeCell ref="A352:B352"/>
    <mergeCell ref="A353:B353"/>
    <mergeCell ref="A354:B354"/>
    <mergeCell ref="B380:H380"/>
    <mergeCell ref="B381:H381"/>
    <mergeCell ref="A355:B355"/>
    <mergeCell ref="A356:B356"/>
    <mergeCell ref="A357:B357"/>
    <mergeCell ref="A358:B358"/>
    <mergeCell ref="A359:B359"/>
    <mergeCell ref="A360:B360"/>
    <mergeCell ref="A361:B361"/>
    <mergeCell ref="A362:B362"/>
    <mergeCell ref="B379:H379"/>
    <mergeCell ref="A372:H372"/>
    <mergeCell ref="A340:B340"/>
    <mergeCell ref="A341:B341"/>
    <mergeCell ref="A342:B342"/>
    <mergeCell ref="A343:B343"/>
    <mergeCell ref="A344:H344"/>
    <mergeCell ref="A345:B345"/>
    <mergeCell ref="A346:B346"/>
    <mergeCell ref="A347:B347"/>
    <mergeCell ref="A348:B348"/>
    <mergeCell ref="A306:H306"/>
    <mergeCell ref="A305:H305"/>
    <mergeCell ref="A316:B316"/>
    <mergeCell ref="A304:H304"/>
    <mergeCell ref="C300:H300"/>
    <mergeCell ref="C273:H274"/>
    <mergeCell ref="A337:B337"/>
    <mergeCell ref="A338:B338"/>
    <mergeCell ref="A339:B339"/>
    <mergeCell ref="A334:B334"/>
    <mergeCell ref="A335:B335"/>
    <mergeCell ref="A336:B336"/>
    <mergeCell ref="A317:B317"/>
    <mergeCell ref="A318:B318"/>
    <mergeCell ref="A319:B319"/>
    <mergeCell ref="A320:B320"/>
    <mergeCell ref="A321:B321"/>
    <mergeCell ref="A322:B322"/>
    <mergeCell ref="A323:B323"/>
    <mergeCell ref="A324:B324"/>
    <mergeCell ref="A293:B293"/>
    <mergeCell ref="A294:B294"/>
    <mergeCell ref="C291:H292"/>
    <mergeCell ref="C51:F51"/>
    <mergeCell ref="A53:B53"/>
    <mergeCell ref="C53:F53"/>
    <mergeCell ref="A55:B56"/>
    <mergeCell ref="C55:F55"/>
    <mergeCell ref="C56:F56"/>
    <mergeCell ref="A51:B51"/>
    <mergeCell ref="A295:H295"/>
    <mergeCell ref="A270:B270"/>
    <mergeCell ref="A271:B271"/>
    <mergeCell ref="A272:B272"/>
    <mergeCell ref="A273:B273"/>
    <mergeCell ref="A274:B274"/>
    <mergeCell ref="A275:B275"/>
    <mergeCell ref="A276:B276"/>
    <mergeCell ref="A277:H277"/>
    <mergeCell ref="A278:B278"/>
    <mergeCell ref="A279:B279"/>
    <mergeCell ref="A280:B280"/>
    <mergeCell ref="A281:B281"/>
    <mergeCell ref="A282:B282"/>
    <mergeCell ref="A283:B283"/>
    <mergeCell ref="A284:B284"/>
    <mergeCell ref="A285:B285"/>
    <mergeCell ref="A286:H286"/>
    <mergeCell ref="A287:B287"/>
    <mergeCell ref="A288:B288"/>
    <mergeCell ref="A289:B289"/>
    <mergeCell ref="A290:B290"/>
    <mergeCell ref="A291:B291"/>
    <mergeCell ref="A292:B292"/>
    <mergeCell ref="A261:B261"/>
    <mergeCell ref="A262:B262"/>
    <mergeCell ref="A263:B263"/>
    <mergeCell ref="A264:B264"/>
    <mergeCell ref="A265:B265"/>
    <mergeCell ref="A266:B266"/>
    <mergeCell ref="A267:B267"/>
    <mergeCell ref="A268:H268"/>
    <mergeCell ref="A269:B269"/>
    <mergeCell ref="A253:B253"/>
    <mergeCell ref="A254:B254"/>
    <mergeCell ref="A255:B255"/>
    <mergeCell ref="A256:B256"/>
    <mergeCell ref="A257:B257"/>
    <mergeCell ref="A258:B258"/>
    <mergeCell ref="A259:H259"/>
    <mergeCell ref="A260:B260"/>
    <mergeCell ref="A245:B245"/>
    <mergeCell ref="A246:B246"/>
    <mergeCell ref="A247:B247"/>
    <mergeCell ref="A248:B248"/>
    <mergeCell ref="A249:B249"/>
    <mergeCell ref="C246:H247"/>
    <mergeCell ref="A250:H250"/>
    <mergeCell ref="A251:B251"/>
    <mergeCell ref="C251:H252"/>
    <mergeCell ref="A252:B252"/>
    <mergeCell ref="A237:B237"/>
    <mergeCell ref="A238:B238"/>
    <mergeCell ref="A239:B239"/>
    <mergeCell ref="A240:B240"/>
    <mergeCell ref="C233:H234"/>
    <mergeCell ref="A241:H241"/>
    <mergeCell ref="A242:B242"/>
    <mergeCell ref="A243:B243"/>
    <mergeCell ref="A244:B244"/>
    <mergeCell ref="C242:H243"/>
    <mergeCell ref="A230:B230"/>
    <mergeCell ref="A231:B231"/>
    <mergeCell ref="C224:H225"/>
    <mergeCell ref="C226:H227"/>
    <mergeCell ref="A232:H232"/>
    <mergeCell ref="A233:B233"/>
    <mergeCell ref="A234:B234"/>
    <mergeCell ref="A235:B235"/>
    <mergeCell ref="A236:B236"/>
    <mergeCell ref="A221:H221"/>
    <mergeCell ref="A222:H222"/>
    <mergeCell ref="A223:H223"/>
    <mergeCell ref="A224:B224"/>
    <mergeCell ref="A225:B225"/>
    <mergeCell ref="A226:B226"/>
    <mergeCell ref="A227:B227"/>
    <mergeCell ref="A228:B228"/>
    <mergeCell ref="A229:B229"/>
    <mergeCell ref="A212:H212"/>
    <mergeCell ref="A213:B213"/>
    <mergeCell ref="A214:B214"/>
    <mergeCell ref="A215:B215"/>
    <mergeCell ref="A216:B216"/>
    <mergeCell ref="A217:B217"/>
    <mergeCell ref="A218:B218"/>
    <mergeCell ref="A219:B219"/>
    <mergeCell ref="A220:B220"/>
    <mergeCell ref="C217:H217"/>
    <mergeCell ref="A203:H203"/>
    <mergeCell ref="A204:B204"/>
    <mergeCell ref="A205:B205"/>
    <mergeCell ref="A206:B206"/>
    <mergeCell ref="A207:B207"/>
    <mergeCell ref="A208:B208"/>
    <mergeCell ref="A209:B209"/>
    <mergeCell ref="A210:B210"/>
    <mergeCell ref="A211:B211"/>
    <mergeCell ref="C208:H209"/>
    <mergeCell ref="A194:H194"/>
    <mergeCell ref="A195:B195"/>
    <mergeCell ref="A196:B196"/>
    <mergeCell ref="A197:B197"/>
    <mergeCell ref="A198:B198"/>
    <mergeCell ref="A199:B199"/>
    <mergeCell ref="A200:B200"/>
    <mergeCell ref="A201:B201"/>
    <mergeCell ref="A202:B202"/>
    <mergeCell ref="A185:H185"/>
    <mergeCell ref="A186:B186"/>
    <mergeCell ref="A187:B187"/>
    <mergeCell ref="A188:B188"/>
    <mergeCell ref="A189:B189"/>
    <mergeCell ref="A190:B190"/>
    <mergeCell ref="A191:B191"/>
    <mergeCell ref="A192:B192"/>
    <mergeCell ref="A193:B193"/>
    <mergeCell ref="C190:H191"/>
    <mergeCell ref="A176:H176"/>
    <mergeCell ref="A177:B177"/>
    <mergeCell ref="A178:B178"/>
    <mergeCell ref="A179:B179"/>
    <mergeCell ref="A180:B180"/>
    <mergeCell ref="A181:B181"/>
    <mergeCell ref="A182:B182"/>
    <mergeCell ref="A183:B183"/>
    <mergeCell ref="A184:B184"/>
    <mergeCell ref="A168:B168"/>
    <mergeCell ref="A169:B169"/>
    <mergeCell ref="A170:B170"/>
    <mergeCell ref="A171:B171"/>
    <mergeCell ref="A172:B172"/>
    <mergeCell ref="A173:B173"/>
    <mergeCell ref="A174:B174"/>
    <mergeCell ref="A175:B175"/>
    <mergeCell ref="C168:H169"/>
    <mergeCell ref="C174:H175"/>
    <mergeCell ref="A161:B161"/>
    <mergeCell ref="A162:B162"/>
    <mergeCell ref="A163:B163"/>
    <mergeCell ref="A164:B164"/>
    <mergeCell ref="A165:B165"/>
    <mergeCell ref="C165:H166"/>
    <mergeCell ref="A166:B166"/>
    <mergeCell ref="C163:H164"/>
    <mergeCell ref="A167:H167"/>
    <mergeCell ref="C21:D21"/>
    <mergeCell ref="C22:D22"/>
    <mergeCell ref="C24:H24"/>
    <mergeCell ref="C23:H23"/>
    <mergeCell ref="A73:B73"/>
    <mergeCell ref="A76:B76"/>
    <mergeCell ref="E83:F83"/>
    <mergeCell ref="A84:B84"/>
    <mergeCell ref="E84:F84"/>
    <mergeCell ref="A45:B45"/>
    <mergeCell ref="A46:B46"/>
    <mergeCell ref="A47:B47"/>
    <mergeCell ref="D46:F46"/>
    <mergeCell ref="D45:F45"/>
    <mergeCell ref="D47:F47"/>
    <mergeCell ref="A64:B64"/>
    <mergeCell ref="C59:F59"/>
    <mergeCell ref="C60:F60"/>
    <mergeCell ref="C63:F63"/>
    <mergeCell ref="A61:B61"/>
    <mergeCell ref="C61:F61"/>
    <mergeCell ref="C62:F62"/>
    <mergeCell ref="A62:B63"/>
    <mergeCell ref="A65:H65"/>
    <mergeCell ref="A301:B301"/>
    <mergeCell ref="A302:B302"/>
    <mergeCell ref="A303:B303"/>
    <mergeCell ref="A296:B296"/>
    <mergeCell ref="G120:H120"/>
    <mergeCell ref="G124:H124"/>
    <mergeCell ref="A121:H121"/>
    <mergeCell ref="E116:F116"/>
    <mergeCell ref="A120:B120"/>
    <mergeCell ref="E117:F117"/>
    <mergeCell ref="G117:H117"/>
    <mergeCell ref="A300:B300"/>
    <mergeCell ref="A141:B141"/>
    <mergeCell ref="A142:B142"/>
    <mergeCell ref="A143:B143"/>
    <mergeCell ref="A144:B144"/>
    <mergeCell ref="A145:B145"/>
    <mergeCell ref="A146:B146"/>
    <mergeCell ref="A147:B147"/>
    <mergeCell ref="A148:B148"/>
    <mergeCell ref="C141:H142"/>
    <mergeCell ref="A135:B135"/>
    <mergeCell ref="C159:H160"/>
    <mergeCell ref="A160:B160"/>
    <mergeCell ref="A327:B327"/>
    <mergeCell ref="A138:H138"/>
    <mergeCell ref="A139:H139"/>
    <mergeCell ref="A140:H140"/>
    <mergeCell ref="A136:H136"/>
    <mergeCell ref="E126:F126"/>
    <mergeCell ref="E127:F127"/>
    <mergeCell ref="E128:F128"/>
    <mergeCell ref="E129:F129"/>
    <mergeCell ref="A126:B126"/>
    <mergeCell ref="A314:B314"/>
    <mergeCell ref="A315:B315"/>
    <mergeCell ref="A310:B310"/>
    <mergeCell ref="A325:H325"/>
    <mergeCell ref="A326:B326"/>
    <mergeCell ref="A309:B309"/>
    <mergeCell ref="A307:H307"/>
    <mergeCell ref="A308:B308"/>
    <mergeCell ref="C133:D133"/>
    <mergeCell ref="E135:F135"/>
    <mergeCell ref="C134:D134"/>
    <mergeCell ref="A297:B297"/>
    <mergeCell ref="A298:B298"/>
    <mergeCell ref="A299:B299"/>
    <mergeCell ref="A328:B328"/>
    <mergeCell ref="A1:H1"/>
    <mergeCell ref="A386:C386"/>
    <mergeCell ref="G27:H27"/>
    <mergeCell ref="G28:H28"/>
    <mergeCell ref="A37:H37"/>
    <mergeCell ref="A44:H44"/>
    <mergeCell ref="A49:H49"/>
    <mergeCell ref="A125:H125"/>
    <mergeCell ref="G123:H123"/>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G520:H520"/>
    <mergeCell ref="A385:H385"/>
    <mergeCell ref="D387:H387"/>
    <mergeCell ref="A511:H511"/>
    <mergeCell ref="A517:H517"/>
    <mergeCell ref="A518:H518"/>
    <mergeCell ref="A519:H519"/>
    <mergeCell ref="A512:H512"/>
    <mergeCell ref="A513:H513"/>
    <mergeCell ref="A514:H514"/>
    <mergeCell ref="A515:H515"/>
    <mergeCell ref="A387:C387"/>
    <mergeCell ref="A510:H510"/>
    <mergeCell ref="A516:H516"/>
    <mergeCell ref="A482:H482"/>
    <mergeCell ref="D386:H386"/>
    <mergeCell ref="A388:C388"/>
    <mergeCell ref="D388:H388"/>
    <mergeCell ref="A433:H433"/>
    <mergeCell ref="E520:F520"/>
    <mergeCell ref="A520:B520"/>
    <mergeCell ref="C520:D520"/>
    <mergeCell ref="G14:H14"/>
    <mergeCell ref="G16:H16"/>
    <mergeCell ref="G17:H17"/>
    <mergeCell ref="G15:H15"/>
    <mergeCell ref="G18:H18"/>
    <mergeCell ref="G19:H19"/>
    <mergeCell ref="G46:H46"/>
    <mergeCell ref="G31:H31"/>
    <mergeCell ref="G22:H22"/>
    <mergeCell ref="G34:H34"/>
    <mergeCell ref="G36:H36"/>
    <mergeCell ref="G35:H35"/>
    <mergeCell ref="A68:B68"/>
    <mergeCell ref="A69:B69"/>
    <mergeCell ref="E68:F68"/>
    <mergeCell ref="E66:F66"/>
    <mergeCell ref="E67:F67"/>
    <mergeCell ref="A66:C67"/>
    <mergeCell ref="A43:B43"/>
    <mergeCell ref="A38:B38"/>
    <mergeCell ref="A42:B42"/>
    <mergeCell ref="C42:E42"/>
    <mergeCell ref="F42:H42"/>
    <mergeCell ref="C43:H43"/>
    <mergeCell ref="A50:B50"/>
    <mergeCell ref="A54:B54"/>
    <mergeCell ref="A59:B59"/>
    <mergeCell ref="A60:B60"/>
    <mergeCell ref="A52:B52"/>
    <mergeCell ref="C50:H50"/>
    <mergeCell ref="C52:F52"/>
    <mergeCell ref="C64:F64"/>
    <mergeCell ref="C54:F54"/>
    <mergeCell ref="C58:F58"/>
    <mergeCell ref="C57:F57"/>
    <mergeCell ref="A57:B58"/>
    <mergeCell ref="A313:B313"/>
    <mergeCell ref="A311:B311"/>
    <mergeCell ref="E134:F134"/>
    <mergeCell ref="E132:F132"/>
    <mergeCell ref="C131:D131"/>
    <mergeCell ref="E133:F133"/>
    <mergeCell ref="C132:D132"/>
    <mergeCell ref="C135:D135"/>
    <mergeCell ref="A312:B312"/>
    <mergeCell ref="C143:H144"/>
    <mergeCell ref="C147:H148"/>
    <mergeCell ref="A149:H149"/>
    <mergeCell ref="A150:B150"/>
    <mergeCell ref="A151:B151"/>
    <mergeCell ref="A152:B152"/>
    <mergeCell ref="A153:B153"/>
    <mergeCell ref="A154:B154"/>
    <mergeCell ref="A155:B155"/>
    <mergeCell ref="A156:B156"/>
    <mergeCell ref="A157:B157"/>
    <mergeCell ref="C150:H151"/>
    <mergeCell ref="C156:H157"/>
    <mergeCell ref="A158:H158"/>
    <mergeCell ref="A159:B159"/>
    <mergeCell ref="G135:H135"/>
    <mergeCell ref="A333:B333"/>
    <mergeCell ref="B384:H384"/>
    <mergeCell ref="B374:H374"/>
    <mergeCell ref="B373:H373"/>
    <mergeCell ref="B377:H377"/>
    <mergeCell ref="B376:H376"/>
    <mergeCell ref="B375:H375"/>
    <mergeCell ref="B378:H378"/>
    <mergeCell ref="A330:B330"/>
    <mergeCell ref="A331:B331"/>
    <mergeCell ref="A332:B332"/>
    <mergeCell ref="A370:B370"/>
    <mergeCell ref="A371:B371"/>
    <mergeCell ref="A367:B367"/>
    <mergeCell ref="A368:B368"/>
    <mergeCell ref="A369:B369"/>
    <mergeCell ref="A363:H363"/>
    <mergeCell ref="A364:B364"/>
    <mergeCell ref="A365:B365"/>
    <mergeCell ref="A366:B366"/>
    <mergeCell ref="B383:H383"/>
    <mergeCell ref="A329:B329"/>
    <mergeCell ref="B382:H382"/>
    <mergeCell ref="E3:F3"/>
    <mergeCell ref="E4:F4"/>
    <mergeCell ref="E85:F96"/>
    <mergeCell ref="G85:H96"/>
    <mergeCell ref="A86:B86"/>
    <mergeCell ref="A87:B87"/>
    <mergeCell ref="A88:B88"/>
    <mergeCell ref="A89:B89"/>
    <mergeCell ref="A90:B90"/>
    <mergeCell ref="A91:B91"/>
    <mergeCell ref="A92:B92"/>
    <mergeCell ref="A93:B93"/>
    <mergeCell ref="A94:B94"/>
    <mergeCell ref="A95:B95"/>
    <mergeCell ref="A96:B96"/>
    <mergeCell ref="A70:B70"/>
    <mergeCell ref="C27:D27"/>
    <mergeCell ref="A77:B77"/>
    <mergeCell ref="A78:B78"/>
    <mergeCell ref="A79:B79"/>
    <mergeCell ref="A80:B80"/>
    <mergeCell ref="A71:B71"/>
    <mergeCell ref="A72:B72"/>
    <mergeCell ref="A74:B74"/>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E20:F20"/>
    <mergeCell ref="E21:F21"/>
    <mergeCell ref="E22:F22"/>
    <mergeCell ref="C14:D14"/>
    <mergeCell ref="C15:D15"/>
    <mergeCell ref="C16:D16"/>
    <mergeCell ref="C17:D17"/>
    <mergeCell ref="A26:B26"/>
    <mergeCell ref="A27:B27"/>
    <mergeCell ref="A28:B28"/>
    <mergeCell ref="A29:B29"/>
    <mergeCell ref="A30:B30"/>
    <mergeCell ref="A14:B14"/>
    <mergeCell ref="A15:B15"/>
    <mergeCell ref="A16:B16"/>
    <mergeCell ref="A17:B17"/>
    <mergeCell ref="A18:B18"/>
    <mergeCell ref="A19:B19"/>
    <mergeCell ref="A20:B20"/>
    <mergeCell ref="A21:B21"/>
    <mergeCell ref="A22:B22"/>
    <mergeCell ref="A23:B23"/>
    <mergeCell ref="A24:B24"/>
    <mergeCell ref="C26:D26"/>
    <mergeCell ref="C18:D18"/>
    <mergeCell ref="C19:D19"/>
    <mergeCell ref="C20:D20"/>
    <mergeCell ref="E28:F28"/>
    <mergeCell ref="E29:F29"/>
    <mergeCell ref="E30:F30"/>
    <mergeCell ref="E31:F31"/>
    <mergeCell ref="C28:D28"/>
    <mergeCell ref="C29:D29"/>
    <mergeCell ref="C30:D30"/>
    <mergeCell ref="C31:D31"/>
    <mergeCell ref="C32:H32"/>
    <mergeCell ref="M38:N38"/>
    <mergeCell ref="C38:E38"/>
    <mergeCell ref="F38:H38"/>
    <mergeCell ref="C39:E39"/>
    <mergeCell ref="F39:H39"/>
    <mergeCell ref="F40:H40"/>
    <mergeCell ref="C40:E40"/>
    <mergeCell ref="A41:B41"/>
    <mergeCell ref="C41:E41"/>
    <mergeCell ref="F41:H41"/>
    <mergeCell ref="A39:B39"/>
    <mergeCell ref="A40:B40"/>
    <mergeCell ref="G131:H131"/>
    <mergeCell ref="A132:B132"/>
    <mergeCell ref="G132:H132"/>
    <mergeCell ref="E69:F80"/>
    <mergeCell ref="G69:H80"/>
    <mergeCell ref="A75:B75"/>
    <mergeCell ref="G122:H122"/>
    <mergeCell ref="A81:H81"/>
    <mergeCell ref="A82:C83"/>
    <mergeCell ref="E82:F82"/>
    <mergeCell ref="G114:H114"/>
    <mergeCell ref="A113:H113"/>
    <mergeCell ref="A85:B85"/>
    <mergeCell ref="A114:F114"/>
    <mergeCell ref="A127:B127"/>
    <mergeCell ref="A128:B128"/>
    <mergeCell ref="C126:D126"/>
    <mergeCell ref="A101:B101"/>
    <mergeCell ref="E101:F112"/>
    <mergeCell ref="G101:H112"/>
    <mergeCell ref="A102:B102"/>
    <mergeCell ref="A103:B103"/>
    <mergeCell ref="A104:B104"/>
    <mergeCell ref="A105:B105"/>
    <mergeCell ref="A133:B133"/>
    <mergeCell ref="G133:H133"/>
    <mergeCell ref="A134:B134"/>
    <mergeCell ref="G134:H134"/>
    <mergeCell ref="A116:B116"/>
    <mergeCell ref="C116:D116"/>
    <mergeCell ref="C117:D117"/>
    <mergeCell ref="C120:D120"/>
    <mergeCell ref="E120:F120"/>
    <mergeCell ref="A122:F122"/>
    <mergeCell ref="A123:F123"/>
    <mergeCell ref="A124:F124"/>
    <mergeCell ref="C128:D128"/>
    <mergeCell ref="A117:B117"/>
    <mergeCell ref="A129:B129"/>
    <mergeCell ref="C127:D127"/>
    <mergeCell ref="G126:H126"/>
    <mergeCell ref="G127:H127"/>
    <mergeCell ref="G128:H128"/>
    <mergeCell ref="G129:H129"/>
    <mergeCell ref="C129:D129"/>
    <mergeCell ref="A130:H130"/>
    <mergeCell ref="A131:B131"/>
    <mergeCell ref="E131:F131"/>
    <mergeCell ref="I20:J20"/>
    <mergeCell ref="A48:B48"/>
    <mergeCell ref="D48:F48"/>
    <mergeCell ref="G48:H48"/>
    <mergeCell ref="A97:H97"/>
    <mergeCell ref="A98:C99"/>
    <mergeCell ref="E98:F98"/>
    <mergeCell ref="E99:F99"/>
    <mergeCell ref="A100:B100"/>
    <mergeCell ref="E100:F100"/>
    <mergeCell ref="J38:K38"/>
    <mergeCell ref="E34:F34"/>
    <mergeCell ref="E35:F35"/>
    <mergeCell ref="E36:F36"/>
    <mergeCell ref="A34:B34"/>
    <mergeCell ref="A35:B35"/>
    <mergeCell ref="A36:B36"/>
    <mergeCell ref="C34:D34"/>
    <mergeCell ref="C35:D35"/>
    <mergeCell ref="C36:D36"/>
    <mergeCell ref="A31:B31"/>
    <mergeCell ref="A32:B32"/>
    <mergeCell ref="E26:F26"/>
    <mergeCell ref="E27:F27"/>
    <mergeCell ref="A118:B118"/>
    <mergeCell ref="A119:B119"/>
    <mergeCell ref="C118:H118"/>
    <mergeCell ref="C119:H119"/>
    <mergeCell ref="A106:B106"/>
    <mergeCell ref="A107:B107"/>
    <mergeCell ref="A108:B108"/>
    <mergeCell ref="A109:B109"/>
    <mergeCell ref="A110:B110"/>
    <mergeCell ref="A111:B111"/>
    <mergeCell ref="A112:B112"/>
    <mergeCell ref="A115:H115"/>
    <mergeCell ref="G116:H116"/>
  </mergeCells>
  <dataValidations count="7">
    <dataValidation type="list" allowBlank="1" showInputMessage="1" showErrorMessage="1" sqref="G6:H6" xr:uid="{00000000-0002-0000-0000-000000000000}">
      <formula1>"Mr. Suraj Khare,Mr.Rushil Sanghvi,Mr.Fahad Quershi,Mr.Vaibhav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C120" xr:uid="{00000000-0002-0000-0000-000002000000}">
      <formula1>"300000,350000,400000,500000,600000,700000,800000,900000,1000000,1200000,1400000,1500000,1600000"</formula1>
    </dataValidation>
    <dataValidation type="list" allowBlank="1" showInputMessage="1" showErrorMessage="1" sqref="F137"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G35:H35 C50:H50" xr:uid="{00000000-0002-0000-0000-000005000000}">
      <formula1>"Yes,No"</formula1>
    </dataValidation>
    <dataValidation type="list" allowBlank="1" showInputMessage="1" showErrorMessage="1" sqref="C137" xr:uid="{00000000-0002-0000-0000-000006000000}">
      <formula1>"Sale /         Rehab /           PAP,Sale / Mhada,Sale / Landowner"</formula1>
    </dataValidation>
  </dataValidations>
  <hyperlinks>
    <hyperlink ref="C23" r:id="rId1" xr:uid="{00000000-0004-0000-0000-000000000000}"/>
    <hyperlink ref="I48" r:id="rId2" display="https://www.godrejsquarelbsmarg.com/?utm_source=google&amp;utm_medium=cpc&amp;utm_campaign=Godrej+Square+Bhandup+Commercial&amp;utm_term=godrej%20square%20bhandup&amp;utm_Physical_Location=9062232&amp;utm_Targetid=kwd-2390437577750&amp;utm_Target=&amp;utm_Placement=&amp;utm_Adposition=&amp;gad_source=1&amp;gad_campaignid=22352411891&amp;gbraid=0AAAAADq4HKc6LO7SpkwUnQwnfiILNaWn0&amp;gclid=CjwKCAjwruXBBhArEiwACBRtHe2U7oK2UoSxs5SOenubtcbgw34ECsOxYzQAHYx0ftFjFroV_cBMqBoCX_IQAvD_BwE" xr:uid="{90F1319B-8278-4E19-A0BB-00C562E8FDFB}"/>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4" manualBreakCount="4">
    <brk id="96" max="7" man="1"/>
    <brk id="384" max="8" man="1"/>
    <brk id="432" max="16383" man="1"/>
    <brk id="481"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13" sqref="A13:B13"/>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71" t="s">
        <v>66</v>
      </c>
      <c r="B3" s="71"/>
      <c r="C3" s="71"/>
      <c r="D3" s="71"/>
      <c r="E3" s="71"/>
      <c r="F3" s="71"/>
      <c r="G3" s="71"/>
      <c r="H3" s="71"/>
      <c r="I3" s="71"/>
    </row>
    <row r="4" spans="1:11" s="1" customFormat="1" ht="20.25" customHeight="1" x14ac:dyDescent="0.3">
      <c r="A4" s="149">
        <v>1</v>
      </c>
      <c r="B4" s="149"/>
      <c r="C4" s="149"/>
      <c r="D4" s="150" t="s">
        <v>4</v>
      </c>
      <c r="E4" s="29" t="s">
        <v>114</v>
      </c>
      <c r="F4" s="73" t="s">
        <v>101</v>
      </c>
      <c r="G4" s="73"/>
      <c r="H4" s="29" t="s">
        <v>115</v>
      </c>
      <c r="I4" s="29" t="s">
        <v>116</v>
      </c>
      <c r="J4" s="14"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6"/>
    </row>
    <row r="5" spans="1:11" s="1" customFormat="1" ht="20.25" x14ac:dyDescent="0.3">
      <c r="A5" s="149"/>
      <c r="B5" s="149"/>
      <c r="C5" s="149"/>
      <c r="D5" s="150"/>
      <c r="E5" s="29">
        <v>3</v>
      </c>
      <c r="F5" s="73">
        <v>1</v>
      </c>
      <c r="G5" s="73"/>
      <c r="H5" s="29">
        <v>0</v>
      </c>
      <c r="I5" s="29">
        <f ca="1">--TRIM(RIGHT(SUBSTITUTE(LEFT(A4,_xlfn.AGGREGATE(16,6,FIND({0,1,2,3,4,5,6,7,8,9},A4,ROW(INDIRECT("1:"&amp;LEN(A4)))),1))," ",REPT(" ",LEN(A4))),LEN(A4)))</f>
        <v>1</v>
      </c>
      <c r="J5" s="15" t="s">
        <v>120</v>
      </c>
      <c r="K5" s="16"/>
    </row>
    <row r="6" spans="1:11" s="1" customFormat="1" ht="20.25" customHeight="1" x14ac:dyDescent="0.3">
      <c r="A6" s="74" t="s">
        <v>118</v>
      </c>
      <c r="B6" s="74"/>
      <c r="C6" s="74" t="s">
        <v>129</v>
      </c>
      <c r="D6" s="74"/>
      <c r="E6" s="30" t="s">
        <v>130</v>
      </c>
      <c r="F6" s="74" t="s">
        <v>119</v>
      </c>
      <c r="G6" s="74"/>
      <c r="H6" s="26" t="s">
        <v>117</v>
      </c>
      <c r="I6" s="26"/>
      <c r="J6" s="18" t="s">
        <v>131</v>
      </c>
      <c r="K6" s="17">
        <f ca="1">I5*25%</f>
        <v>0.25</v>
      </c>
    </row>
    <row r="7" spans="1:11" s="1" customFormat="1" ht="20.25" customHeight="1" x14ac:dyDescent="0.3">
      <c r="A7" s="67" t="s">
        <v>132</v>
      </c>
      <c r="B7" s="67"/>
      <c r="C7" s="73">
        <f ca="1">K8</f>
        <v>1</v>
      </c>
      <c r="D7" s="73"/>
      <c r="E7" s="28">
        <f ca="1">((100/I5)*C7)/100</f>
        <v>1</v>
      </c>
      <c r="F7" s="67">
        <f ca="1">(((C7/I5*10)+(C8/I5*25)+(25/(F5+H5+I5)*C9)+(5/(I5)*C10)+(2.5/(I5)*C11)+(2.5/(I5)*C12)+(5/I5*C13)+(2.5/I5*C14)+(2.5/I5*C15)+(5/I5*C16)+(10/I5*C17)+(5/I5*C18))/100)</f>
        <v>0.35</v>
      </c>
      <c r="G7" s="67"/>
      <c r="H7" s="67" t="str">
        <f ca="1">J4</f>
        <v>Excavation work Completed. Plinth work completed</v>
      </c>
      <c r="I7" s="67"/>
      <c r="J7" s="18" t="s">
        <v>121</v>
      </c>
      <c r="K7" s="22">
        <f ca="1">I5*50%</f>
        <v>0.5</v>
      </c>
    </row>
    <row r="8" spans="1:11" s="1" customFormat="1" ht="20.25" x14ac:dyDescent="0.3">
      <c r="A8" s="67" t="s">
        <v>102</v>
      </c>
      <c r="B8" s="67"/>
      <c r="C8" s="151">
        <f ca="1">K16</f>
        <v>1</v>
      </c>
      <c r="D8" s="73"/>
      <c r="E8" s="28">
        <f ca="1">((100/I5)*C8)/100</f>
        <v>1</v>
      </c>
      <c r="F8" s="67"/>
      <c r="G8" s="67"/>
      <c r="H8" s="67"/>
      <c r="I8" s="67"/>
      <c r="J8" s="18" t="s">
        <v>122</v>
      </c>
      <c r="K8" s="22">
        <f ca="1">I5</f>
        <v>1</v>
      </c>
    </row>
    <row r="9" spans="1:11" s="1" customFormat="1" ht="21" customHeight="1" x14ac:dyDescent="0.35">
      <c r="A9" s="67" t="s">
        <v>133</v>
      </c>
      <c r="B9" s="67"/>
      <c r="C9" s="73">
        <v>0</v>
      </c>
      <c r="D9" s="73"/>
      <c r="E9" s="28">
        <f ca="1">((100/(F5+H5+I5))*C9)/100</f>
        <v>0</v>
      </c>
      <c r="F9" s="67"/>
      <c r="G9" s="67"/>
      <c r="H9" s="67"/>
      <c r="I9" s="67"/>
      <c r="J9" s="18" t="s">
        <v>123</v>
      </c>
      <c r="K9" s="23">
        <f ca="1">(IF(E5&gt;1,(I5/(E5+2)),I5*0.2))</f>
        <v>0.2</v>
      </c>
    </row>
    <row r="10" spans="1:11" s="1" customFormat="1" ht="21" customHeight="1" x14ac:dyDescent="0.35">
      <c r="A10" s="67" t="s">
        <v>134</v>
      </c>
      <c r="B10" s="67"/>
      <c r="C10" s="73">
        <v>0</v>
      </c>
      <c r="D10" s="73"/>
      <c r="E10" s="28">
        <f ca="1">((100/I5)*C10)/100</f>
        <v>0</v>
      </c>
      <c r="F10" s="67"/>
      <c r="G10" s="67"/>
      <c r="H10" s="67"/>
      <c r="I10" s="67"/>
      <c r="J10" s="18" t="s">
        <v>124</v>
      </c>
      <c r="K10" s="23">
        <f ca="1">(IF(E5&gt;1,(I5/(E5+2)+K9),I5*0.2+K9))</f>
        <v>0.4</v>
      </c>
    </row>
    <row r="11" spans="1:11" s="1" customFormat="1" ht="21" customHeight="1" x14ac:dyDescent="0.35">
      <c r="A11" s="65" t="s">
        <v>135</v>
      </c>
      <c r="B11" s="66"/>
      <c r="C11" s="73">
        <v>0</v>
      </c>
      <c r="D11" s="73"/>
      <c r="E11" s="28">
        <f ca="1">((100/I5)*C11)/100</f>
        <v>0</v>
      </c>
      <c r="F11" s="67"/>
      <c r="G11" s="67"/>
      <c r="H11" s="67"/>
      <c r="I11" s="67"/>
      <c r="J11" s="18" t="s">
        <v>136</v>
      </c>
      <c r="K11" s="23">
        <f ca="1">(IF(E5&gt;1,(I5/(E5+2)+K10),0))</f>
        <v>0.60000000000000009</v>
      </c>
    </row>
    <row r="12" spans="1:11" s="1" customFormat="1" ht="21" customHeight="1" x14ac:dyDescent="0.35">
      <c r="A12" s="65" t="s">
        <v>168</v>
      </c>
      <c r="B12" s="66"/>
      <c r="C12" s="73">
        <v>0</v>
      </c>
      <c r="D12" s="73"/>
      <c r="E12" s="28">
        <f ca="1">((100/I5)*C12)/100</f>
        <v>0</v>
      </c>
      <c r="F12" s="67"/>
      <c r="G12" s="67"/>
      <c r="H12" s="67"/>
      <c r="I12" s="67"/>
      <c r="J12" s="18" t="s">
        <v>137</v>
      </c>
      <c r="K12" s="23">
        <f ca="1">(IF(E5&gt;2,(I5/(E5+2)+K11),0))</f>
        <v>0.8</v>
      </c>
    </row>
    <row r="13" spans="1:11" s="1" customFormat="1" ht="57.75" customHeight="1" x14ac:dyDescent="0.35">
      <c r="A13" s="65" t="s">
        <v>165</v>
      </c>
      <c r="B13" s="66"/>
      <c r="C13" s="73">
        <v>0</v>
      </c>
      <c r="D13" s="73"/>
      <c r="E13" s="28">
        <f ca="1">((100/(I5))*C13)/100</f>
        <v>0</v>
      </c>
      <c r="F13" s="67"/>
      <c r="G13" s="67"/>
      <c r="H13" s="67"/>
      <c r="I13" s="67"/>
      <c r="J13" s="18" t="s">
        <v>139</v>
      </c>
      <c r="K13" s="24">
        <f>(IF(E5&gt;3,(I5/(E5+2)+K12),0))</f>
        <v>0</v>
      </c>
    </row>
    <row r="14" spans="1:11" s="1" customFormat="1" ht="21" x14ac:dyDescent="0.35">
      <c r="A14" s="67" t="s">
        <v>138</v>
      </c>
      <c r="B14" s="67"/>
      <c r="C14" s="73">
        <v>0</v>
      </c>
      <c r="D14" s="73"/>
      <c r="E14" s="28">
        <f ca="1">((100/(I5))*C14)/100</f>
        <v>0</v>
      </c>
      <c r="F14" s="67"/>
      <c r="G14" s="67"/>
      <c r="H14" s="67"/>
      <c r="I14" s="67"/>
      <c r="J14" s="18" t="s">
        <v>140</v>
      </c>
      <c r="K14" s="23">
        <f>(IF(E5&gt;4,(I5/(E5+2)+K13),0))</f>
        <v>0</v>
      </c>
    </row>
    <row r="15" spans="1:11" s="1" customFormat="1" ht="21" customHeight="1" x14ac:dyDescent="0.35">
      <c r="A15" s="67" t="s">
        <v>167</v>
      </c>
      <c r="B15" s="67"/>
      <c r="C15" s="73">
        <v>0</v>
      </c>
      <c r="D15" s="73"/>
      <c r="E15" s="28">
        <f ca="1">((100/I5)*C15)/100</f>
        <v>0</v>
      </c>
      <c r="F15" s="67"/>
      <c r="G15" s="67"/>
      <c r="H15" s="67"/>
      <c r="I15" s="67"/>
      <c r="J15" s="18" t="s">
        <v>125</v>
      </c>
      <c r="K15" s="23">
        <f>(IF(E5=1,(I5/(E5+3)+K10),IF(E5=0,(I5*0.3+K10),IF(E5&gt;1,0))))</f>
        <v>0</v>
      </c>
    </row>
    <row r="16" spans="1:11" s="1" customFormat="1" ht="21.75" thickBot="1" x14ac:dyDescent="0.4">
      <c r="A16" s="67" t="s">
        <v>166</v>
      </c>
      <c r="B16" s="67"/>
      <c r="C16" s="73">
        <v>0</v>
      </c>
      <c r="D16" s="73"/>
      <c r="E16" s="28">
        <f ca="1">((100/I5)*C16)/100</f>
        <v>0</v>
      </c>
      <c r="F16" s="67"/>
      <c r="G16" s="67"/>
      <c r="H16" s="67"/>
      <c r="I16" s="67"/>
      <c r="J16" s="20" t="s">
        <v>126</v>
      </c>
      <c r="K16" s="25">
        <f ca="1">(IF(E5&gt;1.5,(I5/(E5+2)+K10+MAX(0,K11-K10)+MAX(0,K12-K11)+MAX(0,K13-K12)+MAX(0,K14-K13)+MAX(0,K15-K14)),IF(E5=1,(I5/(E5+3)+K15),IF(E5=0,I5*0.3+K15))))</f>
        <v>1</v>
      </c>
    </row>
    <row r="17" spans="1:9" s="1" customFormat="1" ht="20.25" x14ac:dyDescent="0.25">
      <c r="A17" s="67" t="s">
        <v>141</v>
      </c>
      <c r="B17" s="67"/>
      <c r="C17" s="73">
        <v>0</v>
      </c>
      <c r="D17" s="73"/>
      <c r="E17" s="28">
        <f ca="1">((100/(I5))*C17)/100</f>
        <v>0</v>
      </c>
      <c r="F17" s="67"/>
      <c r="G17" s="67"/>
      <c r="H17" s="67"/>
      <c r="I17" s="67"/>
    </row>
    <row r="18" spans="1:9" s="1" customFormat="1" ht="20.25" x14ac:dyDescent="0.25">
      <c r="A18" s="67" t="s">
        <v>142</v>
      </c>
      <c r="B18" s="67"/>
      <c r="C18" s="73">
        <v>0</v>
      </c>
      <c r="D18" s="73"/>
      <c r="E18" s="28">
        <f ca="1">((100/(I5))*C18)/100</f>
        <v>0</v>
      </c>
      <c r="F18" s="67"/>
      <c r="G18" s="67"/>
      <c r="H18" s="67"/>
      <c r="I18" s="67"/>
    </row>
    <row r="23" spans="1:9" x14ac:dyDescent="0.25">
      <c r="B23" s="152" t="s">
        <v>169</v>
      </c>
      <c r="C23" s="152"/>
      <c r="D23" s="152"/>
      <c r="E23" s="152"/>
      <c r="F23" s="152"/>
      <c r="G23" s="152"/>
    </row>
    <row r="24" spans="1:9" ht="14.45" customHeight="1" x14ac:dyDescent="0.25">
      <c r="B24" s="155" t="s">
        <v>170</v>
      </c>
      <c r="C24" s="155" t="s">
        <v>171</v>
      </c>
      <c r="D24" s="158" t="s">
        <v>172</v>
      </c>
      <c r="E24" s="159" t="s">
        <v>173</v>
      </c>
      <c r="F24" s="156" t="s">
        <v>174</v>
      </c>
      <c r="G24" s="155" t="s">
        <v>175</v>
      </c>
    </row>
    <row r="25" spans="1:9" x14ac:dyDescent="0.25">
      <c r="B25" s="155"/>
      <c r="C25" s="155"/>
      <c r="D25" s="158"/>
      <c r="E25" s="159"/>
      <c r="F25" s="156"/>
      <c r="G25" s="155"/>
    </row>
    <row r="26" spans="1:9" x14ac:dyDescent="0.25">
      <c r="B26" s="37" t="s">
        <v>176</v>
      </c>
      <c r="C26" s="38">
        <v>10</v>
      </c>
      <c r="D26" s="38">
        <v>1</v>
      </c>
      <c r="E26" s="39"/>
      <c r="F26" s="40">
        <f>((E26/D26)*0.05)*100</f>
        <v>0</v>
      </c>
      <c r="G26" s="40">
        <f t="shared" ref="G26:G37" si="0">((E26/D26)*(C26/100))*100</f>
        <v>0</v>
      </c>
    </row>
    <row r="27" spans="1:9" x14ac:dyDescent="0.25">
      <c r="B27" s="37" t="s">
        <v>177</v>
      </c>
      <c r="C27" s="39">
        <v>10</v>
      </c>
      <c r="D27" s="39">
        <v>1</v>
      </c>
      <c r="E27" s="39"/>
      <c r="F27" s="40">
        <f>((E27/D27)*0.05)*100</f>
        <v>0</v>
      </c>
      <c r="G27" s="40">
        <f t="shared" si="0"/>
        <v>0</v>
      </c>
    </row>
    <row r="28" spans="1:9" x14ac:dyDescent="0.25">
      <c r="B28" s="37" t="s">
        <v>178</v>
      </c>
      <c r="C28" s="39">
        <v>15</v>
      </c>
      <c r="D28" s="39">
        <v>1</v>
      </c>
      <c r="E28" s="39"/>
      <c r="F28" s="40">
        <f>((E28/D28)*0.15)*100</f>
        <v>0</v>
      </c>
      <c r="G28" s="40">
        <f t="shared" si="0"/>
        <v>0</v>
      </c>
    </row>
    <row r="29" spans="1:9" x14ac:dyDescent="0.25">
      <c r="B29" s="41" t="s">
        <v>179</v>
      </c>
      <c r="C29" s="39">
        <v>25</v>
      </c>
      <c r="D29" s="39">
        <v>40</v>
      </c>
      <c r="E29" s="39"/>
      <c r="F29" s="40">
        <f>((E29/D29)*0.25)*100</f>
        <v>0</v>
      </c>
      <c r="G29" s="40">
        <f t="shared" si="0"/>
        <v>0</v>
      </c>
    </row>
    <row r="30" spans="1:9" x14ac:dyDescent="0.25">
      <c r="B30" s="41" t="s">
        <v>180</v>
      </c>
      <c r="C30" s="39">
        <v>5</v>
      </c>
      <c r="D30" s="39">
        <v>39</v>
      </c>
      <c r="E30" s="39"/>
      <c r="F30" s="40">
        <f>((E30/D30)*0.05)*100</f>
        <v>0</v>
      </c>
      <c r="G30" s="40">
        <f t="shared" si="0"/>
        <v>0</v>
      </c>
    </row>
    <row r="31" spans="1:9" ht="30" x14ac:dyDescent="0.25">
      <c r="B31" s="41" t="s">
        <v>181</v>
      </c>
      <c r="C31" s="39">
        <v>2.5</v>
      </c>
      <c r="D31" s="39">
        <v>39</v>
      </c>
      <c r="E31" s="39"/>
      <c r="F31" s="40">
        <f>((E31/D31)*0.025)*100</f>
        <v>0</v>
      </c>
      <c r="G31" s="40">
        <f t="shared" si="0"/>
        <v>0</v>
      </c>
    </row>
    <row r="32" spans="1:9" ht="30" x14ac:dyDescent="0.25">
      <c r="B32" s="41" t="s">
        <v>182</v>
      </c>
      <c r="C32" s="39">
        <v>2.5</v>
      </c>
      <c r="D32" s="39">
        <v>39</v>
      </c>
      <c r="E32" s="39"/>
      <c r="F32" s="40">
        <f>((E32/D32)*0.025)*100</f>
        <v>0</v>
      </c>
      <c r="G32" s="40">
        <f t="shared" si="0"/>
        <v>0</v>
      </c>
    </row>
    <row r="33" spans="1:7" ht="45" x14ac:dyDescent="0.25">
      <c r="B33" s="42" t="s">
        <v>183</v>
      </c>
      <c r="C33" s="39">
        <v>5</v>
      </c>
      <c r="D33" s="39">
        <v>39</v>
      </c>
      <c r="E33" s="39"/>
      <c r="F33" s="40">
        <f>((E33/D33)*0.05)*100</f>
        <v>0</v>
      </c>
      <c r="G33" s="40">
        <f t="shared" si="0"/>
        <v>0</v>
      </c>
    </row>
    <row r="34" spans="1:7" ht="30" x14ac:dyDescent="0.25">
      <c r="B34" s="42" t="s">
        <v>184</v>
      </c>
      <c r="C34" s="39">
        <v>5</v>
      </c>
      <c r="D34" s="39">
        <v>39</v>
      </c>
      <c r="E34" s="39"/>
      <c r="F34" s="40">
        <f>((E34/D34)*0.1)*100</f>
        <v>0</v>
      </c>
      <c r="G34" s="40">
        <f t="shared" si="0"/>
        <v>0</v>
      </c>
    </row>
    <row r="35" spans="1:7" ht="30" x14ac:dyDescent="0.25">
      <c r="B35" s="42" t="s">
        <v>185</v>
      </c>
      <c r="C35" s="39">
        <v>5</v>
      </c>
      <c r="D35" s="39">
        <v>39</v>
      </c>
      <c r="E35" s="39"/>
      <c r="F35" s="40">
        <f>((E35/D35)*0.05)*100</f>
        <v>0</v>
      </c>
      <c r="G35" s="40">
        <f t="shared" si="0"/>
        <v>0</v>
      </c>
    </row>
    <row r="36" spans="1:7" ht="60" x14ac:dyDescent="0.25">
      <c r="B36" s="42" t="s">
        <v>186</v>
      </c>
      <c r="C36" s="39">
        <v>10</v>
      </c>
      <c r="D36" s="39">
        <v>39</v>
      </c>
      <c r="E36" s="39"/>
      <c r="F36" s="40">
        <f>((E36/D36)*0.1)*100</f>
        <v>0</v>
      </c>
      <c r="G36" s="40">
        <f t="shared" si="0"/>
        <v>0</v>
      </c>
    </row>
    <row r="37" spans="1:7" ht="45" x14ac:dyDescent="0.25">
      <c r="B37" s="42" t="s">
        <v>187</v>
      </c>
      <c r="C37" s="39">
        <v>5</v>
      </c>
      <c r="D37" s="39">
        <v>39</v>
      </c>
      <c r="E37" s="39"/>
      <c r="F37" s="40">
        <f>((E37/D37)*0.1)*100</f>
        <v>0</v>
      </c>
      <c r="G37" s="40">
        <f t="shared" si="0"/>
        <v>0</v>
      </c>
    </row>
    <row r="38" spans="1:7" ht="15.75" x14ac:dyDescent="0.25">
      <c r="B38" s="43" t="s">
        <v>188</v>
      </c>
      <c r="C38" s="44">
        <f>SUM(C26:C37)</f>
        <v>100</v>
      </c>
      <c r="D38" s="43"/>
      <c r="E38" s="43"/>
      <c r="F38" s="44">
        <f>SUM(F26:F37)</f>
        <v>0</v>
      </c>
      <c r="G38" s="44">
        <f>SUM(G26:G37)</f>
        <v>0</v>
      </c>
    </row>
    <row r="39" spans="1:7" x14ac:dyDescent="0.25">
      <c r="B39" s="156" t="s">
        <v>189</v>
      </c>
      <c r="C39" s="156"/>
      <c r="D39" s="156"/>
      <c r="E39" s="156"/>
      <c r="F39" s="156"/>
      <c r="G39" s="156"/>
    </row>
    <row r="40" spans="1:7" x14ac:dyDescent="0.25">
      <c r="B40" s="157" t="s">
        <v>190</v>
      </c>
      <c r="C40" s="157"/>
      <c r="D40" s="157"/>
      <c r="E40" s="157" t="s">
        <v>191</v>
      </c>
      <c r="F40" s="157"/>
      <c r="G40" s="157"/>
    </row>
    <row r="41" spans="1:7" x14ac:dyDescent="0.25">
      <c r="B41" s="153" t="s">
        <v>192</v>
      </c>
      <c r="C41" s="153"/>
      <c r="D41" s="153"/>
      <c r="E41" s="153" t="s">
        <v>193</v>
      </c>
      <c r="F41" s="153"/>
      <c r="G41" s="153"/>
    </row>
    <row r="42" spans="1:7" x14ac:dyDescent="0.25">
      <c r="B42" s="153" t="s">
        <v>194</v>
      </c>
      <c r="C42" s="153"/>
      <c r="D42" s="153"/>
      <c r="E42" s="153" t="s">
        <v>195</v>
      </c>
      <c r="F42" s="153"/>
      <c r="G42" s="153"/>
    </row>
    <row r="43" spans="1:7" x14ac:dyDescent="0.25">
      <c r="B43" s="154" t="s">
        <v>196</v>
      </c>
      <c r="C43" s="154"/>
      <c r="D43" s="154"/>
      <c r="E43" s="154" t="s">
        <v>197</v>
      </c>
      <c r="F43" s="154"/>
      <c r="G43" s="154"/>
    </row>
    <row r="45" spans="1:7" ht="15.75" thickBot="1" x14ac:dyDescent="0.3"/>
    <row r="46" spans="1:7" ht="17.25" thickTop="1" thickBot="1" x14ac:dyDescent="0.3">
      <c r="A46" s="45" t="s">
        <v>198</v>
      </c>
      <c r="B46" s="45" t="s">
        <v>170</v>
      </c>
      <c r="C46" s="46" t="s">
        <v>199</v>
      </c>
      <c r="D46" s="46" t="s">
        <v>200</v>
      </c>
      <c r="E46" s="46" t="s">
        <v>201</v>
      </c>
    </row>
    <row r="47" spans="1:7" ht="31.5" thickTop="1" thickBot="1" x14ac:dyDescent="0.3">
      <c r="A47" s="47">
        <v>1</v>
      </c>
      <c r="B47" s="48" t="s">
        <v>202</v>
      </c>
      <c r="C47" s="49">
        <v>0</v>
      </c>
      <c r="D47" s="50">
        <v>0.1</v>
      </c>
      <c r="E47" s="49">
        <v>0.1</v>
      </c>
    </row>
    <row r="48" spans="1:7" ht="31.5" thickTop="1" thickBot="1" x14ac:dyDescent="0.3">
      <c r="A48" s="47">
        <v>2</v>
      </c>
      <c r="B48" s="48" t="s">
        <v>203</v>
      </c>
      <c r="C48" s="49" t="s">
        <v>204</v>
      </c>
      <c r="D48" s="50" t="s">
        <v>205</v>
      </c>
      <c r="E48" s="49">
        <v>0.3</v>
      </c>
    </row>
    <row r="49" spans="1:5" ht="61.5" thickTop="1" thickBot="1" x14ac:dyDescent="0.3">
      <c r="A49" s="47">
        <v>3</v>
      </c>
      <c r="B49" s="48" t="s">
        <v>206</v>
      </c>
      <c r="C49" s="49" t="s">
        <v>207</v>
      </c>
      <c r="D49" s="50" t="s">
        <v>208</v>
      </c>
      <c r="E49" s="49">
        <v>0.45</v>
      </c>
    </row>
    <row r="50" spans="1:5" ht="76.5" thickTop="1" thickBot="1" x14ac:dyDescent="0.3">
      <c r="A50" s="47">
        <v>4</v>
      </c>
      <c r="B50" s="48" t="s">
        <v>209</v>
      </c>
      <c r="C50" s="49" t="s">
        <v>210</v>
      </c>
      <c r="D50" s="50" t="s">
        <v>211</v>
      </c>
      <c r="E50" s="49">
        <v>0.7</v>
      </c>
    </row>
    <row r="51" spans="1:5" ht="76.5" thickTop="1" thickBot="1" x14ac:dyDescent="0.3">
      <c r="A51" s="47">
        <v>5</v>
      </c>
      <c r="B51" s="48" t="s">
        <v>212</v>
      </c>
      <c r="C51" s="49" t="s">
        <v>213</v>
      </c>
      <c r="D51" s="50" t="s">
        <v>214</v>
      </c>
      <c r="E51" s="49">
        <v>0.75</v>
      </c>
    </row>
    <row r="52" spans="1:5" ht="76.5" thickTop="1" thickBot="1" x14ac:dyDescent="0.3">
      <c r="A52" s="47">
        <v>6</v>
      </c>
      <c r="B52" s="48" t="s">
        <v>215</v>
      </c>
      <c r="C52" s="49" t="s">
        <v>216</v>
      </c>
      <c r="D52" s="50" t="s">
        <v>217</v>
      </c>
      <c r="E52" s="49">
        <v>0.8</v>
      </c>
    </row>
    <row r="53" spans="1:5" ht="121.5" thickTop="1" thickBot="1" x14ac:dyDescent="0.3">
      <c r="A53" s="47">
        <v>7</v>
      </c>
      <c r="B53" s="48" t="s">
        <v>218</v>
      </c>
      <c r="C53" s="49" t="s">
        <v>219</v>
      </c>
      <c r="D53" s="50" t="s">
        <v>220</v>
      </c>
      <c r="E53" s="49">
        <v>0.85</v>
      </c>
    </row>
    <row r="54" spans="1:5" ht="211.5" thickTop="1" thickBot="1" x14ac:dyDescent="0.3">
      <c r="A54" s="47">
        <v>8</v>
      </c>
      <c r="B54" s="48" t="s">
        <v>221</v>
      </c>
      <c r="C54" s="49" t="s">
        <v>222</v>
      </c>
      <c r="D54" s="50" t="s">
        <v>223</v>
      </c>
      <c r="E54" s="49">
        <v>0.95</v>
      </c>
    </row>
    <row r="55" spans="1:5" ht="91.5" thickTop="1" thickBot="1" x14ac:dyDescent="0.3">
      <c r="A55" s="47">
        <v>9</v>
      </c>
      <c r="B55" s="48" t="s">
        <v>224</v>
      </c>
      <c r="C55" s="49" t="s">
        <v>225</v>
      </c>
      <c r="D55" s="50" t="s">
        <v>226</v>
      </c>
      <c r="E55" s="49">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2025-08-08T06:47:30Z</cp:lastPrinted>
  <dcterms:created xsi:type="dcterms:W3CDTF">2010-11-23T11:42:48Z</dcterms:created>
  <dcterms:modified xsi:type="dcterms:W3CDTF">2025-08-08T06:52:13Z</dcterms:modified>
</cp:coreProperties>
</file>