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HW\OLD\"/>
    </mc:Choice>
  </mc:AlternateContent>
  <xr:revisionPtr revIDLastSave="0" documentId="13_ncr:1_{5F0E9D5B-D62A-4C67-A9FC-F7168F65A270}" xr6:coauthVersionLast="36" xr6:coauthVersionMax="36" xr10:uidLastSave="{00000000-0000-0000-0000-000000000000}"/>
  <bookViews>
    <workbookView xWindow="-120" yWindow="-120" windowWidth="20730" windowHeight="11160" xr2:uid="{00000000-000D-0000-FFFF-FFFF00000000}"/>
  </bookViews>
  <sheets>
    <sheet name="Report" sheetId="3" r:id="rId1"/>
    <sheet name="Construction table" sheetId="4" r:id="rId2"/>
    <sheet name="Remarks" sheetId="5" r:id="rId3"/>
    <sheet name="Area Calculation" sheetId="6" r:id="rId4"/>
    <sheet name="Sheet1" sheetId="7" r:id="rId5"/>
  </sheets>
  <definedNames>
    <definedName name="_xlnm.Print_Area" localSheetId="0">Report!$A$1:$H$280</definedName>
  </definedNames>
  <calcPr calcId="191029"/>
</workbook>
</file>

<file path=xl/calcChain.xml><?xml version="1.0" encoding="utf-8"?>
<calcChain xmlns="http://schemas.openxmlformats.org/spreadsheetml/2006/main">
  <c r="I3" i="3" l="1"/>
  <c r="I94" i="3" l="1"/>
  <c r="I98" i="3" l="1"/>
  <c r="E136" i="3"/>
  <c r="E135" i="3"/>
  <c r="E134" i="3"/>
  <c r="E133" i="3"/>
  <c r="E132" i="3"/>
  <c r="E131" i="3"/>
  <c r="E130" i="3"/>
  <c r="E129" i="3"/>
  <c r="E128" i="3"/>
  <c r="E127" i="3"/>
  <c r="E126" i="3"/>
  <c r="E125" i="3"/>
  <c r="E124" i="3"/>
  <c r="E123" i="3"/>
  <c r="E106" i="3"/>
  <c r="E105" i="3"/>
  <c r="E104" i="3"/>
  <c r="E103" i="3"/>
  <c r="E102" i="3"/>
  <c r="E101" i="3"/>
  <c r="E100" i="3"/>
  <c r="E99" i="3"/>
  <c r="E98" i="3"/>
  <c r="E97" i="3"/>
  <c r="E96" i="3"/>
  <c r="E95" i="3"/>
  <c r="E94" i="3"/>
  <c r="E93" i="3"/>
  <c r="E115" i="3"/>
  <c r="E114" i="3"/>
  <c r="E113" i="3"/>
  <c r="E112" i="3"/>
  <c r="E111" i="3"/>
  <c r="D73" i="3"/>
  <c r="D72" i="3"/>
  <c r="D71" i="3"/>
  <c r="D70" i="3"/>
  <c r="J69" i="3"/>
  <c r="D69" i="3"/>
  <c r="J68" i="3"/>
  <c r="D68" i="3"/>
  <c r="D67" i="3"/>
  <c r="D66" i="3"/>
  <c r="D65" i="3"/>
  <c r="J64" i="3"/>
  <c r="J65" i="3" s="1"/>
  <c r="J70" i="3" s="1"/>
  <c r="D64" i="3"/>
  <c r="J63" i="3"/>
  <c r="C62" i="3" s="1"/>
  <c r="J62" i="3"/>
  <c r="J61" i="3"/>
  <c r="J24" i="7"/>
  <c r="J23" i="7"/>
  <c r="J22" i="7"/>
  <c r="P21" i="7"/>
  <c r="J21" i="7"/>
  <c r="P20" i="7"/>
  <c r="J20" i="7"/>
  <c r="P19" i="7"/>
  <c r="J19" i="7"/>
  <c r="J18" i="7"/>
  <c r="J17" i="7"/>
  <c r="J16" i="7"/>
  <c r="P15" i="7"/>
  <c r="P16" i="7" s="1"/>
  <c r="P17" i="7" s="1"/>
  <c r="P18" i="7" s="1"/>
  <c r="J15" i="7"/>
  <c r="P14" i="7"/>
  <c r="H13" i="7" s="1"/>
  <c r="J14" i="7"/>
  <c r="P13" i="7"/>
  <c r="P12" i="7"/>
  <c r="O40" i="4"/>
  <c r="O39" i="4"/>
  <c r="O38" i="4"/>
  <c r="U37" i="4"/>
  <c r="O37" i="4"/>
  <c r="U36" i="4"/>
  <c r="O36" i="4"/>
  <c r="U35" i="4"/>
  <c r="O35" i="4"/>
  <c r="O34" i="4"/>
  <c r="O33" i="4"/>
  <c r="O32" i="4"/>
  <c r="U31" i="4"/>
  <c r="U32" i="4" s="1"/>
  <c r="O31" i="4"/>
  <c r="U30" i="4"/>
  <c r="O30" i="4"/>
  <c r="U29" i="4"/>
  <c r="M29" i="4"/>
  <c r="P29" i="4" s="1"/>
  <c r="U28" i="4"/>
  <c r="C63" i="3" l="1"/>
  <c r="D63" i="3" s="1"/>
  <c r="J66" i="3"/>
  <c r="J67" i="3" s="1"/>
  <c r="D62" i="3"/>
  <c r="K13" i="7"/>
  <c r="J13" i="7"/>
  <c r="P22" i="7"/>
  <c r="U38" i="4"/>
  <c r="T26" i="4" s="1"/>
  <c r="R29" i="4" s="1"/>
  <c r="U33" i="4"/>
  <c r="U34" i="4" s="1"/>
  <c r="O29" i="4"/>
  <c r="E62" i="3" l="1"/>
  <c r="I59" i="3" s="1"/>
  <c r="G62" i="3" s="1"/>
  <c r="O10" i="7"/>
  <c r="M13" i="7" s="1"/>
  <c r="G81" i="3"/>
  <c r="G80" i="3"/>
  <c r="D148" i="3"/>
  <c r="D146" i="3"/>
  <c r="G74" i="3" l="1"/>
  <c r="I137" i="3"/>
  <c r="I122" i="3"/>
  <c r="I107" i="3"/>
  <c r="I92" i="3"/>
  <c r="G136" i="3" l="1"/>
  <c r="F136" i="3"/>
  <c r="H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1" i="3"/>
  <c r="F121" i="3"/>
  <c r="E121" i="3"/>
  <c r="G120" i="3"/>
  <c r="F120" i="3"/>
  <c r="E120" i="3"/>
  <c r="G119" i="3"/>
  <c r="F119" i="3"/>
  <c r="E119" i="3"/>
  <c r="G118" i="3"/>
  <c r="F118" i="3"/>
  <c r="E118" i="3"/>
  <c r="G117" i="3"/>
  <c r="F117" i="3"/>
  <c r="E117" i="3"/>
  <c r="G116" i="3"/>
  <c r="F116" i="3"/>
  <c r="E116" i="3"/>
  <c r="G115" i="3"/>
  <c r="F115" i="3"/>
  <c r="G114" i="3"/>
  <c r="F114" i="3"/>
  <c r="G113" i="3"/>
  <c r="F113" i="3"/>
  <c r="G112" i="3"/>
  <c r="F112" i="3"/>
  <c r="G111" i="3"/>
  <c r="F111" i="3"/>
  <c r="G110" i="3"/>
  <c r="F110" i="3"/>
  <c r="E110" i="3"/>
  <c r="G109" i="3"/>
  <c r="F109" i="3"/>
  <c r="E109" i="3"/>
  <c r="G108" i="3"/>
  <c r="F108" i="3"/>
  <c r="E108" i="3"/>
  <c r="G106" i="3"/>
  <c r="F106" i="3"/>
  <c r="H106" i="3"/>
  <c r="G105" i="3"/>
  <c r="F105" i="3"/>
  <c r="G104" i="3"/>
  <c r="H104" i="3" s="1"/>
  <c r="F104" i="3"/>
  <c r="G103" i="3"/>
  <c r="F103" i="3"/>
  <c r="G102" i="3"/>
  <c r="F102" i="3"/>
  <c r="H102" i="3" s="1"/>
  <c r="G101" i="3"/>
  <c r="F101" i="3"/>
  <c r="G100" i="3"/>
  <c r="F100" i="3"/>
  <c r="G99" i="3"/>
  <c r="F99" i="3"/>
  <c r="G98" i="3"/>
  <c r="F98" i="3"/>
  <c r="G97" i="3"/>
  <c r="F97" i="3"/>
  <c r="G96" i="3"/>
  <c r="F96" i="3"/>
  <c r="G95" i="3"/>
  <c r="F95" i="3"/>
  <c r="G94" i="3"/>
  <c r="F94" i="3"/>
  <c r="G93" i="3"/>
  <c r="F93" i="3"/>
  <c r="I88" i="3"/>
  <c r="U131" i="3"/>
  <c r="V116" i="3"/>
  <c r="V131" i="3"/>
  <c r="V123" i="3"/>
  <c r="U116" i="3"/>
  <c r="U123" i="3"/>
  <c r="H129" i="3" l="1"/>
  <c r="E85" i="3"/>
  <c r="E86" i="3" s="1"/>
  <c r="H126" i="3"/>
  <c r="H127" i="3"/>
  <c r="H128" i="3"/>
  <c r="H132" i="3"/>
  <c r="H116" i="3"/>
  <c r="H117" i="3"/>
  <c r="H118" i="3"/>
  <c r="H120" i="3"/>
  <c r="H121" i="3"/>
  <c r="H125" i="3"/>
  <c r="H135" i="3"/>
  <c r="H103" i="3"/>
  <c r="I103" i="3" s="1"/>
  <c r="H105" i="3"/>
  <c r="I105" i="3" s="1"/>
  <c r="H119" i="3"/>
  <c r="H130" i="3"/>
  <c r="H131" i="3"/>
  <c r="H101" i="3"/>
  <c r="H134" i="3"/>
  <c r="H123" i="3"/>
  <c r="H124" i="3"/>
  <c r="H133" i="3"/>
  <c r="V124" i="3"/>
  <c r="V125" i="3" s="1"/>
  <c r="V126" i="3" s="1"/>
  <c r="V127" i="3" s="1"/>
  <c r="V128" i="3" s="1"/>
  <c r="V129" i="3" s="1"/>
  <c r="V130" i="3" s="1"/>
  <c r="V132" i="3"/>
  <c r="V133" i="3" s="1"/>
  <c r="V134" i="3" s="1"/>
  <c r="V135" i="3" s="1"/>
  <c r="V136" i="3" s="1"/>
  <c r="U124" i="3"/>
  <c r="T123" i="3"/>
  <c r="U132" i="3"/>
  <c r="T131" i="3"/>
  <c r="T116" i="3"/>
  <c r="U117" i="3"/>
  <c r="V117" i="3"/>
  <c r="V118" i="3" s="1"/>
  <c r="V119" i="3" s="1"/>
  <c r="V120" i="3" s="1"/>
  <c r="V121" i="3" s="1"/>
  <c r="H93" i="3"/>
  <c r="U125" i="3" l="1"/>
  <c r="T124" i="3"/>
  <c r="U133" i="3"/>
  <c r="T132" i="3"/>
  <c r="T117" i="3"/>
  <c r="U118"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U134" i="3"/>
  <c r="T133" i="3"/>
  <c r="U126" i="3"/>
  <c r="T125" i="3"/>
  <c r="T118" i="3"/>
  <c r="U119" i="3"/>
  <c r="I42" i="6"/>
  <c r="H42" i="6" s="1"/>
  <c r="L42" i="6"/>
  <c r="K42" i="6" s="1"/>
  <c r="E44" i="6"/>
  <c r="D42" i="6"/>
  <c r="D44" i="6" s="1"/>
  <c r="U127" i="3" l="1"/>
  <c r="T126" i="3"/>
  <c r="U135" i="3"/>
  <c r="T134" i="3"/>
  <c r="T119" i="3"/>
  <c r="U120" i="3"/>
  <c r="C26" i="3"/>
  <c r="C18" i="3"/>
  <c r="H115" i="3"/>
  <c r="H114" i="3"/>
  <c r="H113" i="3"/>
  <c r="H112" i="3"/>
  <c r="H111" i="3"/>
  <c r="H110" i="3"/>
  <c r="H109" i="3"/>
  <c r="H108" i="3"/>
  <c r="H94" i="3"/>
  <c r="H95" i="3"/>
  <c r="H96" i="3"/>
  <c r="I96" i="3" s="1"/>
  <c r="H97" i="3"/>
  <c r="H98" i="3"/>
  <c r="H99" i="3"/>
  <c r="H100" i="3"/>
  <c r="J100" i="3" l="1"/>
  <c r="I100" i="3"/>
  <c r="G85" i="3"/>
  <c r="G86" i="3" s="1"/>
  <c r="U136" i="3"/>
  <c r="T136" i="3" s="1"/>
  <c r="T135" i="3"/>
  <c r="U128" i="3"/>
  <c r="T127" i="3"/>
  <c r="T120" i="3"/>
  <c r="U121" i="3"/>
  <c r="T121" i="3" s="1"/>
  <c r="U129" i="3" l="1"/>
  <c r="T128" i="3"/>
  <c r="C38" i="4"/>
  <c r="F37" i="4"/>
  <c r="E37" i="4"/>
  <c r="F36" i="4"/>
  <c r="E36" i="4"/>
  <c r="F35" i="4"/>
  <c r="E35" i="4"/>
  <c r="F34" i="4"/>
  <c r="E34" i="4"/>
  <c r="F33" i="4"/>
  <c r="E33" i="4"/>
  <c r="F32" i="4"/>
  <c r="E32" i="4"/>
  <c r="F31" i="4"/>
  <c r="E31" i="4"/>
  <c r="F30" i="4"/>
  <c r="E30" i="4"/>
  <c r="F29" i="4"/>
  <c r="E29" i="4"/>
  <c r="F28" i="4"/>
  <c r="E28" i="4"/>
  <c r="F27" i="4"/>
  <c r="E27" i="4"/>
  <c r="F26" i="4"/>
  <c r="E26" i="4"/>
  <c r="J14" i="4"/>
  <c r="J13" i="4"/>
  <c r="U130" i="3" l="1"/>
  <c r="T130" i="3" s="1"/>
  <c r="T129" i="3"/>
  <c r="E38" i="4"/>
  <c r="F38" i="4"/>
  <c r="D18" i="4"/>
  <c r="D15" i="4"/>
  <c r="D17" i="4"/>
  <c r="D11" i="4"/>
  <c r="J6" i="4"/>
  <c r="D9" i="4"/>
  <c r="J8" i="4"/>
  <c r="C7" i="4" s="1"/>
  <c r="D14" i="4"/>
  <c r="D12" i="4"/>
  <c r="D16" i="4"/>
  <c r="D10" i="4"/>
  <c r="J9" i="4"/>
  <c r="J10" i="4" s="1"/>
  <c r="D13" i="4"/>
  <c r="J7" i="4"/>
  <c r="J11" i="4" l="1"/>
  <c r="J15" i="4"/>
  <c r="J12" i="4"/>
  <c r="J16" i="4" s="1"/>
  <c r="D8" i="4" s="1"/>
  <c r="D7" i="4"/>
  <c r="E7" i="4" l="1"/>
  <c r="I4" i="4" s="1"/>
  <c r="G7" i="4" s="1"/>
  <c r="G4" i="3" l="1"/>
  <c r="D147" i="3" l="1"/>
  <c r="G82" i="3"/>
  <c r="V108" i="3"/>
  <c r="U108" i="3"/>
  <c r="V109" i="3" l="1"/>
  <c r="V110" i="3" s="1"/>
  <c r="V111" i="3" s="1"/>
  <c r="V112" i="3" s="1"/>
  <c r="V113" i="3" s="1"/>
  <c r="V114" i="3" s="1"/>
  <c r="V115" i="3" s="1"/>
  <c r="U109" i="3"/>
  <c r="T108" i="3"/>
  <c r="U110" i="3" l="1"/>
  <c r="T109" i="3"/>
  <c r="U111" i="3" l="1"/>
  <c r="T110" i="3"/>
  <c r="U112" i="3" l="1"/>
  <c r="T111" i="3"/>
  <c r="U113" i="3" l="1"/>
  <c r="T112" i="3"/>
  <c r="U114" i="3" l="1"/>
  <c r="T113" i="3"/>
  <c r="U115" i="3" l="1"/>
  <c r="T114" i="3"/>
  <c r="T11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G17" authorId="0" shapeId="0" xr:uid="{00000000-0006-0000-0000-000004000000}">
      <text>
        <r>
          <rPr>
            <b/>
            <sz val="18"/>
            <color indexed="81"/>
            <rFont val="Tahoma"/>
            <family val="2"/>
          </rPr>
          <t>From Rera</t>
        </r>
      </text>
    </comment>
    <comment ref="G20" authorId="0" shapeId="0" xr:uid="{00000000-0006-0000-0000-000005000000}">
      <text>
        <r>
          <rPr>
            <b/>
            <sz val="16"/>
            <color indexed="81"/>
            <rFont val="Tahoma"/>
            <family val="2"/>
          </rPr>
          <t>From RERA</t>
        </r>
      </text>
    </comment>
    <comment ref="G21" authorId="0" shapeId="0" xr:uid="{00000000-0006-0000-0000-000006000000}">
      <text>
        <r>
          <rPr>
            <b/>
            <sz val="16"/>
            <color indexed="81"/>
            <rFont val="Tahoma"/>
            <family val="2"/>
          </rPr>
          <t>From RERA</t>
        </r>
      </text>
    </comment>
    <comment ref="G27" authorId="0" shapeId="0" xr:uid="{00000000-0006-0000-0000-000007000000}">
      <text>
        <r>
          <rPr>
            <b/>
            <sz val="12"/>
            <color indexed="81"/>
            <rFont val="Tahoma"/>
            <family val="2"/>
          </rPr>
          <t>SACHIN:</t>
        </r>
        <r>
          <rPr>
            <sz val="12"/>
            <color indexed="81"/>
            <rFont val="Tahoma"/>
            <family val="2"/>
          </rPr>
          <t xml:space="preserve">
Road size should be in metre</t>
        </r>
      </text>
    </comment>
    <comment ref="G80" authorId="0" shapeId="0" xr:uid="{00000000-0006-0000-0000-000008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<sst xmlns="http://schemas.openxmlformats.org/spreadsheetml/2006/main" count="634" uniqueCount="353">
  <si>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</si>
  <si>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</si>
  <si>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</si>
  <si>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</si>
  <si>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</si>
  <si>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</si>
  <si>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</si>
  <si>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</si>
  <si>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</si>
  <si>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</si>
  <si>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</si>
  <si>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</si>
  <si>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</si>
  <si>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</si>
  <si>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</si>
  <si>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</si>
  <si>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</si>
  <si>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</si>
  <si>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</si>
  <si>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</si>
  <si>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</si>
  <si>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</si>
  <si>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</si>
  <si>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</si>
  <si>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</si>
  <si>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</si>
  <si>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</si>
  <si>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</si>
  <si>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</si>
  <si>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</si>
  <si>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</si>
  <si>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</si>
  <si>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</si>
  <si>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</si>
  <si>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</si>
  <si>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</si>
  <si>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</si>
  <si>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</si>
  <si>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</si>
  <si>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</si>
  <si>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</si>
  <si>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</si>
  <si>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</si>
  <si>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</si>
  <si>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</si>
  <si>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</si>
  <si>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</si>
  <si>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</si>
  <si>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</si>
  <si>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</si>
  <si>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</si>
  <si>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</si>
  <si>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</si>
  <si>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</si>
  <si>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</si>
  <si>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</si>
  <si>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</si>
  <si>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</si>
  <si>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</si>
  <si>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</si>
  <si>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</si>
  <si>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</si>
  <si>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</si>
  <si>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</si>
  <si>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</si>
  <si>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</si>
  <si>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</si>
  <si>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</si>
  <si>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</si>
  <si>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</si>
  <si>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</si>
  <si>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</si>
  <si>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</si>
  <si>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</si>
  <si>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</si>
  <si>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</si>
  <si>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</si>
  <si>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</si>
  <si>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</si>
  <si>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</si>
  <si>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</si>
  <si>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</si>
  <si>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</si>
  <si>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</si>
  <si>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</si>
  <si>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</si>
  <si>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</si>
  <si>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</si>
  <si>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</si>
  <si>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</si>
  <si>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</si>
  <si>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</si>
  <si>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</si>
  <si>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</si>
  <si>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</si>
  <si>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</si>
  <si>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</si>
  <si>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</si>
  <si>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</si>
  <si>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</si>
  <si>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</si>
  <si>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</si>
  <si>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</si>
  <si>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</si>
  <si>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</si>
  <si>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</si>
  <si>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</si>
  <si>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</si>
  <si>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</si>
  <si>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</si>
  <si>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</si>
  <si>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</si>
  <si>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</si>
  <si>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</si>
  <si>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</si>
  <si>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</si>
  <si>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</si>
  <si>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</si>
  <si>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</si>
  <si>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</si>
  <si>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</si>
  <si>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</si>
  <si>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</si>
  <si>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</si>
  <si>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</si>
  <si>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</si>
  <si>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</si>
  <si>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</si>
  <si>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</si>
  <si>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</si>
  <si>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</si>
  <si>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</si>
  <si>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</si>
  <si>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</si>
  <si>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</si>
  <si>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</si>
  <si>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</si>
  <si>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</si>
  <si>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</si>
  <si>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</si>
  <si>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</si>
  <si>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</si>
  <si>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</si>
  <si>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</si>
  <si>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</si>
  <si>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</si>
  <si>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</si>
  <si>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</si>
  <si>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</si>
  <si>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</si>
  <si>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</si>
  <si>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</si>
  <si>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</si>
  <si>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</si>
  <si>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</si>
  <si>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</si>
  <si>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</si>
  <si>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</si>
  <si>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</si>
  <si>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</si>
  <si>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</si>
  <si>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</si>
  <si>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</si>
  <si>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</si>
  <si>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</si>
  <si>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</si>
  <si>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</si>
  <si>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</si>
  <si>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</si>
  <si>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</si>
  <si>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</si>
  <si>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</si>
  <si>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</si>
  <si>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</si>
  <si>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</si>
  <si>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</si>
  <si>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</si>
  <si>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</si>
  <si>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</si>
  <si>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</si>
  <si>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</si>
  <si>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</si>
  <si>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</si>
  <si>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</si>
  <si>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</si>
  <si>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</si>
  <si>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</si>
  <si>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</si>
  <si>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</si>
  <si>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</si>
  <si>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</si>
  <si>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</si>
  <si>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</si>
  <si>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</si>
  <si>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</si>
  <si>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</si>
  <si>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</si>
  <si>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</si>
  <si>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RERA Threshold</t>
  </si>
  <si>
    <t>On or before execution of the agreement</t>
  </si>
  <si>
    <t>On execution of Agreement</t>
  </si>
  <si>
    <t>1-10%</t>
  </si>
  <si>
    <t>On completion of the Plinth of the building or wing inwhich the said Apartment is located</t>
  </si>
  <si>
    <t>11-25%</t>
  </si>
  <si>
    <t>On completion of the slabs including podiums and stilts of the building or wing in which the said Apartment is located</t>
  </si>
  <si>
    <t>26-50%</t>
  </si>
  <si>
    <t>On completion of the walls, internal plaster, floorings, doors and windows of the said Apartment</t>
  </si>
  <si>
    <t>51-65%</t>
  </si>
  <si>
    <t>On completion of the Sanitary fittings, staircases, lift wells, lobbies upto the floor level of the said Apartment</t>
  </si>
  <si>
    <t>66-70%</t>
  </si>
  <si>
    <t>On completion of the external plumbing and external plaster, elevation, terraces with waterproofing, of the building or wing in whichthe said Apartment is located</t>
  </si>
  <si>
    <t>71-80%</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</si>
  <si>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</si>
  <si>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</si>
  <si>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At the time of handing over of the possession of the Apartment to the Allottee on or after receipt of Occupancy Certificate or Completion Certificate</t>
  </si>
  <si>
    <t>91-100%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</si>
  <si>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</si>
  <si>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</si>
  <si>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</si>
  <si>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</si>
  <si>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</si>
  <si>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</si>
  <si>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</si>
  <si>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</si>
  <si>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</si>
  <si>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</si>
  <si>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</si>
  <si>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</si>
  <si>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</si>
  <si>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</si>
  <si>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</si>
  <si>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9m</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</si>
  <si>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</si>
  <si>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</si>
  <si>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</si>
  <si>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</si>
  <si>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</si>
  <si>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</si>
  <si>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</si>
  <si>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</si>
  <si>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</si>
  <si>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</si>
  <si>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</si>
  <si>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</si>
  <si>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</si>
  <si>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</si>
  <si>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</si>
  <si>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</si>
  <si>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</si>
  <si>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</si>
  <si>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</si>
  <si>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</si>
  <si>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</si>
  <si>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</si>
  <si>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</si>
  <si>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</si>
  <si>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</si>
  <si>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</si>
  <si>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</si>
  <si>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</si>
  <si>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</si>
  <si>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</si>
  <si>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</si>
  <si>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</si>
  <si>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</si>
  <si>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</si>
  <si>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</si>
  <si>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</si>
  <si>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</si>
  <si>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</si>
  <si>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</si>
  <si>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</si>
  <si>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</si>
  <si>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</si>
  <si>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</si>
  <si>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</si>
  <si>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</si>
  <si>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</si>
  <si>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</si>
  <si>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</si>
  <si>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</si>
  <si>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</si>
  <si>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</si>
  <si>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</si>
  <si>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</si>
  <si>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</si>
  <si>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</si>
  <si>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</si>
  <si>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</si>
  <si>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Trilive Marol Tower B</t>
  </si>
  <si>
    <t>Mr. Suraj Khare</t>
  </si>
  <si>
    <t>M/s. Starwing Real Estate Company</t>
  </si>
  <si>
    <t>501, Kaatyayni Business Center, MIDC, Near Marol Bus Depot, Off Mahakali Caves Road, Andheri East, Tal. Andheri, Mumbai 400093.</t>
  </si>
  <si>
    <t>CTS NO 47, 48, 51/A, 52, 53/A, 1702 of Village Marol at Marol, Andheri, Mumbai Suburban, 400059 and CTS NO 47, 48, 51/A, 52, 53/A, 1702 of Village Marol at Marol, Andheri, Mumbai Suburban, 400059.</t>
  </si>
  <si>
    <t>Trilive Marol Tower B, Marol Maroshi Rd, behind Seven Hills Hospital, Marol, Andheri East, Mumbai, Maharashtra 400059.</t>
  </si>
  <si>
    <t>Slum Rehabilitation Authority (SRA)</t>
  </si>
  <si>
    <t>P51800053082</t>
  </si>
  <si>
    <t>ICICI BANK Limited</t>
  </si>
  <si>
    <t>SRA/ENG/KE/MCCGM/0029/20060516/AP/R1</t>
  </si>
  <si>
    <t>Ground Floor For Parking &amp; Meter Room</t>
  </si>
  <si>
    <t xml:space="preserve"> - </t>
  </si>
  <si>
    <t>MP Room</t>
  </si>
  <si>
    <t xml:space="preserve">2nd to 7th, 9th, 11th, 13th, 15th, 17th, 19th &amp; 21st Floor </t>
  </si>
  <si>
    <t xml:space="preserve">CC Details
Valid Up to: </t>
  </si>
  <si>
    <t>K-E/MCGM/0009/20060516/AP</t>
  </si>
  <si>
    <t>P-13901/2022/(47 And other )K/E/ Ward/MAROL/CFO/1/Amend</t>
  </si>
  <si>
    <t>9.00 M Wide Road</t>
  </si>
  <si>
    <t>Other Plot</t>
  </si>
  <si>
    <t xml:space="preserve">6M Driveway </t>
  </si>
  <si>
    <t xml:space="preserve">Pipeline </t>
  </si>
  <si>
    <t>Internal Road</t>
  </si>
  <si>
    <t>Approved Layout &amp; Floor Plans, CC, RERA certificate, Fire NOC</t>
  </si>
  <si>
    <t xml:space="preserve"> -</t>
  </si>
  <si>
    <t>OK</t>
  </si>
  <si>
    <t>Flats = 294</t>
  </si>
  <si>
    <t>As per RERA Site Flats = 294</t>
  </si>
  <si>
    <t>0.60 KM from Marol Maroshi Bus Stop</t>
  </si>
  <si>
    <t>About 1.10 KM from St. Lawrence High School</t>
  </si>
  <si>
    <t>1. Approx. 1.10 KM from Mahavir Super Market.
2. Approx. 2.10 KM from Tulasi Super Market.</t>
  </si>
  <si>
    <t>1.90 KM from MIDC Andheri Metro Station
2.90 KM from Airport Road Metro Station</t>
  </si>
  <si>
    <t xml:space="preserve">We considered Gross carpet area = Net carpet Area.
</t>
  </si>
  <si>
    <t>About 0.80 KM from Seven Hills Hospital</t>
  </si>
  <si>
    <t>via RERA</t>
  </si>
  <si>
    <t>Approved Structure Not in Company or 99acres Portal</t>
  </si>
  <si>
    <t>Mumbai-RO Thane</t>
  </si>
  <si>
    <t>Plot Bearing CTS No.47(Pt), 48(Pt), 51/A(Pt), 52(Pt), 53/A(Pt), 1702(Pt) Of Village Marol (Survey No.156/7(Pt) &amp; 156/11(Pt) Of Village Marol, Shivaji Nagar, Andheri-E Mumbai - 59.</t>
  </si>
  <si>
    <t>19.117916,72.876506</t>
  </si>
  <si>
    <t>https://maps.app.goo.gl/RYxdZzajoXCMuJKB7</t>
  </si>
  <si>
    <t>Upper</t>
  </si>
  <si>
    <t>Open Plot</t>
  </si>
  <si>
    <t>Proposed 27.45 M Wide Proposed Road
(Pipe Line)</t>
  </si>
  <si>
    <t>Fire NOC No.
Valid Upto :</t>
  </si>
  <si>
    <t xml:space="preserve">I-Stay Tower J </t>
  </si>
  <si>
    <t>Wing J = 1B +  G + 1st to 22nd Floor (Total Height = 68.50Mtrs)</t>
  </si>
  <si>
    <t>B + Gr + 1st to 22nd Floor</t>
  </si>
  <si>
    <t>I-Stay Tower J = B + Gr + 1st to 22nd Floor</t>
  </si>
  <si>
    <t>Basement Floor For Pump Room</t>
  </si>
  <si>
    <t>1st Floor For Residential</t>
  </si>
  <si>
    <t>I-Stay Tower J</t>
  </si>
  <si>
    <t>8th, 10th, 12th, 14th, 16th, 18th &amp; 20th Floor For (Part Refuge Area at Mid Landing)</t>
  </si>
  <si>
    <t>22nd Floor For Part Terrace Area &amp; Fitness Center</t>
  </si>
  <si>
    <t>This C.C. is re-endorsed up-to plinth level for Composite Building as per approved amended plan dated 25/03/2025.</t>
  </si>
  <si>
    <t>Please Check for Airport NOC &amp; Enviornment Cleareance Certificate.</t>
  </si>
  <si>
    <t>70 lakh all inslusive rate conformed with Mr. Sandeep Dixit 7977636568</t>
  </si>
  <si>
    <t>30000 to 31000</t>
  </si>
  <si>
    <t>Sevenhills Hospital</t>
  </si>
  <si>
    <t>https://tribecatriliveandheri.in/?utm_source=Google&amp;utm_medium=Cpc&amp;utm_campaign=Tribeca+Trilive+Andheri&amp;utm_term=trilive%20marol%20andheri%20east&amp;utm_content={adgroup}&amp;device=c&amp;utm_Physical_Location=9062232&amp;utm_Target=&amp;gad_source=1&amp;gad_campaignid=22474941593&amp;gbraid=0AAAAA-haDAJ8BjfFxkwwv11xcWazGxabx&amp;gclid=CjwKCAjw3f_BBhAPEiwAaA3K5IU2OLVShmZpgg299tRGk6EKreCBvQ-SAYfErjdlibfoR9sEd2t1jxoC3bQQAvD_BwE</t>
  </si>
  <si>
    <t>Gymnasium, Power Back Up, Security System, Indoor Games, Kids Play Area, Kids Pool, Jogging Track, Part Lawn, Senior Citizen Area etc.</t>
  </si>
  <si>
    <t>Mr. Sandeep Dixit 7977636568</t>
  </si>
  <si>
    <t>Mr. Sumit 9987201244</t>
  </si>
  <si>
    <t>Construction work is same as last visit dtd. 02/06/2025 but construction work is in process at the time of Visit (labour found). (Slow Speed)</t>
  </si>
  <si>
    <t>Mr. Pratik Niwate</t>
  </si>
  <si>
    <t>06/08/2025 at 02:58PM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</si>
</sst>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26"/>
      <name val="Times New Roman"/>
      <family val="1"/>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194">
    <xf numFmtId="0" fontId="0" fillId="0" borderId="0" xfId="0"/>
    <xf numFmtId="0" fontId="3" fillId="0" borderId="0" xfId="0" applyFont="1" applyAlignment="1">
      <alignment vertical="top"/>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10" xfId="0" applyFill="1"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Fill="1" applyBorder="1"/>
    <xf numFmtId="0" fontId="0" fillId="0" borderId="1" xfId="0" applyFill="1" applyBorder="1"/>
    <xf numFmtId="0" fontId="0" fillId="0" borderId="1" xfId="0" applyFill="1"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Fill="1" applyBorder="1"/>
    <xf numFmtId="0" fontId="0" fillId="0" borderId="2" xfId="0" applyBorder="1" applyAlignment="1">
      <alignment vertical="top"/>
    </xf>
    <xf numFmtId="0" fontId="0" fillId="0" borderId="2" xfId="0" applyFill="1" applyBorder="1" applyAlignment="1">
      <alignment horizontal="lef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0" fontId="9" fillId="0" borderId="0" xfId="0" applyFont="1" applyAlignment="1">
      <alignment vertical="top"/>
    </xf>
    <xf numFmtId="0" fontId="26" fillId="0" borderId="0" xfId="2" applyAlignment="1">
      <alignment vertical="top"/>
    </xf>
    <xf numFmtId="1" fontId="6"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1"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lignment horizontal="center" vertical="center" wrapText="1"/>
    </xf>
    <xf numFmtId="0" fontId="8" fillId="0" borderId="0" xfId="0" applyFont="1" applyAlignment="1">
      <alignment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4" fillId="0" borderId="1" xfId="0" applyFont="1" applyBorder="1" applyAlignment="1">
      <alignment horizontal="center" vertical="center" wrapText="1"/>
    </xf>
    <xf numFmtId="14" fontId="4" fillId="4" borderId="1" xfId="0" applyNumberFormat="1" applyFont="1" applyFill="1" applyBorder="1" applyAlignment="1">
      <alignment horizontal="left" vertical="top" wrapText="1"/>
    </xf>
    <xf numFmtId="16" fontId="4" fillId="4" borderId="1" xfId="0" applyNumberFormat="1" applyFont="1" applyFill="1" applyBorder="1" applyAlignment="1">
      <alignment horizontal="left" vertical="top" wrapText="1"/>
    </xf>
    <xf numFmtId="0" fontId="4" fillId="4" borderId="5" xfId="0" applyFont="1" applyFill="1" applyBorder="1" applyAlignment="1">
      <alignment horizontal="center"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1" xfId="0" applyFont="1" applyFill="1" applyBorder="1" applyAlignment="1">
      <alignment horizontal="center"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0" borderId="3"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0" fontId="2" fillId="4" borderId="7" xfId="1" applyNumberFormat="1" applyFont="1" applyFill="1" applyBorder="1" applyAlignment="1" applyProtection="1">
      <alignment horizontal="left" vertical="top" wrapText="1"/>
      <protection hidden="1"/>
    </xf>
    <xf numFmtId="0" fontId="2" fillId="4" borderId="4" xfId="1" applyNumberFormat="1" applyFont="1" applyFill="1" applyBorder="1" applyAlignment="1" applyProtection="1">
      <alignment horizontal="left" vertical="top" wrapText="1"/>
      <protection hidden="1"/>
    </xf>
    <xf numFmtId="0" fontId="2" fillId="4" borderId="9" xfId="1" applyNumberFormat="1" applyFont="1" applyFill="1" applyBorder="1" applyAlignment="1" applyProtection="1">
      <alignment horizontal="left" vertical="top" wrapText="1"/>
      <protection hidden="1"/>
    </xf>
    <xf numFmtId="0" fontId="2" fillId="4" borderId="12" xfId="1" applyNumberFormat="1" applyFont="1" applyFill="1" applyBorder="1" applyAlignment="1" applyProtection="1">
      <alignment horizontal="left" vertical="top" wrapText="1"/>
      <protection hidden="1"/>
    </xf>
    <xf numFmtId="0" fontId="2" fillId="4" borderId="8" xfId="1" applyNumberFormat="1" applyFont="1" applyFill="1" applyBorder="1" applyAlignment="1" applyProtection="1">
      <alignment horizontal="left" vertical="top" wrapText="1"/>
      <protection hidden="1"/>
    </xf>
    <xf numFmtId="0" fontId="2" fillId="4" borderId="13" xfId="1" applyNumberFormat="1" applyFont="1" applyFill="1" applyBorder="1" applyAlignment="1" applyProtection="1">
      <alignment horizontal="left" vertical="top" wrapText="1"/>
      <protection hidden="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64" fontId="4" fillId="4" borderId="1" xfId="0" applyNumberFormat="1" applyFont="1" applyFill="1" applyBorder="1" applyAlignment="1">
      <alignment horizontal="left" vertical="top" wrapText="1"/>
    </xf>
    <xf numFmtId="0" fontId="26" fillId="4" borderId="1" xfId="2" applyFill="1" applyBorder="1" applyAlignment="1">
      <alignment horizontal="center" vertical="top" wrapText="1"/>
    </xf>
    <xf numFmtId="0" fontId="20" fillId="4" borderId="1" xfId="0" applyFont="1" applyFill="1" applyBorder="1" applyAlignment="1">
      <alignment horizontal="center" vertical="top" wrapText="1"/>
    </xf>
    <xf numFmtId="0" fontId="4" fillId="0" borderId="1" xfId="0" applyFont="1" applyBorder="1" applyAlignment="1">
      <alignment horizontal="center" vertical="top" wrapText="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9" fontId="2" fillId="4" borderId="2" xfId="1" applyNumberFormat="1" applyFont="1" applyFill="1" applyBorder="1" applyAlignment="1" applyProtection="1">
      <alignment horizontal="center" vertical="center" wrapText="1"/>
      <protection hidden="1"/>
    </xf>
    <xf numFmtId="9" fontId="2" fillId="4" borderId="5" xfId="1" applyNumberFormat="1" applyFont="1" applyFill="1" applyBorder="1" applyAlignment="1" applyProtection="1">
      <alignment horizontal="center" vertical="center" wrapText="1"/>
      <protection hidden="1"/>
    </xf>
    <xf numFmtId="0" fontId="2" fillId="4" borderId="7" xfId="1" applyNumberFormat="1" applyFont="1" applyFill="1" applyBorder="1" applyAlignment="1" applyProtection="1">
      <alignment horizontal="center" vertical="top" wrapText="1"/>
      <protection hidden="1"/>
    </xf>
    <xf numFmtId="0" fontId="2" fillId="4" borderId="4" xfId="1" applyNumberFormat="1" applyFont="1" applyFill="1" applyBorder="1" applyAlignment="1" applyProtection="1">
      <alignment horizontal="center" vertical="top" wrapText="1"/>
      <protection hidden="1"/>
    </xf>
    <xf numFmtId="0" fontId="2" fillId="4" borderId="9" xfId="1" applyNumberFormat="1" applyFont="1" applyFill="1" applyBorder="1" applyAlignment="1" applyProtection="1">
      <alignment horizontal="center" vertical="top" wrapText="1"/>
      <protection hidden="1"/>
    </xf>
    <xf numFmtId="0" fontId="2" fillId="4" borderId="12" xfId="1" applyNumberFormat="1" applyFont="1" applyFill="1" applyBorder="1" applyAlignment="1" applyProtection="1">
      <alignment horizontal="center" vertical="top" wrapText="1"/>
      <protection hidden="1"/>
    </xf>
    <xf numFmtId="0" fontId="2" fillId="4" borderId="8" xfId="1" applyNumberFormat="1" applyFont="1" applyFill="1" applyBorder="1" applyAlignment="1" applyProtection="1">
      <alignment horizontal="center" vertical="top" wrapText="1"/>
      <protection hidden="1"/>
    </xf>
    <xf numFmtId="0" fontId="2" fillId="4" borderId="13" xfId="1" applyNumberFormat="1" applyFont="1" applyFill="1" applyBorder="1" applyAlignment="1" applyProtection="1">
      <alignment horizontal="center" vertical="top"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4" fontId="4" fillId="4" borderId="2" xfId="0" applyNumberFormat="1" applyFont="1" applyFill="1" applyBorder="1" applyAlignment="1">
      <alignment horizontal="center" vertical="top" wrapText="1"/>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8"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editAs="oneCell">
    <xdr:from>
      <xdr:col>8</xdr:col>
      <xdr:colOff>303360</xdr:colOff>
      <xdr:row>9</xdr:row>
      <xdr:rowOff>162386</xdr:rowOff>
    </xdr:from>
    <xdr:to>
      <xdr:col>22</xdr:col>
      <xdr:colOff>25770</xdr:colOff>
      <xdr:row>10</xdr:row>
      <xdr:rowOff>237724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665074" y="4870457"/>
          <a:ext cx="8294910" cy="918981"/>
        </a:xfrm>
        <a:prstGeom prst="rect">
          <a:avLst/>
        </a:prstGeom>
      </xdr:spPr>
    </xdr:pic>
    <xdr:clientData/>
  </xdr:twoCellAnchor>
  <xdr:twoCellAnchor editAs="oneCell">
    <xdr:from>
      <xdr:col>8</xdr:col>
      <xdr:colOff>1636058</xdr:colOff>
      <xdr:row>46</xdr:row>
      <xdr:rowOff>0</xdr:rowOff>
    </xdr:from>
    <xdr:to>
      <xdr:col>16</xdr:col>
      <xdr:colOff>471638</xdr:colOff>
      <xdr:row>55</xdr:row>
      <xdr:rowOff>511418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1048999" y="23453910"/>
          <a:ext cx="5514286" cy="2676190"/>
        </a:xfrm>
        <a:prstGeom prst="rect">
          <a:avLst/>
        </a:prstGeom>
      </xdr:spPr>
    </xdr:pic>
    <xdr:clientData/>
  </xdr:twoCellAnchor>
  <xdr:twoCellAnchor editAs="oneCell">
    <xdr:from>
      <xdr:col>10</xdr:col>
      <xdr:colOff>386603</xdr:colOff>
      <xdr:row>55</xdr:row>
      <xdr:rowOff>244689</xdr:rowOff>
    </xdr:from>
    <xdr:to>
      <xdr:col>17</xdr:col>
      <xdr:colOff>316524</xdr:colOff>
      <xdr:row>72</xdr:row>
      <xdr:rowOff>178026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2809924" y="23689796"/>
          <a:ext cx="4216171" cy="5294551"/>
        </a:xfrm>
        <a:prstGeom prst="rect">
          <a:avLst/>
        </a:prstGeom>
      </xdr:spPr>
    </xdr:pic>
    <xdr:clientData/>
  </xdr:twoCellAnchor>
  <xdr:twoCellAnchor editAs="oneCell">
    <xdr:from>
      <xdr:col>11</xdr:col>
      <xdr:colOff>367393</xdr:colOff>
      <xdr:row>47</xdr:row>
      <xdr:rowOff>336016</xdr:rowOff>
    </xdr:from>
    <xdr:to>
      <xdr:col>17</xdr:col>
      <xdr:colOff>585827</xdr:colOff>
      <xdr:row>67</xdr:row>
      <xdr:rowOff>434154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13403036" y="21889730"/>
          <a:ext cx="3892362" cy="5472960"/>
        </a:xfrm>
        <a:prstGeom prst="rect">
          <a:avLst/>
        </a:prstGeom>
      </xdr:spPr>
    </xdr:pic>
    <xdr:clientData/>
  </xdr:twoCellAnchor>
  <xdr:twoCellAnchor editAs="oneCell">
    <xdr:from>
      <xdr:col>8</xdr:col>
      <xdr:colOff>812428</xdr:colOff>
      <xdr:row>76</xdr:row>
      <xdr:rowOff>394607</xdr:rowOff>
    </xdr:from>
    <xdr:to>
      <xdr:col>14</xdr:col>
      <xdr:colOff>515386</xdr:colOff>
      <xdr:row>90</xdr:row>
      <xdr:rowOff>209810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0174142" y="30670500"/>
          <a:ext cx="5213851" cy="4319167"/>
        </a:xfrm>
        <a:prstGeom prst="rect">
          <a:avLst/>
        </a:prstGeom>
      </xdr:spPr>
    </xdr:pic>
    <xdr:clientData/>
  </xdr:twoCellAnchor>
  <xdr:twoCellAnchor>
    <xdr:from>
      <xdr:col>0</xdr:col>
      <xdr:colOff>566702</xdr:colOff>
      <xdr:row>189</xdr:row>
      <xdr:rowOff>236923</xdr:rowOff>
    </xdr:from>
    <xdr:to>
      <xdr:col>7</xdr:col>
      <xdr:colOff>394611</xdr:colOff>
      <xdr:row>236</xdr:row>
      <xdr:rowOff>136072</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rot="16200000">
          <a:off x="-1448757" y="63375668"/>
          <a:ext cx="12050327" cy="8019409"/>
          <a:chOff x="-3542157" y="0"/>
          <a:chExt cx="12515850" cy="4972050"/>
        </a:xfrm>
      </xdr:grpSpPr>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
          <a:stretch>
            <a:fillRect/>
          </a:stretch>
        </xdr:blipFill>
        <xdr:spPr>
          <a:xfrm>
            <a:off x="-3542157" y="0"/>
            <a:ext cx="12515850" cy="4972050"/>
          </a:xfrm>
          <a:prstGeom prst="rect">
            <a:avLst/>
          </a:prstGeom>
          <a:ln>
            <a:solidFill>
              <a:schemeClr val="tx1"/>
            </a:solidFill>
          </a:ln>
        </xdr:spPr>
      </xdr:pic>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rot="5400000">
            <a:off x="1304089" y="3892050"/>
            <a:ext cx="1080000" cy="1080000"/>
          </a:xfrm>
          <a:prstGeom prst="rect">
            <a:avLst/>
          </a:prstGeom>
        </xdr:spPr>
      </xdr:pic>
      <xdr:sp macro="" textlink="">
        <xdr:nvSpPr>
          <xdr:cNvPr id="29" name="Rectangle 28">
            <a:extLst>
              <a:ext uri="{FF2B5EF4-FFF2-40B4-BE49-F238E27FC236}">
                <a16:creationId xmlns:a16="http://schemas.microsoft.com/office/drawing/2014/main" id="{00000000-0008-0000-0000-00001D000000}"/>
              </a:ext>
            </a:extLst>
          </xdr:cNvPr>
          <xdr:cNvSpPr/>
        </xdr:nvSpPr>
        <xdr:spPr>
          <a:xfrm>
            <a:off x="2794000" y="2273300"/>
            <a:ext cx="901700" cy="5842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0" name="TextBox 38">
            <a:extLst>
              <a:ext uri="{FF2B5EF4-FFF2-40B4-BE49-F238E27FC236}">
                <a16:creationId xmlns:a16="http://schemas.microsoft.com/office/drawing/2014/main" id="{00000000-0008-0000-0000-00001E000000}"/>
              </a:ext>
            </a:extLst>
          </xdr:cNvPr>
          <xdr:cNvSpPr txBox="1"/>
        </xdr:nvSpPr>
        <xdr:spPr>
          <a:xfrm rot="5400000">
            <a:off x="3329931" y="2408185"/>
            <a:ext cx="846315" cy="56309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J</a:t>
            </a:r>
            <a:endParaRPr lang="en-IN" b="1">
              <a:solidFill>
                <a:srgbClr val="FF0000"/>
              </a:solidFill>
            </a:endParaRPr>
          </a:p>
        </xdr:txBody>
      </xdr:sp>
    </xdr:grpSp>
    <xdr:clientData/>
  </xdr:twoCellAnchor>
  <xdr:twoCellAnchor>
    <xdr:from>
      <xdr:col>8</xdr:col>
      <xdr:colOff>905275</xdr:colOff>
      <xdr:row>148</xdr:row>
      <xdr:rowOff>129667</xdr:rowOff>
    </xdr:from>
    <xdr:to>
      <xdr:col>24</xdr:col>
      <xdr:colOff>140073</xdr:colOff>
      <xdr:row>182</xdr:row>
      <xdr:rowOff>107256</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10266989" y="50652988"/>
          <a:ext cx="9031941" cy="8767804"/>
          <a:chOff x="-460389" y="56933"/>
          <a:chExt cx="7778779" cy="7181266"/>
        </a:xfrm>
      </xdr:grpSpPr>
      <xdr:grpSp>
        <xdr:nvGrpSpPr>
          <xdr:cNvPr id="32" name="Group 31">
            <a:extLst>
              <a:ext uri="{FF2B5EF4-FFF2-40B4-BE49-F238E27FC236}">
                <a16:creationId xmlns:a16="http://schemas.microsoft.com/office/drawing/2014/main" id="{00000000-0008-0000-0000-000020000000}"/>
              </a:ext>
            </a:extLst>
          </xdr:cNvPr>
          <xdr:cNvGrpSpPr/>
        </xdr:nvGrpSpPr>
        <xdr:grpSpPr>
          <a:xfrm>
            <a:off x="-460389" y="56933"/>
            <a:ext cx="7778779" cy="2520000"/>
            <a:chOff x="-142588" y="109688"/>
            <a:chExt cx="7778779" cy="2520000"/>
          </a:xfrm>
        </xdr:grpSpPr>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42588" y="109688"/>
              <a:ext cx="2517667" cy="2520000"/>
            </a:xfrm>
            <a:prstGeom prst="rect">
              <a:avLst/>
            </a:prstGeom>
            <a:ln>
              <a:solidFill>
                <a:schemeClr val="tx1"/>
              </a:solidFill>
            </a:ln>
          </xdr:spPr>
        </xdr:pic>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487967" y="109688"/>
              <a:ext cx="2517667" cy="2520000"/>
            </a:xfrm>
            <a:prstGeom prst="rect">
              <a:avLst/>
            </a:prstGeom>
            <a:ln>
              <a:solidFill>
                <a:schemeClr val="tx1"/>
              </a:solidFill>
            </a:ln>
          </xdr:spPr>
        </xdr:pic>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118524" y="109688"/>
              <a:ext cx="2517667" cy="2520000"/>
            </a:xfrm>
            <a:prstGeom prst="rect">
              <a:avLst/>
            </a:prstGeom>
            <a:ln>
              <a:solidFill>
                <a:schemeClr val="tx1"/>
              </a:solidFill>
            </a:ln>
          </xdr:spPr>
        </xdr:pic>
      </xdr:grpSp>
      <xdr:grpSp>
        <xdr:nvGrpSpPr>
          <xdr:cNvPr id="33" name="Group 32">
            <a:extLst>
              <a:ext uri="{FF2B5EF4-FFF2-40B4-BE49-F238E27FC236}">
                <a16:creationId xmlns:a16="http://schemas.microsoft.com/office/drawing/2014/main" id="{00000000-0008-0000-0000-000021000000}"/>
              </a:ext>
            </a:extLst>
          </xdr:cNvPr>
          <xdr:cNvGrpSpPr/>
        </xdr:nvGrpSpPr>
        <xdr:grpSpPr>
          <a:xfrm>
            <a:off x="-460389" y="2747566"/>
            <a:ext cx="7778779" cy="2520000"/>
            <a:chOff x="-93736" y="2566591"/>
            <a:chExt cx="7778779" cy="2520000"/>
          </a:xfrm>
        </xdr:grpSpPr>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2536820" y="2566591"/>
              <a:ext cx="2517667" cy="2520000"/>
            </a:xfrm>
            <a:prstGeom prst="rect">
              <a:avLst/>
            </a:prstGeom>
            <a:ln>
              <a:solidFill>
                <a:schemeClr val="tx1"/>
              </a:solidFill>
            </a:ln>
          </xdr:spPr>
        </xdr:pic>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93736" y="2566591"/>
              <a:ext cx="2517667" cy="2520000"/>
            </a:xfrm>
            <a:prstGeom prst="rect">
              <a:avLst/>
            </a:prstGeom>
            <a:ln>
              <a:solidFill>
                <a:schemeClr val="tx1"/>
              </a:solidFill>
            </a:ln>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67376" y="2566591"/>
              <a:ext cx="2517667" cy="2520000"/>
            </a:xfrm>
            <a:prstGeom prst="rect">
              <a:avLst/>
            </a:prstGeom>
            <a:ln>
              <a:solidFill>
                <a:schemeClr val="tx1"/>
              </a:solidFill>
            </a:ln>
          </xdr:spPr>
        </xdr:pic>
      </xdr:grpSp>
      <xdr:grpSp>
        <xdr:nvGrpSpPr>
          <xdr:cNvPr id="34" name="Group 33">
            <a:extLst>
              <a:ext uri="{FF2B5EF4-FFF2-40B4-BE49-F238E27FC236}">
                <a16:creationId xmlns:a16="http://schemas.microsoft.com/office/drawing/2014/main" id="{00000000-0008-0000-0000-000022000000}"/>
              </a:ext>
            </a:extLst>
          </xdr:cNvPr>
          <xdr:cNvGrpSpPr/>
        </xdr:nvGrpSpPr>
        <xdr:grpSpPr>
          <a:xfrm>
            <a:off x="323312" y="5438199"/>
            <a:ext cx="6211376" cy="1800000"/>
            <a:chOff x="705482" y="5385444"/>
            <a:chExt cx="6211376" cy="1800000"/>
          </a:xfrm>
        </xdr:grpSpPr>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2616704" y="5385444"/>
              <a:ext cx="2388930" cy="1800000"/>
            </a:xfrm>
            <a:prstGeom prst="rect">
              <a:avLst/>
            </a:prstGeom>
            <a:ln>
              <a:solidFill>
                <a:schemeClr val="tx1"/>
              </a:solidFill>
            </a:ln>
          </xdr:spPr>
        </xdr:pic>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5118524" y="5385444"/>
              <a:ext cx="1798334" cy="1800000"/>
            </a:xfrm>
            <a:prstGeom prst="rect">
              <a:avLst/>
            </a:prstGeom>
            <a:ln>
              <a:solidFill>
                <a:schemeClr val="tx1"/>
              </a:solidFill>
            </a:ln>
          </xdr:spPr>
        </xdr:pic>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705482" y="5385444"/>
              <a:ext cx="1798334" cy="1800000"/>
            </a:xfrm>
            <a:prstGeom prst="rect">
              <a:avLst/>
            </a:prstGeom>
            <a:ln>
              <a:solidFill>
                <a:schemeClr val="tx1"/>
              </a:solidFill>
            </a:ln>
          </xdr:spPr>
        </xdr:pic>
      </xdr:grpSp>
    </xdr:grpSp>
    <xdr:clientData/>
  </xdr:twoCellAnchor>
  <xdr:twoCellAnchor editAs="oneCell">
    <xdr:from>
      <xdr:col>17</xdr:col>
      <xdr:colOff>545014</xdr:colOff>
      <xdr:row>76</xdr:row>
      <xdr:rowOff>441688</xdr:rowOff>
    </xdr:from>
    <xdr:to>
      <xdr:col>35</xdr:col>
      <xdr:colOff>579982</xdr:colOff>
      <xdr:row>92</xdr:row>
      <xdr:rowOff>145489</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7"/>
        <a:stretch>
          <a:fillRect/>
        </a:stretch>
      </xdr:blipFill>
      <xdr:spPr>
        <a:xfrm>
          <a:off x="17257059" y="30575324"/>
          <a:ext cx="9040423" cy="4726074"/>
        </a:xfrm>
        <a:prstGeom prst="rect">
          <a:avLst/>
        </a:prstGeom>
      </xdr:spPr>
    </xdr:pic>
    <xdr:clientData/>
  </xdr:twoCellAnchor>
  <xdr:twoCellAnchor>
    <xdr:from>
      <xdr:col>1</xdr:col>
      <xdr:colOff>0</xdr:colOff>
      <xdr:row>239</xdr:row>
      <xdr:rowOff>244928</xdr:rowOff>
    </xdr:from>
    <xdr:to>
      <xdr:col>7</xdr:col>
      <xdr:colOff>140293</xdr:colOff>
      <xdr:row>267</xdr:row>
      <xdr:rowOff>129087</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170214" y="74294999"/>
          <a:ext cx="7161579" cy="7123159"/>
          <a:chOff x="1170214" y="74050071"/>
          <a:chExt cx="7161579" cy="7123159"/>
        </a:xfrm>
      </xdr:grpSpPr>
      <xdr:grpSp>
        <xdr:nvGrpSpPr>
          <xdr:cNvPr id="22" name="Group 21">
            <a:extLst>
              <a:ext uri="{FF2B5EF4-FFF2-40B4-BE49-F238E27FC236}">
                <a16:creationId xmlns:a16="http://schemas.microsoft.com/office/drawing/2014/main" id="{00000000-0008-0000-0000-000016000000}"/>
              </a:ext>
            </a:extLst>
          </xdr:cNvPr>
          <xdr:cNvGrpSpPr/>
        </xdr:nvGrpSpPr>
        <xdr:grpSpPr>
          <a:xfrm>
            <a:off x="1170214" y="77502821"/>
            <a:ext cx="7161579" cy="3670409"/>
            <a:chOff x="-1152146" y="4992624"/>
            <a:chExt cx="9235441" cy="5102352"/>
          </a:xfrm>
        </xdr:grpSpPr>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1152146" y="4992624"/>
              <a:ext cx="9235441" cy="5102352"/>
            </a:xfrm>
            <a:prstGeom prst="rect">
              <a:avLst/>
            </a:prstGeom>
            <a:ln>
              <a:solidFill>
                <a:schemeClr val="tx1"/>
              </a:solidFill>
            </a:ln>
          </xdr:spPr>
        </xdr:pic>
        <xdr:sp macro="" textlink="">
          <xdr:nvSpPr>
            <xdr:cNvPr id="24" name="Rectangle 18">
              <a:extLst>
                <a:ext uri="{FF2B5EF4-FFF2-40B4-BE49-F238E27FC236}">
                  <a16:creationId xmlns:a16="http://schemas.microsoft.com/office/drawing/2014/main" id="{00000000-0008-0000-0000-000018000000}"/>
                </a:ext>
              </a:extLst>
            </xdr:cNvPr>
            <xdr:cNvSpPr/>
          </xdr:nvSpPr>
          <xdr:spPr>
            <a:xfrm rot="1617606">
              <a:off x="1428163" y="5180115"/>
              <a:ext cx="1381676" cy="3505488"/>
            </a:xfrm>
            <a:custGeom>
              <a:avLst/>
              <a:gdLst>
                <a:gd name="connsiteX0" fmla="*/ 0 w 1381676"/>
                <a:gd name="connsiteY0" fmla="*/ 0 h 3529048"/>
                <a:gd name="connsiteX1" fmla="*/ 1381676 w 1381676"/>
                <a:gd name="connsiteY1" fmla="*/ 0 h 3529048"/>
                <a:gd name="connsiteX2" fmla="*/ 1381676 w 1381676"/>
                <a:gd name="connsiteY2" fmla="*/ 3529048 h 3529048"/>
                <a:gd name="connsiteX3" fmla="*/ 0 w 1381676"/>
                <a:gd name="connsiteY3" fmla="*/ 3529048 h 3529048"/>
                <a:gd name="connsiteX4" fmla="*/ 0 w 1381676"/>
                <a:gd name="connsiteY4" fmla="*/ 0 h 3529048"/>
                <a:gd name="connsiteX0" fmla="*/ 289830 w 1381676"/>
                <a:gd name="connsiteY0" fmla="*/ 23560 h 3529048"/>
                <a:gd name="connsiteX1" fmla="*/ 1381676 w 1381676"/>
                <a:gd name="connsiteY1" fmla="*/ 0 h 3529048"/>
                <a:gd name="connsiteX2" fmla="*/ 1381676 w 1381676"/>
                <a:gd name="connsiteY2" fmla="*/ 3529048 h 3529048"/>
                <a:gd name="connsiteX3" fmla="*/ 0 w 1381676"/>
                <a:gd name="connsiteY3" fmla="*/ 3529048 h 3529048"/>
                <a:gd name="connsiteX4" fmla="*/ 289830 w 1381676"/>
                <a:gd name="connsiteY4" fmla="*/ 23560 h 3529048"/>
                <a:gd name="connsiteX0" fmla="*/ 289830 w 1381676"/>
                <a:gd name="connsiteY0" fmla="*/ 0 h 3505488"/>
                <a:gd name="connsiteX1" fmla="*/ 1338754 w 1381676"/>
                <a:gd name="connsiteY1" fmla="*/ 1782897 h 3505488"/>
                <a:gd name="connsiteX2" fmla="*/ 1381676 w 1381676"/>
                <a:gd name="connsiteY2" fmla="*/ 3505488 h 3505488"/>
                <a:gd name="connsiteX3" fmla="*/ 0 w 1381676"/>
                <a:gd name="connsiteY3" fmla="*/ 3505488 h 3505488"/>
                <a:gd name="connsiteX4" fmla="*/ 289830 w 1381676"/>
                <a:gd name="connsiteY4" fmla="*/ 0 h 3505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81676" h="3505488">
                  <a:moveTo>
                    <a:pt x="289830" y="0"/>
                  </a:moveTo>
                  <a:lnTo>
                    <a:pt x="1338754" y="1782897"/>
                  </a:lnTo>
                  <a:lnTo>
                    <a:pt x="1381676" y="3505488"/>
                  </a:lnTo>
                  <a:lnTo>
                    <a:pt x="0" y="3505488"/>
                  </a:lnTo>
                  <a:lnTo>
                    <a:pt x="289830" y="0"/>
                  </a:lnTo>
                  <a:close/>
                </a:path>
              </a:pathLst>
            </a:cu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5" name="TextBox 19">
              <a:extLst>
                <a:ext uri="{FF2B5EF4-FFF2-40B4-BE49-F238E27FC236}">
                  <a16:creationId xmlns:a16="http://schemas.microsoft.com/office/drawing/2014/main" id="{00000000-0008-0000-0000-000019000000}"/>
                </a:ext>
              </a:extLst>
            </xdr:cNvPr>
            <xdr:cNvSpPr txBox="1"/>
          </xdr:nvSpPr>
          <xdr:spPr>
            <a:xfrm>
              <a:off x="641136" y="7390505"/>
              <a:ext cx="2205541" cy="114417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b="1">
                  <a:solidFill>
                    <a:srgbClr val="FFFF00"/>
                  </a:solidFill>
                </a:rPr>
                <a:t>Trilive Marol Tower B</a:t>
              </a:r>
            </a:p>
          </xdr:txBody>
        </xdr:sp>
      </xdr:grpSp>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9"/>
          <a:stretch>
            <a:fillRect/>
          </a:stretch>
        </xdr:blipFill>
        <xdr:spPr>
          <a:xfrm>
            <a:off x="2136321" y="74050071"/>
            <a:ext cx="5276460" cy="3279322"/>
          </a:xfrm>
          <a:prstGeom prst="rect">
            <a:avLst/>
          </a:prstGeom>
          <a:ln>
            <a:solidFill>
              <a:sysClr val="windowText" lastClr="000000"/>
            </a:solidFill>
          </a:ln>
        </xdr:spPr>
      </xdr:pic>
    </xdr:grpSp>
    <xdr:clientData/>
  </xdr:twoCellAnchor>
  <xdr:twoCellAnchor editAs="oneCell">
    <xdr:from>
      <xdr:col>8</xdr:col>
      <xdr:colOff>1306286</xdr:colOff>
      <xdr:row>58</xdr:row>
      <xdr:rowOff>217714</xdr:rowOff>
    </xdr:from>
    <xdr:to>
      <xdr:col>17</xdr:col>
      <xdr:colOff>360122</xdr:colOff>
      <xdr:row>70</xdr:row>
      <xdr:rowOff>214152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0"/>
        <a:stretch>
          <a:fillRect/>
        </a:stretch>
      </xdr:blipFill>
      <xdr:spPr>
        <a:xfrm>
          <a:off x="10668000" y="24765000"/>
          <a:ext cx="6401693" cy="3724795"/>
        </a:xfrm>
        <a:prstGeom prst="rect">
          <a:avLst/>
        </a:prstGeom>
      </xdr:spPr>
    </xdr:pic>
    <xdr:clientData/>
  </xdr:twoCellAnchor>
  <xdr:twoCellAnchor editAs="oneCell">
    <xdr:from>
      <xdr:col>18</xdr:col>
      <xdr:colOff>557892</xdr:colOff>
      <xdr:row>90</xdr:row>
      <xdr:rowOff>131124</xdr:rowOff>
    </xdr:from>
    <xdr:to>
      <xdr:col>35</xdr:col>
      <xdr:colOff>218233</xdr:colOff>
      <xdr:row>102</xdr:row>
      <xdr:rowOff>184883</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1"/>
        <a:stretch>
          <a:fillRect/>
        </a:stretch>
      </xdr:blipFill>
      <xdr:spPr>
        <a:xfrm>
          <a:off x="17876074" y="34767488"/>
          <a:ext cx="8059659" cy="3171031"/>
        </a:xfrm>
        <a:prstGeom prst="rect">
          <a:avLst/>
        </a:prstGeom>
      </xdr:spPr>
    </xdr:pic>
    <xdr:clientData/>
  </xdr:twoCellAnchor>
  <xdr:twoCellAnchor editAs="oneCell">
    <xdr:from>
      <xdr:col>8</xdr:col>
      <xdr:colOff>384202</xdr:colOff>
      <xdr:row>75</xdr:row>
      <xdr:rowOff>188099</xdr:rowOff>
    </xdr:from>
    <xdr:to>
      <xdr:col>16</xdr:col>
      <xdr:colOff>479044</xdr:colOff>
      <xdr:row>79</xdr:row>
      <xdr:rowOff>114858</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2"/>
        <a:stretch>
          <a:fillRect/>
        </a:stretch>
      </xdr:blipFill>
      <xdr:spPr>
        <a:xfrm>
          <a:off x="9745916" y="29770028"/>
          <a:ext cx="6830378" cy="1695687"/>
        </a:xfrm>
        <a:prstGeom prst="rect">
          <a:avLst/>
        </a:prstGeom>
      </xdr:spPr>
    </xdr:pic>
    <xdr:clientData/>
  </xdr:twoCellAnchor>
  <xdr:twoCellAnchor editAs="oneCell">
    <xdr:from>
      <xdr:col>9</xdr:col>
      <xdr:colOff>345127</xdr:colOff>
      <xdr:row>75</xdr:row>
      <xdr:rowOff>139782</xdr:rowOff>
    </xdr:from>
    <xdr:to>
      <xdr:col>26</xdr:col>
      <xdr:colOff>485295</xdr:colOff>
      <xdr:row>87</xdr:row>
      <xdr:rowOff>311728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3"/>
        <a:stretch>
          <a:fillRect/>
        </a:stretch>
      </xdr:blipFill>
      <xdr:spPr>
        <a:xfrm>
          <a:off x="12017582" y="29580691"/>
          <a:ext cx="8729986" cy="4016582"/>
        </a:xfrm>
        <a:prstGeom prst="rect">
          <a:avLst/>
        </a:prstGeom>
      </xdr:spPr>
    </xdr:pic>
    <xdr:clientData/>
  </xdr:twoCellAnchor>
  <xdr:twoCellAnchor editAs="oneCell">
    <xdr:from>
      <xdr:col>13</xdr:col>
      <xdr:colOff>530681</xdr:colOff>
      <xdr:row>105</xdr:row>
      <xdr:rowOff>142261</xdr:rowOff>
    </xdr:from>
    <xdr:to>
      <xdr:col>30</xdr:col>
      <xdr:colOff>238651</xdr:colOff>
      <xdr:row>114</xdr:row>
      <xdr:rowOff>195783</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4"/>
        <a:stretch>
          <a:fillRect/>
        </a:stretch>
      </xdr:blipFill>
      <xdr:spPr>
        <a:xfrm>
          <a:off x="14818181" y="38675216"/>
          <a:ext cx="8107288" cy="2391476"/>
        </a:xfrm>
        <a:prstGeom prst="rect">
          <a:avLst/>
        </a:prstGeom>
      </xdr:spPr>
    </xdr:pic>
    <xdr:clientData/>
  </xdr:twoCellAnchor>
  <xdr:twoCellAnchor editAs="oneCell">
    <xdr:from>
      <xdr:col>12</xdr:col>
      <xdr:colOff>499754</xdr:colOff>
      <xdr:row>108</xdr:row>
      <xdr:rowOff>27215</xdr:rowOff>
    </xdr:from>
    <xdr:to>
      <xdr:col>26</xdr:col>
      <xdr:colOff>285660</xdr:colOff>
      <xdr:row>119</xdr:row>
      <xdr:rowOff>156774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5"/>
        <a:stretch>
          <a:fillRect/>
        </a:stretch>
      </xdr:blipFill>
      <xdr:spPr>
        <a:xfrm>
          <a:off x="14181118" y="39339488"/>
          <a:ext cx="6366815" cy="2987059"/>
        </a:xfrm>
        <a:prstGeom prst="rect">
          <a:avLst/>
        </a:prstGeom>
      </xdr:spPr>
    </xdr:pic>
    <xdr:clientData/>
  </xdr:twoCellAnchor>
  <xdr:twoCellAnchor editAs="oneCell">
    <xdr:from>
      <xdr:col>10</xdr:col>
      <xdr:colOff>582630</xdr:colOff>
      <xdr:row>101</xdr:row>
      <xdr:rowOff>223898</xdr:rowOff>
    </xdr:from>
    <xdr:to>
      <xdr:col>28</xdr:col>
      <xdr:colOff>62674</xdr:colOff>
      <xdr:row>121</xdr:row>
      <xdr:rowOff>16403</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6"/>
        <a:stretch>
          <a:fillRect/>
        </a:stretch>
      </xdr:blipFill>
      <xdr:spPr>
        <a:xfrm>
          <a:off x="13005951" y="37847648"/>
          <a:ext cx="8583223" cy="4963219"/>
        </a:xfrm>
        <a:prstGeom prst="rect">
          <a:avLst/>
        </a:prstGeom>
      </xdr:spPr>
    </xdr:pic>
    <xdr:clientData/>
  </xdr:twoCellAnchor>
  <xdr:twoCellAnchor editAs="oneCell">
    <xdr:from>
      <xdr:col>18</xdr:col>
      <xdr:colOff>158028</xdr:colOff>
      <xdr:row>93</xdr:row>
      <xdr:rowOff>140702</xdr:rowOff>
    </xdr:from>
    <xdr:to>
      <xdr:col>42</xdr:col>
      <xdr:colOff>603104</xdr:colOff>
      <xdr:row>115</xdr:row>
      <xdr:rowOff>154615</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7"/>
        <a:stretch>
          <a:fillRect/>
        </a:stretch>
      </xdr:blipFill>
      <xdr:spPr>
        <a:xfrm>
          <a:off x="17476210" y="35556384"/>
          <a:ext cx="13087349" cy="5728913"/>
        </a:xfrm>
        <a:prstGeom prst="rect">
          <a:avLst/>
        </a:prstGeom>
      </xdr:spPr>
    </xdr:pic>
    <xdr:clientData/>
  </xdr:twoCellAnchor>
  <xdr:twoCellAnchor editAs="oneCell">
    <xdr:from>
      <xdr:col>24</xdr:col>
      <xdr:colOff>482434</xdr:colOff>
      <xdr:row>95</xdr:row>
      <xdr:rowOff>197922</xdr:rowOff>
    </xdr:from>
    <xdr:to>
      <xdr:col>35</xdr:col>
      <xdr:colOff>401708</xdr:colOff>
      <xdr:row>112</xdr:row>
      <xdr:rowOff>51558</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8"/>
        <a:stretch>
          <a:fillRect/>
        </a:stretch>
      </xdr:blipFill>
      <xdr:spPr>
        <a:xfrm>
          <a:off x="19641291" y="36270458"/>
          <a:ext cx="6573167" cy="4248743"/>
        </a:xfrm>
        <a:prstGeom prst="rect">
          <a:avLst/>
        </a:prstGeom>
      </xdr:spPr>
    </xdr:pic>
    <xdr:clientData/>
  </xdr:twoCellAnchor>
  <xdr:twoCellAnchor>
    <xdr:from>
      <xdr:col>0</xdr:col>
      <xdr:colOff>299358</xdr:colOff>
      <xdr:row>149</xdr:row>
      <xdr:rowOff>54428</xdr:rowOff>
    </xdr:from>
    <xdr:to>
      <xdr:col>7</xdr:col>
      <xdr:colOff>966108</xdr:colOff>
      <xdr:row>181</xdr:row>
      <xdr:rowOff>244928</xdr:rowOff>
    </xdr:to>
    <xdr:grpSp>
      <xdr:nvGrpSpPr>
        <xdr:cNvPr id="45" name="Group 44">
          <a:extLst>
            <a:ext uri="{FF2B5EF4-FFF2-40B4-BE49-F238E27FC236}">
              <a16:creationId xmlns:a16="http://schemas.microsoft.com/office/drawing/2014/main" id="{B8B1D592-B09C-4F7B-A8A1-2AC1B3218DAE}"/>
            </a:ext>
          </a:extLst>
        </xdr:cNvPr>
        <xdr:cNvGrpSpPr/>
      </xdr:nvGrpSpPr>
      <xdr:grpSpPr>
        <a:xfrm>
          <a:off x="299358" y="50836285"/>
          <a:ext cx="8858250" cy="8463643"/>
          <a:chOff x="-8541" y="256235"/>
          <a:chExt cx="6866541" cy="5633082"/>
        </a:xfrm>
      </xdr:grpSpPr>
      <xdr:pic>
        <xdr:nvPicPr>
          <xdr:cNvPr id="47" name="Picture 46">
            <a:extLst>
              <a:ext uri="{FF2B5EF4-FFF2-40B4-BE49-F238E27FC236}">
                <a16:creationId xmlns:a16="http://schemas.microsoft.com/office/drawing/2014/main" id="{0E751D41-4296-44E4-A14E-42D5E33F97E4}"/>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8541" y="261097"/>
            <a:ext cx="4320000" cy="3240000"/>
          </a:xfrm>
          <a:prstGeom prst="rect">
            <a:avLst/>
          </a:prstGeom>
          <a:ln>
            <a:solidFill>
              <a:schemeClr val="tx1"/>
            </a:solidFill>
          </a:ln>
        </xdr:spPr>
      </xdr:pic>
      <xdr:pic>
        <xdr:nvPicPr>
          <xdr:cNvPr id="48" name="Picture 47">
            <a:extLst>
              <a:ext uri="{FF2B5EF4-FFF2-40B4-BE49-F238E27FC236}">
                <a16:creationId xmlns:a16="http://schemas.microsoft.com/office/drawing/2014/main" id="{9BCEFDA1-DA26-4BA8-AF5A-2327FC0AF4A1}"/>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4428000" y="256235"/>
            <a:ext cx="2430000" cy="3240000"/>
          </a:xfrm>
          <a:prstGeom prst="rect">
            <a:avLst/>
          </a:prstGeom>
          <a:ln>
            <a:solidFill>
              <a:schemeClr val="tx1"/>
            </a:solidFill>
          </a:ln>
        </xdr:spPr>
      </xdr:pic>
      <xdr:pic>
        <xdr:nvPicPr>
          <xdr:cNvPr id="49" name="Picture 48">
            <a:extLst>
              <a:ext uri="{FF2B5EF4-FFF2-40B4-BE49-F238E27FC236}">
                <a16:creationId xmlns:a16="http://schemas.microsoft.com/office/drawing/2014/main" id="{BFD67A4D-2D51-46B1-8E9D-C3A0426484FE}"/>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842683" y="3711388"/>
            <a:ext cx="1620000" cy="2160000"/>
          </a:xfrm>
          <a:prstGeom prst="rect">
            <a:avLst/>
          </a:prstGeom>
          <a:ln>
            <a:solidFill>
              <a:schemeClr val="tx1"/>
            </a:solidFill>
          </a:ln>
        </xdr:spPr>
      </xdr:pic>
      <xdr:pic>
        <xdr:nvPicPr>
          <xdr:cNvPr id="50" name="Picture 49">
            <a:extLst>
              <a:ext uri="{FF2B5EF4-FFF2-40B4-BE49-F238E27FC236}">
                <a16:creationId xmlns:a16="http://schemas.microsoft.com/office/drawing/2014/main" id="{27E5A3EF-7826-4B62-9859-213731E87952}"/>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4395317" y="3711388"/>
            <a:ext cx="1620000" cy="2160000"/>
          </a:xfrm>
          <a:prstGeom prst="rect">
            <a:avLst/>
          </a:prstGeom>
          <a:ln>
            <a:solidFill>
              <a:schemeClr val="tx1"/>
            </a:solidFill>
          </a:ln>
        </xdr:spPr>
      </xdr:pic>
      <xdr:pic>
        <xdr:nvPicPr>
          <xdr:cNvPr id="51" name="Picture 50">
            <a:extLst>
              <a:ext uri="{FF2B5EF4-FFF2-40B4-BE49-F238E27FC236}">
                <a16:creationId xmlns:a16="http://schemas.microsoft.com/office/drawing/2014/main" id="{451FF07A-B1AA-4E31-ADFD-3531F3B47BE8}"/>
              </a:ext>
            </a:extLst>
          </xdr:cNvPr>
          <xdr:cNvPicPr>
            <a:picLocks noChangeAspect="1"/>
          </xdr:cNvPicPr>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2619000" y="3729317"/>
            <a:ext cx="1620000" cy="216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YxdZzajoXCMuJKB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280"/>
  <sheetViews>
    <sheetView tabSelected="1" view="pageBreakPreview" zoomScale="70" zoomScaleNormal="85" zoomScaleSheetLayoutView="70" zoomScalePageLayoutView="70" workbookViewId="0">
      <selection activeCell="L6" sqref="L6"/>
    </sheetView>
  </sheetViews>
  <sheetFormatPr defaultColWidth="9.140625" defaultRowHeight="17.100000000000001" customHeight="1" x14ac:dyDescent="0.25"/>
  <cols>
    <col min="1" max="7" width="17.5703125" style="1" customWidth="1"/>
    <col min="8" max="8" width="17.5703125" style="3" customWidth="1"/>
    <col min="9" max="9" width="33.85546875" style="1" customWidth="1"/>
    <col min="10" max="10" width="12" style="1" bestFit="1" customWidth="1"/>
    <col min="11" max="19" width="9.140625" style="1"/>
    <col min="20" max="22" width="0" style="1" hidden="1" customWidth="1"/>
    <col min="23" max="25" width="9.140625" style="1"/>
    <col min="26" max="26" width="7.85546875" style="1" customWidth="1"/>
    <col min="27" max="16384" width="9.140625" style="1"/>
  </cols>
  <sheetData>
    <row r="1" spans="1:11" ht="20.25" x14ac:dyDescent="0.25">
      <c r="A1" s="111" t="s">
        <v>38</v>
      </c>
      <c r="B1" s="112"/>
      <c r="C1" s="112"/>
      <c r="D1" s="112"/>
      <c r="E1" s="112"/>
      <c r="F1" s="112"/>
      <c r="G1" s="112"/>
      <c r="H1" s="113"/>
    </row>
    <row r="2" spans="1:11" ht="42" customHeight="1" x14ac:dyDescent="0.25">
      <c r="A2" s="89" t="s">
        <v>10</v>
      </c>
      <c r="B2" s="89"/>
      <c r="C2" s="90" t="s">
        <v>86</v>
      </c>
      <c r="D2" s="90"/>
      <c r="E2" s="89" t="s">
        <v>12</v>
      </c>
      <c r="F2" s="89"/>
      <c r="G2" s="97">
        <v>45874</v>
      </c>
      <c r="H2" s="97"/>
      <c r="I2" s="193">
        <v>45875</v>
      </c>
      <c r="J2" s="192">
        <v>45810</v>
      </c>
      <c r="K2" s="99"/>
    </row>
    <row r="3" spans="1:11" ht="20.25" x14ac:dyDescent="0.25">
      <c r="A3" s="89" t="s">
        <v>39</v>
      </c>
      <c r="B3" s="89"/>
      <c r="C3" s="90" t="s">
        <v>289</v>
      </c>
      <c r="D3" s="90"/>
      <c r="E3" s="89" t="s">
        <v>156</v>
      </c>
      <c r="F3" s="89"/>
      <c r="G3" s="98" t="s">
        <v>352</v>
      </c>
      <c r="H3" s="90"/>
      <c r="I3" s="1">
        <f>I2-J2</f>
        <v>65</v>
      </c>
    </row>
    <row r="4" spans="1:11" ht="50.25" customHeight="1" x14ac:dyDescent="0.25">
      <c r="A4" s="89" t="s">
        <v>36</v>
      </c>
      <c r="B4" s="89"/>
      <c r="C4" s="90" t="s">
        <v>349</v>
      </c>
      <c r="D4" s="90"/>
      <c r="E4" s="89" t="s">
        <v>33</v>
      </c>
      <c r="F4" s="89"/>
      <c r="G4" s="90" t="str">
        <f ca="1">TEXT(TODAY(),"DD/MM/YYYY")</f>
        <v>08/08/2025</v>
      </c>
      <c r="H4" s="90"/>
      <c r="I4" s="90" t="s">
        <v>348</v>
      </c>
      <c r="J4" s="90"/>
    </row>
    <row r="5" spans="1:11" ht="20.25" x14ac:dyDescent="0.25">
      <c r="A5" s="118" t="s">
        <v>40</v>
      </c>
      <c r="B5" s="118"/>
      <c r="C5" s="118"/>
      <c r="D5" s="118"/>
      <c r="E5" s="118"/>
      <c r="F5" s="118"/>
      <c r="G5" s="118"/>
      <c r="H5" s="118"/>
    </row>
    <row r="6" spans="1:11" ht="43.5" customHeight="1" x14ac:dyDescent="0.25">
      <c r="A6" s="89" t="s">
        <v>29</v>
      </c>
      <c r="B6" s="89"/>
      <c r="C6" s="90" t="s">
        <v>324</v>
      </c>
      <c r="D6" s="90"/>
      <c r="E6" s="89" t="s">
        <v>35</v>
      </c>
      <c r="F6" s="89"/>
      <c r="G6" s="90" t="s">
        <v>290</v>
      </c>
      <c r="H6" s="90"/>
    </row>
    <row r="7" spans="1:11" ht="46.5" customHeight="1" x14ac:dyDescent="0.25">
      <c r="A7" s="89" t="s">
        <v>42</v>
      </c>
      <c r="B7" s="89"/>
      <c r="C7" s="90" t="s">
        <v>291</v>
      </c>
      <c r="D7" s="90"/>
      <c r="E7" s="89" t="s">
        <v>43</v>
      </c>
      <c r="F7" s="89"/>
      <c r="G7" s="90" t="s">
        <v>291</v>
      </c>
      <c r="H7" s="90"/>
    </row>
    <row r="8" spans="1:11" ht="48.75" customHeight="1" x14ac:dyDescent="0.25">
      <c r="A8" s="89" t="s">
        <v>44</v>
      </c>
      <c r="B8" s="89"/>
      <c r="C8" s="90" t="s">
        <v>292</v>
      </c>
      <c r="D8" s="90"/>
      <c r="E8" s="90"/>
      <c r="F8" s="90"/>
      <c r="G8" s="90"/>
      <c r="H8" s="90"/>
    </row>
    <row r="9" spans="1:11" ht="66.75" customHeight="1" x14ac:dyDescent="0.25">
      <c r="A9" s="96" t="s">
        <v>147</v>
      </c>
      <c r="B9" s="35" t="s">
        <v>41</v>
      </c>
      <c r="C9" s="90" t="s">
        <v>293</v>
      </c>
      <c r="D9" s="90"/>
      <c r="E9" s="90"/>
      <c r="F9" s="90"/>
      <c r="G9" s="90"/>
      <c r="H9" s="90"/>
    </row>
    <row r="10" spans="1:11" ht="66" customHeight="1" x14ac:dyDescent="0.25">
      <c r="A10" s="96"/>
      <c r="B10" s="35" t="s">
        <v>11</v>
      </c>
      <c r="C10" s="90" t="s">
        <v>325</v>
      </c>
      <c r="D10" s="90"/>
      <c r="E10" s="90"/>
      <c r="F10" s="90"/>
      <c r="G10" s="90"/>
      <c r="H10" s="90"/>
    </row>
    <row r="11" spans="1:11" ht="42" customHeight="1" x14ac:dyDescent="0.25">
      <c r="A11" s="96"/>
      <c r="B11" s="35" t="s">
        <v>5</v>
      </c>
      <c r="C11" s="90" t="s">
        <v>294</v>
      </c>
      <c r="D11" s="90"/>
      <c r="E11" s="90"/>
      <c r="F11" s="90"/>
      <c r="G11" s="90"/>
      <c r="H11" s="90"/>
    </row>
    <row r="12" spans="1:11" ht="40.5" customHeight="1" x14ac:dyDescent="0.25">
      <c r="A12" s="89" t="s">
        <v>34</v>
      </c>
      <c r="B12" s="89"/>
      <c r="C12" s="90" t="s">
        <v>311</v>
      </c>
      <c r="D12" s="90"/>
      <c r="E12" s="90"/>
      <c r="F12" s="90"/>
      <c r="G12" s="90"/>
      <c r="H12" s="90"/>
    </row>
    <row r="13" spans="1:11" ht="20.100000000000001" customHeight="1" x14ac:dyDescent="0.25">
      <c r="A13" s="118" t="s">
        <v>45</v>
      </c>
      <c r="B13" s="118"/>
      <c r="C13" s="118"/>
      <c r="D13" s="118"/>
      <c r="E13" s="118"/>
      <c r="F13" s="118"/>
      <c r="G13" s="118"/>
      <c r="H13" s="118"/>
    </row>
    <row r="14" spans="1:11" ht="41.25" customHeight="1" x14ac:dyDescent="0.25">
      <c r="A14" s="89" t="s">
        <v>27</v>
      </c>
      <c r="B14" s="89" t="s">
        <v>4</v>
      </c>
      <c r="C14" s="90" t="s">
        <v>87</v>
      </c>
      <c r="D14" s="90"/>
      <c r="E14" s="89" t="s">
        <v>46</v>
      </c>
      <c r="F14" s="89" t="s">
        <v>4</v>
      </c>
      <c r="G14" s="90" t="s">
        <v>295</v>
      </c>
      <c r="H14" s="90"/>
    </row>
    <row r="15" spans="1:11" ht="20.25" x14ac:dyDescent="0.25">
      <c r="A15" s="89" t="s">
        <v>47</v>
      </c>
      <c r="B15" s="89" t="s">
        <v>4</v>
      </c>
      <c r="C15" s="90" t="s">
        <v>296</v>
      </c>
      <c r="D15" s="90"/>
      <c r="E15" s="89" t="s">
        <v>48</v>
      </c>
      <c r="F15" s="89" t="s">
        <v>4</v>
      </c>
      <c r="G15" s="97">
        <v>46752</v>
      </c>
      <c r="H15" s="90"/>
    </row>
    <row r="16" spans="1:11" ht="41.25" customHeight="1" x14ac:dyDescent="0.25">
      <c r="A16" s="89" t="s">
        <v>49</v>
      </c>
      <c r="B16" s="89" t="s">
        <v>4</v>
      </c>
      <c r="C16" s="97">
        <v>45215</v>
      </c>
      <c r="D16" s="90"/>
      <c r="E16" s="89" t="s">
        <v>50</v>
      </c>
      <c r="F16" s="89" t="s">
        <v>4</v>
      </c>
      <c r="G16" s="126">
        <v>45200</v>
      </c>
      <c r="H16" s="90"/>
    </row>
    <row r="17" spans="1:9" ht="41.25" customHeight="1" x14ac:dyDescent="0.25">
      <c r="A17" s="89" t="s">
        <v>51</v>
      </c>
      <c r="B17" s="89" t="s">
        <v>4</v>
      </c>
      <c r="C17" s="97">
        <v>46752</v>
      </c>
      <c r="D17" s="90"/>
      <c r="E17" s="89" t="s">
        <v>52</v>
      </c>
      <c r="F17" s="89" t="s">
        <v>4</v>
      </c>
      <c r="G17" s="90" t="s">
        <v>297</v>
      </c>
      <c r="H17" s="90"/>
    </row>
    <row r="18" spans="1:9" ht="41.25" customHeight="1" x14ac:dyDescent="0.25">
      <c r="A18" s="89" t="s">
        <v>53</v>
      </c>
      <c r="B18" s="89" t="s">
        <v>4</v>
      </c>
      <c r="C18" s="90"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0"/>
      <c r="E18" s="89" t="s">
        <v>94</v>
      </c>
      <c r="F18" s="89" t="s">
        <v>4</v>
      </c>
      <c r="G18" s="90">
        <v>13248.98</v>
      </c>
      <c r="H18" s="90"/>
    </row>
    <row r="19" spans="1:9" ht="41.25" customHeight="1" x14ac:dyDescent="0.25">
      <c r="A19" s="89" t="s">
        <v>54</v>
      </c>
      <c r="B19" s="89" t="s">
        <v>4</v>
      </c>
      <c r="C19" s="159">
        <v>1</v>
      </c>
      <c r="D19" s="159"/>
      <c r="E19" s="89" t="s">
        <v>230</v>
      </c>
      <c r="F19" s="89" t="s">
        <v>4</v>
      </c>
      <c r="G19" s="110">
        <v>12740.68</v>
      </c>
      <c r="H19" s="110"/>
    </row>
    <row r="20" spans="1:9" ht="41.25" customHeight="1" x14ac:dyDescent="0.25">
      <c r="A20" s="89" t="s">
        <v>92</v>
      </c>
      <c r="B20" s="89" t="s">
        <v>4</v>
      </c>
      <c r="C20" s="90">
        <v>73638.67</v>
      </c>
      <c r="D20" s="90"/>
      <c r="E20" s="89" t="s">
        <v>93</v>
      </c>
      <c r="F20" s="89" t="s">
        <v>4</v>
      </c>
      <c r="G20" s="90">
        <v>42347.09</v>
      </c>
      <c r="H20" s="90"/>
    </row>
    <row r="21" spans="1:9" ht="41.25" customHeight="1" x14ac:dyDescent="0.25">
      <c r="A21" s="89" t="s">
        <v>56</v>
      </c>
      <c r="B21" s="89" t="s">
        <v>4</v>
      </c>
      <c r="C21" s="90" t="s">
        <v>314</v>
      </c>
      <c r="D21" s="90"/>
      <c r="E21" s="89" t="s">
        <v>55</v>
      </c>
      <c r="F21" s="89" t="s">
        <v>4</v>
      </c>
      <c r="G21" s="90" t="s">
        <v>315</v>
      </c>
      <c r="H21" s="90"/>
    </row>
    <row r="22" spans="1:9" ht="20.25" x14ac:dyDescent="0.25">
      <c r="A22" s="89" t="s">
        <v>160</v>
      </c>
      <c r="B22" s="89" t="s">
        <v>4</v>
      </c>
      <c r="C22" s="90" t="s">
        <v>326</v>
      </c>
      <c r="D22" s="90"/>
      <c r="E22" s="89" t="s">
        <v>161</v>
      </c>
      <c r="F22" s="89" t="s">
        <v>4</v>
      </c>
      <c r="G22" s="90" t="s">
        <v>345</v>
      </c>
      <c r="H22" s="90"/>
    </row>
    <row r="23" spans="1:9" ht="21.75" customHeight="1" x14ac:dyDescent="0.25">
      <c r="A23" s="89" t="s">
        <v>158</v>
      </c>
      <c r="B23" s="89" t="s">
        <v>4</v>
      </c>
      <c r="C23" s="160" t="s">
        <v>327</v>
      </c>
      <c r="D23" s="161"/>
      <c r="E23" s="161"/>
      <c r="F23" s="161"/>
      <c r="G23" s="161"/>
      <c r="H23" s="161"/>
    </row>
    <row r="24" spans="1:9" ht="46.5" customHeight="1" x14ac:dyDescent="0.25">
      <c r="A24" s="89" t="s">
        <v>25</v>
      </c>
      <c r="B24" s="89" t="s">
        <v>4</v>
      </c>
      <c r="C24" s="90" t="s">
        <v>347</v>
      </c>
      <c r="D24" s="90"/>
      <c r="E24" s="90"/>
      <c r="F24" s="90"/>
      <c r="G24" s="90"/>
      <c r="H24" s="90"/>
      <c r="I24" s="80" t="s">
        <v>346</v>
      </c>
    </row>
    <row r="25" spans="1:9" ht="24" customHeight="1" x14ac:dyDescent="0.25">
      <c r="A25" s="118" t="s">
        <v>20</v>
      </c>
      <c r="B25" s="118"/>
      <c r="C25" s="118"/>
      <c r="D25" s="118"/>
      <c r="E25" s="118"/>
      <c r="F25" s="118"/>
      <c r="G25" s="118"/>
      <c r="H25" s="118"/>
    </row>
    <row r="26" spans="1:9" ht="43.5" customHeight="1" x14ac:dyDescent="0.25">
      <c r="A26" s="89" t="s">
        <v>26</v>
      </c>
      <c r="B26" s="89" t="s">
        <v>4</v>
      </c>
      <c r="C26" s="90" t="str">
        <f>IF(AND(G26="Upper"),"Developed","Developing")</f>
        <v>Developed</v>
      </c>
      <c r="D26" s="90"/>
      <c r="E26" s="89" t="s">
        <v>13</v>
      </c>
      <c r="F26" s="89" t="s">
        <v>4</v>
      </c>
      <c r="G26" s="90" t="s">
        <v>328</v>
      </c>
      <c r="H26" s="90"/>
    </row>
    <row r="27" spans="1:9" ht="43.5" customHeight="1" x14ac:dyDescent="0.25">
      <c r="A27" s="89" t="s">
        <v>14</v>
      </c>
      <c r="B27" s="89" t="s">
        <v>4</v>
      </c>
      <c r="C27" s="90" t="s">
        <v>97</v>
      </c>
      <c r="D27" s="90"/>
      <c r="E27" s="89" t="s">
        <v>148</v>
      </c>
      <c r="F27" s="89" t="s">
        <v>4</v>
      </c>
      <c r="G27" s="90" t="s">
        <v>231</v>
      </c>
      <c r="H27" s="90"/>
    </row>
    <row r="28" spans="1:9" ht="43.5" customHeight="1" x14ac:dyDescent="0.25">
      <c r="A28" s="89" t="s">
        <v>23</v>
      </c>
      <c r="B28" s="89" t="s">
        <v>4</v>
      </c>
      <c r="C28" s="90" t="s">
        <v>96</v>
      </c>
      <c r="D28" s="90"/>
      <c r="E28" s="89" t="s">
        <v>16</v>
      </c>
      <c r="F28" s="89" t="s">
        <v>4</v>
      </c>
      <c r="G28" s="90" t="s">
        <v>316</v>
      </c>
      <c r="H28" s="90"/>
    </row>
    <row r="29" spans="1:9" ht="43.5" customHeight="1" x14ac:dyDescent="0.25">
      <c r="A29" s="89" t="s">
        <v>106</v>
      </c>
      <c r="B29" s="89" t="s">
        <v>4</v>
      </c>
      <c r="C29" s="90" t="s">
        <v>317</v>
      </c>
      <c r="D29" s="90"/>
      <c r="E29" s="89" t="s">
        <v>107</v>
      </c>
      <c r="F29" s="89" t="s">
        <v>4</v>
      </c>
      <c r="G29" s="90" t="s">
        <v>321</v>
      </c>
      <c r="H29" s="90"/>
    </row>
    <row r="30" spans="1:9" ht="84" customHeight="1" x14ac:dyDescent="0.25">
      <c r="A30" s="89" t="s">
        <v>17</v>
      </c>
      <c r="B30" s="89" t="s">
        <v>4</v>
      </c>
      <c r="C30" s="90" t="s">
        <v>318</v>
      </c>
      <c r="D30" s="90"/>
      <c r="E30" s="89" t="s">
        <v>15</v>
      </c>
      <c r="F30" s="89" t="s">
        <v>4</v>
      </c>
      <c r="G30" s="90" t="s">
        <v>319</v>
      </c>
      <c r="H30" s="90"/>
    </row>
    <row r="31" spans="1:9" ht="20.25" x14ac:dyDescent="0.25">
      <c r="A31" s="89" t="s">
        <v>112</v>
      </c>
      <c r="B31" s="89" t="s">
        <v>4</v>
      </c>
      <c r="C31" s="90" t="s">
        <v>113</v>
      </c>
      <c r="D31" s="90"/>
      <c r="E31" s="89" t="s">
        <v>114</v>
      </c>
      <c r="F31" s="89" t="s">
        <v>4</v>
      </c>
      <c r="G31" s="90" t="s">
        <v>113</v>
      </c>
      <c r="H31" s="90"/>
    </row>
    <row r="32" spans="1:9" ht="21.75" customHeight="1" x14ac:dyDescent="0.25">
      <c r="A32" s="89" t="s">
        <v>115</v>
      </c>
      <c r="B32" s="89" t="s">
        <v>4</v>
      </c>
      <c r="C32" s="90" t="s">
        <v>113</v>
      </c>
      <c r="D32" s="90"/>
      <c r="E32" s="90"/>
      <c r="F32" s="90"/>
      <c r="G32" s="90"/>
      <c r="H32" s="90"/>
    </row>
    <row r="33" spans="1:15" ht="20.25" x14ac:dyDescent="0.25">
      <c r="A33" s="130" t="s">
        <v>37</v>
      </c>
      <c r="B33" s="130"/>
      <c r="C33" s="130"/>
      <c r="D33" s="130"/>
      <c r="E33" s="130"/>
      <c r="F33" s="130"/>
      <c r="G33" s="130"/>
      <c r="H33" s="130"/>
    </row>
    <row r="34" spans="1:15" ht="43.5" customHeight="1" x14ac:dyDescent="0.25">
      <c r="A34" s="89" t="s">
        <v>18</v>
      </c>
      <c r="B34" s="89"/>
      <c r="C34" s="90" t="s">
        <v>98</v>
      </c>
      <c r="D34" s="90"/>
      <c r="E34" s="89" t="s">
        <v>19</v>
      </c>
      <c r="F34" s="89" t="s">
        <v>4</v>
      </c>
      <c r="G34" s="90" t="s">
        <v>99</v>
      </c>
      <c r="H34" s="90"/>
    </row>
    <row r="35" spans="1:15" ht="43.5" customHeight="1" x14ac:dyDescent="0.25">
      <c r="A35" s="89" t="s">
        <v>22</v>
      </c>
      <c r="B35" s="89"/>
      <c r="C35" s="90" t="s">
        <v>99</v>
      </c>
      <c r="D35" s="90"/>
      <c r="E35" s="89" t="s">
        <v>32</v>
      </c>
      <c r="F35" s="89" t="s">
        <v>4</v>
      </c>
      <c r="G35" s="90" t="s">
        <v>99</v>
      </c>
      <c r="H35" s="90"/>
    </row>
    <row r="36" spans="1:15" ht="20.25" x14ac:dyDescent="0.25">
      <c r="A36" s="89" t="s">
        <v>31</v>
      </c>
      <c r="B36" s="89"/>
      <c r="C36" s="90" t="s">
        <v>100</v>
      </c>
      <c r="D36" s="90"/>
      <c r="E36" s="89" t="s">
        <v>21</v>
      </c>
      <c r="F36" s="89" t="s">
        <v>4</v>
      </c>
      <c r="G36" s="90" t="s">
        <v>101</v>
      </c>
      <c r="H36" s="90"/>
    </row>
    <row r="37" spans="1:15" ht="20.25" x14ac:dyDescent="0.25">
      <c r="A37" s="118" t="s">
        <v>0</v>
      </c>
      <c r="B37" s="118"/>
      <c r="C37" s="118"/>
      <c r="D37" s="118"/>
      <c r="E37" s="118"/>
      <c r="F37" s="118"/>
      <c r="G37" s="118"/>
      <c r="H37" s="118"/>
    </row>
    <row r="38" spans="1:15" ht="20.25" x14ac:dyDescent="0.25">
      <c r="A38" s="93" t="s">
        <v>0</v>
      </c>
      <c r="B38" s="93"/>
      <c r="C38" s="93" t="s">
        <v>216</v>
      </c>
      <c r="D38" s="93"/>
      <c r="E38" s="93"/>
      <c r="F38" s="93" t="s">
        <v>7</v>
      </c>
      <c r="G38" s="93"/>
      <c r="H38" s="93"/>
      <c r="J38" s="91" t="s">
        <v>1</v>
      </c>
      <c r="K38" s="92"/>
      <c r="L38" s="37" t="s">
        <v>6</v>
      </c>
      <c r="M38" s="91" t="s">
        <v>2</v>
      </c>
      <c r="N38" s="92"/>
      <c r="O38" s="37" t="s">
        <v>3</v>
      </c>
    </row>
    <row r="39" spans="1:15" ht="20.25" x14ac:dyDescent="0.25">
      <c r="A39" s="96" t="s">
        <v>2</v>
      </c>
      <c r="B39" s="96"/>
      <c r="C39" s="94" t="s">
        <v>306</v>
      </c>
      <c r="D39" s="94"/>
      <c r="E39" s="94"/>
      <c r="F39" s="94" t="s">
        <v>310</v>
      </c>
      <c r="G39" s="94"/>
      <c r="H39" s="94"/>
    </row>
    <row r="40" spans="1:15" ht="47.25" customHeight="1" x14ac:dyDescent="0.25">
      <c r="A40" s="96" t="s">
        <v>3</v>
      </c>
      <c r="B40" s="96"/>
      <c r="C40" s="95" t="s">
        <v>330</v>
      </c>
      <c r="D40" s="95"/>
      <c r="E40" s="95"/>
      <c r="F40" s="95" t="s">
        <v>309</v>
      </c>
      <c r="G40" s="95"/>
      <c r="H40" s="95"/>
    </row>
    <row r="41" spans="1:15" ht="20.25" x14ac:dyDescent="0.25">
      <c r="A41" s="96" t="s">
        <v>1</v>
      </c>
      <c r="B41" s="96"/>
      <c r="C41" s="94" t="s">
        <v>308</v>
      </c>
      <c r="D41" s="94"/>
      <c r="E41" s="94"/>
      <c r="F41" s="94" t="s">
        <v>310</v>
      </c>
      <c r="G41" s="94"/>
      <c r="H41" s="94"/>
    </row>
    <row r="42" spans="1:15" ht="20.25" x14ac:dyDescent="0.25">
      <c r="A42" s="96" t="s">
        <v>6</v>
      </c>
      <c r="B42" s="96"/>
      <c r="C42" s="94" t="s">
        <v>307</v>
      </c>
      <c r="D42" s="94"/>
      <c r="E42" s="94"/>
      <c r="F42" s="94" t="s">
        <v>329</v>
      </c>
      <c r="G42" s="94"/>
      <c r="H42" s="94"/>
    </row>
    <row r="43" spans="1:15" ht="47.25" customHeight="1" x14ac:dyDescent="0.25">
      <c r="A43" s="89" t="s">
        <v>217</v>
      </c>
      <c r="B43" s="89"/>
      <c r="C43" s="90" t="s">
        <v>96</v>
      </c>
      <c r="D43" s="90"/>
      <c r="E43" s="90"/>
      <c r="F43" s="90"/>
      <c r="G43" s="90"/>
      <c r="H43" s="90"/>
    </row>
    <row r="44" spans="1:15" ht="20.25" x14ac:dyDescent="0.25">
      <c r="A44" s="118" t="s">
        <v>57</v>
      </c>
      <c r="B44" s="118"/>
      <c r="C44" s="118"/>
      <c r="D44" s="118"/>
      <c r="E44" s="118"/>
      <c r="F44" s="118"/>
      <c r="G44" s="118"/>
      <c r="H44" s="118"/>
    </row>
    <row r="45" spans="1:15" ht="21" customHeight="1" x14ac:dyDescent="0.25">
      <c r="A45" s="93" t="s">
        <v>58</v>
      </c>
      <c r="B45" s="93"/>
      <c r="C45" s="37" t="s">
        <v>59</v>
      </c>
      <c r="D45" s="93" t="s">
        <v>146</v>
      </c>
      <c r="E45" s="93"/>
      <c r="F45" s="93"/>
      <c r="G45" s="93" t="s">
        <v>60</v>
      </c>
      <c r="H45" s="93"/>
    </row>
    <row r="46" spans="1:15" ht="20.25" x14ac:dyDescent="0.25">
      <c r="A46" s="162" t="s">
        <v>332</v>
      </c>
      <c r="B46" s="162"/>
      <c r="C46" s="34" t="s">
        <v>88</v>
      </c>
      <c r="D46" s="90" t="s">
        <v>334</v>
      </c>
      <c r="E46" s="90"/>
      <c r="F46" s="90"/>
      <c r="G46" s="90" t="s">
        <v>334</v>
      </c>
      <c r="H46" s="90"/>
      <c r="I46" s="79" t="s">
        <v>322</v>
      </c>
      <c r="J46" s="79" t="s">
        <v>323</v>
      </c>
    </row>
    <row r="47" spans="1:15" ht="20.25" x14ac:dyDescent="0.25">
      <c r="A47" s="118" t="s">
        <v>61</v>
      </c>
      <c r="B47" s="118"/>
      <c r="C47" s="118"/>
      <c r="D47" s="118"/>
      <c r="E47" s="118"/>
      <c r="F47" s="118"/>
      <c r="G47" s="118"/>
      <c r="H47" s="118"/>
    </row>
    <row r="48" spans="1:15" ht="42.75" customHeight="1" x14ac:dyDescent="0.25">
      <c r="A48" s="89" t="s">
        <v>62</v>
      </c>
      <c r="B48" s="89" t="s">
        <v>4</v>
      </c>
      <c r="C48" s="90" t="s">
        <v>96</v>
      </c>
      <c r="D48" s="90"/>
      <c r="E48" s="90"/>
      <c r="F48" s="90"/>
      <c r="G48" s="90"/>
      <c r="H48" s="90"/>
    </row>
    <row r="49" spans="1:10" ht="20.25" x14ac:dyDescent="0.25">
      <c r="A49" s="89" t="s">
        <v>63</v>
      </c>
      <c r="B49" s="89" t="s">
        <v>4</v>
      </c>
      <c r="C49" s="90" t="s">
        <v>298</v>
      </c>
      <c r="D49" s="90"/>
      <c r="E49" s="90"/>
      <c r="F49" s="90"/>
      <c r="G49" s="51" t="s">
        <v>218</v>
      </c>
      <c r="H49" s="78">
        <v>45741</v>
      </c>
    </row>
    <row r="50" spans="1:10" ht="20.25" x14ac:dyDescent="0.25">
      <c r="A50" s="89" t="s">
        <v>64</v>
      </c>
      <c r="B50" s="89" t="s">
        <v>4</v>
      </c>
      <c r="C50" s="90" t="s">
        <v>298</v>
      </c>
      <c r="D50" s="90"/>
      <c r="E50" s="90"/>
      <c r="F50" s="90"/>
      <c r="G50" s="51" t="s">
        <v>218</v>
      </c>
      <c r="H50" s="78">
        <v>45741</v>
      </c>
    </row>
    <row r="51" spans="1:10" ht="20.25" x14ac:dyDescent="0.25">
      <c r="A51" s="89" t="s">
        <v>303</v>
      </c>
      <c r="B51" s="89"/>
      <c r="C51" s="90" t="s">
        <v>304</v>
      </c>
      <c r="D51" s="90"/>
      <c r="E51" s="90"/>
      <c r="F51" s="90"/>
      <c r="G51" s="51" t="s">
        <v>218</v>
      </c>
      <c r="H51" s="85">
        <v>45751</v>
      </c>
    </row>
    <row r="52" spans="1:10" ht="45" customHeight="1" x14ac:dyDescent="0.25">
      <c r="A52" s="89"/>
      <c r="B52" s="89"/>
      <c r="C52" s="107" t="s">
        <v>341</v>
      </c>
      <c r="D52" s="108"/>
      <c r="E52" s="108"/>
      <c r="F52" s="108"/>
      <c r="G52" s="108"/>
      <c r="H52" s="109"/>
    </row>
    <row r="53" spans="1:10" ht="46.5" hidden="1" customHeight="1" x14ac:dyDescent="0.25">
      <c r="A53" s="89" t="s">
        <v>65</v>
      </c>
      <c r="B53" s="89" t="s">
        <v>4</v>
      </c>
      <c r="C53" s="90"/>
      <c r="D53" s="90"/>
      <c r="E53" s="90"/>
      <c r="F53" s="90"/>
      <c r="G53" s="51" t="s">
        <v>219</v>
      </c>
      <c r="H53" s="36"/>
    </row>
    <row r="54" spans="1:10" ht="45" hidden="1" customHeight="1" x14ac:dyDescent="0.25">
      <c r="A54" s="89" t="s">
        <v>67</v>
      </c>
      <c r="B54" s="89" t="s">
        <v>4</v>
      </c>
      <c r="C54" s="90"/>
      <c r="D54" s="90"/>
      <c r="E54" s="90"/>
      <c r="F54" s="90"/>
      <c r="G54" s="51" t="s">
        <v>219</v>
      </c>
      <c r="H54" s="36"/>
    </row>
    <row r="55" spans="1:10" ht="46.5" hidden="1" customHeight="1" x14ac:dyDescent="0.25">
      <c r="A55" s="89" t="s">
        <v>66</v>
      </c>
      <c r="B55" s="89" t="s">
        <v>4</v>
      </c>
      <c r="C55" s="90"/>
      <c r="D55" s="90"/>
      <c r="E55" s="90"/>
      <c r="F55" s="90"/>
      <c r="G55" s="51" t="s">
        <v>219</v>
      </c>
      <c r="H55" s="36"/>
    </row>
    <row r="56" spans="1:10" ht="45" customHeight="1" x14ac:dyDescent="0.25">
      <c r="A56" s="132" t="s">
        <v>331</v>
      </c>
      <c r="B56" s="134"/>
      <c r="C56" s="90" t="s">
        <v>305</v>
      </c>
      <c r="D56" s="90"/>
      <c r="E56" s="90"/>
      <c r="F56" s="90"/>
      <c r="G56" s="51" t="s">
        <v>219</v>
      </c>
      <c r="H56" s="85">
        <v>44955</v>
      </c>
    </row>
    <row r="57" spans="1:10" ht="20.25" x14ac:dyDescent="0.25">
      <c r="A57" s="138"/>
      <c r="B57" s="140"/>
      <c r="C57" s="107" t="s">
        <v>333</v>
      </c>
      <c r="D57" s="108"/>
      <c r="E57" s="108"/>
      <c r="F57" s="108"/>
      <c r="G57" s="108"/>
      <c r="H57" s="109"/>
    </row>
    <row r="58" spans="1:10" ht="21" thickBot="1" x14ac:dyDescent="0.3">
      <c r="A58" s="118" t="s">
        <v>68</v>
      </c>
      <c r="B58" s="118"/>
      <c r="C58" s="118"/>
      <c r="D58" s="118"/>
      <c r="E58" s="118"/>
      <c r="F58" s="118"/>
      <c r="G58" s="118"/>
      <c r="H58" s="118"/>
    </row>
    <row r="59" spans="1:10" ht="20.25" customHeight="1" x14ac:dyDescent="0.3">
      <c r="A59" s="142" t="s">
        <v>335</v>
      </c>
      <c r="B59" s="143"/>
      <c r="C59" s="144"/>
      <c r="D59" s="84" t="s">
        <v>116</v>
      </c>
      <c r="E59" s="164" t="s">
        <v>103</v>
      </c>
      <c r="F59" s="164"/>
      <c r="G59" s="84" t="s">
        <v>117</v>
      </c>
      <c r="H59" s="84" t="s">
        <v>118</v>
      </c>
      <c r="I59" s="14" t="str">
        <f>(IF(E62&gt;99%,"All work completed. Please provide OC.",IF(E62&gt;89.8%,"Plinth, RCC, Brick, Plaster, Flooring, Wooden, Plumbing, Electrification, etc., work Completed. Finishing work is in process.",IF(E62&lt;94%,(IF(C62=0,"Work not yet Started.",IF(D62=25%,"Piling work in process",IF(D62=50%,"Excavation work in process",IF(D62=100%,"Excavation work Completed. ","0")))&amp;(IF(C63=0%,"",IF(C63=J64,"Footing work is process",IF(C63=J65,"Footing work Completed",IF(C63=J66,"1st Basement Completed",IF(C63=J67,"1st &amp; 2nd Basement Completed",IF(C63=J68,"1st to 3rd Basement Completed",IF(C63=J69,"1st to 4th Basement Completed",IF(C63=J70,"Plinth work is process",IF(C63=J71,"Plinth work completed","0")))))))))))&amp;(IF(C64=(E60+G60+H60),", RCC Slab",IF(C64&gt;0,", RCC upto "&amp;C64&amp;" Slab",""))&amp;(IF(C65=H60,", Brickwork",IF(C65&gt;0,", Brickwork upto "&amp;C65&amp;" Floor",""))&amp;(IF(C66=H60,", Internal Plaster",IF(C66&gt;0,", Internal Plaster upto "&amp;C66&amp;" Floor",""))&amp;(IF(C67=H60,", External Plaster",IF(C67&gt;0,", External Plaster upto "&amp;C67&amp;" Floor",""))&amp;(IF(C68=H60,", External Plumbing, Elevation and Waterproofing",IF(C68&gt;0,", External Plumbing, Elevation and Waterproofing upto "&amp;C68&amp;" Floor",""))&amp;(IF(C69=H60,", Flooring &amp; Fitting",IF(C69&gt;0,", Flooring &amp; Fitting upto "&amp;C69&amp;" Floor",""))&amp;(IF(C70=H60,", Wooden Work",IF(C70&gt;0,", Wooden Work upto "&amp;C70&amp;" Floor",""))&amp;(IF(C71=H60,", Electrical &amp; Sanitary fittings",IF(C71&gt;0,", Electrical &amp; Sanitary fittings upto "&amp;C71&amp;" Floor",""))&amp;(IF(C72&gt;0,", Finishing upto "&amp;C72&amp;" Floor","")&amp;(IF(C64&gt;0.5," Completed",""))))))))))))))))</f>
        <v>Excavation work Completed. Footing work is process</v>
      </c>
      <c r="J59" s="16"/>
    </row>
    <row r="60" spans="1:10" ht="20.25" x14ac:dyDescent="0.3">
      <c r="A60" s="145"/>
      <c r="B60" s="146"/>
      <c r="C60" s="147"/>
      <c r="D60" s="84">
        <v>1</v>
      </c>
      <c r="E60" s="164">
        <v>1</v>
      </c>
      <c r="F60" s="164"/>
      <c r="G60" s="84">
        <v>0</v>
      </c>
      <c r="H60" s="84">
        <v>22</v>
      </c>
      <c r="I60" s="15" t="s">
        <v>122</v>
      </c>
      <c r="J60" s="16"/>
    </row>
    <row r="61" spans="1:10" ht="20.25" customHeight="1" x14ac:dyDescent="0.3">
      <c r="A61" s="163" t="s">
        <v>120</v>
      </c>
      <c r="B61" s="163"/>
      <c r="C61" s="83" t="s">
        <v>130</v>
      </c>
      <c r="D61" s="83" t="s">
        <v>131</v>
      </c>
      <c r="E61" s="163" t="s">
        <v>121</v>
      </c>
      <c r="F61" s="163"/>
      <c r="G61" s="26" t="s">
        <v>119</v>
      </c>
      <c r="H61" s="26"/>
      <c r="I61" s="18" t="s">
        <v>132</v>
      </c>
      <c r="J61" s="17">
        <f>H60*25%</f>
        <v>5.5</v>
      </c>
    </row>
    <row r="62" spans="1:10" ht="20.25" customHeight="1" x14ac:dyDescent="0.3">
      <c r="A62" s="104" t="s">
        <v>133</v>
      </c>
      <c r="B62" s="104"/>
      <c r="C62" s="84">
        <f>J63</f>
        <v>22</v>
      </c>
      <c r="D62" s="82">
        <f>((100/H60)*C62)/100</f>
        <v>1.0000000000000002</v>
      </c>
      <c r="E62" s="104">
        <f>(((C62/H60*5)+(C63/H60*20)+(25/(E60+G60+H60)*C64)+(5/(H60)*C65)+(2.5/(H60)*C66)+(2.5/(H60)*C67)+(5/H60*C68)+(10/H60*C69)+(2.5/H60*C70)+(2.5/H60*C71)+(10/H60*C72)+(10/H60*C73))/100)</f>
        <v>0.09</v>
      </c>
      <c r="F62" s="104"/>
      <c r="G62" s="104" t="str">
        <f>I59</f>
        <v>Excavation work Completed. Footing work is process</v>
      </c>
      <c r="H62" s="104"/>
      <c r="I62" s="18" t="s">
        <v>123</v>
      </c>
      <c r="J62" s="22">
        <f>H60*50%</f>
        <v>11</v>
      </c>
    </row>
    <row r="63" spans="1:10" ht="20.25" customHeight="1" x14ac:dyDescent="0.3">
      <c r="A63" s="104" t="s">
        <v>104</v>
      </c>
      <c r="B63" s="104"/>
      <c r="C63" s="86">
        <f>J64</f>
        <v>4.4000000000000004</v>
      </c>
      <c r="D63" s="82">
        <f>((100/H60)*C63)/100</f>
        <v>0.20000000000000004</v>
      </c>
      <c r="E63" s="104"/>
      <c r="F63" s="104"/>
      <c r="G63" s="104"/>
      <c r="H63" s="104"/>
      <c r="I63" s="18" t="s">
        <v>124</v>
      </c>
      <c r="J63" s="22">
        <f>H60</f>
        <v>22</v>
      </c>
    </row>
    <row r="64" spans="1:10" ht="21" customHeight="1" x14ac:dyDescent="0.35">
      <c r="A64" s="104" t="s">
        <v>134</v>
      </c>
      <c r="B64" s="104"/>
      <c r="C64" s="84">
        <v>0</v>
      </c>
      <c r="D64" s="82">
        <f>((100/(E60+G60+H60))*C64)/100</f>
        <v>0</v>
      </c>
      <c r="E64" s="104"/>
      <c r="F64" s="104"/>
      <c r="G64" s="104"/>
      <c r="H64" s="104"/>
      <c r="I64" s="18" t="s">
        <v>125</v>
      </c>
      <c r="J64" s="23">
        <f>(IF(D60&gt;1,(H60/(D60+2)),H60*0.2))</f>
        <v>4.4000000000000004</v>
      </c>
    </row>
    <row r="65" spans="1:11" ht="21" customHeight="1" x14ac:dyDescent="0.35">
      <c r="A65" s="104" t="s">
        <v>135</v>
      </c>
      <c r="B65" s="104"/>
      <c r="C65" s="84">
        <v>0</v>
      </c>
      <c r="D65" s="82">
        <f>((100/H60)*C65)/100</f>
        <v>0</v>
      </c>
      <c r="E65" s="104"/>
      <c r="F65" s="104"/>
      <c r="G65" s="104"/>
      <c r="H65" s="104"/>
      <c r="I65" s="18" t="s">
        <v>126</v>
      </c>
      <c r="J65" s="23">
        <f>(IF(D60&gt;1,(H60/(D60+2)+J64),H60*0.2+J64))</f>
        <v>8.8000000000000007</v>
      </c>
    </row>
    <row r="66" spans="1:11" ht="21" customHeight="1" x14ac:dyDescent="0.35">
      <c r="A66" s="105" t="s">
        <v>136</v>
      </c>
      <c r="B66" s="106"/>
      <c r="C66" s="84">
        <v>0</v>
      </c>
      <c r="D66" s="82">
        <f>((100/H60)*C66)/100</f>
        <v>0</v>
      </c>
      <c r="E66" s="104"/>
      <c r="F66" s="104"/>
      <c r="G66" s="104"/>
      <c r="H66" s="104"/>
      <c r="I66" s="18" t="s">
        <v>137</v>
      </c>
      <c r="J66" s="23">
        <f>(IF(D60&gt;1,(H60/(D60+2)+J65),0))</f>
        <v>0</v>
      </c>
    </row>
    <row r="67" spans="1:11" ht="21" customHeight="1" x14ac:dyDescent="0.35">
      <c r="A67" s="105" t="s">
        <v>167</v>
      </c>
      <c r="B67" s="106"/>
      <c r="C67" s="84">
        <v>0</v>
      </c>
      <c r="D67" s="82">
        <f>((100/H60)*C67)/100</f>
        <v>0</v>
      </c>
      <c r="E67" s="104"/>
      <c r="F67" s="104"/>
      <c r="G67" s="104"/>
      <c r="H67" s="104"/>
      <c r="I67" s="18" t="s">
        <v>138</v>
      </c>
      <c r="J67" s="23">
        <f>(IF(D60&gt;2,(H60/(D60+2)+J66),0))</f>
        <v>0</v>
      </c>
    </row>
    <row r="68" spans="1:11" ht="63" customHeight="1" x14ac:dyDescent="0.35">
      <c r="A68" s="105" t="s">
        <v>164</v>
      </c>
      <c r="B68" s="106"/>
      <c r="C68" s="84">
        <v>0</v>
      </c>
      <c r="D68" s="82">
        <f>((100/(H60))*C68)/100</f>
        <v>0</v>
      </c>
      <c r="E68" s="104"/>
      <c r="F68" s="104"/>
      <c r="G68" s="104"/>
      <c r="H68" s="104"/>
      <c r="I68" s="18" t="s">
        <v>140</v>
      </c>
      <c r="J68" s="24">
        <f>(IF(D60&gt;3,(H60/(D60+2)+J67),0))</f>
        <v>0</v>
      </c>
    </row>
    <row r="69" spans="1:11" ht="21" customHeight="1" x14ac:dyDescent="0.35">
      <c r="A69" s="104" t="s">
        <v>139</v>
      </c>
      <c r="B69" s="104"/>
      <c r="C69" s="84">
        <v>0</v>
      </c>
      <c r="D69" s="82">
        <f>((100/(H60))*C69)/100</f>
        <v>0</v>
      </c>
      <c r="E69" s="104"/>
      <c r="F69" s="104"/>
      <c r="G69" s="104"/>
      <c r="H69" s="104"/>
      <c r="I69" s="18" t="s">
        <v>141</v>
      </c>
      <c r="J69" s="23">
        <f>(IF(D60&gt;4,(H60/(D60+2)+J68),0))</f>
        <v>0</v>
      </c>
    </row>
    <row r="70" spans="1:11" ht="21" customHeight="1" x14ac:dyDescent="0.35">
      <c r="A70" s="104" t="s">
        <v>166</v>
      </c>
      <c r="B70" s="104"/>
      <c r="C70" s="84">
        <v>0</v>
      </c>
      <c r="D70" s="82">
        <f>((100/H60)*C70)/100</f>
        <v>0</v>
      </c>
      <c r="E70" s="104"/>
      <c r="F70" s="104"/>
      <c r="G70" s="104"/>
      <c r="H70" s="104"/>
      <c r="I70" s="18" t="s">
        <v>127</v>
      </c>
      <c r="J70" s="23">
        <f>(IF(D60=1,(H60/(D60+3)+J65),IF(D60=0,(H60*0.3+J65),IF(D60&gt;1,0))))</f>
        <v>14.3</v>
      </c>
    </row>
    <row r="71" spans="1:11" ht="21.75" customHeight="1" thickBot="1" x14ac:dyDescent="0.4">
      <c r="A71" s="104" t="s">
        <v>165</v>
      </c>
      <c r="B71" s="104"/>
      <c r="C71" s="84">
        <v>0</v>
      </c>
      <c r="D71" s="82">
        <f>((100/H60)*C71)/100</f>
        <v>0</v>
      </c>
      <c r="E71" s="104"/>
      <c r="F71" s="104"/>
      <c r="G71" s="104"/>
      <c r="H71" s="104"/>
      <c r="I71" s="20" t="s">
        <v>128</v>
      </c>
      <c r="J71" s="25">
        <v>22</v>
      </c>
    </row>
    <row r="72" spans="1:11" ht="20.25" customHeight="1" x14ac:dyDescent="0.25">
      <c r="A72" s="104" t="s">
        <v>142</v>
      </c>
      <c r="B72" s="104"/>
      <c r="C72" s="84">
        <v>0</v>
      </c>
      <c r="D72" s="82">
        <f>((100/(H60))*C72)/100</f>
        <v>0</v>
      </c>
      <c r="E72" s="104"/>
      <c r="F72" s="104"/>
      <c r="G72" s="104"/>
      <c r="H72" s="104"/>
    </row>
    <row r="73" spans="1:11" ht="20.25" customHeight="1" x14ac:dyDescent="0.25">
      <c r="A73" s="104" t="s">
        <v>143</v>
      </c>
      <c r="B73" s="104"/>
      <c r="C73" s="84">
        <v>0</v>
      </c>
      <c r="D73" s="82">
        <f>((100/(H60))*C73)/100</f>
        <v>0</v>
      </c>
      <c r="E73" s="104"/>
      <c r="F73" s="104"/>
      <c r="G73" s="104"/>
      <c r="H73" s="104"/>
    </row>
    <row r="74" spans="1:11" ht="20.25" customHeight="1" x14ac:dyDescent="0.3">
      <c r="A74" s="165" t="s">
        <v>129</v>
      </c>
      <c r="B74" s="166"/>
      <c r="C74" s="166"/>
      <c r="D74" s="166"/>
      <c r="E74" s="166"/>
      <c r="F74" s="167"/>
      <c r="G74" s="170">
        <f>AVERAGE(E62)</f>
        <v>0.09</v>
      </c>
      <c r="H74" s="171"/>
      <c r="I74" s="18"/>
      <c r="J74" s="19"/>
      <c r="K74" s="19"/>
    </row>
    <row r="75" spans="1:11" ht="20.25" x14ac:dyDescent="0.25">
      <c r="A75" s="111" t="s">
        <v>72</v>
      </c>
      <c r="B75" s="112"/>
      <c r="C75" s="112"/>
      <c r="D75" s="112"/>
      <c r="E75" s="112"/>
      <c r="F75" s="112"/>
      <c r="G75" s="112"/>
      <c r="H75" s="113"/>
    </row>
    <row r="76" spans="1:11" ht="54.75" customHeight="1" x14ac:dyDescent="0.25">
      <c r="A76" s="114" t="s">
        <v>73</v>
      </c>
      <c r="B76" s="115"/>
      <c r="C76" s="119" t="s">
        <v>108</v>
      </c>
      <c r="D76" s="120"/>
      <c r="E76" s="114" t="s">
        <v>144</v>
      </c>
      <c r="F76" s="115" t="s">
        <v>4</v>
      </c>
      <c r="G76" s="129" t="s">
        <v>157</v>
      </c>
      <c r="H76" s="129"/>
    </row>
    <row r="77" spans="1:11" ht="44.25" customHeight="1" x14ac:dyDescent="0.25">
      <c r="A77" s="114" t="s">
        <v>154</v>
      </c>
      <c r="B77" s="115"/>
      <c r="C77" s="119" t="s">
        <v>344</v>
      </c>
      <c r="D77" s="120"/>
      <c r="E77" s="114" t="s">
        <v>155</v>
      </c>
      <c r="F77" s="115" t="s">
        <v>4</v>
      </c>
      <c r="G77" s="90" t="s">
        <v>145</v>
      </c>
      <c r="H77" s="90"/>
    </row>
    <row r="78" spans="1:11" ht="20.25" x14ac:dyDescent="0.25">
      <c r="A78" s="114" t="s">
        <v>74</v>
      </c>
      <c r="B78" s="115"/>
      <c r="C78" s="107">
        <v>1000000</v>
      </c>
      <c r="D78" s="109"/>
      <c r="E78" s="114" t="s">
        <v>102</v>
      </c>
      <c r="F78" s="115" t="s">
        <v>4</v>
      </c>
      <c r="G78" s="119" t="s">
        <v>109</v>
      </c>
      <c r="H78" s="120"/>
    </row>
    <row r="79" spans="1:11" ht="20.25" x14ac:dyDescent="0.25">
      <c r="A79" s="111" t="s">
        <v>71</v>
      </c>
      <c r="B79" s="112"/>
      <c r="C79" s="112"/>
      <c r="D79" s="112"/>
      <c r="E79" s="112"/>
      <c r="F79" s="112"/>
      <c r="G79" s="112"/>
      <c r="H79" s="113"/>
    </row>
    <row r="80" spans="1:11" ht="20.25" customHeight="1" x14ac:dyDescent="0.25">
      <c r="A80" s="114" t="s">
        <v>8</v>
      </c>
      <c r="B80" s="121"/>
      <c r="C80" s="121"/>
      <c r="D80" s="121"/>
      <c r="E80" s="121"/>
      <c r="F80" s="115"/>
      <c r="G80" s="154">
        <f>85060/10.764</f>
        <v>7902.2668153102941</v>
      </c>
      <c r="H80" s="155"/>
    </row>
    <row r="81" spans="1:150 16226:16383" ht="20.25" customHeight="1" x14ac:dyDescent="0.25">
      <c r="A81" s="114" t="s">
        <v>28</v>
      </c>
      <c r="B81" s="121"/>
      <c r="C81" s="121"/>
      <c r="D81" s="121"/>
      <c r="E81" s="121"/>
      <c r="F81" s="115" t="s">
        <v>4</v>
      </c>
      <c r="G81" s="110">
        <f>156890/10.764</f>
        <v>14575.436640654032</v>
      </c>
      <c r="H81" s="110"/>
    </row>
    <row r="82" spans="1:150 16226:16383" ht="20.25" customHeight="1" x14ac:dyDescent="0.25">
      <c r="A82" s="114" t="s">
        <v>110</v>
      </c>
      <c r="B82" s="121"/>
      <c r="C82" s="121"/>
      <c r="D82" s="121"/>
      <c r="E82" s="121"/>
      <c r="F82" s="115" t="s">
        <v>4</v>
      </c>
      <c r="G82" s="110">
        <f>G80*0.8</f>
        <v>6321.813452248236</v>
      </c>
      <c r="H82" s="110"/>
    </row>
    <row r="83" spans="1:150 16226:16383" ht="20.25" x14ac:dyDescent="0.25">
      <c r="A83" s="156" t="s">
        <v>220</v>
      </c>
      <c r="B83" s="157"/>
      <c r="C83" s="157"/>
      <c r="D83" s="157"/>
      <c r="E83" s="157"/>
      <c r="F83" s="157"/>
      <c r="G83" s="157"/>
      <c r="H83" s="158"/>
    </row>
    <row r="84" spans="1:150 16226:16383" s="2" customFormat="1" ht="20.25" x14ac:dyDescent="0.25">
      <c r="A84" s="127" t="s">
        <v>151</v>
      </c>
      <c r="B84" s="128"/>
      <c r="C84" s="127" t="s">
        <v>152</v>
      </c>
      <c r="D84" s="128"/>
      <c r="E84" s="127" t="s">
        <v>150</v>
      </c>
      <c r="F84" s="128"/>
      <c r="G84" s="127" t="s">
        <v>162</v>
      </c>
      <c r="H84" s="128"/>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50 16226:16383" s="2" customFormat="1" ht="20.25" x14ac:dyDescent="0.25">
      <c r="A85" s="116" t="s">
        <v>338</v>
      </c>
      <c r="B85" s="117"/>
      <c r="C85" s="116" t="s">
        <v>312</v>
      </c>
      <c r="D85" s="117"/>
      <c r="E85" s="116">
        <f>COUNT(F93:F106)+COUNT(F108:F121)*13+COUNT(F123:F136)*7</f>
        <v>294</v>
      </c>
      <c r="F85" s="117"/>
      <c r="G85" s="116">
        <f>SUM(H93:H106)+SUM(H108:H121)*13+SUM(H123:H136)*7</f>
        <v>55880.337239999979</v>
      </c>
      <c r="H85" s="117"/>
      <c r="I85" s="79" t="s">
        <v>313</v>
      </c>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50 16226:16383" s="2" customFormat="1" ht="20.25" x14ac:dyDescent="0.25">
      <c r="A86" s="127" t="s">
        <v>153</v>
      </c>
      <c r="B86" s="128"/>
      <c r="C86" s="127" t="s">
        <v>95</v>
      </c>
      <c r="D86" s="128"/>
      <c r="E86" s="127">
        <f>SUM(E85)</f>
        <v>294</v>
      </c>
      <c r="F86" s="128"/>
      <c r="G86" s="127">
        <f>SUM(G85)</f>
        <v>55880.337239999979</v>
      </c>
      <c r="H86" s="128"/>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50 16226:16383" ht="20.25" x14ac:dyDescent="0.25">
      <c r="A87" s="168" t="s">
        <v>149</v>
      </c>
      <c r="B87" s="169"/>
      <c r="C87" s="169"/>
      <c r="D87" s="169"/>
      <c r="E87" s="169"/>
      <c r="F87" s="169"/>
      <c r="G87" s="169"/>
      <c r="H87" s="158"/>
    </row>
    <row r="88" spans="1:150 16226:16383" ht="66" customHeight="1" x14ac:dyDescent="0.25">
      <c r="A88" s="52" t="s">
        <v>221</v>
      </c>
      <c r="B88" s="33" t="s">
        <v>222</v>
      </c>
      <c r="C88" s="32" t="s">
        <v>223</v>
      </c>
      <c r="D88" s="27" t="s">
        <v>89</v>
      </c>
      <c r="E88" s="33" t="s">
        <v>163</v>
      </c>
      <c r="F88" s="32" t="s">
        <v>224</v>
      </c>
      <c r="G88" s="27" t="s">
        <v>91</v>
      </c>
      <c r="H88" s="27" t="s">
        <v>90</v>
      </c>
      <c r="I88" s="1">
        <f>10.764</f>
        <v>10.763999999999999</v>
      </c>
    </row>
    <row r="89" spans="1:150 16226:16383" ht="20.25" x14ac:dyDescent="0.25">
      <c r="A89" s="151" t="s">
        <v>338</v>
      </c>
      <c r="B89" s="152"/>
      <c r="C89" s="152"/>
      <c r="D89" s="152"/>
      <c r="E89" s="152"/>
      <c r="F89" s="152"/>
      <c r="G89" s="152"/>
      <c r="H89" s="153"/>
    </row>
    <row r="90" spans="1:150 16226:16383" ht="20.25" x14ac:dyDescent="0.25">
      <c r="A90" s="148" t="s">
        <v>336</v>
      </c>
      <c r="B90" s="149"/>
      <c r="C90" s="149"/>
      <c r="D90" s="149"/>
      <c r="E90" s="149"/>
      <c r="F90" s="149"/>
      <c r="G90" s="149"/>
      <c r="H90" s="150"/>
    </row>
    <row r="91" spans="1:150 16226:16383" s="2" customFormat="1" ht="20.25" x14ac:dyDescent="0.25">
      <c r="A91" s="148" t="s">
        <v>299</v>
      </c>
      <c r="B91" s="149"/>
      <c r="C91" s="149"/>
      <c r="D91" s="149"/>
      <c r="E91" s="149"/>
      <c r="F91" s="149"/>
      <c r="G91" s="149"/>
      <c r="H91" s="150"/>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2" customFormat="1" ht="20.25" x14ac:dyDescent="0.25">
      <c r="A92" s="148" t="s">
        <v>337</v>
      </c>
      <c r="B92" s="149"/>
      <c r="C92" s="149"/>
      <c r="D92" s="149"/>
      <c r="E92" s="149"/>
      <c r="F92" s="149"/>
      <c r="G92" s="149"/>
      <c r="H92" s="150"/>
      <c r="I92" s="1">
        <f>1</f>
        <v>1</v>
      </c>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s="2" customFormat="1" ht="20.25" x14ac:dyDescent="0.25">
      <c r="A93" s="103">
        <v>1</v>
      </c>
      <c r="B93" s="103"/>
      <c r="C93" s="53" t="s">
        <v>300</v>
      </c>
      <c r="D93" s="53" t="s">
        <v>301</v>
      </c>
      <c r="E93" s="81">
        <f>(3.05*3.55+1.35*3.35+2.15*0.9+1.2*2.05)*(10.764)</f>
        <v>212.53518</v>
      </c>
      <c r="F93" s="77">
        <f t="shared" ref="F93:G106" si="0">0*(10.764)</f>
        <v>0</v>
      </c>
      <c r="G93" s="77">
        <f t="shared" si="0"/>
        <v>0</v>
      </c>
      <c r="H93" s="4">
        <f>E93+F93+(IF(G93&lt;101,G93,IF(G93&lt;201,G93/2,IF(G93&lt;=301,G93/3,G93/4))))</f>
        <v>212.53518</v>
      </c>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s="2" customFormat="1" ht="20.25" x14ac:dyDescent="0.25">
      <c r="A94" s="103">
        <v>2</v>
      </c>
      <c r="B94" s="103"/>
      <c r="C94" s="53" t="s">
        <v>300</v>
      </c>
      <c r="D94" s="53" t="s">
        <v>301</v>
      </c>
      <c r="E94" s="81">
        <f>(3.05*3.55+1.45*2.3+1.9*1.3)*(10.764)</f>
        <v>179.03222999999994</v>
      </c>
      <c r="F94" s="77">
        <f t="shared" si="0"/>
        <v>0</v>
      </c>
      <c r="G94" s="77">
        <f t="shared" si="0"/>
        <v>0</v>
      </c>
      <c r="H94" s="31">
        <f t="shared" ref="H94:H100" si="1">E94+F94+(IF(G94&lt;101,G94,IF(G94&lt;201,G94/2,IF(G94&lt;=301,G94/3,G94/4))))</f>
        <v>179.03222999999994</v>
      </c>
      <c r="I94" s="88">
        <f>7000000-(7000000*0.12)</f>
        <v>6160000</v>
      </c>
      <c r="J94" s="1"/>
      <c r="K94" s="88" t="s">
        <v>343</v>
      </c>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2" customFormat="1" ht="20.25" x14ac:dyDescent="0.25">
      <c r="A95" s="103">
        <v>3</v>
      </c>
      <c r="B95" s="103"/>
      <c r="C95" s="53" t="s">
        <v>300</v>
      </c>
      <c r="D95" s="53" t="s">
        <v>301</v>
      </c>
      <c r="E95" s="81">
        <f>(3.05*3.55+1.45*2.3+1.5*1.2+0.85*1)*(10.764)</f>
        <v>180.96974999999998</v>
      </c>
      <c r="F95" s="77">
        <f t="shared" si="0"/>
        <v>0</v>
      </c>
      <c r="G95" s="77">
        <f t="shared" si="0"/>
        <v>0</v>
      </c>
      <c r="H95" s="31">
        <f t="shared" si="1"/>
        <v>180.96974999999998</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2" customFormat="1" ht="20.25" customHeight="1" x14ac:dyDescent="0.25">
      <c r="A96" s="103">
        <v>4</v>
      </c>
      <c r="B96" s="103"/>
      <c r="C96" s="53" t="s">
        <v>300</v>
      </c>
      <c r="D96" s="53" t="s">
        <v>301</v>
      </c>
      <c r="E96" s="81">
        <f>(3.05*3.55+1.45*2.15+1.5*1.2+0.85*1)*(10.764)</f>
        <v>178.62857999999997</v>
      </c>
      <c r="F96" s="77">
        <f t="shared" si="0"/>
        <v>0</v>
      </c>
      <c r="G96" s="77">
        <f t="shared" si="0"/>
        <v>0</v>
      </c>
      <c r="H96" s="31">
        <f t="shared" si="1"/>
        <v>178.62857999999997</v>
      </c>
      <c r="I96" s="1">
        <f>6000000/H96</f>
        <v>33589.249827771127</v>
      </c>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2" customFormat="1" ht="20.25" customHeight="1" x14ac:dyDescent="0.25">
      <c r="A97" s="103">
        <v>5</v>
      </c>
      <c r="B97" s="103"/>
      <c r="C97" s="53" t="s">
        <v>300</v>
      </c>
      <c r="D97" s="53" t="s">
        <v>301</v>
      </c>
      <c r="E97" s="81">
        <f>(3.05*3.55+1.45*2.15+1.5*1.2+0.85*1)*(10.764)</f>
        <v>178.62857999999997</v>
      </c>
      <c r="F97" s="77">
        <f t="shared" si="0"/>
        <v>0</v>
      </c>
      <c r="G97" s="77">
        <f t="shared" si="0"/>
        <v>0</v>
      </c>
      <c r="H97" s="31">
        <f t="shared" si="1"/>
        <v>178.62857999999997</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2" customFormat="1" ht="20.25" customHeight="1" x14ac:dyDescent="0.25">
      <c r="A98" s="103">
        <v>6</v>
      </c>
      <c r="B98" s="103"/>
      <c r="C98" s="53" t="s">
        <v>300</v>
      </c>
      <c r="D98" s="53" t="s">
        <v>301</v>
      </c>
      <c r="E98" s="87">
        <f>(3.05*3.55+1.45*2.3+1.5*1.2+0.85*1)*(10.764)</f>
        <v>180.96974999999998</v>
      </c>
      <c r="F98" s="77">
        <f t="shared" si="0"/>
        <v>0</v>
      </c>
      <c r="G98" s="77">
        <f t="shared" si="0"/>
        <v>0</v>
      </c>
      <c r="H98" s="31">
        <f t="shared" si="1"/>
        <v>180.96974999999998</v>
      </c>
      <c r="I98" s="1">
        <f>7000000-(7000000*0.08)</f>
        <v>6440000</v>
      </c>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2" customFormat="1" ht="20.25" customHeight="1" x14ac:dyDescent="0.25">
      <c r="A99" s="103">
        <v>7</v>
      </c>
      <c r="B99" s="103"/>
      <c r="C99" s="53" t="s">
        <v>300</v>
      </c>
      <c r="D99" s="53" t="s">
        <v>301</v>
      </c>
      <c r="E99" s="87">
        <f>(3.05*3.55+1.45*2.3+1.9*1.3)*(10.764)</f>
        <v>179.03222999999994</v>
      </c>
      <c r="F99" s="77">
        <f t="shared" si="0"/>
        <v>0</v>
      </c>
      <c r="G99" s="77">
        <f t="shared" si="0"/>
        <v>0</v>
      </c>
      <c r="H99" s="31">
        <f t="shared" si="1"/>
        <v>179.03222999999994</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2" customFormat="1" ht="20.25" customHeight="1" x14ac:dyDescent="0.25">
      <c r="A100" s="103">
        <v>8</v>
      </c>
      <c r="B100" s="103"/>
      <c r="C100" s="53" t="s">
        <v>300</v>
      </c>
      <c r="D100" s="53" t="s">
        <v>301</v>
      </c>
      <c r="E100" s="87">
        <f>(3.05*3.55+1.35*3.35+2.15*0.9+1.2*2.05)*(10.764)</f>
        <v>212.53518</v>
      </c>
      <c r="F100" s="77">
        <f t="shared" si="0"/>
        <v>0</v>
      </c>
      <c r="G100" s="77">
        <f t="shared" si="0"/>
        <v>0</v>
      </c>
      <c r="H100" s="31">
        <f t="shared" si="1"/>
        <v>212.53518</v>
      </c>
      <c r="I100" s="88">
        <f>800000/H100</f>
        <v>3764.0827273865907</v>
      </c>
      <c r="J100" s="88">
        <f>6900000/H100</f>
        <v>32465.213523709346</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2" customFormat="1" ht="20.25" x14ac:dyDescent="0.25">
      <c r="A101" s="103">
        <v>9</v>
      </c>
      <c r="B101" s="103"/>
      <c r="C101" s="53" t="s">
        <v>300</v>
      </c>
      <c r="D101" s="53" t="s">
        <v>301</v>
      </c>
      <c r="E101" s="81">
        <f>(3.05*3.55+1.35*3.35+2.15*0.9+1.2*2.05)*(10.764)</f>
        <v>212.53518</v>
      </c>
      <c r="F101" s="77">
        <f t="shared" si="0"/>
        <v>0</v>
      </c>
      <c r="G101" s="77">
        <f t="shared" si="0"/>
        <v>0</v>
      </c>
      <c r="H101" s="77">
        <f>E101+F101+(IF(G101&lt;101,G101,IF(G101&lt;201,G101/2,IF(G101&lt;=301,G101/3,G101/4))))</f>
        <v>212.53518</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2" customFormat="1" ht="20.25" x14ac:dyDescent="0.25">
      <c r="A102" s="103">
        <v>10</v>
      </c>
      <c r="B102" s="103"/>
      <c r="C102" s="53" t="s">
        <v>300</v>
      </c>
      <c r="D102" s="53" t="s">
        <v>301</v>
      </c>
      <c r="E102" s="81">
        <f>(3.05*3.55+1.45*2.3+1.9*1.3)*(10.764)</f>
        <v>179.03222999999994</v>
      </c>
      <c r="F102" s="77">
        <f t="shared" si="0"/>
        <v>0</v>
      </c>
      <c r="G102" s="77">
        <f t="shared" si="0"/>
        <v>0</v>
      </c>
      <c r="H102" s="77">
        <f t="shared" ref="H102:H106" si="2">E102+F102+(IF(G102&lt;101,G102,IF(G102&lt;201,G102/2,IF(G102&lt;=301,G102/3,G102/4))))</f>
        <v>179.03222999999994</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2" customFormat="1" ht="20.25" x14ac:dyDescent="0.25">
      <c r="A103" s="103">
        <v>11</v>
      </c>
      <c r="B103" s="103"/>
      <c r="C103" s="53" t="s">
        <v>300</v>
      </c>
      <c r="D103" s="53" t="s">
        <v>301</v>
      </c>
      <c r="E103" s="81">
        <f>(3.05*3.55+1.45*2.3+1.5*1.2+0.85*1+0.9*0.7)*(10.764)</f>
        <v>187.75106999999997</v>
      </c>
      <c r="F103" s="77">
        <f t="shared" si="0"/>
        <v>0</v>
      </c>
      <c r="G103" s="77">
        <f t="shared" si="0"/>
        <v>0</v>
      </c>
      <c r="H103" s="77">
        <f t="shared" si="2"/>
        <v>187.75106999999997</v>
      </c>
      <c r="I103" s="88">
        <f>7000000/H103</f>
        <v>37283.40935686812</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2" customFormat="1" ht="20.25" customHeight="1" x14ac:dyDescent="0.25">
      <c r="A104" s="103">
        <v>12</v>
      </c>
      <c r="B104" s="103"/>
      <c r="C104" s="53" t="s">
        <v>300</v>
      </c>
      <c r="D104" s="53" t="s">
        <v>301</v>
      </c>
      <c r="E104" s="81">
        <f>(3.05*3.55+1.45*2.3+1.5*1.2+0.85*1+0.9*0.7)*(10.764)</f>
        <v>187.75106999999997</v>
      </c>
      <c r="F104" s="77">
        <f t="shared" si="0"/>
        <v>0</v>
      </c>
      <c r="G104" s="77">
        <f t="shared" si="0"/>
        <v>0</v>
      </c>
      <c r="H104" s="77">
        <f t="shared" si="2"/>
        <v>187.75106999999997</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2" customFormat="1" ht="20.25" customHeight="1" x14ac:dyDescent="0.25">
      <c r="A105" s="103">
        <v>13</v>
      </c>
      <c r="B105" s="103"/>
      <c r="C105" s="53" t="s">
        <v>300</v>
      </c>
      <c r="D105" s="53" t="s">
        <v>301</v>
      </c>
      <c r="E105" s="81">
        <f>(3.05*3.55+1.45*2.3+1.9*1.3)*(10.764)</f>
        <v>179.03222999999994</v>
      </c>
      <c r="F105" s="77">
        <f t="shared" si="0"/>
        <v>0</v>
      </c>
      <c r="G105" s="77">
        <f t="shared" si="0"/>
        <v>0</v>
      </c>
      <c r="H105" s="77">
        <f t="shared" si="2"/>
        <v>179.03222999999994</v>
      </c>
      <c r="I105" s="1">
        <f>6990000/H105</f>
        <v>39043.249363536401</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2" customFormat="1" ht="20.25" customHeight="1" x14ac:dyDescent="0.25">
      <c r="A106" s="103">
        <v>14</v>
      </c>
      <c r="B106" s="103"/>
      <c r="C106" s="53" t="s">
        <v>300</v>
      </c>
      <c r="D106" s="53" t="s">
        <v>301</v>
      </c>
      <c r="E106" s="81">
        <f>(3.05*3.55+1.35*3.35+2.15*0.9+1.2*2.05)*(10.764)</f>
        <v>212.53518</v>
      </c>
      <c r="F106" s="77">
        <f t="shared" si="0"/>
        <v>0</v>
      </c>
      <c r="G106" s="77">
        <f t="shared" si="0"/>
        <v>0</v>
      </c>
      <c r="H106" s="77">
        <f t="shared" si="2"/>
        <v>212.53518</v>
      </c>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2" customFormat="1" ht="20.25" x14ac:dyDescent="0.25">
      <c r="A107" s="100" t="s">
        <v>302</v>
      </c>
      <c r="B107" s="101"/>
      <c r="C107" s="101"/>
      <c r="D107" s="101"/>
      <c r="E107" s="101"/>
      <c r="F107" s="101"/>
      <c r="G107" s="101"/>
      <c r="H107" s="102"/>
      <c r="I107" s="1">
        <f>6+7</f>
        <v>13</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2" customFormat="1" ht="20.25" customHeight="1" x14ac:dyDescent="0.25">
      <c r="A108" s="103">
        <v>1</v>
      </c>
      <c r="B108" s="103"/>
      <c r="C108" s="53" t="s">
        <v>300</v>
      </c>
      <c r="D108" s="53" t="s">
        <v>301</v>
      </c>
      <c r="E108" s="77">
        <f>(3.05*3.55+1.35*3.35+2.15*0.9+1.2*2.05)*(10.764)</f>
        <v>212.53518</v>
      </c>
      <c r="F108" s="77">
        <f t="shared" ref="F108:G121" si="3">0*(10.764)</f>
        <v>0</v>
      </c>
      <c r="G108" s="77">
        <f t="shared" si="3"/>
        <v>0</v>
      </c>
      <c r="H108" s="31">
        <f>E108+F108+(IF(G108&lt;101,G108,IF(G108&lt;201,G108/2,IF(G108&lt;=301,G108/3,G108/4))))</f>
        <v>212.53518</v>
      </c>
      <c r="I108" s="1"/>
      <c r="J108" s="1"/>
      <c r="K108" s="1"/>
      <c r="L108" s="1"/>
      <c r="M108" s="1"/>
      <c r="N108" s="1"/>
      <c r="O108" s="1"/>
      <c r="P108" s="1"/>
      <c r="Q108" s="1"/>
      <c r="R108" s="1"/>
      <c r="S108" s="1"/>
      <c r="T108" s="21" t="str">
        <f t="shared" ref="T108:T115" ca="1" si="4">U108&amp;""&amp;",..,"&amp;""&amp;V108</f>
        <v>2701,..,2101</v>
      </c>
      <c r="U108" s="21">
        <f ca="1">(SUMPRODUCT(MID(0&amp;(LEFT(A107,SUM(LEN(A107)-LEN(SUBSTITUTE(A107,{"0","1","2","3"},""))))), LARGE(INDEX(ISNUMBER(--MID((LEFT(A107,SUM(LEN(A107)-LEN(SUBSTITUTE(A107,{"0","1","2","3"},""))))), ROW(INDIRECT("1:"&amp;LEN((LEFT(A107,SUM(LEN(A107)-LEN(SUBSTITUTE(A107,{"0","1","2","3"},"")))))))), 1)) * ROW(INDIRECT("1:"&amp;LEN((LEFT(A107,SUM(LEN(A107)-LEN(SUBSTITUTE(A107,{"0","1","2","3"},"")))))))), 0), ROW(INDIRECT("1:"&amp;LEN((LEFT(A107,SUM(LEN(A107)-LEN(SUBSTITUTE(A107,{"0","1","2","3"},"")))))))))+1, 1) * 10^ROW(INDIRECT("1:"&amp;LEN((LEFT(A107,SUM(LEN(A107)-LEN(SUBSTITUTE(A107,{"0","1","2","3"},""))))))))/10))*100+1</f>
        <v>2701</v>
      </c>
      <c r="V108" s="21">
        <f ca="1">(SUMPRODUCT(MID(0&amp;(--TRIM(RIGHT(SUBSTITUTE(LEFT(A107,_xlfn.AGGREGATE(16,6,FIND({0,1,2,3,4,5,6,7,8,9},A107,ROW(INDIRECT("1:"&amp;LEN(A107)))),1))," ",REPT(" ",LEN(A107))),LEN(A107)))), LARGE(INDEX(ISNUMBER(--MID((--TRIM(RIGHT(SUBSTITUTE(LEFT(A107,_xlfn.AGGREGATE(16,6,FIND({0,1,2,3,4,5,6,7,8,9},A107,ROW(INDIRECT("1:"&amp;LEN(A107)))),1))," ",REPT(" ",LEN(A107))),LEN(A107)))), ROW(INDIRECT("1:"&amp;LEN((--TRIM(RIGHT(SUBSTITUTE(LEFT(A107,_xlfn.AGGREGATE(16,6,FIND({0,1,2,3,4,5,6,7,8,9},A107,ROW(INDIRECT("1:"&amp;LEN(A107)))),1))," ",REPT(" ",LEN(A107))),LEN(A107))))))), 1)) * ROW(INDIRECT("1:"&amp;LEN((--TRIM(RIGHT(SUBSTITUTE(LEFT(A107,_xlfn.AGGREGATE(16,6,FIND({0,1,2,3,4,5,6,7,8,9},A107,ROW(INDIRECT("1:"&amp;LEN(A107)))),1))," ",REPT(" ",LEN(A107))),LEN(A107))))))), 0), ROW(INDIRECT("1:"&amp;LEN((--TRIM(RIGHT(SUBSTITUTE(LEFT(A107,_xlfn.AGGREGATE(16,6,FIND({0,1,2,3,4,5,6,7,8,9},A107,ROW(INDIRECT("1:"&amp;LEN(A107)))),1))," ",REPT(" ",LEN(A107))),LEN(A107))))))))+1, 1) * 10^ROW(INDIRECT("1:"&amp;LEN((--TRIM(RIGHT(SUBSTITUTE(LEFT(A107,_xlfn.AGGREGATE(16,6,FIND({0,1,2,3,4,5,6,7,8,9},A107,ROW(INDIRECT("1:"&amp;LEN(A107)))),1))," ",REPT(" ",LEN(A107))),LEN(A107)))))))/10))*100+1</f>
        <v>2101</v>
      </c>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2" customFormat="1" ht="20.25" customHeight="1" x14ac:dyDescent="0.25">
      <c r="A109" s="103">
        <v>2</v>
      </c>
      <c r="B109" s="103"/>
      <c r="C109" s="53" t="s">
        <v>300</v>
      </c>
      <c r="D109" s="53" t="s">
        <v>301</v>
      </c>
      <c r="E109" s="77">
        <f>(3.05*3.55+1.45*2.3+1.9*1.3)*(10.764)</f>
        <v>179.03222999999994</v>
      </c>
      <c r="F109" s="77">
        <f t="shared" si="3"/>
        <v>0</v>
      </c>
      <c r="G109" s="77">
        <f t="shared" si="3"/>
        <v>0</v>
      </c>
      <c r="H109" s="31">
        <f t="shared" ref="H109:H115" si="5">E109+F109+(IF(G109&lt;101,G109,IF(G109&lt;201,G109/2,IF(G109&lt;=301,G109/3,G109/4))))</f>
        <v>179.03222999999994</v>
      </c>
      <c r="I109" s="1"/>
      <c r="J109" s="1"/>
      <c r="K109" s="1"/>
      <c r="L109" s="1"/>
      <c r="M109" s="1"/>
      <c r="N109" s="1"/>
      <c r="O109" s="1"/>
      <c r="P109" s="1"/>
      <c r="Q109" s="1"/>
      <c r="R109" s="1"/>
      <c r="S109" s="1"/>
      <c r="T109" s="21" t="str">
        <f t="shared" ca="1" si="4"/>
        <v>2702,..,2102</v>
      </c>
      <c r="U109" s="21">
        <f ca="1">U108+1</f>
        <v>2702</v>
      </c>
      <c r="V109" s="21">
        <f ca="1">V108+1</f>
        <v>2102</v>
      </c>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2" customFormat="1" ht="20.25" customHeight="1" x14ac:dyDescent="0.25">
      <c r="A110" s="103">
        <v>3</v>
      </c>
      <c r="B110" s="103"/>
      <c r="C110" s="53" t="s">
        <v>300</v>
      </c>
      <c r="D110" s="53" t="s">
        <v>301</v>
      </c>
      <c r="E110" s="77">
        <f>(3.05*3.55+1.45*2.3+1.5*1.2+0.85*1)*(10.764)</f>
        <v>180.96974999999998</v>
      </c>
      <c r="F110" s="77">
        <f t="shared" si="3"/>
        <v>0</v>
      </c>
      <c r="G110" s="77">
        <f t="shared" si="3"/>
        <v>0</v>
      </c>
      <c r="H110" s="31">
        <f t="shared" si="5"/>
        <v>180.96974999999998</v>
      </c>
      <c r="I110" s="1"/>
      <c r="J110" s="1"/>
      <c r="K110" s="1"/>
      <c r="L110" s="1"/>
      <c r="M110" s="1"/>
      <c r="N110" s="1"/>
      <c r="O110" s="1"/>
      <c r="P110" s="1"/>
      <c r="Q110" s="1"/>
      <c r="R110" s="1"/>
      <c r="S110" s="1"/>
      <c r="T110" s="21" t="str">
        <f t="shared" ca="1" si="4"/>
        <v>2703,..,2103</v>
      </c>
      <c r="U110" s="21">
        <f t="shared" ref="U110:U115" ca="1" si="6">U109+1</f>
        <v>2703</v>
      </c>
      <c r="V110" s="21">
        <f t="shared" ref="V110:V115" ca="1" si="7">V109+1</f>
        <v>2103</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2" customFormat="1" ht="20.25" customHeight="1" x14ac:dyDescent="0.25">
      <c r="A111" s="103">
        <v>4</v>
      </c>
      <c r="B111" s="103"/>
      <c r="C111" s="53" t="s">
        <v>300</v>
      </c>
      <c r="D111" s="53" t="s">
        <v>301</v>
      </c>
      <c r="E111" s="77">
        <f>(3.05*3.55+1.45*2.15+1.5*1.2+0.85*1)*(10.764)</f>
        <v>178.62857999999997</v>
      </c>
      <c r="F111" s="77">
        <f t="shared" si="3"/>
        <v>0</v>
      </c>
      <c r="G111" s="77">
        <f t="shared" si="3"/>
        <v>0</v>
      </c>
      <c r="H111" s="31">
        <f t="shared" si="5"/>
        <v>178.62857999999997</v>
      </c>
      <c r="I111" s="1"/>
      <c r="J111" s="1"/>
      <c r="K111" s="1"/>
      <c r="L111" s="1"/>
      <c r="M111" s="1"/>
      <c r="N111" s="1"/>
      <c r="O111" s="1"/>
      <c r="P111" s="1"/>
      <c r="Q111" s="1"/>
      <c r="R111" s="1"/>
      <c r="S111" s="1"/>
      <c r="T111" s="21" t="str">
        <f t="shared" ca="1" si="4"/>
        <v>2704,..,2104</v>
      </c>
      <c r="U111" s="21">
        <f t="shared" ca="1" si="6"/>
        <v>2704</v>
      </c>
      <c r="V111" s="21">
        <f t="shared" ca="1" si="7"/>
        <v>2104</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2" customFormat="1" ht="20.25" customHeight="1" x14ac:dyDescent="0.25">
      <c r="A112" s="103">
        <v>5</v>
      </c>
      <c r="B112" s="103"/>
      <c r="C112" s="53" t="s">
        <v>300</v>
      </c>
      <c r="D112" s="53" t="s">
        <v>301</v>
      </c>
      <c r="E112" s="81">
        <f>(3.05*3.55+1.45*2.15+1.5*1.2+0.85*1)*(10.764)</f>
        <v>178.62857999999997</v>
      </c>
      <c r="F112" s="77">
        <f t="shared" si="3"/>
        <v>0</v>
      </c>
      <c r="G112" s="77">
        <f t="shared" si="3"/>
        <v>0</v>
      </c>
      <c r="H112" s="31">
        <f t="shared" si="5"/>
        <v>178.62857999999997</v>
      </c>
      <c r="I112" s="1"/>
      <c r="J112" s="1"/>
      <c r="K112" s="1"/>
      <c r="L112" s="1"/>
      <c r="M112" s="1"/>
      <c r="N112" s="1"/>
      <c r="O112" s="1"/>
      <c r="P112" s="1"/>
      <c r="Q112" s="1"/>
      <c r="R112" s="1"/>
      <c r="S112" s="1"/>
      <c r="T112" s="21" t="str">
        <f t="shared" ca="1" si="4"/>
        <v>2705,..,2105</v>
      </c>
      <c r="U112" s="21">
        <f t="shared" ca="1" si="6"/>
        <v>2705</v>
      </c>
      <c r="V112" s="21">
        <f t="shared" ca="1" si="7"/>
        <v>2105</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2" customFormat="1" ht="20.25" customHeight="1" x14ac:dyDescent="0.25">
      <c r="A113" s="103">
        <v>6</v>
      </c>
      <c r="B113" s="103"/>
      <c r="C113" s="53" t="s">
        <v>300</v>
      </c>
      <c r="D113" s="53" t="s">
        <v>301</v>
      </c>
      <c r="E113" s="87">
        <f>(3.05*3.55+1.45*2.3+1.5*1.2+0.85*1)*(10.764)</f>
        <v>180.96974999999998</v>
      </c>
      <c r="F113" s="77">
        <f t="shared" si="3"/>
        <v>0</v>
      </c>
      <c r="G113" s="77">
        <f t="shared" si="3"/>
        <v>0</v>
      </c>
      <c r="H113" s="31">
        <f t="shared" si="5"/>
        <v>180.96974999999998</v>
      </c>
      <c r="I113" s="1"/>
      <c r="J113" s="1"/>
      <c r="K113" s="1"/>
      <c r="L113" s="1"/>
      <c r="M113" s="1"/>
      <c r="N113" s="1"/>
      <c r="O113" s="1"/>
      <c r="P113" s="1"/>
      <c r="Q113" s="1"/>
      <c r="R113" s="1"/>
      <c r="S113" s="1"/>
      <c r="T113" s="21" t="str">
        <f t="shared" ca="1" si="4"/>
        <v>2706,..,2106</v>
      </c>
      <c r="U113" s="21">
        <f t="shared" ca="1" si="6"/>
        <v>2706</v>
      </c>
      <c r="V113" s="21">
        <f t="shared" ca="1" si="7"/>
        <v>2106</v>
      </c>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2" customFormat="1" ht="20.25" customHeight="1" x14ac:dyDescent="0.25">
      <c r="A114" s="103">
        <v>7</v>
      </c>
      <c r="B114" s="103"/>
      <c r="C114" s="53" t="s">
        <v>300</v>
      </c>
      <c r="D114" s="53" t="s">
        <v>301</v>
      </c>
      <c r="E114" s="87">
        <f>(3.05*3.55+1.45*2.3+1.9*1.3)*(10.764)</f>
        <v>179.03222999999994</v>
      </c>
      <c r="F114" s="77">
        <f t="shared" si="3"/>
        <v>0</v>
      </c>
      <c r="G114" s="77">
        <f t="shared" si="3"/>
        <v>0</v>
      </c>
      <c r="H114" s="31">
        <f t="shared" si="5"/>
        <v>179.03222999999994</v>
      </c>
      <c r="I114" s="1"/>
      <c r="J114" s="1"/>
      <c r="K114" s="1"/>
      <c r="L114" s="1"/>
      <c r="M114" s="1"/>
      <c r="N114" s="1"/>
      <c r="O114" s="1"/>
      <c r="P114" s="1"/>
      <c r="Q114" s="1"/>
      <c r="R114" s="1"/>
      <c r="S114" s="1"/>
      <c r="T114" s="21" t="str">
        <f t="shared" ca="1" si="4"/>
        <v>2707,..,2107</v>
      </c>
      <c r="U114" s="21">
        <f t="shared" ca="1" si="6"/>
        <v>2707</v>
      </c>
      <c r="V114" s="21">
        <f t="shared" ca="1" si="7"/>
        <v>2107</v>
      </c>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2" customFormat="1" ht="20.25" customHeight="1" x14ac:dyDescent="0.25">
      <c r="A115" s="103">
        <v>8</v>
      </c>
      <c r="B115" s="103"/>
      <c r="C115" s="53" t="s">
        <v>300</v>
      </c>
      <c r="D115" s="53" t="s">
        <v>301</v>
      </c>
      <c r="E115" s="87">
        <f>(3.05*3.55+1.35*3.35+2.15*0.9+1.2*2.05)*(10.764)</f>
        <v>212.53518</v>
      </c>
      <c r="F115" s="77">
        <f t="shared" si="3"/>
        <v>0</v>
      </c>
      <c r="G115" s="77">
        <f t="shared" si="3"/>
        <v>0</v>
      </c>
      <c r="H115" s="31">
        <f t="shared" si="5"/>
        <v>212.53518</v>
      </c>
      <c r="I115" s="1"/>
      <c r="J115" s="1"/>
      <c r="K115" s="1"/>
      <c r="L115" s="1"/>
      <c r="M115" s="1"/>
      <c r="N115" s="1"/>
      <c r="O115" s="1"/>
      <c r="P115" s="1"/>
      <c r="Q115" s="1"/>
      <c r="R115" s="1"/>
      <c r="S115" s="1"/>
      <c r="T115" s="21" t="str">
        <f t="shared" ca="1" si="4"/>
        <v>2708,..,2108</v>
      </c>
      <c r="U115" s="21">
        <f t="shared" ca="1" si="6"/>
        <v>2708</v>
      </c>
      <c r="V115" s="21">
        <f t="shared" ca="1" si="7"/>
        <v>2108</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2" customFormat="1" ht="20.25" customHeight="1" x14ac:dyDescent="0.25">
      <c r="A116" s="103">
        <v>9</v>
      </c>
      <c r="B116" s="103"/>
      <c r="C116" s="53" t="s">
        <v>300</v>
      </c>
      <c r="D116" s="53" t="s">
        <v>301</v>
      </c>
      <c r="E116" s="77">
        <f>(3.05*3.55+1.35*3.35+2.15*0.9+1.2*2.05)*(10.764)</f>
        <v>212.53518</v>
      </c>
      <c r="F116" s="77">
        <f t="shared" si="3"/>
        <v>0</v>
      </c>
      <c r="G116" s="77">
        <f t="shared" si="3"/>
        <v>0</v>
      </c>
      <c r="H116" s="77">
        <f>E116+F116+(IF(G116&lt;101,G116,IF(G116&lt;201,G116/2,IF(G116&lt;=301,G116/3,G116/4))))</f>
        <v>212.53518</v>
      </c>
      <c r="I116" s="1"/>
      <c r="J116" s="1"/>
      <c r="K116" s="1"/>
      <c r="L116" s="1"/>
      <c r="M116" s="1"/>
      <c r="N116" s="1"/>
      <c r="O116" s="1"/>
      <c r="P116" s="1"/>
      <c r="Q116" s="1"/>
      <c r="R116" s="1"/>
      <c r="S116" s="1"/>
      <c r="T116" s="21" t="e">
        <f t="shared" ref="T116:T121" ca="1" si="8">U116&amp;""&amp;",..,"&amp;""&amp;V116</f>
        <v>#REF!</v>
      </c>
      <c r="U116" s="21" t="e">
        <f ca="1">(SUMPRODUCT(MID(0&amp;(LEFT(A115,SUM(LEN(A115)-LEN(SUBSTITUTE(A115,{"0","1","2","3"},""))))), LARGE(INDEX(ISNUMBER(--MID((LEFT(A115,SUM(LEN(A115)-LEN(SUBSTITUTE(A115,{"0","1","2","3"},""))))), ROW(INDIRECT("1:"&amp;LEN((LEFT(A115,SUM(LEN(A115)-LEN(SUBSTITUTE(A115,{"0","1","2","3"},"")))))))), 1)) * ROW(INDIRECT("1:"&amp;LEN((LEFT(A115,SUM(LEN(A115)-LEN(SUBSTITUTE(A115,{"0","1","2","3"},"")))))))), 0), ROW(INDIRECT("1:"&amp;LEN((LEFT(A115,SUM(LEN(A115)-LEN(SUBSTITUTE(A115,{"0","1","2","3"},"")))))))))+1, 1) * 10^ROW(INDIRECT("1:"&amp;LEN((LEFT(A115,SUM(LEN(A115)-LEN(SUBSTITUTE(A115,{"0","1","2","3"},""))))))))/10))*100+1</f>
        <v>#REF!</v>
      </c>
      <c r="V116" s="21">
        <f ca="1">(SUMPRODUCT(MID(0&amp;(--TRIM(RIGHT(SUBSTITUTE(LEFT(A115,_xlfn.AGGREGATE(16,6,FIND({0,1,2,3,4,5,6,7,8,9},A115,ROW(INDIRECT("1:"&amp;LEN(A115)))),1))," ",REPT(" ",LEN(A115))),LEN(A115)))), LARGE(INDEX(ISNUMBER(--MID((--TRIM(RIGHT(SUBSTITUTE(LEFT(A115,_xlfn.AGGREGATE(16,6,FIND({0,1,2,3,4,5,6,7,8,9},A115,ROW(INDIRECT("1:"&amp;LEN(A115)))),1))," ",REPT(" ",LEN(A115))),LEN(A115)))), ROW(INDIRECT("1:"&amp;LEN((--TRIM(RIGHT(SUBSTITUTE(LEFT(A115,_xlfn.AGGREGATE(16,6,FIND({0,1,2,3,4,5,6,7,8,9},A115,ROW(INDIRECT("1:"&amp;LEN(A115)))),1))," ",REPT(" ",LEN(A115))),LEN(A115))))))), 1)) * ROW(INDIRECT("1:"&amp;LEN((--TRIM(RIGHT(SUBSTITUTE(LEFT(A115,_xlfn.AGGREGATE(16,6,FIND({0,1,2,3,4,5,6,7,8,9},A115,ROW(INDIRECT("1:"&amp;LEN(A115)))),1))," ",REPT(" ",LEN(A115))),LEN(A115))))))), 0), ROW(INDIRECT("1:"&amp;LEN((--TRIM(RIGHT(SUBSTITUTE(LEFT(A115,_xlfn.AGGREGATE(16,6,FIND({0,1,2,3,4,5,6,7,8,9},A115,ROW(INDIRECT("1:"&amp;LEN(A115)))),1))," ",REPT(" ",LEN(A115))),LEN(A115))))))))+1, 1) * 10^ROW(INDIRECT("1:"&amp;LEN((--TRIM(RIGHT(SUBSTITUTE(LEFT(A115,_xlfn.AGGREGATE(16,6,FIND({0,1,2,3,4,5,6,7,8,9},A115,ROW(INDIRECT("1:"&amp;LEN(A115)))),1))," ",REPT(" ",LEN(A115))),LEN(A115)))))))/10))*100+1</f>
        <v>801</v>
      </c>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2" customFormat="1" ht="20.25" customHeight="1" x14ac:dyDescent="0.25">
      <c r="A117" s="103">
        <v>10</v>
      </c>
      <c r="B117" s="103"/>
      <c r="C117" s="53" t="s">
        <v>300</v>
      </c>
      <c r="D117" s="53" t="s">
        <v>301</v>
      </c>
      <c r="E117" s="77">
        <f>(3.05*3.55+1.45*2.3+1.9*1.3)*(10.764)</f>
        <v>179.03222999999994</v>
      </c>
      <c r="F117" s="77">
        <f t="shared" si="3"/>
        <v>0</v>
      </c>
      <c r="G117" s="77">
        <f t="shared" si="3"/>
        <v>0</v>
      </c>
      <c r="H117" s="77">
        <f t="shared" ref="H117:H121" si="9">E117+F117+(IF(G117&lt;101,G117,IF(G117&lt;201,G117/2,IF(G117&lt;=301,G117/3,G117/4))))</f>
        <v>179.03222999999994</v>
      </c>
      <c r="I117" s="1"/>
      <c r="J117" s="1"/>
      <c r="K117" s="1"/>
      <c r="L117" s="1"/>
      <c r="M117" s="1"/>
      <c r="N117" s="1"/>
      <c r="O117" s="1"/>
      <c r="P117" s="1"/>
      <c r="Q117" s="1"/>
      <c r="R117" s="1"/>
      <c r="S117" s="1"/>
      <c r="T117" s="21" t="e">
        <f t="shared" ca="1" si="8"/>
        <v>#REF!</v>
      </c>
      <c r="U117" s="21" t="e">
        <f ca="1">U116+1</f>
        <v>#REF!</v>
      </c>
      <c r="V117" s="21">
        <f ca="1">V116+1</f>
        <v>802</v>
      </c>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2" customFormat="1" ht="20.25" customHeight="1" x14ac:dyDescent="0.25">
      <c r="A118" s="103">
        <v>11</v>
      </c>
      <c r="B118" s="103"/>
      <c r="C118" s="53" t="s">
        <v>300</v>
      </c>
      <c r="D118" s="53" t="s">
        <v>301</v>
      </c>
      <c r="E118" s="77">
        <f>(3.05*3.55+1.45*2.3+1.5*1.2+0.85*1+0.9*0.7)*(10.764)</f>
        <v>187.75106999999997</v>
      </c>
      <c r="F118" s="77">
        <f t="shared" si="3"/>
        <v>0</v>
      </c>
      <c r="G118" s="77">
        <f t="shared" si="3"/>
        <v>0</v>
      </c>
      <c r="H118" s="77">
        <f t="shared" si="9"/>
        <v>187.75106999999997</v>
      </c>
      <c r="I118" s="1"/>
      <c r="J118" s="1"/>
      <c r="K118" s="1"/>
      <c r="L118" s="1"/>
      <c r="M118" s="1"/>
      <c r="N118" s="1"/>
      <c r="O118" s="1"/>
      <c r="P118" s="1"/>
      <c r="Q118" s="1"/>
      <c r="R118" s="1"/>
      <c r="S118" s="1"/>
      <c r="T118" s="21" t="e">
        <f t="shared" ca="1" si="8"/>
        <v>#REF!</v>
      </c>
      <c r="U118" s="21" t="e">
        <f t="shared" ref="U118:V121" ca="1" si="10">U117+1</f>
        <v>#REF!</v>
      </c>
      <c r="V118" s="21">
        <f t="shared" ca="1" si="10"/>
        <v>803</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2" customFormat="1" ht="20.25" customHeight="1" x14ac:dyDescent="0.25">
      <c r="A119" s="103">
        <v>12</v>
      </c>
      <c r="B119" s="103"/>
      <c r="C119" s="53" t="s">
        <v>300</v>
      </c>
      <c r="D119" s="53" t="s">
        <v>301</v>
      </c>
      <c r="E119" s="77">
        <f>(3.05*3.55+1.45*2.3+1.5*1.2+0.85*1+0.9*0.7)*(10.764)</f>
        <v>187.75106999999997</v>
      </c>
      <c r="F119" s="77">
        <f t="shared" si="3"/>
        <v>0</v>
      </c>
      <c r="G119" s="77">
        <f t="shared" si="3"/>
        <v>0</v>
      </c>
      <c r="H119" s="77">
        <f t="shared" si="9"/>
        <v>187.75106999999997</v>
      </c>
      <c r="I119" s="1"/>
      <c r="J119" s="1"/>
      <c r="K119" s="1"/>
      <c r="L119" s="1"/>
      <c r="M119" s="1"/>
      <c r="N119" s="1"/>
      <c r="O119" s="1"/>
      <c r="P119" s="1"/>
      <c r="Q119" s="1"/>
      <c r="R119" s="1"/>
      <c r="S119" s="1"/>
      <c r="T119" s="21" t="e">
        <f t="shared" ca="1" si="8"/>
        <v>#REF!</v>
      </c>
      <c r="U119" s="21" t="e">
        <f t="shared" ca="1" si="10"/>
        <v>#REF!</v>
      </c>
      <c r="V119" s="21">
        <f t="shared" ca="1" si="10"/>
        <v>804</v>
      </c>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2" customFormat="1" ht="20.25" customHeight="1" x14ac:dyDescent="0.25">
      <c r="A120" s="103">
        <v>13</v>
      </c>
      <c r="B120" s="103"/>
      <c r="C120" s="53" t="s">
        <v>300</v>
      </c>
      <c r="D120" s="53" t="s">
        <v>301</v>
      </c>
      <c r="E120" s="77">
        <f>(3.05*3.55+1.45*2.3+1.9*1.3)*(10.764)</f>
        <v>179.03222999999994</v>
      </c>
      <c r="F120" s="77">
        <f t="shared" si="3"/>
        <v>0</v>
      </c>
      <c r="G120" s="77">
        <f t="shared" si="3"/>
        <v>0</v>
      </c>
      <c r="H120" s="77">
        <f t="shared" si="9"/>
        <v>179.03222999999994</v>
      </c>
      <c r="I120" s="1"/>
      <c r="J120" s="1"/>
      <c r="K120" s="1"/>
      <c r="L120" s="1"/>
      <c r="M120" s="1"/>
      <c r="N120" s="1"/>
      <c r="O120" s="1"/>
      <c r="P120" s="1"/>
      <c r="Q120" s="1"/>
      <c r="R120" s="1"/>
      <c r="S120" s="1"/>
      <c r="T120" s="21" t="e">
        <f t="shared" ca="1" si="8"/>
        <v>#REF!</v>
      </c>
      <c r="U120" s="21" t="e">
        <f t="shared" ca="1" si="10"/>
        <v>#REF!</v>
      </c>
      <c r="V120" s="21">
        <f t="shared" ca="1" si="10"/>
        <v>805</v>
      </c>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2" customFormat="1" ht="20.25" customHeight="1" x14ac:dyDescent="0.25">
      <c r="A121" s="103">
        <v>14</v>
      </c>
      <c r="B121" s="103"/>
      <c r="C121" s="53" t="s">
        <v>300</v>
      </c>
      <c r="D121" s="53" t="s">
        <v>301</v>
      </c>
      <c r="E121" s="77">
        <f>(3.05*3.55+1.35*3.35+2.15*0.9+1.2*2.05)*(10.764)</f>
        <v>212.53518</v>
      </c>
      <c r="F121" s="77">
        <f t="shared" si="3"/>
        <v>0</v>
      </c>
      <c r="G121" s="77">
        <f t="shared" si="3"/>
        <v>0</v>
      </c>
      <c r="H121" s="77">
        <f t="shared" si="9"/>
        <v>212.53518</v>
      </c>
      <c r="I121" s="1"/>
      <c r="J121" s="1"/>
      <c r="K121" s="1"/>
      <c r="L121" s="1"/>
      <c r="M121" s="1"/>
      <c r="N121" s="1"/>
      <c r="O121" s="1"/>
      <c r="P121" s="1"/>
      <c r="Q121" s="1"/>
      <c r="R121" s="1"/>
      <c r="S121" s="1"/>
      <c r="T121" s="21" t="e">
        <f t="shared" ca="1" si="8"/>
        <v>#REF!</v>
      </c>
      <c r="U121" s="21" t="e">
        <f t="shared" ca="1" si="10"/>
        <v>#REF!</v>
      </c>
      <c r="V121" s="21">
        <f t="shared" ca="1" si="10"/>
        <v>806</v>
      </c>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2" customFormat="1" ht="20.25" x14ac:dyDescent="0.25">
      <c r="A122" s="100" t="s">
        <v>339</v>
      </c>
      <c r="B122" s="101"/>
      <c r="C122" s="101"/>
      <c r="D122" s="101"/>
      <c r="E122" s="101"/>
      <c r="F122" s="101"/>
      <c r="G122" s="101"/>
      <c r="H122" s="102"/>
      <c r="I122" s="1">
        <f>7</f>
        <v>7</v>
      </c>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2" customFormat="1" ht="20.25" customHeight="1" x14ac:dyDescent="0.25">
      <c r="A123" s="103">
        <v>1</v>
      </c>
      <c r="B123" s="103"/>
      <c r="C123" s="53" t="s">
        <v>300</v>
      </c>
      <c r="D123" s="53" t="s">
        <v>301</v>
      </c>
      <c r="E123" s="81">
        <f>(3.05*3.55+1.35*3.35+2.15*0.9+1.2*2.05)*(10.764)</f>
        <v>212.53518</v>
      </c>
      <c r="F123" s="77">
        <f t="shared" ref="F123:G136" si="11">0*(10.764)</f>
        <v>0</v>
      </c>
      <c r="G123" s="77">
        <f t="shared" si="11"/>
        <v>0</v>
      </c>
      <c r="H123" s="77">
        <f>E123+F123+(IF(G123&lt;101,G123,IF(G123&lt;201,G123/2,IF(G123&lt;=301,G123/3,G123/4))))</f>
        <v>212.53518</v>
      </c>
      <c r="I123" s="1"/>
      <c r="J123" s="1"/>
      <c r="K123" s="1"/>
      <c r="L123" s="1"/>
      <c r="M123" s="1"/>
      <c r="N123" s="1"/>
      <c r="O123" s="1"/>
      <c r="P123" s="1"/>
      <c r="Q123" s="1"/>
      <c r="R123" s="1"/>
      <c r="S123" s="1"/>
      <c r="T123" s="21" t="str">
        <f t="shared" ref="T123:T136" ca="1" si="12">U123&amp;""&amp;",..,"&amp;""&amp;V123</f>
        <v>81001,..,2001</v>
      </c>
      <c r="U123" s="21">
        <f ca="1">(SUMPRODUCT(MID(0&amp;(LEFT(A122,SUM(LEN(A122)-LEN(SUBSTITUTE(A122,{"0","1","2","3"},""))))), LARGE(INDEX(ISNUMBER(--MID((LEFT(A122,SUM(LEN(A122)-LEN(SUBSTITUTE(A122,{"0","1","2","3"},""))))), ROW(INDIRECT("1:"&amp;LEN((LEFT(A122,SUM(LEN(A122)-LEN(SUBSTITUTE(A122,{"0","1","2","3"},"")))))))), 1)) * ROW(INDIRECT("1:"&amp;LEN((LEFT(A122,SUM(LEN(A122)-LEN(SUBSTITUTE(A122,{"0","1","2","3"},"")))))))), 0), ROW(INDIRECT("1:"&amp;LEN((LEFT(A122,SUM(LEN(A122)-LEN(SUBSTITUTE(A122,{"0","1","2","3"},"")))))))))+1, 1) * 10^ROW(INDIRECT("1:"&amp;LEN((LEFT(A122,SUM(LEN(A122)-LEN(SUBSTITUTE(A122,{"0","1","2","3"},""))))))))/10))*100+1</f>
        <v>81001</v>
      </c>
      <c r="V123" s="21">
        <f ca="1">(SUMPRODUCT(MID(0&amp;(--TRIM(RIGHT(SUBSTITUTE(LEFT(A122,_xlfn.AGGREGATE(16,6,FIND({0,1,2,3,4,5,6,7,8,9},A122,ROW(INDIRECT("1:"&amp;LEN(A122)))),1))," ",REPT(" ",LEN(A122))),LEN(A122)))), LARGE(INDEX(ISNUMBER(--MID((--TRIM(RIGHT(SUBSTITUTE(LEFT(A122,_xlfn.AGGREGATE(16,6,FIND({0,1,2,3,4,5,6,7,8,9},A122,ROW(INDIRECT("1:"&amp;LEN(A122)))),1))," ",REPT(" ",LEN(A122))),LEN(A122)))), ROW(INDIRECT("1:"&amp;LEN((--TRIM(RIGHT(SUBSTITUTE(LEFT(A122,_xlfn.AGGREGATE(16,6,FIND({0,1,2,3,4,5,6,7,8,9},A122,ROW(INDIRECT("1:"&amp;LEN(A122)))),1))," ",REPT(" ",LEN(A122))),LEN(A122))))))), 1)) * ROW(INDIRECT("1:"&amp;LEN((--TRIM(RIGHT(SUBSTITUTE(LEFT(A122,_xlfn.AGGREGATE(16,6,FIND({0,1,2,3,4,5,6,7,8,9},A122,ROW(INDIRECT("1:"&amp;LEN(A122)))),1))," ",REPT(" ",LEN(A122))),LEN(A122))))))), 0), ROW(INDIRECT("1:"&amp;LEN((--TRIM(RIGHT(SUBSTITUTE(LEFT(A122,_xlfn.AGGREGATE(16,6,FIND({0,1,2,3,4,5,6,7,8,9},A122,ROW(INDIRECT("1:"&amp;LEN(A122)))),1))," ",REPT(" ",LEN(A122))),LEN(A122))))))))+1, 1) * 10^ROW(INDIRECT("1:"&amp;LEN((--TRIM(RIGHT(SUBSTITUTE(LEFT(A122,_xlfn.AGGREGATE(16,6,FIND({0,1,2,3,4,5,6,7,8,9},A122,ROW(INDIRECT("1:"&amp;LEN(A122)))),1))," ",REPT(" ",LEN(A122))),LEN(A122)))))))/10))*100+1</f>
        <v>2001</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2" customFormat="1" ht="20.25" customHeight="1" x14ac:dyDescent="0.25">
      <c r="A124" s="103">
        <v>2</v>
      </c>
      <c r="B124" s="103"/>
      <c r="C124" s="53" t="s">
        <v>300</v>
      </c>
      <c r="D124" s="53" t="s">
        <v>301</v>
      </c>
      <c r="E124" s="81">
        <f>(3.05*3.55+1.45*2.3+1.9*1.3)*(10.764)</f>
        <v>179.03222999999994</v>
      </c>
      <c r="F124" s="77">
        <f t="shared" si="11"/>
        <v>0</v>
      </c>
      <c r="G124" s="77">
        <f t="shared" si="11"/>
        <v>0</v>
      </c>
      <c r="H124" s="77">
        <f t="shared" ref="H124:H130" si="13">E124+F124+(IF(G124&lt;101,G124,IF(G124&lt;201,G124/2,IF(G124&lt;=301,G124/3,G124/4))))</f>
        <v>179.03222999999994</v>
      </c>
      <c r="I124" s="1"/>
      <c r="J124" s="1"/>
      <c r="K124" s="1"/>
      <c r="L124" s="1"/>
      <c r="M124" s="1"/>
      <c r="N124" s="1"/>
      <c r="O124" s="1"/>
      <c r="P124" s="1"/>
      <c r="Q124" s="1"/>
      <c r="R124" s="1"/>
      <c r="S124" s="1"/>
      <c r="T124" s="21" t="str">
        <f t="shared" ca="1" si="12"/>
        <v>81002,..,2002</v>
      </c>
      <c r="U124" s="21">
        <f ca="1">U123+1</f>
        <v>81002</v>
      </c>
      <c r="V124" s="21">
        <f ca="1">V123+1</f>
        <v>2002</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2" customFormat="1" ht="20.25" customHeight="1" x14ac:dyDescent="0.25">
      <c r="A125" s="103">
        <v>3</v>
      </c>
      <c r="B125" s="103"/>
      <c r="C125" s="53" t="s">
        <v>300</v>
      </c>
      <c r="D125" s="53" t="s">
        <v>301</v>
      </c>
      <c r="E125" s="81">
        <f>(3.05*3.55+1.45*2.3+1.5*1.2+0.85*1)*(10.764)</f>
        <v>180.96974999999998</v>
      </c>
      <c r="F125" s="77">
        <f t="shared" si="11"/>
        <v>0</v>
      </c>
      <c r="G125" s="77">
        <f t="shared" si="11"/>
        <v>0</v>
      </c>
      <c r="H125" s="77">
        <f t="shared" si="13"/>
        <v>180.96974999999998</v>
      </c>
      <c r="I125" s="1"/>
      <c r="J125" s="1"/>
      <c r="K125" s="1"/>
      <c r="L125" s="1"/>
      <c r="M125" s="1"/>
      <c r="N125" s="1"/>
      <c r="O125" s="1"/>
      <c r="P125" s="1"/>
      <c r="Q125" s="1"/>
      <c r="R125" s="1"/>
      <c r="S125" s="1"/>
      <c r="T125" s="21" t="str">
        <f t="shared" ca="1" si="12"/>
        <v>81003,..,2003</v>
      </c>
      <c r="U125" s="21">
        <f t="shared" ref="U125:V130" ca="1" si="14">U124+1</f>
        <v>81003</v>
      </c>
      <c r="V125" s="21">
        <f t="shared" ca="1" si="14"/>
        <v>2003</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2" customFormat="1" ht="20.25" customHeight="1" x14ac:dyDescent="0.25">
      <c r="A126" s="103">
        <v>4</v>
      </c>
      <c r="B126" s="103"/>
      <c r="C126" s="53" t="s">
        <v>300</v>
      </c>
      <c r="D126" s="53" t="s">
        <v>301</v>
      </c>
      <c r="E126" s="81">
        <f>(3.05*3.55+1.45*2.15+1.5*1.2+0.85*1)*(10.764)</f>
        <v>178.62857999999997</v>
      </c>
      <c r="F126" s="77">
        <f t="shared" si="11"/>
        <v>0</v>
      </c>
      <c r="G126" s="77">
        <f t="shared" si="11"/>
        <v>0</v>
      </c>
      <c r="H126" s="77">
        <f t="shared" si="13"/>
        <v>178.62857999999997</v>
      </c>
      <c r="I126" s="1"/>
      <c r="J126" s="1"/>
      <c r="K126" s="1"/>
      <c r="L126" s="1"/>
      <c r="M126" s="1"/>
      <c r="N126" s="1"/>
      <c r="O126" s="1"/>
      <c r="P126" s="1"/>
      <c r="Q126" s="1"/>
      <c r="R126" s="1"/>
      <c r="S126" s="1"/>
      <c r="T126" s="21" t="str">
        <f t="shared" ca="1" si="12"/>
        <v>81004,..,2004</v>
      </c>
      <c r="U126" s="21">
        <f t="shared" ca="1" si="14"/>
        <v>81004</v>
      </c>
      <c r="V126" s="21">
        <f t="shared" ca="1" si="14"/>
        <v>2004</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2" customFormat="1" ht="20.25" customHeight="1" x14ac:dyDescent="0.25">
      <c r="A127" s="103">
        <v>5</v>
      </c>
      <c r="B127" s="103"/>
      <c r="C127" s="53" t="s">
        <v>300</v>
      </c>
      <c r="D127" s="53" t="s">
        <v>301</v>
      </c>
      <c r="E127" s="81">
        <f>(3.05*3.55+1.45*2.15+1.5*1.2+0.85*1)*(10.764)</f>
        <v>178.62857999999997</v>
      </c>
      <c r="F127" s="77">
        <f t="shared" si="11"/>
        <v>0</v>
      </c>
      <c r="G127" s="77">
        <f t="shared" si="11"/>
        <v>0</v>
      </c>
      <c r="H127" s="77">
        <f t="shared" si="13"/>
        <v>178.62857999999997</v>
      </c>
      <c r="I127" s="1"/>
      <c r="J127" s="1"/>
      <c r="K127" s="1"/>
      <c r="L127" s="1"/>
      <c r="M127" s="1"/>
      <c r="N127" s="1"/>
      <c r="O127" s="1"/>
      <c r="P127" s="1"/>
      <c r="Q127" s="1"/>
      <c r="R127" s="1"/>
      <c r="S127" s="1"/>
      <c r="T127" s="21" t="str">
        <f t="shared" ca="1" si="12"/>
        <v>81005,..,2005</v>
      </c>
      <c r="U127" s="21">
        <f t="shared" ca="1" si="14"/>
        <v>81005</v>
      </c>
      <c r="V127" s="21">
        <f t="shared" ca="1" si="14"/>
        <v>2005</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2" customFormat="1" ht="20.25" customHeight="1" x14ac:dyDescent="0.25">
      <c r="A128" s="103">
        <v>6</v>
      </c>
      <c r="B128" s="103"/>
      <c r="C128" s="53" t="s">
        <v>300</v>
      </c>
      <c r="D128" s="53" t="s">
        <v>301</v>
      </c>
      <c r="E128" s="87">
        <f>(3.05*3.55+1.45*2.3+1.5*1.2+0.85*1)*(10.764)</f>
        <v>180.96974999999998</v>
      </c>
      <c r="F128" s="77">
        <f t="shared" si="11"/>
        <v>0</v>
      </c>
      <c r="G128" s="77">
        <f t="shared" si="11"/>
        <v>0</v>
      </c>
      <c r="H128" s="77">
        <f t="shared" si="13"/>
        <v>180.96974999999998</v>
      </c>
      <c r="I128" s="1"/>
      <c r="J128" s="1"/>
      <c r="K128" s="1"/>
      <c r="L128" s="1"/>
      <c r="M128" s="1"/>
      <c r="N128" s="1"/>
      <c r="O128" s="1"/>
      <c r="P128" s="1"/>
      <c r="Q128" s="1"/>
      <c r="R128" s="1"/>
      <c r="S128" s="1"/>
      <c r="T128" s="21" t="str">
        <f t="shared" ca="1" si="12"/>
        <v>81006,..,2006</v>
      </c>
      <c r="U128" s="21">
        <f t="shared" ca="1" si="14"/>
        <v>81006</v>
      </c>
      <c r="V128" s="21">
        <f t="shared" ca="1" si="14"/>
        <v>2006</v>
      </c>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2" customFormat="1" ht="20.25" customHeight="1" x14ac:dyDescent="0.25">
      <c r="A129" s="103">
        <v>7</v>
      </c>
      <c r="B129" s="103"/>
      <c r="C129" s="53" t="s">
        <v>300</v>
      </c>
      <c r="D129" s="53" t="s">
        <v>301</v>
      </c>
      <c r="E129" s="87">
        <f>(3.05*3.55+1.45*2.3+1.9*1.3)*(10.764)</f>
        <v>179.03222999999994</v>
      </c>
      <c r="F129" s="77">
        <f t="shared" si="11"/>
        <v>0</v>
      </c>
      <c r="G129" s="77">
        <f t="shared" si="11"/>
        <v>0</v>
      </c>
      <c r="H129" s="77">
        <f t="shared" si="13"/>
        <v>179.03222999999994</v>
      </c>
      <c r="I129" s="1"/>
      <c r="J129" s="1"/>
      <c r="K129" s="1"/>
      <c r="L129" s="1"/>
      <c r="M129" s="1"/>
      <c r="N129" s="1"/>
      <c r="O129" s="1"/>
      <c r="P129" s="1"/>
      <c r="Q129" s="1"/>
      <c r="R129" s="1"/>
      <c r="S129" s="1"/>
      <c r="T129" s="21" t="str">
        <f t="shared" ca="1" si="12"/>
        <v>81007,..,2007</v>
      </c>
      <c r="U129" s="21">
        <f t="shared" ca="1" si="14"/>
        <v>81007</v>
      </c>
      <c r="V129" s="21">
        <f t="shared" ca="1" si="14"/>
        <v>2007</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2" customFormat="1" ht="20.25" customHeight="1" x14ac:dyDescent="0.25">
      <c r="A130" s="103">
        <v>8</v>
      </c>
      <c r="B130" s="103"/>
      <c r="C130" s="53" t="s">
        <v>300</v>
      </c>
      <c r="D130" s="53" t="s">
        <v>301</v>
      </c>
      <c r="E130" s="87">
        <f>(3.05*3.55+1.35*3.35+2.15*0.9+1.2*2.05)*(10.764)</f>
        <v>212.53518</v>
      </c>
      <c r="F130" s="77">
        <f t="shared" si="11"/>
        <v>0</v>
      </c>
      <c r="G130" s="77">
        <f t="shared" si="11"/>
        <v>0</v>
      </c>
      <c r="H130" s="77">
        <f t="shared" si="13"/>
        <v>212.53518</v>
      </c>
      <c r="I130" s="1"/>
      <c r="J130" s="1"/>
      <c r="K130" s="1"/>
      <c r="L130" s="1"/>
      <c r="M130" s="1"/>
      <c r="N130" s="1"/>
      <c r="O130" s="1"/>
      <c r="P130" s="1"/>
      <c r="Q130" s="1"/>
      <c r="R130" s="1"/>
      <c r="S130" s="1"/>
      <c r="T130" s="21" t="str">
        <f t="shared" ca="1" si="12"/>
        <v>81008,..,2008</v>
      </c>
      <c r="U130" s="21">
        <f t="shared" ca="1" si="14"/>
        <v>81008</v>
      </c>
      <c r="V130" s="21">
        <f t="shared" ca="1" si="14"/>
        <v>2008</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2" customFormat="1" ht="20.25" customHeight="1" x14ac:dyDescent="0.25">
      <c r="A131" s="103">
        <v>9</v>
      </c>
      <c r="B131" s="103"/>
      <c r="C131" s="53" t="s">
        <v>300</v>
      </c>
      <c r="D131" s="53" t="s">
        <v>301</v>
      </c>
      <c r="E131" s="81">
        <f>(3.05*3.55+1.35*3.35+2.15*0.9+1.2*2.05)*(10.764)</f>
        <v>212.53518</v>
      </c>
      <c r="F131" s="77">
        <f t="shared" si="11"/>
        <v>0</v>
      </c>
      <c r="G131" s="77">
        <f t="shared" si="11"/>
        <v>0</v>
      </c>
      <c r="H131" s="77">
        <f>E131+F131+(IF(G131&lt;101,G131,IF(G131&lt;201,G131/2,IF(G131&lt;=301,G131/3,G131/4))))</f>
        <v>212.53518</v>
      </c>
      <c r="I131" s="1"/>
      <c r="J131" s="1"/>
      <c r="K131" s="1"/>
      <c r="L131" s="1"/>
      <c r="M131" s="1"/>
      <c r="N131" s="1"/>
      <c r="O131" s="1"/>
      <c r="P131" s="1"/>
      <c r="Q131" s="1"/>
      <c r="R131" s="1"/>
      <c r="S131" s="1"/>
      <c r="T131" s="21" t="e">
        <f t="shared" ca="1" si="12"/>
        <v>#REF!</v>
      </c>
      <c r="U131" s="21" t="e">
        <f ca="1">(SUMPRODUCT(MID(0&amp;(LEFT(A130,SUM(LEN(A130)-LEN(SUBSTITUTE(A130,{"0","1","2","3"},""))))), LARGE(INDEX(ISNUMBER(--MID((LEFT(A130,SUM(LEN(A130)-LEN(SUBSTITUTE(A130,{"0","1","2","3"},""))))), ROW(INDIRECT("1:"&amp;LEN((LEFT(A130,SUM(LEN(A130)-LEN(SUBSTITUTE(A130,{"0","1","2","3"},"")))))))), 1)) * ROW(INDIRECT("1:"&amp;LEN((LEFT(A130,SUM(LEN(A130)-LEN(SUBSTITUTE(A130,{"0","1","2","3"},"")))))))), 0), ROW(INDIRECT("1:"&amp;LEN((LEFT(A130,SUM(LEN(A130)-LEN(SUBSTITUTE(A130,{"0","1","2","3"},"")))))))))+1, 1) * 10^ROW(INDIRECT("1:"&amp;LEN((LEFT(A130,SUM(LEN(A130)-LEN(SUBSTITUTE(A130,{"0","1","2","3"},""))))))))/10))*100+1</f>
        <v>#REF!</v>
      </c>
      <c r="V131" s="21">
        <f ca="1">(SUMPRODUCT(MID(0&amp;(--TRIM(RIGHT(SUBSTITUTE(LEFT(A130,_xlfn.AGGREGATE(16,6,FIND({0,1,2,3,4,5,6,7,8,9},A130,ROW(INDIRECT("1:"&amp;LEN(A130)))),1))," ",REPT(" ",LEN(A130))),LEN(A130)))), LARGE(INDEX(ISNUMBER(--MID((--TRIM(RIGHT(SUBSTITUTE(LEFT(A130,_xlfn.AGGREGATE(16,6,FIND({0,1,2,3,4,5,6,7,8,9},A130,ROW(INDIRECT("1:"&amp;LEN(A130)))),1))," ",REPT(" ",LEN(A130))),LEN(A130)))), ROW(INDIRECT("1:"&amp;LEN((--TRIM(RIGHT(SUBSTITUTE(LEFT(A130,_xlfn.AGGREGATE(16,6,FIND({0,1,2,3,4,5,6,7,8,9},A130,ROW(INDIRECT("1:"&amp;LEN(A130)))),1))," ",REPT(" ",LEN(A130))),LEN(A130))))))), 1)) * ROW(INDIRECT("1:"&amp;LEN((--TRIM(RIGHT(SUBSTITUTE(LEFT(A130,_xlfn.AGGREGATE(16,6,FIND({0,1,2,3,4,5,6,7,8,9},A130,ROW(INDIRECT("1:"&amp;LEN(A130)))),1))," ",REPT(" ",LEN(A130))),LEN(A130))))))), 0), ROW(INDIRECT("1:"&amp;LEN((--TRIM(RIGHT(SUBSTITUTE(LEFT(A130,_xlfn.AGGREGATE(16,6,FIND({0,1,2,3,4,5,6,7,8,9},A130,ROW(INDIRECT("1:"&amp;LEN(A130)))),1))," ",REPT(" ",LEN(A130))),LEN(A130))))))))+1, 1) * 10^ROW(INDIRECT("1:"&amp;LEN((--TRIM(RIGHT(SUBSTITUTE(LEFT(A130,_xlfn.AGGREGATE(16,6,FIND({0,1,2,3,4,5,6,7,8,9},A130,ROW(INDIRECT("1:"&amp;LEN(A130)))),1))," ",REPT(" ",LEN(A130))),LEN(A130)))))))/10))*100+1</f>
        <v>801</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2" customFormat="1" ht="20.25" customHeight="1" x14ac:dyDescent="0.25">
      <c r="A132" s="103">
        <v>10</v>
      </c>
      <c r="B132" s="103"/>
      <c r="C132" s="53" t="s">
        <v>300</v>
      </c>
      <c r="D132" s="53" t="s">
        <v>301</v>
      </c>
      <c r="E132" s="81">
        <f>(3.05*3.55+1.45*2.3+1.9*1.3)*(10.764)</f>
        <v>179.03222999999994</v>
      </c>
      <c r="F132" s="77">
        <f t="shared" si="11"/>
        <v>0</v>
      </c>
      <c r="G132" s="77">
        <f t="shared" si="11"/>
        <v>0</v>
      </c>
      <c r="H132" s="77">
        <f t="shared" ref="H132:H136" si="15">E132+F132+(IF(G132&lt;101,G132,IF(G132&lt;201,G132/2,IF(G132&lt;=301,G132/3,G132/4))))</f>
        <v>179.03222999999994</v>
      </c>
      <c r="I132" s="1"/>
      <c r="J132" s="1"/>
      <c r="K132" s="1"/>
      <c r="L132" s="1"/>
      <c r="M132" s="1"/>
      <c r="N132" s="1"/>
      <c r="O132" s="1"/>
      <c r="P132" s="1"/>
      <c r="Q132" s="1"/>
      <c r="R132" s="1"/>
      <c r="S132" s="1"/>
      <c r="T132" s="21" t="e">
        <f t="shared" ca="1" si="12"/>
        <v>#REF!</v>
      </c>
      <c r="U132" s="21" t="e">
        <f ca="1">U131+1</f>
        <v>#REF!</v>
      </c>
      <c r="V132" s="21">
        <f ca="1">V131+1</f>
        <v>802</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2" customFormat="1" ht="20.25" customHeight="1" x14ac:dyDescent="0.25">
      <c r="A133" s="103">
        <v>11</v>
      </c>
      <c r="B133" s="103"/>
      <c r="C133" s="53" t="s">
        <v>300</v>
      </c>
      <c r="D133" s="53" t="s">
        <v>301</v>
      </c>
      <c r="E133" s="81">
        <f>(3.05*3.55+1.45*2.3+1.5*1.2+0.85*1+0.9*0.7)*(10.764)</f>
        <v>187.75106999999997</v>
      </c>
      <c r="F133" s="77">
        <f t="shared" si="11"/>
        <v>0</v>
      </c>
      <c r="G133" s="77">
        <f t="shared" si="11"/>
        <v>0</v>
      </c>
      <c r="H133" s="77">
        <f t="shared" si="15"/>
        <v>187.75106999999997</v>
      </c>
      <c r="I133" s="1"/>
      <c r="J133" s="1"/>
      <c r="K133" s="1"/>
      <c r="L133" s="1"/>
      <c r="M133" s="1"/>
      <c r="N133" s="1"/>
      <c r="O133" s="1"/>
      <c r="P133" s="1"/>
      <c r="Q133" s="1"/>
      <c r="R133" s="1"/>
      <c r="S133" s="1"/>
      <c r="T133" s="21" t="e">
        <f t="shared" ca="1" si="12"/>
        <v>#REF!</v>
      </c>
      <c r="U133" s="21" t="e">
        <f t="shared" ref="U133:V133" ca="1" si="16">U132+1</f>
        <v>#REF!</v>
      </c>
      <c r="V133" s="21">
        <f t="shared" ca="1" si="16"/>
        <v>803</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2" customFormat="1" ht="20.25" customHeight="1" x14ac:dyDescent="0.25">
      <c r="A134" s="103">
        <v>12</v>
      </c>
      <c r="B134" s="103"/>
      <c r="C134" s="53" t="s">
        <v>300</v>
      </c>
      <c r="D134" s="53" t="s">
        <v>301</v>
      </c>
      <c r="E134" s="81">
        <f>(3.05*3.55+1.45*2.3+1.5*1.2+0.85*1+0.9*0.7)*(10.764)</f>
        <v>187.75106999999997</v>
      </c>
      <c r="F134" s="77">
        <f t="shared" si="11"/>
        <v>0</v>
      </c>
      <c r="G134" s="77">
        <f t="shared" si="11"/>
        <v>0</v>
      </c>
      <c r="H134" s="77">
        <f t="shared" si="15"/>
        <v>187.75106999999997</v>
      </c>
      <c r="I134" s="1"/>
      <c r="J134" s="1"/>
      <c r="K134" s="1"/>
      <c r="L134" s="1"/>
      <c r="M134" s="1"/>
      <c r="N134" s="1"/>
      <c r="O134" s="1"/>
      <c r="P134" s="1"/>
      <c r="Q134" s="1"/>
      <c r="R134" s="1"/>
      <c r="S134" s="1"/>
      <c r="T134" s="21" t="e">
        <f t="shared" ca="1" si="12"/>
        <v>#REF!</v>
      </c>
      <c r="U134" s="21" t="e">
        <f t="shared" ref="U134:V134" ca="1" si="17">U133+1</f>
        <v>#REF!</v>
      </c>
      <c r="V134" s="21">
        <f t="shared" ca="1" si="17"/>
        <v>804</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2" customFormat="1" ht="20.25" customHeight="1" x14ac:dyDescent="0.25">
      <c r="A135" s="103">
        <v>13</v>
      </c>
      <c r="B135" s="103"/>
      <c r="C135" s="53" t="s">
        <v>300</v>
      </c>
      <c r="D135" s="53" t="s">
        <v>301</v>
      </c>
      <c r="E135" s="81">
        <f>(3.05*3.55+1.45*2.3+1.9*1.3)*(10.764)</f>
        <v>179.03222999999994</v>
      </c>
      <c r="F135" s="77">
        <f t="shared" si="11"/>
        <v>0</v>
      </c>
      <c r="G135" s="77">
        <f t="shared" si="11"/>
        <v>0</v>
      </c>
      <c r="H135" s="77">
        <f t="shared" si="15"/>
        <v>179.03222999999994</v>
      </c>
      <c r="I135" s="1"/>
      <c r="J135" s="1"/>
      <c r="K135" s="1"/>
      <c r="L135" s="1"/>
      <c r="M135" s="1"/>
      <c r="N135" s="1"/>
      <c r="O135" s="1"/>
      <c r="P135" s="1"/>
      <c r="Q135" s="1"/>
      <c r="R135" s="1"/>
      <c r="S135" s="1"/>
      <c r="T135" s="21" t="e">
        <f t="shared" ca="1" si="12"/>
        <v>#REF!</v>
      </c>
      <c r="U135" s="21" t="e">
        <f t="shared" ref="U135:V135" ca="1" si="18">U134+1</f>
        <v>#REF!</v>
      </c>
      <c r="V135" s="21">
        <f t="shared" ca="1" si="18"/>
        <v>805</v>
      </c>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2" customFormat="1" ht="20.25" customHeight="1" x14ac:dyDescent="0.25">
      <c r="A136" s="103">
        <v>14</v>
      </c>
      <c r="B136" s="103"/>
      <c r="C136" s="53" t="s">
        <v>300</v>
      </c>
      <c r="D136" s="53" t="s">
        <v>301</v>
      </c>
      <c r="E136" s="81">
        <f>(3.05*3.55+1.35*3.35+2.15*0.9+1.2*2.05)*(10.764)</f>
        <v>212.53518</v>
      </c>
      <c r="F136" s="77">
        <f t="shared" si="11"/>
        <v>0</v>
      </c>
      <c r="G136" s="77">
        <f t="shared" si="11"/>
        <v>0</v>
      </c>
      <c r="H136" s="77">
        <f t="shared" si="15"/>
        <v>212.53518</v>
      </c>
      <c r="I136" s="1"/>
      <c r="J136" s="1"/>
      <c r="K136" s="1"/>
      <c r="L136" s="1"/>
      <c r="M136" s="1"/>
      <c r="N136" s="1"/>
      <c r="O136" s="1"/>
      <c r="P136" s="1"/>
      <c r="Q136" s="1"/>
      <c r="R136" s="1"/>
      <c r="S136" s="1"/>
      <c r="T136" s="21" t="e">
        <f t="shared" ca="1" si="12"/>
        <v>#REF!</v>
      </c>
      <c r="U136" s="21" t="e">
        <f t="shared" ref="U136:V136" ca="1" si="19">U135+1</f>
        <v>#REF!</v>
      </c>
      <c r="V136" s="21">
        <f t="shared" ca="1" si="19"/>
        <v>806</v>
      </c>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2" customFormat="1" ht="20.25" x14ac:dyDescent="0.25">
      <c r="A137" s="100" t="s">
        <v>340</v>
      </c>
      <c r="B137" s="101"/>
      <c r="C137" s="101"/>
      <c r="D137" s="101"/>
      <c r="E137" s="101"/>
      <c r="F137" s="101"/>
      <c r="G137" s="101"/>
      <c r="H137" s="102"/>
      <c r="I137" s="1">
        <f>1</f>
        <v>1</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ht="20.25" x14ac:dyDescent="0.25">
      <c r="A138" s="118" t="s">
        <v>69</v>
      </c>
      <c r="B138" s="118"/>
      <c r="C138" s="118"/>
      <c r="D138" s="118"/>
      <c r="E138" s="118"/>
      <c r="F138" s="118"/>
      <c r="G138" s="118"/>
      <c r="H138" s="118"/>
    </row>
    <row r="139" spans="1:150 16226:16383" ht="42" customHeight="1" x14ac:dyDescent="0.25">
      <c r="A139" s="37" t="s">
        <v>225</v>
      </c>
      <c r="B139" s="107" t="s">
        <v>350</v>
      </c>
      <c r="C139" s="108"/>
      <c r="D139" s="108"/>
      <c r="E139" s="108"/>
      <c r="F139" s="108"/>
      <c r="G139" s="108"/>
      <c r="H139" s="109"/>
    </row>
    <row r="140" spans="1:150 16226:16383" ht="20.25" x14ac:dyDescent="0.25">
      <c r="A140" s="37" t="s">
        <v>225</v>
      </c>
      <c r="B140" s="107" t="s">
        <v>226</v>
      </c>
      <c r="C140" s="108"/>
      <c r="D140" s="108"/>
      <c r="E140" s="108"/>
      <c r="F140" s="108"/>
      <c r="G140" s="108"/>
      <c r="H140" s="109"/>
    </row>
    <row r="141" spans="1:150 16226:16383" ht="20.25" x14ac:dyDescent="0.25">
      <c r="A141" s="37" t="s">
        <v>225</v>
      </c>
      <c r="B141" s="107" t="s">
        <v>320</v>
      </c>
      <c r="C141" s="108"/>
      <c r="D141" s="108"/>
      <c r="E141" s="108"/>
      <c r="F141" s="108"/>
      <c r="G141" s="108"/>
      <c r="H141" s="109"/>
    </row>
    <row r="142" spans="1:150 16226:16383" ht="20.25" x14ac:dyDescent="0.25">
      <c r="A142" s="37" t="s">
        <v>225</v>
      </c>
      <c r="B142" s="107" t="s">
        <v>227</v>
      </c>
      <c r="C142" s="108"/>
      <c r="D142" s="108"/>
      <c r="E142" s="108"/>
      <c r="F142" s="108"/>
      <c r="G142" s="108"/>
      <c r="H142" s="109"/>
    </row>
    <row r="143" spans="1:150 16226:16383" ht="20.25" x14ac:dyDescent="0.25">
      <c r="A143" s="37" t="s">
        <v>225</v>
      </c>
      <c r="B143" s="107" t="s">
        <v>228</v>
      </c>
      <c r="C143" s="108"/>
      <c r="D143" s="108"/>
      <c r="E143" s="108"/>
      <c r="F143" s="108"/>
      <c r="G143" s="108"/>
      <c r="H143" s="109"/>
    </row>
    <row r="144" spans="1:150 16226:16383" ht="24.75" customHeight="1" x14ac:dyDescent="0.25">
      <c r="A144" s="37" t="s">
        <v>225</v>
      </c>
      <c r="B144" s="107" t="s">
        <v>342</v>
      </c>
      <c r="C144" s="108"/>
      <c r="D144" s="108"/>
      <c r="E144" s="108"/>
      <c r="F144" s="108"/>
      <c r="G144" s="108"/>
      <c r="H144" s="109"/>
    </row>
    <row r="145" spans="1:8" ht="20.25" x14ac:dyDescent="0.25">
      <c r="A145" s="131" t="s">
        <v>75</v>
      </c>
      <c r="B145" s="131"/>
      <c r="C145" s="131"/>
      <c r="D145" s="131"/>
      <c r="E145" s="131"/>
      <c r="F145" s="131"/>
      <c r="G145" s="131"/>
      <c r="H145" s="131"/>
    </row>
    <row r="146" spans="1:8" ht="20.25" x14ac:dyDescent="0.25">
      <c r="A146" s="89" t="s">
        <v>70</v>
      </c>
      <c r="B146" s="89"/>
      <c r="C146" s="89"/>
      <c r="D146" s="107" t="str">
        <f>C3</f>
        <v>Trilive Marol Tower B</v>
      </c>
      <c r="E146" s="108"/>
      <c r="F146" s="108"/>
      <c r="G146" s="108"/>
      <c r="H146" s="109"/>
    </row>
    <row r="147" spans="1:8" ht="90.75" customHeight="1" x14ac:dyDescent="0.25">
      <c r="A147" s="89" t="s">
        <v>105</v>
      </c>
      <c r="B147" s="89"/>
      <c r="C147" s="89"/>
      <c r="D147" s="107" t="str">
        <f>C9</f>
        <v>CTS NO 47, 48, 51/A, 52, 53/A, 1702 of Village Marol at Marol, Andheri, Mumbai Suburban, 400059 and CTS NO 47, 48, 51/A, 52, 53/A, 1702 of Village Marol at Marol, Andheri, Mumbai Suburban, 400059.</v>
      </c>
      <c r="E147" s="108"/>
      <c r="F147" s="108"/>
      <c r="G147" s="108"/>
      <c r="H147" s="109"/>
    </row>
    <row r="148" spans="1:8" ht="20.25" customHeight="1" x14ac:dyDescent="0.25">
      <c r="A148" s="141" t="s">
        <v>111</v>
      </c>
      <c r="B148" s="141"/>
      <c r="C148" s="141"/>
      <c r="D148" s="107" t="str">
        <f>G3</f>
        <v>06/08/2025 at 02:58PM</v>
      </c>
      <c r="E148" s="108"/>
      <c r="F148" s="108"/>
      <c r="G148" s="108"/>
      <c r="H148" s="109"/>
    </row>
    <row r="149" spans="1:8" ht="20.25" x14ac:dyDescent="0.25">
      <c r="A149" s="8"/>
      <c r="B149" s="9"/>
      <c r="C149" s="9"/>
      <c r="D149" s="9"/>
      <c r="E149" s="9"/>
      <c r="F149" s="9"/>
      <c r="G149" s="9"/>
      <c r="H149" s="5"/>
    </row>
    <row r="150" spans="1:8" ht="20.25" x14ac:dyDescent="0.25">
      <c r="A150" s="10"/>
      <c r="B150" s="11"/>
      <c r="C150" s="11"/>
      <c r="D150" s="11"/>
      <c r="E150" s="11"/>
      <c r="F150" s="11"/>
      <c r="G150" s="11"/>
      <c r="H150" s="6"/>
    </row>
    <row r="151" spans="1:8" ht="20.25" x14ac:dyDescent="0.25">
      <c r="A151" s="10"/>
      <c r="B151" s="11"/>
      <c r="C151" s="11"/>
      <c r="D151" s="11"/>
      <c r="E151" s="11"/>
      <c r="F151" s="11"/>
      <c r="G151" s="11"/>
      <c r="H151" s="6"/>
    </row>
    <row r="152" spans="1:8" ht="20.25" x14ac:dyDescent="0.25">
      <c r="A152" s="10"/>
      <c r="B152" s="11"/>
      <c r="C152" s="11"/>
      <c r="D152" s="11"/>
      <c r="E152" s="11"/>
      <c r="F152" s="11"/>
      <c r="G152" s="11"/>
      <c r="H152" s="6"/>
    </row>
    <row r="153" spans="1:8" ht="20.25" x14ac:dyDescent="0.25">
      <c r="A153" s="10"/>
      <c r="B153" s="11"/>
      <c r="C153" s="11"/>
      <c r="D153" s="11"/>
      <c r="E153" s="11"/>
      <c r="F153" s="11"/>
      <c r="G153" s="11"/>
      <c r="H153" s="6"/>
    </row>
    <row r="154" spans="1:8" ht="20.25" x14ac:dyDescent="0.25">
      <c r="A154" s="10"/>
      <c r="B154" s="11"/>
      <c r="C154" s="11"/>
      <c r="D154" s="11"/>
      <c r="E154" s="11"/>
      <c r="F154" s="11"/>
      <c r="G154" s="11"/>
      <c r="H154" s="6"/>
    </row>
    <row r="155" spans="1:8" ht="20.25" x14ac:dyDescent="0.25">
      <c r="A155" s="10"/>
      <c r="B155" s="11"/>
      <c r="C155" s="11"/>
      <c r="D155" s="11"/>
      <c r="E155" s="11"/>
      <c r="F155" s="11"/>
      <c r="G155" s="11"/>
      <c r="H155" s="6"/>
    </row>
    <row r="156" spans="1:8" ht="20.25" x14ac:dyDescent="0.25">
      <c r="A156" s="10"/>
      <c r="B156" s="11"/>
      <c r="C156" s="11"/>
      <c r="D156" s="11"/>
      <c r="E156" s="11"/>
      <c r="F156" s="11"/>
      <c r="G156" s="11"/>
      <c r="H156" s="6"/>
    </row>
    <row r="157" spans="1:8" ht="20.25" x14ac:dyDescent="0.25">
      <c r="A157" s="10"/>
      <c r="B157" s="11"/>
      <c r="C157" s="11"/>
      <c r="D157" s="11"/>
      <c r="E157" s="11"/>
      <c r="F157" s="11"/>
      <c r="G157" s="11"/>
      <c r="H157" s="6"/>
    </row>
    <row r="158" spans="1:8" ht="20.25" x14ac:dyDescent="0.25">
      <c r="A158" s="10"/>
      <c r="B158" s="11"/>
      <c r="C158" s="11"/>
      <c r="D158" s="11"/>
      <c r="E158" s="11"/>
      <c r="F158" s="11"/>
      <c r="G158" s="11"/>
      <c r="H158" s="6"/>
    </row>
    <row r="159" spans="1:8" ht="20.25" x14ac:dyDescent="0.25">
      <c r="A159" s="10"/>
      <c r="B159" s="11"/>
      <c r="C159" s="11"/>
      <c r="D159" s="11"/>
      <c r="E159" s="11"/>
      <c r="F159" s="11"/>
      <c r="G159" s="11"/>
      <c r="H159" s="6"/>
    </row>
    <row r="160" spans="1:8" ht="20.25" x14ac:dyDescent="0.25">
      <c r="A160" s="10"/>
      <c r="B160" s="11"/>
      <c r="C160" s="11"/>
      <c r="D160" s="11"/>
      <c r="E160" s="11"/>
      <c r="F160" s="11"/>
      <c r="G160" s="11"/>
      <c r="H160" s="6"/>
    </row>
    <row r="161" spans="1:8" ht="20.25" x14ac:dyDescent="0.25">
      <c r="A161" s="10"/>
      <c r="B161" s="11"/>
      <c r="C161" s="11"/>
      <c r="D161" s="11"/>
      <c r="E161" s="11"/>
      <c r="F161" s="11"/>
      <c r="G161" s="11"/>
      <c r="H161" s="6"/>
    </row>
    <row r="162" spans="1:8" ht="20.25" x14ac:dyDescent="0.25">
      <c r="A162" s="10"/>
      <c r="B162" s="11"/>
      <c r="C162" s="11"/>
      <c r="D162" s="11"/>
      <c r="E162" s="11"/>
      <c r="F162" s="11"/>
      <c r="G162" s="11"/>
      <c r="H162" s="6"/>
    </row>
    <row r="163" spans="1:8" ht="20.25" x14ac:dyDescent="0.25">
      <c r="A163" s="10"/>
      <c r="B163" s="11"/>
      <c r="C163" s="11"/>
      <c r="D163" s="11"/>
      <c r="E163" s="11"/>
      <c r="F163" s="11"/>
      <c r="G163" s="11"/>
      <c r="H163" s="6"/>
    </row>
    <row r="164" spans="1:8" ht="20.25" x14ac:dyDescent="0.25">
      <c r="A164" s="10"/>
      <c r="B164" s="11"/>
      <c r="C164" s="11"/>
      <c r="D164" s="11"/>
      <c r="E164" s="11"/>
      <c r="F164" s="11"/>
      <c r="G164" s="11"/>
      <c r="H164" s="6"/>
    </row>
    <row r="165" spans="1:8" ht="20.25" x14ac:dyDescent="0.25">
      <c r="A165" s="10"/>
      <c r="B165" s="11"/>
      <c r="C165" s="11"/>
      <c r="D165" s="11"/>
      <c r="E165" s="11"/>
      <c r="F165" s="11"/>
      <c r="G165" s="11"/>
      <c r="H165" s="6"/>
    </row>
    <row r="166" spans="1:8" ht="20.25" x14ac:dyDescent="0.25">
      <c r="A166" s="10"/>
      <c r="B166" s="11"/>
      <c r="C166" s="11"/>
      <c r="D166" s="11"/>
      <c r="E166" s="11"/>
      <c r="F166" s="11"/>
      <c r="G166" s="11"/>
      <c r="H166" s="6"/>
    </row>
    <row r="167" spans="1:8" ht="20.25" x14ac:dyDescent="0.25">
      <c r="A167" s="10"/>
      <c r="B167" s="11"/>
      <c r="C167" s="11"/>
      <c r="D167" s="11"/>
      <c r="E167" s="11"/>
      <c r="F167" s="11"/>
      <c r="G167" s="11"/>
      <c r="H167" s="6"/>
    </row>
    <row r="168" spans="1:8" ht="20.25" x14ac:dyDescent="0.25">
      <c r="A168" s="10"/>
      <c r="B168" s="11"/>
      <c r="C168" s="11"/>
      <c r="D168" s="11"/>
      <c r="E168" s="11"/>
      <c r="F168" s="11"/>
      <c r="G168" s="11"/>
      <c r="H168" s="6"/>
    </row>
    <row r="169" spans="1:8" ht="20.25" x14ac:dyDescent="0.25">
      <c r="A169" s="10"/>
      <c r="B169" s="11"/>
      <c r="C169" s="11"/>
      <c r="D169" s="11"/>
      <c r="E169" s="11"/>
      <c r="F169" s="11"/>
      <c r="G169" s="11"/>
      <c r="H169" s="6"/>
    </row>
    <row r="170" spans="1:8" ht="20.25" x14ac:dyDescent="0.25">
      <c r="A170" s="10"/>
      <c r="B170" s="11"/>
      <c r="C170" s="11"/>
      <c r="D170" s="11"/>
      <c r="E170" s="11"/>
      <c r="F170" s="11"/>
      <c r="G170" s="11"/>
      <c r="H170" s="6"/>
    </row>
    <row r="171" spans="1:8" ht="20.25" x14ac:dyDescent="0.25">
      <c r="A171" s="10"/>
      <c r="B171" s="11"/>
      <c r="C171" s="11"/>
      <c r="D171" s="11"/>
      <c r="E171" s="11"/>
      <c r="F171" s="11"/>
      <c r="G171" s="11"/>
      <c r="H171" s="6"/>
    </row>
    <row r="172" spans="1:8" ht="20.25" x14ac:dyDescent="0.25">
      <c r="A172" s="10"/>
      <c r="B172" s="11"/>
      <c r="C172" s="11"/>
      <c r="D172" s="11"/>
      <c r="E172" s="11"/>
      <c r="F172" s="11"/>
      <c r="G172" s="11"/>
      <c r="H172" s="6"/>
    </row>
    <row r="173" spans="1:8" ht="20.25" x14ac:dyDescent="0.25">
      <c r="A173" s="10"/>
      <c r="B173" s="11"/>
      <c r="C173" s="11"/>
      <c r="D173" s="11"/>
      <c r="E173" s="11"/>
      <c r="F173" s="11"/>
      <c r="G173" s="11"/>
      <c r="H173" s="6"/>
    </row>
    <row r="174" spans="1:8" ht="20.25" x14ac:dyDescent="0.25">
      <c r="A174" s="10"/>
      <c r="B174" s="11"/>
      <c r="C174" s="11"/>
      <c r="D174" s="11"/>
      <c r="E174" s="11"/>
      <c r="F174" s="11"/>
      <c r="G174" s="11"/>
      <c r="H174" s="6"/>
    </row>
    <row r="175" spans="1:8" ht="20.25" x14ac:dyDescent="0.25">
      <c r="A175" s="10"/>
      <c r="B175" s="11"/>
      <c r="C175" s="11"/>
      <c r="D175" s="11"/>
      <c r="E175" s="11"/>
      <c r="F175" s="11"/>
      <c r="G175" s="11"/>
      <c r="H175" s="6"/>
    </row>
    <row r="176" spans="1:8" ht="20.25" x14ac:dyDescent="0.25">
      <c r="A176" s="10"/>
      <c r="B176" s="11"/>
      <c r="C176" s="11"/>
      <c r="D176" s="11"/>
      <c r="E176" s="11"/>
      <c r="F176" s="11"/>
      <c r="G176" s="11"/>
      <c r="H176" s="6"/>
    </row>
    <row r="177" spans="1:8" ht="20.25" x14ac:dyDescent="0.25">
      <c r="A177" s="10"/>
      <c r="B177" s="11"/>
      <c r="C177" s="11"/>
      <c r="D177" s="11"/>
      <c r="E177" s="11"/>
      <c r="F177" s="11"/>
      <c r="G177" s="11"/>
      <c r="H177" s="6"/>
    </row>
    <row r="178" spans="1:8" ht="20.25" x14ac:dyDescent="0.25">
      <c r="A178" s="10"/>
      <c r="B178" s="11"/>
      <c r="C178" s="11"/>
      <c r="D178" s="11"/>
      <c r="E178" s="11"/>
      <c r="F178" s="11"/>
      <c r="G178" s="11"/>
      <c r="H178" s="6"/>
    </row>
    <row r="179" spans="1:8" ht="20.25" x14ac:dyDescent="0.25">
      <c r="A179" s="10"/>
      <c r="B179" s="11"/>
      <c r="C179" s="11"/>
      <c r="D179" s="11"/>
      <c r="E179" s="11"/>
      <c r="F179" s="11"/>
      <c r="G179" s="11"/>
      <c r="H179" s="6"/>
    </row>
    <row r="180" spans="1:8" ht="20.25" x14ac:dyDescent="0.25">
      <c r="A180" s="10"/>
      <c r="B180" s="11"/>
      <c r="C180" s="11"/>
      <c r="D180" s="11"/>
      <c r="E180" s="11"/>
      <c r="F180" s="11"/>
      <c r="G180" s="11"/>
      <c r="H180" s="6"/>
    </row>
    <row r="181" spans="1:8" ht="20.25" x14ac:dyDescent="0.25">
      <c r="A181" s="10"/>
      <c r="B181" s="11"/>
      <c r="C181" s="11"/>
      <c r="D181" s="11"/>
      <c r="E181" s="11"/>
      <c r="F181" s="11"/>
      <c r="G181" s="11"/>
      <c r="H181" s="6"/>
    </row>
    <row r="182" spans="1:8" ht="20.25" x14ac:dyDescent="0.25">
      <c r="A182" s="10"/>
      <c r="B182" s="11"/>
      <c r="C182" s="11"/>
      <c r="D182" s="11"/>
      <c r="E182" s="11"/>
      <c r="F182" s="11"/>
      <c r="G182" s="11"/>
      <c r="H182" s="6"/>
    </row>
    <row r="183" spans="1:8" ht="20.25" x14ac:dyDescent="0.25">
      <c r="A183" s="10"/>
      <c r="B183" s="11"/>
      <c r="C183" s="11"/>
      <c r="D183" s="11"/>
      <c r="E183" s="11"/>
      <c r="F183" s="11"/>
      <c r="G183" s="11"/>
      <c r="H183" s="6"/>
    </row>
    <row r="184" spans="1:8" ht="20.25" x14ac:dyDescent="0.25">
      <c r="A184" s="10"/>
      <c r="B184" s="11"/>
      <c r="C184" s="11"/>
      <c r="D184" s="11"/>
      <c r="E184" s="11"/>
      <c r="F184" s="11"/>
      <c r="G184" s="11"/>
      <c r="H184" s="6"/>
    </row>
    <row r="185" spans="1:8" ht="20.25" x14ac:dyDescent="0.25">
      <c r="A185" s="10"/>
      <c r="B185" s="11"/>
      <c r="C185" s="11"/>
      <c r="D185" s="11"/>
      <c r="E185" s="11"/>
      <c r="F185" s="11"/>
      <c r="G185" s="11"/>
      <c r="H185" s="6"/>
    </row>
    <row r="186" spans="1:8" ht="20.25" x14ac:dyDescent="0.25">
      <c r="A186" s="10"/>
      <c r="B186" s="11"/>
      <c r="C186" s="11"/>
      <c r="D186" s="11"/>
      <c r="E186" s="11"/>
      <c r="F186" s="11"/>
      <c r="G186" s="11"/>
      <c r="H186" s="6"/>
    </row>
    <row r="187" spans="1:8" ht="20.25" x14ac:dyDescent="0.25">
      <c r="A187" s="10"/>
      <c r="B187" s="11"/>
      <c r="C187" s="11"/>
      <c r="D187" s="11"/>
      <c r="E187" s="11"/>
      <c r="F187" s="11"/>
      <c r="G187" s="11"/>
      <c r="H187" s="6"/>
    </row>
    <row r="188" spans="1:8" ht="20.25" x14ac:dyDescent="0.25">
      <c r="A188" s="12"/>
      <c r="B188" s="13"/>
      <c r="C188" s="13"/>
      <c r="D188" s="13"/>
      <c r="E188" s="13"/>
      <c r="F188" s="13"/>
      <c r="G188" s="13"/>
      <c r="H188" s="7"/>
    </row>
    <row r="189" spans="1:8" ht="20.25" x14ac:dyDescent="0.25">
      <c r="A189" s="118" t="s">
        <v>159</v>
      </c>
      <c r="B189" s="118"/>
      <c r="C189" s="118"/>
      <c r="D189" s="118"/>
      <c r="E189" s="118"/>
      <c r="F189" s="118"/>
      <c r="G189" s="118"/>
      <c r="H189" s="118"/>
    </row>
    <row r="190" spans="1:8" ht="20.25" x14ac:dyDescent="0.25">
      <c r="A190" s="8"/>
      <c r="B190" s="9"/>
      <c r="C190" s="9"/>
      <c r="D190" s="9"/>
      <c r="E190" s="9"/>
      <c r="F190" s="9"/>
      <c r="G190" s="9"/>
      <c r="H190" s="5"/>
    </row>
    <row r="191" spans="1:8" ht="20.25" x14ac:dyDescent="0.25">
      <c r="A191" s="10"/>
      <c r="B191" s="54"/>
      <c r="C191" s="54"/>
      <c r="D191" s="54"/>
      <c r="E191" s="54"/>
      <c r="F191" s="54"/>
      <c r="G191" s="54"/>
      <c r="H191" s="6"/>
    </row>
    <row r="192" spans="1:8" ht="20.25" x14ac:dyDescent="0.25">
      <c r="A192" s="10"/>
      <c r="B192" s="54"/>
      <c r="C192" s="54"/>
      <c r="D192" s="54"/>
      <c r="E192" s="54"/>
      <c r="F192" s="54"/>
      <c r="G192" s="54"/>
      <c r="H192" s="6"/>
    </row>
    <row r="193" spans="1:8" ht="20.25" x14ac:dyDescent="0.25">
      <c r="A193" s="10"/>
      <c r="B193" s="54"/>
      <c r="C193" s="54"/>
      <c r="D193" s="54"/>
      <c r="E193" s="54"/>
      <c r="F193" s="54"/>
      <c r="G193" s="54"/>
      <c r="H193" s="6"/>
    </row>
    <row r="194" spans="1:8" ht="20.25" x14ac:dyDescent="0.25">
      <c r="A194" s="10"/>
      <c r="B194" s="54"/>
      <c r="C194" s="54"/>
      <c r="D194" s="54"/>
      <c r="E194" s="54"/>
      <c r="F194" s="54"/>
      <c r="G194" s="54"/>
      <c r="H194" s="6"/>
    </row>
    <row r="195" spans="1:8" ht="20.25" x14ac:dyDescent="0.25">
      <c r="A195" s="10"/>
      <c r="B195" s="54"/>
      <c r="C195" s="54"/>
      <c r="D195" s="54"/>
      <c r="E195" s="54"/>
      <c r="F195" s="54"/>
      <c r="G195" s="54"/>
      <c r="H195" s="6"/>
    </row>
    <row r="196" spans="1:8" ht="20.25" x14ac:dyDescent="0.25">
      <c r="A196" s="10"/>
      <c r="B196" s="54"/>
      <c r="C196" s="54"/>
      <c r="D196" s="54"/>
      <c r="E196" s="54"/>
      <c r="F196" s="54"/>
      <c r="G196" s="54"/>
      <c r="H196" s="6"/>
    </row>
    <row r="197" spans="1:8" ht="20.25" x14ac:dyDescent="0.25">
      <c r="A197" s="10"/>
      <c r="B197" s="54"/>
      <c r="C197" s="54"/>
      <c r="D197" s="54"/>
      <c r="E197" s="54"/>
      <c r="F197" s="54"/>
      <c r="G197" s="54"/>
      <c r="H197" s="6"/>
    </row>
    <row r="198" spans="1:8" ht="20.25" x14ac:dyDescent="0.25">
      <c r="A198" s="10"/>
      <c r="B198" s="54"/>
      <c r="C198" s="54"/>
      <c r="D198" s="54"/>
      <c r="E198" s="54"/>
      <c r="F198" s="54"/>
      <c r="G198" s="54"/>
      <c r="H198" s="6"/>
    </row>
    <row r="199" spans="1:8" ht="20.25" x14ac:dyDescent="0.25">
      <c r="A199" s="10"/>
      <c r="B199" s="54"/>
      <c r="C199" s="54"/>
      <c r="D199" s="54"/>
      <c r="E199" s="54"/>
      <c r="F199" s="54"/>
      <c r="G199" s="54"/>
      <c r="H199" s="6"/>
    </row>
    <row r="200" spans="1:8" ht="20.25" x14ac:dyDescent="0.25">
      <c r="A200" s="10"/>
      <c r="B200" s="54"/>
      <c r="C200" s="54"/>
      <c r="D200" s="54"/>
      <c r="E200" s="54"/>
      <c r="F200" s="54"/>
      <c r="G200" s="54"/>
      <c r="H200" s="6"/>
    </row>
    <row r="201" spans="1:8" ht="20.25" x14ac:dyDescent="0.25">
      <c r="A201" s="10"/>
      <c r="B201" s="54"/>
      <c r="C201" s="54"/>
      <c r="D201" s="54"/>
      <c r="E201" s="54"/>
      <c r="F201" s="54"/>
      <c r="G201" s="54"/>
      <c r="H201" s="6"/>
    </row>
    <row r="202" spans="1:8" ht="20.25" x14ac:dyDescent="0.25">
      <c r="A202" s="10"/>
      <c r="B202" s="54"/>
      <c r="C202" s="54"/>
      <c r="D202" s="54"/>
      <c r="E202" s="54"/>
      <c r="F202" s="54"/>
      <c r="G202" s="54"/>
      <c r="H202" s="6"/>
    </row>
    <row r="203" spans="1:8" ht="20.25" x14ac:dyDescent="0.25">
      <c r="A203" s="10"/>
      <c r="B203" s="54"/>
      <c r="C203" s="54"/>
      <c r="D203" s="54"/>
      <c r="E203" s="54"/>
      <c r="F203" s="54"/>
      <c r="G203" s="54"/>
      <c r="H203" s="6"/>
    </row>
    <row r="204" spans="1:8" ht="20.25" x14ac:dyDescent="0.25">
      <c r="A204" s="10"/>
      <c r="B204" s="54"/>
      <c r="C204" s="54"/>
      <c r="D204" s="54"/>
      <c r="E204" s="54"/>
      <c r="F204" s="54"/>
      <c r="G204" s="54"/>
      <c r="H204" s="6"/>
    </row>
    <row r="205" spans="1:8" ht="20.25" x14ac:dyDescent="0.25">
      <c r="A205" s="10"/>
      <c r="B205" s="54"/>
      <c r="C205" s="54"/>
      <c r="D205" s="54"/>
      <c r="E205" s="54"/>
      <c r="F205" s="54"/>
      <c r="G205" s="54"/>
      <c r="H205" s="6"/>
    </row>
    <row r="206" spans="1:8" ht="20.25" x14ac:dyDescent="0.25">
      <c r="A206" s="10"/>
      <c r="B206" s="54"/>
      <c r="C206" s="54"/>
      <c r="D206" s="54"/>
      <c r="E206" s="54"/>
      <c r="F206" s="54"/>
      <c r="G206" s="54"/>
      <c r="H206" s="6"/>
    </row>
    <row r="207" spans="1:8" ht="20.25" x14ac:dyDescent="0.25">
      <c r="A207" s="10"/>
      <c r="B207" s="54"/>
      <c r="C207" s="54"/>
      <c r="D207" s="54"/>
      <c r="E207" s="54"/>
      <c r="F207" s="54"/>
      <c r="G207" s="54"/>
      <c r="H207" s="6"/>
    </row>
    <row r="208" spans="1:8" ht="20.25" x14ac:dyDescent="0.25">
      <c r="A208" s="10"/>
      <c r="B208" s="54"/>
      <c r="C208" s="54"/>
      <c r="D208" s="54"/>
      <c r="E208" s="54"/>
      <c r="F208" s="54"/>
      <c r="G208" s="54"/>
      <c r="H208" s="6"/>
    </row>
    <row r="209" spans="1:8" ht="20.25" x14ac:dyDescent="0.25">
      <c r="A209" s="10"/>
      <c r="B209" s="54"/>
      <c r="C209" s="54"/>
      <c r="D209" s="54"/>
      <c r="E209" s="54"/>
      <c r="F209" s="54"/>
      <c r="G209" s="54"/>
      <c r="H209" s="6"/>
    </row>
    <row r="210" spans="1:8" ht="20.25" x14ac:dyDescent="0.25">
      <c r="A210" s="10"/>
      <c r="B210" s="54"/>
      <c r="C210" s="54"/>
      <c r="D210" s="54"/>
      <c r="E210" s="54"/>
      <c r="F210" s="54"/>
      <c r="G210" s="54"/>
      <c r="H210" s="6"/>
    </row>
    <row r="211" spans="1:8" ht="20.25" x14ac:dyDescent="0.25">
      <c r="A211" s="10"/>
      <c r="B211" s="54"/>
      <c r="C211" s="54"/>
      <c r="D211" s="54"/>
      <c r="E211" s="54"/>
      <c r="F211" s="54"/>
      <c r="G211" s="54"/>
      <c r="H211" s="6"/>
    </row>
    <row r="212" spans="1:8" ht="20.25" x14ac:dyDescent="0.25">
      <c r="A212" s="10"/>
      <c r="B212" s="54"/>
      <c r="C212" s="54"/>
      <c r="D212" s="54"/>
      <c r="E212" s="54"/>
      <c r="F212" s="54"/>
      <c r="G212" s="54"/>
      <c r="H212" s="6"/>
    </row>
    <row r="213" spans="1:8" ht="20.25" x14ac:dyDescent="0.25">
      <c r="A213" s="10"/>
      <c r="B213" s="54"/>
      <c r="C213" s="54"/>
      <c r="D213" s="54"/>
      <c r="E213" s="54"/>
      <c r="F213" s="54"/>
      <c r="G213" s="54"/>
      <c r="H213" s="6"/>
    </row>
    <row r="214" spans="1:8" ht="20.25" x14ac:dyDescent="0.25">
      <c r="A214" s="10"/>
      <c r="B214" s="54"/>
      <c r="C214" s="54"/>
      <c r="D214" s="54"/>
      <c r="E214" s="54"/>
      <c r="F214" s="54"/>
      <c r="G214" s="54"/>
      <c r="H214" s="6"/>
    </row>
    <row r="215" spans="1:8" ht="20.25" x14ac:dyDescent="0.25">
      <c r="A215" s="10"/>
      <c r="B215" s="54"/>
      <c r="C215" s="54"/>
      <c r="D215" s="54"/>
      <c r="E215" s="54"/>
      <c r="F215" s="54"/>
      <c r="G215" s="54"/>
      <c r="H215" s="6"/>
    </row>
    <row r="216" spans="1:8" ht="20.25" x14ac:dyDescent="0.25">
      <c r="A216" s="10"/>
      <c r="B216" s="54"/>
      <c r="C216" s="54"/>
      <c r="D216" s="54"/>
      <c r="E216" s="54"/>
      <c r="F216" s="54"/>
      <c r="G216" s="54"/>
      <c r="H216" s="6"/>
    </row>
    <row r="217" spans="1:8" ht="20.25" x14ac:dyDescent="0.25">
      <c r="A217" s="10"/>
      <c r="B217" s="54"/>
      <c r="C217" s="54"/>
      <c r="D217" s="54"/>
      <c r="E217" s="54"/>
      <c r="F217" s="54"/>
      <c r="G217" s="54"/>
      <c r="H217" s="6"/>
    </row>
    <row r="218" spans="1:8" ht="20.25" x14ac:dyDescent="0.25">
      <c r="A218" s="10"/>
      <c r="B218" s="54"/>
      <c r="C218" s="54"/>
      <c r="D218" s="54"/>
      <c r="E218" s="54"/>
      <c r="F218" s="54"/>
      <c r="G218" s="54"/>
      <c r="H218" s="6"/>
    </row>
    <row r="219" spans="1:8" ht="20.25" x14ac:dyDescent="0.25">
      <c r="A219" s="10"/>
      <c r="B219" s="54"/>
      <c r="C219" s="54"/>
      <c r="D219" s="54"/>
      <c r="E219" s="54"/>
      <c r="F219" s="54"/>
      <c r="G219" s="54"/>
      <c r="H219" s="6"/>
    </row>
    <row r="220" spans="1:8" ht="20.25" x14ac:dyDescent="0.25">
      <c r="A220" s="10"/>
      <c r="B220" s="54"/>
      <c r="C220" s="54"/>
      <c r="D220" s="54"/>
      <c r="E220" s="54"/>
      <c r="F220" s="54"/>
      <c r="G220" s="54"/>
      <c r="H220" s="6"/>
    </row>
    <row r="221" spans="1:8" ht="20.25" x14ac:dyDescent="0.25">
      <c r="A221" s="10"/>
      <c r="B221" s="54"/>
      <c r="C221" s="54"/>
      <c r="D221" s="54"/>
      <c r="E221" s="54"/>
      <c r="F221" s="54"/>
      <c r="G221" s="54"/>
      <c r="H221" s="6"/>
    </row>
    <row r="222" spans="1:8" ht="20.25" x14ac:dyDescent="0.25">
      <c r="A222" s="10"/>
      <c r="B222" s="54"/>
      <c r="C222" s="54"/>
      <c r="D222" s="54"/>
      <c r="E222" s="54"/>
      <c r="F222" s="54"/>
      <c r="G222" s="54"/>
      <c r="H222" s="6"/>
    </row>
    <row r="223" spans="1:8" ht="20.25" x14ac:dyDescent="0.25">
      <c r="A223" s="10"/>
      <c r="B223" s="54"/>
      <c r="C223" s="54"/>
      <c r="D223" s="54"/>
      <c r="E223" s="54"/>
      <c r="F223" s="54"/>
      <c r="G223" s="54"/>
      <c r="H223" s="6"/>
    </row>
    <row r="224" spans="1:8" ht="20.25" x14ac:dyDescent="0.25">
      <c r="A224" s="10"/>
      <c r="B224" s="54"/>
      <c r="C224" s="54"/>
      <c r="D224" s="54"/>
      <c r="E224" s="54"/>
      <c r="F224" s="54"/>
      <c r="G224" s="54"/>
      <c r="H224" s="6"/>
    </row>
    <row r="225" spans="1:8" ht="20.25" x14ac:dyDescent="0.25">
      <c r="A225" s="10"/>
      <c r="B225" s="54"/>
      <c r="C225" s="54"/>
      <c r="D225" s="54"/>
      <c r="E225" s="54"/>
      <c r="F225" s="54"/>
      <c r="G225" s="54"/>
      <c r="H225" s="6"/>
    </row>
    <row r="226" spans="1:8" ht="20.25" x14ac:dyDescent="0.25">
      <c r="A226" s="10"/>
      <c r="B226" s="54"/>
      <c r="C226" s="54"/>
      <c r="D226" s="54"/>
      <c r="E226" s="54"/>
      <c r="F226" s="54"/>
      <c r="G226" s="54"/>
      <c r="H226" s="6"/>
    </row>
    <row r="227" spans="1:8" ht="20.25" x14ac:dyDescent="0.25">
      <c r="A227" s="10"/>
      <c r="B227" s="54"/>
      <c r="C227" s="54"/>
      <c r="D227" s="54"/>
      <c r="E227" s="54"/>
      <c r="F227" s="54"/>
      <c r="G227" s="54"/>
      <c r="H227" s="6"/>
    </row>
    <row r="228" spans="1:8" ht="20.25" x14ac:dyDescent="0.25">
      <c r="A228" s="10"/>
      <c r="B228" s="54"/>
      <c r="C228" s="54"/>
      <c r="D228" s="54"/>
      <c r="E228" s="54"/>
      <c r="F228" s="54"/>
      <c r="G228" s="54"/>
      <c r="H228" s="6"/>
    </row>
    <row r="229" spans="1:8" ht="20.25" x14ac:dyDescent="0.25">
      <c r="A229" s="10"/>
      <c r="B229" s="54"/>
      <c r="C229" s="54"/>
      <c r="D229" s="54"/>
      <c r="E229" s="54"/>
      <c r="F229" s="54"/>
      <c r="G229" s="54"/>
      <c r="H229" s="6"/>
    </row>
    <row r="230" spans="1:8" ht="20.25" x14ac:dyDescent="0.25">
      <c r="A230" s="10"/>
      <c r="B230" s="54"/>
      <c r="C230" s="54"/>
      <c r="D230" s="54"/>
      <c r="E230" s="54"/>
      <c r="F230" s="54"/>
      <c r="G230" s="54"/>
      <c r="H230" s="6"/>
    </row>
    <row r="231" spans="1:8" ht="20.25" x14ac:dyDescent="0.25">
      <c r="A231" s="10"/>
      <c r="B231" s="54"/>
      <c r="C231" s="54"/>
      <c r="D231" s="54"/>
      <c r="E231" s="54"/>
      <c r="F231" s="54"/>
      <c r="G231" s="54"/>
      <c r="H231" s="6"/>
    </row>
    <row r="232" spans="1:8" ht="20.25" x14ac:dyDescent="0.25">
      <c r="A232" s="10"/>
      <c r="B232" s="54"/>
      <c r="C232" s="54"/>
      <c r="D232" s="54"/>
      <c r="E232" s="54"/>
      <c r="F232" s="54"/>
      <c r="G232" s="54"/>
      <c r="H232" s="6"/>
    </row>
    <row r="233" spans="1:8" ht="20.25" x14ac:dyDescent="0.25">
      <c r="A233" s="10"/>
      <c r="B233" s="54"/>
      <c r="C233" s="54"/>
      <c r="D233" s="54"/>
      <c r="E233" s="54"/>
      <c r="F233" s="54"/>
      <c r="G233" s="54"/>
      <c r="H233" s="6"/>
    </row>
    <row r="234" spans="1:8" ht="20.25" x14ac:dyDescent="0.25">
      <c r="A234" s="10"/>
      <c r="B234" s="54"/>
      <c r="C234" s="54"/>
      <c r="D234" s="54"/>
      <c r="E234" s="54"/>
      <c r="F234" s="54"/>
      <c r="G234" s="54"/>
      <c r="H234" s="6"/>
    </row>
    <row r="235" spans="1:8" ht="20.25" x14ac:dyDescent="0.25">
      <c r="A235" s="10"/>
      <c r="B235" s="54"/>
      <c r="C235" s="54"/>
      <c r="D235" s="54"/>
      <c r="E235" s="54"/>
      <c r="F235" s="54"/>
      <c r="G235" s="54"/>
      <c r="H235" s="6"/>
    </row>
    <row r="236" spans="1:8" ht="20.25" x14ac:dyDescent="0.25">
      <c r="A236" s="10"/>
      <c r="B236" s="54"/>
      <c r="C236" s="54"/>
      <c r="D236" s="54"/>
      <c r="E236" s="54"/>
      <c r="F236" s="54"/>
      <c r="G236" s="54"/>
      <c r="H236" s="6"/>
    </row>
    <row r="237" spans="1:8" ht="20.25" x14ac:dyDescent="0.25">
      <c r="A237" s="10"/>
      <c r="B237" s="54"/>
      <c r="C237" s="54"/>
      <c r="D237" s="54"/>
      <c r="E237" s="54"/>
      <c r="F237" s="54"/>
      <c r="G237" s="54"/>
      <c r="H237" s="6"/>
    </row>
    <row r="238" spans="1:8" ht="20.25" x14ac:dyDescent="0.25">
      <c r="A238" s="12"/>
      <c r="B238" s="13"/>
      <c r="C238" s="13"/>
      <c r="D238" s="13"/>
      <c r="E238" s="13"/>
      <c r="F238" s="13"/>
      <c r="G238" s="13"/>
      <c r="H238" s="7"/>
    </row>
    <row r="239" spans="1:8" ht="20.25" x14ac:dyDescent="0.25">
      <c r="A239" s="111" t="s">
        <v>76</v>
      </c>
      <c r="B239" s="112"/>
      <c r="C239" s="112"/>
      <c r="D239" s="112"/>
      <c r="E239" s="112"/>
      <c r="F239" s="112"/>
      <c r="G239" s="112"/>
      <c r="H239" s="113"/>
    </row>
    <row r="240" spans="1:8" ht="20.25" x14ac:dyDescent="0.25">
      <c r="A240" s="8"/>
      <c r="B240" s="9"/>
      <c r="C240" s="9"/>
      <c r="D240" s="9"/>
      <c r="E240" s="9"/>
      <c r="F240" s="9"/>
      <c r="G240" s="9"/>
      <c r="H240" s="5"/>
    </row>
    <row r="241" spans="1:8" ht="20.25" x14ac:dyDescent="0.25">
      <c r="A241" s="10"/>
      <c r="B241" s="11"/>
      <c r="C241" s="11"/>
      <c r="D241" s="11"/>
      <c r="E241" s="11"/>
      <c r="F241" s="11"/>
      <c r="G241" s="11"/>
      <c r="H241" s="6"/>
    </row>
    <row r="242" spans="1:8" ht="20.25" x14ac:dyDescent="0.25">
      <c r="A242" s="10"/>
      <c r="B242" s="11"/>
      <c r="C242" s="11"/>
      <c r="D242" s="11"/>
      <c r="E242" s="11"/>
      <c r="F242" s="11"/>
      <c r="G242" s="11"/>
      <c r="H242" s="6"/>
    </row>
    <row r="243" spans="1:8" ht="20.25" x14ac:dyDescent="0.25">
      <c r="A243" s="10"/>
      <c r="B243" s="11"/>
      <c r="C243" s="11"/>
      <c r="D243" s="11"/>
      <c r="E243" s="11"/>
      <c r="F243" s="11"/>
      <c r="G243" s="11"/>
      <c r="H243" s="6"/>
    </row>
    <row r="244" spans="1:8" ht="20.25" x14ac:dyDescent="0.25">
      <c r="A244" s="10"/>
      <c r="B244" s="11"/>
      <c r="C244" s="11"/>
      <c r="D244" s="11"/>
      <c r="E244" s="11"/>
      <c r="F244" s="11"/>
      <c r="G244" s="11"/>
      <c r="H244" s="6"/>
    </row>
    <row r="245" spans="1:8" ht="20.25" x14ac:dyDescent="0.25">
      <c r="A245" s="10"/>
      <c r="B245" s="11"/>
      <c r="C245" s="11"/>
      <c r="D245" s="11"/>
      <c r="E245" s="11"/>
      <c r="F245" s="11"/>
      <c r="G245" s="11"/>
      <c r="H245" s="6"/>
    </row>
    <row r="246" spans="1:8" ht="20.25" x14ac:dyDescent="0.25">
      <c r="A246" s="10"/>
      <c r="B246" s="11"/>
      <c r="C246" s="11"/>
      <c r="D246" s="11"/>
      <c r="E246" s="11"/>
      <c r="F246" s="11"/>
      <c r="G246" s="11"/>
      <c r="H246" s="6"/>
    </row>
    <row r="247" spans="1:8" ht="20.25" x14ac:dyDescent="0.25">
      <c r="A247" s="10"/>
      <c r="B247" s="11"/>
      <c r="C247" s="11"/>
      <c r="D247" s="11"/>
      <c r="E247" s="11"/>
      <c r="F247" s="11"/>
      <c r="G247" s="11"/>
      <c r="H247" s="6"/>
    </row>
    <row r="248" spans="1:8" ht="20.25" x14ac:dyDescent="0.25">
      <c r="A248" s="10"/>
      <c r="B248" s="11"/>
      <c r="C248" s="11"/>
      <c r="D248" s="11"/>
      <c r="E248" s="11"/>
      <c r="F248" s="11"/>
      <c r="G248" s="11"/>
      <c r="H248" s="6"/>
    </row>
    <row r="249" spans="1:8" ht="20.25" x14ac:dyDescent="0.25">
      <c r="A249" s="10"/>
      <c r="B249" s="11"/>
      <c r="C249" s="11"/>
      <c r="D249" s="11"/>
      <c r="E249" s="11"/>
      <c r="F249" s="11"/>
      <c r="G249" s="11"/>
      <c r="H249" s="6"/>
    </row>
    <row r="250" spans="1:8" ht="20.25" x14ac:dyDescent="0.25">
      <c r="A250" s="10"/>
      <c r="B250" s="11"/>
      <c r="C250" s="11"/>
      <c r="D250" s="11"/>
      <c r="E250" s="11"/>
      <c r="F250" s="11"/>
      <c r="G250" s="11"/>
      <c r="H250" s="6"/>
    </row>
    <row r="251" spans="1:8" ht="20.25" x14ac:dyDescent="0.25">
      <c r="A251" s="10"/>
      <c r="B251" s="11"/>
      <c r="C251" s="11"/>
      <c r="D251" s="11"/>
      <c r="E251" s="11"/>
      <c r="F251" s="11"/>
      <c r="G251" s="11"/>
      <c r="H251" s="6"/>
    </row>
    <row r="252" spans="1:8" ht="20.25" x14ac:dyDescent="0.25">
      <c r="A252" s="10"/>
      <c r="B252" s="11"/>
      <c r="C252" s="11"/>
      <c r="D252" s="11"/>
      <c r="E252" s="11"/>
      <c r="F252" s="11"/>
      <c r="G252" s="11"/>
      <c r="H252" s="6"/>
    </row>
    <row r="253" spans="1:8" ht="20.25" x14ac:dyDescent="0.25">
      <c r="A253" s="10"/>
      <c r="B253" s="11"/>
      <c r="C253" s="11"/>
      <c r="D253" s="11"/>
      <c r="E253" s="11"/>
      <c r="F253" s="11"/>
      <c r="G253" s="11"/>
      <c r="H253" s="6"/>
    </row>
    <row r="254" spans="1:8" ht="20.25" x14ac:dyDescent="0.25">
      <c r="A254" s="10"/>
      <c r="B254" s="11"/>
      <c r="C254" s="11"/>
      <c r="D254" s="11"/>
      <c r="E254" s="11"/>
      <c r="F254" s="11"/>
      <c r="G254" s="11"/>
      <c r="H254" s="6"/>
    </row>
    <row r="255" spans="1:8" ht="20.25" x14ac:dyDescent="0.25">
      <c r="A255" s="10"/>
      <c r="B255" s="11"/>
      <c r="C255" s="11"/>
      <c r="D255" s="11"/>
      <c r="E255" s="11"/>
      <c r="F255" s="11"/>
      <c r="G255" s="11"/>
      <c r="H255" s="6"/>
    </row>
    <row r="256" spans="1:8" ht="20.25" x14ac:dyDescent="0.25">
      <c r="A256" s="10"/>
      <c r="B256" s="11"/>
      <c r="C256" s="11"/>
      <c r="D256" s="11"/>
      <c r="E256" s="11"/>
      <c r="F256" s="11"/>
      <c r="G256" s="11"/>
      <c r="H256" s="6"/>
    </row>
    <row r="257" spans="1:8" ht="20.25" x14ac:dyDescent="0.25">
      <c r="A257" s="10"/>
      <c r="B257" s="11"/>
      <c r="C257" s="11"/>
      <c r="D257" s="11"/>
      <c r="E257" s="11"/>
      <c r="F257" s="11"/>
      <c r="G257" s="11"/>
      <c r="H257" s="6"/>
    </row>
    <row r="258" spans="1:8" ht="20.25" x14ac:dyDescent="0.25">
      <c r="A258" s="10"/>
      <c r="B258" s="11"/>
      <c r="C258" s="11"/>
      <c r="D258" s="11"/>
      <c r="E258" s="11"/>
      <c r="F258" s="11"/>
      <c r="G258" s="11"/>
      <c r="H258" s="6"/>
    </row>
    <row r="259" spans="1:8" ht="20.25" x14ac:dyDescent="0.25">
      <c r="A259" s="10"/>
      <c r="B259" s="11"/>
      <c r="C259" s="11"/>
      <c r="D259" s="11"/>
      <c r="E259" s="11"/>
      <c r="F259" s="11"/>
      <c r="G259" s="11"/>
      <c r="H259" s="6"/>
    </row>
    <row r="260" spans="1:8" ht="20.25" x14ac:dyDescent="0.25">
      <c r="A260" s="10"/>
      <c r="B260" s="11"/>
      <c r="C260" s="11"/>
      <c r="D260" s="11"/>
      <c r="E260" s="11"/>
      <c r="F260" s="11"/>
      <c r="G260" s="11"/>
      <c r="H260" s="6"/>
    </row>
    <row r="261" spans="1:8" ht="20.25" x14ac:dyDescent="0.25">
      <c r="A261" s="10"/>
      <c r="B261" s="11"/>
      <c r="C261" s="11"/>
      <c r="D261" s="11"/>
      <c r="E261" s="11"/>
      <c r="F261" s="11"/>
      <c r="G261" s="11"/>
      <c r="H261" s="6"/>
    </row>
    <row r="262" spans="1:8" ht="20.25" x14ac:dyDescent="0.25">
      <c r="A262" s="10"/>
      <c r="B262" s="11"/>
      <c r="C262" s="11"/>
      <c r="D262" s="11"/>
      <c r="E262" s="11"/>
      <c r="F262" s="11"/>
      <c r="G262" s="11"/>
      <c r="H262" s="6"/>
    </row>
    <row r="263" spans="1:8" ht="20.25" x14ac:dyDescent="0.25">
      <c r="A263" s="10"/>
      <c r="B263" s="11"/>
      <c r="C263" s="11"/>
      <c r="D263" s="11"/>
      <c r="E263" s="11"/>
      <c r="F263" s="11"/>
      <c r="G263" s="11"/>
      <c r="H263" s="6"/>
    </row>
    <row r="264" spans="1:8" ht="20.25" x14ac:dyDescent="0.25">
      <c r="A264" s="10"/>
      <c r="B264" s="11"/>
      <c r="C264" s="11"/>
      <c r="D264" s="11"/>
      <c r="E264" s="11"/>
      <c r="F264" s="11"/>
      <c r="G264" s="11"/>
      <c r="H264" s="6"/>
    </row>
    <row r="265" spans="1:8" ht="20.25" x14ac:dyDescent="0.25">
      <c r="A265" s="10"/>
      <c r="B265" s="11"/>
      <c r="C265" s="11"/>
      <c r="D265" s="11"/>
      <c r="E265" s="11"/>
      <c r="F265" s="11"/>
      <c r="G265" s="11"/>
      <c r="H265" s="6"/>
    </row>
    <row r="266" spans="1:8" ht="20.25" x14ac:dyDescent="0.25">
      <c r="A266" s="10"/>
      <c r="B266" s="11"/>
      <c r="C266" s="11"/>
      <c r="D266" s="11"/>
      <c r="E266" s="11"/>
      <c r="F266" s="11"/>
      <c r="G266" s="11"/>
      <c r="H266" s="6"/>
    </row>
    <row r="267" spans="1:8" ht="20.25" x14ac:dyDescent="0.25">
      <c r="A267" s="10"/>
      <c r="B267" s="11"/>
      <c r="C267" s="11"/>
      <c r="D267" s="11"/>
      <c r="E267" s="11"/>
      <c r="F267" s="11"/>
      <c r="G267" s="11"/>
      <c r="H267" s="6"/>
    </row>
    <row r="268" spans="1:8" ht="20.25" x14ac:dyDescent="0.25">
      <c r="A268" s="10"/>
      <c r="B268" s="11"/>
      <c r="C268" s="11"/>
      <c r="D268" s="11"/>
      <c r="E268" s="11"/>
      <c r="F268" s="11"/>
      <c r="G268" s="11"/>
      <c r="H268" s="6"/>
    </row>
    <row r="269" spans="1:8" ht="20.25" x14ac:dyDescent="0.25">
      <c r="A269" s="10"/>
      <c r="B269" s="11"/>
      <c r="C269" s="11"/>
      <c r="D269" s="11"/>
      <c r="E269" s="11"/>
      <c r="F269" s="11"/>
      <c r="G269" s="11"/>
      <c r="H269" s="6"/>
    </row>
    <row r="270" spans="1:8" ht="20.25" x14ac:dyDescent="0.25">
      <c r="A270" s="118" t="s">
        <v>24</v>
      </c>
      <c r="B270" s="118"/>
      <c r="C270" s="118"/>
      <c r="D270" s="118"/>
      <c r="E270" s="118"/>
      <c r="F270" s="118"/>
      <c r="G270" s="118"/>
      <c r="H270" s="118"/>
    </row>
    <row r="271" spans="1:8" ht="20.25" x14ac:dyDescent="0.25">
      <c r="A271" s="132" t="s">
        <v>77</v>
      </c>
      <c r="B271" s="133"/>
      <c r="C271" s="133"/>
      <c r="D271" s="133"/>
      <c r="E271" s="133"/>
      <c r="F271" s="133"/>
      <c r="G271" s="133"/>
      <c r="H271" s="134"/>
    </row>
    <row r="272" spans="1:8" ht="20.25" x14ac:dyDescent="0.25">
      <c r="A272" s="135" t="s">
        <v>78</v>
      </c>
      <c r="B272" s="136"/>
      <c r="C272" s="136"/>
      <c r="D272" s="136"/>
      <c r="E272" s="136"/>
      <c r="F272" s="136"/>
      <c r="G272" s="136"/>
      <c r="H272" s="137"/>
    </row>
    <row r="273" spans="1:8" ht="45" customHeight="1" x14ac:dyDescent="0.25">
      <c r="A273" s="135" t="s">
        <v>79</v>
      </c>
      <c r="B273" s="136"/>
      <c r="C273" s="136"/>
      <c r="D273" s="136"/>
      <c r="E273" s="136"/>
      <c r="F273" s="136"/>
      <c r="G273" s="136"/>
      <c r="H273" s="137"/>
    </row>
    <row r="274" spans="1:8" ht="42.75" customHeight="1" x14ac:dyDescent="0.25">
      <c r="A274" s="135" t="s">
        <v>80</v>
      </c>
      <c r="B274" s="136"/>
      <c r="C274" s="136"/>
      <c r="D274" s="136"/>
      <c r="E274" s="136"/>
      <c r="F274" s="136"/>
      <c r="G274" s="136"/>
      <c r="H274" s="137"/>
    </row>
    <row r="275" spans="1:8" ht="20.25" x14ac:dyDescent="0.25">
      <c r="A275" s="135" t="s">
        <v>81</v>
      </c>
      <c r="B275" s="136"/>
      <c r="C275" s="136"/>
      <c r="D275" s="136"/>
      <c r="E275" s="136"/>
      <c r="F275" s="136"/>
      <c r="G275" s="136"/>
      <c r="H275" s="137"/>
    </row>
    <row r="276" spans="1:8" ht="20.25" x14ac:dyDescent="0.25">
      <c r="A276" s="135" t="s">
        <v>82</v>
      </c>
      <c r="B276" s="136"/>
      <c r="C276" s="136"/>
      <c r="D276" s="136"/>
      <c r="E276" s="136"/>
      <c r="F276" s="136"/>
      <c r="G276" s="136"/>
      <c r="H276" s="137"/>
    </row>
    <row r="277" spans="1:8" ht="45" customHeight="1" x14ac:dyDescent="0.25">
      <c r="A277" s="135" t="s">
        <v>83</v>
      </c>
      <c r="B277" s="136"/>
      <c r="C277" s="136"/>
      <c r="D277" s="136"/>
      <c r="E277" s="136"/>
      <c r="F277" s="136"/>
      <c r="G277" s="136"/>
      <c r="H277" s="137"/>
    </row>
    <row r="278" spans="1:8" ht="45" customHeight="1" x14ac:dyDescent="0.25">
      <c r="A278" s="135" t="s">
        <v>84</v>
      </c>
      <c r="B278" s="136"/>
      <c r="C278" s="136"/>
      <c r="D278" s="136"/>
      <c r="E278" s="136"/>
      <c r="F278" s="136"/>
      <c r="G278" s="136"/>
      <c r="H278" s="137"/>
    </row>
    <row r="279" spans="1:8" ht="20.25" x14ac:dyDescent="0.25">
      <c r="A279" s="138" t="s">
        <v>85</v>
      </c>
      <c r="B279" s="139"/>
      <c r="C279" s="139"/>
      <c r="D279" s="139"/>
      <c r="E279" s="139"/>
      <c r="F279" s="139"/>
      <c r="G279" s="139"/>
      <c r="H279" s="140"/>
    </row>
    <row r="280" spans="1:8" ht="75.75" customHeight="1" x14ac:dyDescent="0.25">
      <c r="A280" s="122" t="s">
        <v>30</v>
      </c>
      <c r="B280" s="123"/>
      <c r="C280" s="124" t="s">
        <v>351</v>
      </c>
      <c r="D280" s="125"/>
      <c r="E280" s="122" t="s">
        <v>9</v>
      </c>
      <c r="F280" s="123"/>
      <c r="G280" s="95"/>
      <c r="H280" s="95"/>
    </row>
  </sheetData>
  <mergeCells count="294">
    <mergeCell ref="I4:J4"/>
    <mergeCell ref="A119:B119"/>
    <mergeCell ref="A120:B120"/>
    <mergeCell ref="A132:B132"/>
    <mergeCell ref="A133:B133"/>
    <mergeCell ref="A134:B134"/>
    <mergeCell ref="A135:B135"/>
    <mergeCell ref="A136:B136"/>
    <mergeCell ref="A122:H122"/>
    <mergeCell ref="A123:B123"/>
    <mergeCell ref="A124:B124"/>
    <mergeCell ref="A125:B125"/>
    <mergeCell ref="A126:B126"/>
    <mergeCell ref="A127:B127"/>
    <mergeCell ref="A128:B128"/>
    <mergeCell ref="A129:B129"/>
    <mergeCell ref="A130:B130"/>
    <mergeCell ref="A131:B131"/>
    <mergeCell ref="A121:B121"/>
    <mergeCell ref="A91:H91"/>
    <mergeCell ref="A101:B101"/>
    <mergeCell ref="A102:B102"/>
    <mergeCell ref="A103:B103"/>
    <mergeCell ref="A104:B104"/>
    <mergeCell ref="A105:B105"/>
    <mergeCell ref="A106:B106"/>
    <mergeCell ref="A74:F74"/>
    <mergeCell ref="A87:H87"/>
    <mergeCell ref="E85:F85"/>
    <mergeCell ref="G84:H84"/>
    <mergeCell ref="A85:B85"/>
    <mergeCell ref="G85:H85"/>
    <mergeCell ref="A86:B86"/>
    <mergeCell ref="G86:H86"/>
    <mergeCell ref="A94:B94"/>
    <mergeCell ref="A95:B95"/>
    <mergeCell ref="A96:B96"/>
    <mergeCell ref="A97:B97"/>
    <mergeCell ref="G74:H74"/>
    <mergeCell ref="A84:B84"/>
    <mergeCell ref="E84:F84"/>
    <mergeCell ref="A82:F82"/>
    <mergeCell ref="A77:B77"/>
    <mergeCell ref="A112:B112"/>
    <mergeCell ref="A114:B114"/>
    <mergeCell ref="A115:B115"/>
    <mergeCell ref="A109:B109"/>
    <mergeCell ref="A110:B110"/>
    <mergeCell ref="A116:B116"/>
    <mergeCell ref="A117:B117"/>
    <mergeCell ref="A118:B118"/>
    <mergeCell ref="A113:B113"/>
    <mergeCell ref="A111:B111"/>
    <mergeCell ref="C21:D21"/>
    <mergeCell ref="C22:D22"/>
    <mergeCell ref="C24:H24"/>
    <mergeCell ref="C23:H23"/>
    <mergeCell ref="A66:B66"/>
    <mergeCell ref="A69:B69"/>
    <mergeCell ref="A45:B45"/>
    <mergeCell ref="A46:B46"/>
    <mergeCell ref="D46:F46"/>
    <mergeCell ref="D45:F45"/>
    <mergeCell ref="A55:B55"/>
    <mergeCell ref="C52:H52"/>
    <mergeCell ref="C56:F56"/>
    <mergeCell ref="E61:F61"/>
    <mergeCell ref="E59:F59"/>
    <mergeCell ref="E60:F60"/>
    <mergeCell ref="C55:F55"/>
    <mergeCell ref="G62:H73"/>
    <mergeCell ref="A58:H58"/>
    <mergeCell ref="A61:B61"/>
    <mergeCell ref="A62:B62"/>
    <mergeCell ref="A56:B57"/>
    <mergeCell ref="C57:H57"/>
    <mergeCell ref="A90:H90"/>
    <mergeCell ref="A89:H89"/>
    <mergeCell ref="A1:H1"/>
    <mergeCell ref="A146:C146"/>
    <mergeCell ref="G27:H27"/>
    <mergeCell ref="G28:H28"/>
    <mergeCell ref="A37:H37"/>
    <mergeCell ref="A44:H44"/>
    <mergeCell ref="A47:H47"/>
    <mergeCell ref="G81:H81"/>
    <mergeCell ref="G7:H7"/>
    <mergeCell ref="G45:H45"/>
    <mergeCell ref="A25:H25"/>
    <mergeCell ref="G26:H26"/>
    <mergeCell ref="G20:H20"/>
    <mergeCell ref="G21:H21"/>
    <mergeCell ref="A9:A11"/>
    <mergeCell ref="G80:H80"/>
    <mergeCell ref="A92:H92"/>
    <mergeCell ref="A83:H83"/>
    <mergeCell ref="C18:D18"/>
    <mergeCell ref="C19:D19"/>
    <mergeCell ref="A33:H33"/>
    <mergeCell ref="G30:H30"/>
    <mergeCell ref="A13:H13"/>
    <mergeCell ref="C26:D26"/>
    <mergeCell ref="G280:H280"/>
    <mergeCell ref="A145:H145"/>
    <mergeCell ref="D147:H147"/>
    <mergeCell ref="A271:H271"/>
    <mergeCell ref="A277:H277"/>
    <mergeCell ref="A278:H278"/>
    <mergeCell ref="A279:H279"/>
    <mergeCell ref="A272:H272"/>
    <mergeCell ref="A273:H273"/>
    <mergeCell ref="A274:H274"/>
    <mergeCell ref="A275:H275"/>
    <mergeCell ref="A147:C147"/>
    <mergeCell ref="A270:H270"/>
    <mergeCell ref="A276:H276"/>
    <mergeCell ref="A239:H239"/>
    <mergeCell ref="D146:H146"/>
    <mergeCell ref="A148:C148"/>
    <mergeCell ref="D148:H148"/>
    <mergeCell ref="A59:C60"/>
    <mergeCell ref="A68:B68"/>
    <mergeCell ref="A189:H189"/>
    <mergeCell ref="E280:F280"/>
    <mergeCell ref="A280:B280"/>
    <mergeCell ref="A137:H137"/>
    <mergeCell ref="C280:D280"/>
    <mergeCell ref="G14:H14"/>
    <mergeCell ref="G16:H16"/>
    <mergeCell ref="G17:H17"/>
    <mergeCell ref="G15:H15"/>
    <mergeCell ref="G18:H18"/>
    <mergeCell ref="G19:H19"/>
    <mergeCell ref="G46:H46"/>
    <mergeCell ref="G31:H31"/>
    <mergeCell ref="G22:H22"/>
    <mergeCell ref="G36:H36"/>
    <mergeCell ref="G35:H35"/>
    <mergeCell ref="E62:F73"/>
    <mergeCell ref="E86:F86"/>
    <mergeCell ref="C84:D84"/>
    <mergeCell ref="G78:H78"/>
    <mergeCell ref="C86:D86"/>
    <mergeCell ref="A75:H75"/>
    <mergeCell ref="G76:H76"/>
    <mergeCell ref="B140:H140"/>
    <mergeCell ref="B139:H139"/>
    <mergeCell ref="B143:H143"/>
    <mergeCell ref="B142:H142"/>
    <mergeCell ref="B141:H141"/>
    <mergeCell ref="B144:H144"/>
    <mergeCell ref="G82:H82"/>
    <mergeCell ref="A79:H79"/>
    <mergeCell ref="E76:F76"/>
    <mergeCell ref="A78:B78"/>
    <mergeCell ref="E77:F77"/>
    <mergeCell ref="G77:H77"/>
    <mergeCell ref="A98:B98"/>
    <mergeCell ref="A99:B99"/>
    <mergeCell ref="A100:B100"/>
    <mergeCell ref="A93:B93"/>
    <mergeCell ref="C85:D85"/>
    <mergeCell ref="A138:H138"/>
    <mergeCell ref="A76:B76"/>
    <mergeCell ref="C76:D76"/>
    <mergeCell ref="C77:D77"/>
    <mergeCell ref="C78:D78"/>
    <mergeCell ref="E78:F78"/>
    <mergeCell ref="A80:F80"/>
    <mergeCell ref="A81:F81"/>
    <mergeCell ref="A107:H107"/>
    <mergeCell ref="A108:B108"/>
    <mergeCell ref="E3:F3"/>
    <mergeCell ref="E4:F4"/>
    <mergeCell ref="A63:B63"/>
    <mergeCell ref="C27:D27"/>
    <mergeCell ref="A70:B70"/>
    <mergeCell ref="A71:B71"/>
    <mergeCell ref="A72:B72"/>
    <mergeCell ref="A73:B73"/>
    <mergeCell ref="A64:B64"/>
    <mergeCell ref="A65:B65"/>
    <mergeCell ref="A67:B67"/>
    <mergeCell ref="E14:F14"/>
    <mergeCell ref="E15:F15"/>
    <mergeCell ref="E16:F16"/>
    <mergeCell ref="E17:F17"/>
    <mergeCell ref="E18:F18"/>
    <mergeCell ref="E19:F19"/>
    <mergeCell ref="A23:B23"/>
    <mergeCell ref="A24:B24"/>
    <mergeCell ref="E20:F20"/>
    <mergeCell ref="E21:F21"/>
    <mergeCell ref="E22:F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G6:H6"/>
    <mergeCell ref="A5:H5"/>
    <mergeCell ref="C4:D4"/>
    <mergeCell ref="E2:F2"/>
    <mergeCell ref="C16:D16"/>
    <mergeCell ref="C17:D17"/>
    <mergeCell ref="A14:B14"/>
    <mergeCell ref="A15:B15"/>
    <mergeCell ref="A16:B16"/>
    <mergeCell ref="A17:B17"/>
    <mergeCell ref="A18:B18"/>
    <mergeCell ref="C14:D14"/>
    <mergeCell ref="C15:D15"/>
    <mergeCell ref="A19:B19"/>
    <mergeCell ref="A20:B20"/>
    <mergeCell ref="A21:B21"/>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G29:H29"/>
    <mergeCell ref="C20:D2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J38:K38"/>
    <mergeCell ref="M38:N38"/>
    <mergeCell ref="C38:E38"/>
    <mergeCell ref="F38:H38"/>
    <mergeCell ref="C39:E39"/>
    <mergeCell ref="F39:H39"/>
    <mergeCell ref="F40:H40"/>
    <mergeCell ref="C40:E40"/>
    <mergeCell ref="A41:B41"/>
    <mergeCell ref="C41:E41"/>
    <mergeCell ref="F41:H41"/>
    <mergeCell ref="A39:B39"/>
    <mergeCell ref="A40:B40"/>
    <mergeCell ref="A48:B48"/>
    <mergeCell ref="A50:B50"/>
    <mergeCell ref="A53:B53"/>
    <mergeCell ref="A54:B54"/>
    <mergeCell ref="A49:B49"/>
    <mergeCell ref="C48:H48"/>
    <mergeCell ref="C49:F49"/>
    <mergeCell ref="C50:F50"/>
    <mergeCell ref="C51:F51"/>
    <mergeCell ref="A51:B52"/>
    <mergeCell ref="C53:F53"/>
    <mergeCell ref="C54:F54"/>
  </mergeCells>
  <dataValidations count="7">
    <dataValidation type="list" allowBlank="1" showInputMessage="1" showErrorMessage="1" sqref="G6:H6" xr:uid="{00000000-0002-0000-0000-000000000000}">
      <formula1>"Mr. Suraj Khare, Mr.Vinayak,Mr. Gaurav Pawar, Mr.Manish,Mr.Vaibhav Gite,Miss Ankita Mohite"</formula1>
    </dataValidation>
    <dataValidation type="list" allowBlank="1" showInputMessage="1" showErrorMessage="1" sqref="G26:H26" xr:uid="{00000000-0002-0000-0000-000001000000}">
      <formula1>"Middle,Upper"</formula1>
    </dataValidation>
    <dataValidation type="list" allowBlank="1" showInputMessage="1" showErrorMessage="1" sqref="C78" xr:uid="{00000000-0002-0000-0000-000002000000}">
      <formula1>"300000,350000,400000,500000,600000,700000,800000,900000,1000000,1200000,1400000,1500000,1600000"</formula1>
    </dataValidation>
    <dataValidation type="list" allowBlank="1" showInputMessage="1" showErrorMessage="1" sqref="F88"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8:H48 G35:H35" xr:uid="{00000000-0002-0000-0000-000005000000}">
      <formula1>"Yes,No"</formula1>
    </dataValidation>
    <dataValidation type="list" allowBlank="1" showInputMessage="1" showErrorMessage="1" sqref="C88" xr:uid="{00000000-0002-0000-0000-000006000000}">
      <formula1>"Sale /         Rehab /           PAP,Sale / Mhada,Sale / Landowner"</formula1>
    </dataValidation>
  </dataValidations>
  <hyperlinks>
    <hyperlink ref="I24" display="https://tribecatriliveandheri.in/?utm_source=Google&amp;utm_medium=Cpc&amp;utm_campaign=Tribeca+Trilive+Andheri&amp;utm_term=trilive%20marol%20andheri%20east&amp;utm_content={adgroup}&amp;device=c&amp;utm_Physical_Location=9062232&amp;utm_Target=&amp;gad_source=1&amp;gad_campaignid=22474941" xr:uid="{00000000-0004-0000-0000-000000000000}"/>
    <hyperlink ref="C23" r:id="rId1" xr:uid="{00000000-0004-0000-0000-000001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5" manualBreakCount="5">
    <brk id="24" max="16383" man="1"/>
    <brk id="57" max="16383" man="1"/>
    <brk id="144" max="8" man="1"/>
    <brk id="188" max="16383" man="1"/>
    <brk id="23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W56"/>
  <sheetViews>
    <sheetView zoomScale="55" zoomScaleNormal="55" workbookViewId="0">
      <selection activeCell="C8" sqref="C8"/>
    </sheetView>
  </sheetViews>
  <sheetFormatPr defaultRowHeight="15" x14ac:dyDescent="0.25"/>
  <cols>
    <col min="1" max="1" width="23" customWidth="1"/>
    <col min="2" max="2" width="25.7109375" customWidth="1"/>
    <col min="3" max="3" width="17.7109375" customWidth="1"/>
    <col min="4" max="8" width="25.7109375" customWidth="1"/>
  </cols>
  <sheetData>
    <row r="3" spans="1:10" s="1" customFormat="1" ht="21" thickBot="1" x14ac:dyDescent="0.3">
      <c r="A3" s="118" t="s">
        <v>68</v>
      </c>
      <c r="B3" s="118"/>
      <c r="C3" s="118"/>
      <c r="D3" s="118"/>
      <c r="E3" s="118"/>
      <c r="F3" s="118"/>
      <c r="G3" s="118"/>
      <c r="H3" s="118"/>
    </row>
    <row r="4" spans="1:10" s="1" customFormat="1" ht="20.25" customHeight="1" x14ac:dyDescent="0.3">
      <c r="A4" s="172" t="s">
        <v>334</v>
      </c>
      <c r="B4" s="173"/>
      <c r="C4" s="174"/>
      <c r="D4" s="29" t="s">
        <v>116</v>
      </c>
      <c r="E4" s="164" t="s">
        <v>103</v>
      </c>
      <c r="F4" s="164"/>
      <c r="G4" s="29" t="s">
        <v>117</v>
      </c>
      <c r="H4" s="29" t="s">
        <v>118</v>
      </c>
      <c r="I4" s="14" t="str">
        <f>(IF(E7&gt;99%,"All work completed. Please provide OC.",IF(E7&gt;89.8%,"Plinth, RCC, Brick, Plaster, Flooring, Wooden, Plumbing, Electrification, etc., work Completed. Finishing work is in process.",IF(E7&lt;94%,(IF(C7=0,"Work not yet Started.",IF(D7=25%,"Piling work in process",IF(D7=50%,"Excavation work in process",IF(D7=100%,"Excavation work Completed. ","0")))&amp;(IF(C8=0%,"",IF(C8=J9,"Footing work is process",IF(C8=J10,"Footing work Completed",IF(C8=J11,"1st Basement Completed",IF(C8=J12,"1st &amp; 2nd Basement Completed",IF(C8=J13,"1st to 3rd Basement Completed",IF(C8=J14,"1st to 4th Basement Completed",IF(C8=J15,"Plinth work is process",IF(C8=J16,"Plinth work completed","0")))))))))))&amp;(IF(C9=(E5+G5+H5),", RCC Slab",IF(C9&gt;0,", RCC upto "&amp;C9&amp;" Slab",""))&amp;(IF(C10=H5,", Brickwork",IF(C10&gt;0,", Brickwork upto "&amp;C10&amp;" Floor",""))&amp;(IF(C11=H5,", Internal Plaster",IF(C11&gt;0,", Internal Plaster upto "&amp;C11&amp;" Floor",""))&amp;(IF(C12=H5,", External Plaster",IF(C12&gt;0,", External Plaster upto "&amp;C12&amp;" Floor",""))&amp;(IF(C13=H5,", External Plumbing, Elevation and Waterproofing",IF(C13&gt;0,", External Plumbing, Elevation and Waterproofing upto "&amp;C13&amp;" Floor",""))&amp;(IF(C14=H5,", Flooring &amp; Fitting",IF(C14&gt;0,", Flooring &amp; Fitting upto "&amp;C14&amp;" Floor",""))&amp;(IF(C15=H5,", Wooden Work",IF(C15&gt;0,", Wooden Work upto "&amp;C15&amp;" Floor",""))&amp;(IF(C16=H5,", Electrical &amp; Sanitary fittings",IF(C16&gt;0,", Electrical &amp; Sanitary fittings upto "&amp;C16&amp;" Floor",""))&amp;(IF(C17&gt;0,", Finishing upto "&amp;C17&amp;" Floor","")&amp;(IF(C9&gt;0.5," Completed",""))))))))))))))))</f>
        <v>Excavation work Completed. 0</v>
      </c>
      <c r="J4" s="16"/>
    </row>
    <row r="5" spans="1:10" s="1" customFormat="1" ht="20.25" x14ac:dyDescent="0.3">
      <c r="A5" s="175"/>
      <c r="B5" s="176"/>
      <c r="C5" s="177"/>
      <c r="D5" s="29">
        <v>1</v>
      </c>
      <c r="E5" s="164">
        <v>1</v>
      </c>
      <c r="F5" s="164"/>
      <c r="G5" s="29">
        <v>0</v>
      </c>
      <c r="H5" s="29">
        <v>22</v>
      </c>
      <c r="I5" s="15" t="s">
        <v>122</v>
      </c>
      <c r="J5" s="16"/>
    </row>
    <row r="6" spans="1:10" s="1" customFormat="1" ht="20.25" customHeight="1" x14ac:dyDescent="0.3">
      <c r="A6" s="163" t="s">
        <v>120</v>
      </c>
      <c r="B6" s="163"/>
      <c r="C6" s="83" t="s">
        <v>130</v>
      </c>
      <c r="D6" s="30" t="s">
        <v>131</v>
      </c>
      <c r="E6" s="163" t="s">
        <v>121</v>
      </c>
      <c r="F6" s="163"/>
      <c r="G6" s="26" t="s">
        <v>119</v>
      </c>
      <c r="H6" s="26"/>
      <c r="I6" s="18" t="s">
        <v>132</v>
      </c>
      <c r="J6" s="17">
        <f>H5*25%</f>
        <v>5.5</v>
      </c>
    </row>
    <row r="7" spans="1:10" s="1" customFormat="1" ht="20.25" customHeight="1" x14ac:dyDescent="0.3">
      <c r="A7" s="104" t="s">
        <v>133</v>
      </c>
      <c r="B7" s="104"/>
      <c r="C7" s="84">
        <f>J8</f>
        <v>22</v>
      </c>
      <c r="D7" s="28">
        <f>((100/H5)*C7)/100</f>
        <v>1.0000000000000002</v>
      </c>
      <c r="E7" s="104">
        <f>(((C7/H5*5)+(C8/H5*20)+(25/(E5+G5+H5)*C9)+(5/(H5)*C10)+(2.5/(H5)*C11)+(2.5/(H5)*C12)+(5/H5*C13)+(10/H5*C14)+(2.5/H5*C15)+(2.5/H5*C16)+(10/H5*C17)+(10/H5*C18))/100)</f>
        <v>0.25</v>
      </c>
      <c r="F7" s="104"/>
      <c r="G7" s="104" t="str">
        <f>I4</f>
        <v>Excavation work Completed. 0</v>
      </c>
      <c r="H7" s="104"/>
      <c r="I7" s="18" t="s">
        <v>123</v>
      </c>
      <c r="J7" s="22">
        <f>H5*50%</f>
        <v>11</v>
      </c>
    </row>
    <row r="8" spans="1:10" s="1" customFormat="1" ht="20.25" x14ac:dyDescent="0.3">
      <c r="A8" s="104" t="s">
        <v>104</v>
      </c>
      <c r="B8" s="104"/>
      <c r="C8" s="86">
        <v>22</v>
      </c>
      <c r="D8" s="28">
        <f>((100/H5)*C8)/100</f>
        <v>1.0000000000000002</v>
      </c>
      <c r="E8" s="104"/>
      <c r="F8" s="104"/>
      <c r="G8" s="104"/>
      <c r="H8" s="104"/>
      <c r="I8" s="18" t="s">
        <v>124</v>
      </c>
      <c r="J8" s="22">
        <f>H5</f>
        <v>22</v>
      </c>
    </row>
    <row r="9" spans="1:10" s="1" customFormat="1" ht="21" customHeight="1" x14ac:dyDescent="0.35">
      <c r="A9" s="104" t="s">
        <v>134</v>
      </c>
      <c r="B9" s="104"/>
      <c r="C9" s="84">
        <v>0</v>
      </c>
      <c r="D9" s="28">
        <f>((100/(E5+G5+H5))*C9)/100</f>
        <v>0</v>
      </c>
      <c r="E9" s="104"/>
      <c r="F9" s="104"/>
      <c r="G9" s="104"/>
      <c r="H9" s="104"/>
      <c r="I9" s="18" t="s">
        <v>125</v>
      </c>
      <c r="J9" s="23">
        <f>(IF(D5&gt;1,(H5/(D5+2)),H5*0.2))</f>
        <v>4.4000000000000004</v>
      </c>
    </row>
    <row r="10" spans="1:10" s="1" customFormat="1" ht="21" customHeight="1" x14ac:dyDescent="0.35">
      <c r="A10" s="104" t="s">
        <v>135</v>
      </c>
      <c r="B10" s="104"/>
      <c r="C10" s="84">
        <v>0</v>
      </c>
      <c r="D10" s="28">
        <f>((100/H5)*C10)/100</f>
        <v>0</v>
      </c>
      <c r="E10" s="104"/>
      <c r="F10" s="104"/>
      <c r="G10" s="104"/>
      <c r="H10" s="104"/>
      <c r="I10" s="18" t="s">
        <v>126</v>
      </c>
      <c r="J10" s="23">
        <f>(IF(D5&gt;1,(H5/(D5+2)+J9),H5*0.2+J9))</f>
        <v>8.8000000000000007</v>
      </c>
    </row>
    <row r="11" spans="1:10" s="1" customFormat="1" ht="21" customHeight="1" x14ac:dyDescent="0.35">
      <c r="A11" s="105" t="s">
        <v>136</v>
      </c>
      <c r="B11" s="106"/>
      <c r="C11" s="84">
        <v>0</v>
      </c>
      <c r="D11" s="28">
        <f>((100/H5)*C11)/100</f>
        <v>0</v>
      </c>
      <c r="E11" s="104"/>
      <c r="F11" s="104"/>
      <c r="G11" s="104"/>
      <c r="H11" s="104"/>
      <c r="I11" s="18" t="s">
        <v>137</v>
      </c>
      <c r="J11" s="23">
        <f>(IF(D5&gt;1,(H5/(D5+2)+J10),0))</f>
        <v>0</v>
      </c>
    </row>
    <row r="12" spans="1:10" s="1" customFormat="1" ht="21" customHeight="1" x14ac:dyDescent="0.35">
      <c r="A12" s="105" t="s">
        <v>167</v>
      </c>
      <c r="B12" s="106"/>
      <c r="C12" s="84">
        <v>0</v>
      </c>
      <c r="D12" s="28">
        <f>((100/H5)*C12)/100</f>
        <v>0</v>
      </c>
      <c r="E12" s="104"/>
      <c r="F12" s="104"/>
      <c r="G12" s="104"/>
      <c r="H12" s="104"/>
      <c r="I12" s="18" t="s">
        <v>138</v>
      </c>
      <c r="J12" s="23">
        <f>(IF(D5&gt;2,(H5/(D5+2)+J11),0))</f>
        <v>0</v>
      </c>
    </row>
    <row r="13" spans="1:10" s="1" customFormat="1" ht="57.75" customHeight="1" x14ac:dyDescent="0.35">
      <c r="A13" s="105" t="s">
        <v>164</v>
      </c>
      <c r="B13" s="106"/>
      <c r="C13" s="84">
        <v>0</v>
      </c>
      <c r="D13" s="28">
        <f>((100/(H5))*C13)/100</f>
        <v>0</v>
      </c>
      <c r="E13" s="104"/>
      <c r="F13" s="104"/>
      <c r="G13" s="104"/>
      <c r="H13" s="104"/>
      <c r="I13" s="18" t="s">
        <v>140</v>
      </c>
      <c r="J13" s="24">
        <f>(IF(D5&gt;3,(H5/(D5+2)+J12),0))</f>
        <v>0</v>
      </c>
    </row>
    <row r="14" spans="1:10" s="1" customFormat="1" ht="21" x14ac:dyDescent="0.35">
      <c r="A14" s="104" t="s">
        <v>139</v>
      </c>
      <c r="B14" s="104"/>
      <c r="C14" s="84">
        <v>0</v>
      </c>
      <c r="D14" s="28">
        <f>((100/(H5))*C14)/100</f>
        <v>0</v>
      </c>
      <c r="E14" s="104"/>
      <c r="F14" s="104"/>
      <c r="G14" s="104"/>
      <c r="H14" s="104"/>
      <c r="I14" s="18" t="s">
        <v>141</v>
      </c>
      <c r="J14" s="23">
        <f>(IF(D5&gt;4,(H5/(D5+2)+J13),0))</f>
        <v>0</v>
      </c>
    </row>
    <row r="15" spans="1:10" s="1" customFormat="1" ht="21" customHeight="1" x14ac:dyDescent="0.35">
      <c r="A15" s="104" t="s">
        <v>166</v>
      </c>
      <c r="B15" s="104"/>
      <c r="C15" s="84">
        <v>0</v>
      </c>
      <c r="D15" s="28">
        <f>((100/H5)*C15)/100</f>
        <v>0</v>
      </c>
      <c r="E15" s="104"/>
      <c r="F15" s="104"/>
      <c r="G15" s="104"/>
      <c r="H15" s="104"/>
      <c r="I15" s="18" t="s">
        <v>127</v>
      </c>
      <c r="J15" s="23">
        <f>(IF(D5=1,(H5/(D5+3)+J10),IF(D5=0,(H5*0.3+J10),IF(D5&gt;1,0))))</f>
        <v>14.3</v>
      </c>
    </row>
    <row r="16" spans="1:10" s="1" customFormat="1" ht="21.75" thickBot="1" x14ac:dyDescent="0.4">
      <c r="A16" s="104" t="s">
        <v>165</v>
      </c>
      <c r="B16" s="104"/>
      <c r="C16" s="84">
        <v>0</v>
      </c>
      <c r="D16" s="28">
        <f>((100/H5)*C16)/100</f>
        <v>0</v>
      </c>
      <c r="E16" s="104"/>
      <c r="F16" s="104"/>
      <c r="G16" s="104"/>
      <c r="H16" s="104"/>
      <c r="I16" s="20" t="s">
        <v>128</v>
      </c>
      <c r="J16" s="25">
        <f>(IF(D5&gt;1.5,(H5/(D5+2)+J10+MAX(0,J11-J10)+MAX(0,J12-J11)+MAX(0,J13-J12)+MAX(0,J14-J13)+MAX(0,J15-J14)),IF(D5=1,(H5/(D5+3)+J15),IF(D5=0,H5*0.3+J15))))</f>
        <v>19.8</v>
      </c>
    </row>
    <row r="17" spans="1:23" s="1" customFormat="1" ht="20.25" x14ac:dyDescent="0.25">
      <c r="A17" s="104" t="s">
        <v>142</v>
      </c>
      <c r="B17" s="104"/>
      <c r="C17" s="84">
        <v>0</v>
      </c>
      <c r="D17" s="28">
        <f>((100/(H5))*C17)/100</f>
        <v>0</v>
      </c>
      <c r="E17" s="104"/>
      <c r="F17" s="104"/>
      <c r="G17" s="104"/>
      <c r="H17" s="104"/>
    </row>
    <row r="18" spans="1:23" s="1" customFormat="1" ht="20.25" x14ac:dyDescent="0.25">
      <c r="A18" s="104" t="s">
        <v>143</v>
      </c>
      <c r="B18" s="104"/>
      <c r="C18" s="84">
        <v>0</v>
      </c>
      <c r="D18" s="28">
        <f>((100/(H5))*C18)/100</f>
        <v>0</v>
      </c>
      <c r="E18" s="104"/>
      <c r="F18" s="104"/>
      <c r="G18" s="104"/>
      <c r="H18" s="104"/>
    </row>
    <row r="23" spans="1:23" x14ac:dyDescent="0.25">
      <c r="B23" s="178" t="s">
        <v>168</v>
      </c>
      <c r="C23" s="178"/>
      <c r="D23" s="178"/>
      <c r="E23" s="178"/>
      <c r="F23" s="178"/>
    </row>
    <row r="24" spans="1:23" ht="14.45" customHeight="1" x14ac:dyDescent="0.25">
      <c r="B24" s="181" t="s">
        <v>169</v>
      </c>
      <c r="C24" s="181" t="s">
        <v>170</v>
      </c>
      <c r="D24" s="184" t="s">
        <v>171</v>
      </c>
      <c r="E24" s="182" t="s">
        <v>172</v>
      </c>
      <c r="F24" s="181" t="s">
        <v>173</v>
      </c>
    </row>
    <row r="25" spans="1:23" ht="15.75" thickBot="1" x14ac:dyDescent="0.3">
      <c r="B25" s="181"/>
      <c r="C25" s="181"/>
      <c r="D25" s="184"/>
      <c r="E25" s="182"/>
      <c r="F25" s="181"/>
    </row>
    <row r="26" spans="1:23" ht="40.5" x14ac:dyDescent="0.3">
      <c r="B26" s="38" t="s">
        <v>174</v>
      </c>
      <c r="C26" s="39">
        <v>10</v>
      </c>
      <c r="D26" s="40"/>
      <c r="E26" s="41" t="e">
        <f>((D26/#REF!)*0.05)*100</f>
        <v>#REF!</v>
      </c>
      <c r="F26" s="41" t="e">
        <f>((D26/#REF!)*(C26/100))*100</f>
        <v>#REF!</v>
      </c>
      <c r="K26" s="185">
        <v>1</v>
      </c>
      <c r="L26" s="185"/>
      <c r="M26" s="185"/>
      <c r="N26" s="186" t="s">
        <v>4</v>
      </c>
      <c r="O26" s="84" t="s">
        <v>116</v>
      </c>
      <c r="P26" s="164" t="s">
        <v>103</v>
      </c>
      <c r="Q26" s="164"/>
      <c r="R26" s="84" t="s">
        <v>117</v>
      </c>
      <c r="S26" s="84" t="s">
        <v>118</v>
      </c>
      <c r="T26" s="14" t="str">
        <f>(IF(P29&gt;99%,"All work completed. Please provide OC.",IF(P29&gt;89.8%,"Plinth, RCC, Brick, Plaster, Flooring, Wooden, Plumbing, Electrification, etc., work Completed. Finishing work is in process.",IF(P29&lt;94%,(IF(M29=0,"Work not yet Started.",IF(O29=25%,"Piling work in process",IF(O29=50%,"Excavation work in process",IF(O29=100%,"Excavation work Completed. ","0")))&amp;(IF(M30=0%,"",IF(M30=U31,"Footing work is process",IF(M30=U32,"Footing work Completed",IF(M30=U33,"1st Basement Completed",IF(M30=U34,"1st &amp; 2nd Basement Completed",IF(M30=U35,"1st to 3rd Basement Completed",IF(M30=U36,"1st to 4th Basement Completed",IF(M30=U37,"Plinth work is process",IF(M30=U38,"Plinth work completed","0")))))))))))&amp;(IF(M31=(P27+R27+S27),", RCC Slab",IF(M31&gt;0,", RCC upto "&amp;M31&amp;" Slab",""))&amp;(IF(M32=S27,", Brickwork",IF(M32&gt;0,", Brickwork upto "&amp;M32&amp;" Floor",""))&amp;(IF(M33=S27,", Internal Plaster",IF(M33&gt;0,", Internal Plaster upto "&amp;M33&amp;" Floor",""))&amp;(IF(M34=S27,", External Plaster",IF(M34&gt;0,", External Plaster upto "&amp;M34&amp;" Floor",""))&amp;(IF(M35=S27,", External Plumbing, Elevation and Waterproofing",IF(M35&gt;0,", External Plumbing, Elevation and Waterproofing upto "&amp;M35&amp;" Floor",""))&amp;(IF(M36=S27,", Flooring &amp; Fitting",IF(M36&gt;0,", Flooring &amp; Fitting upto "&amp;M36&amp;" Floor",""))&amp;(IF(M37=S27,", Wooden Work",IF(M37&gt;0,", Wooden Work upto "&amp;M37&amp;" Floor",""))&amp;(IF(M38=S27,", Electrical &amp; Sanitary fittings",IF(M38&gt;0,", Electrical &amp; Sanitary fittings upto "&amp;M38&amp;" Floor",""))&amp;(IF(M39&gt;0,", Finishing upto "&amp;M39&amp;" Floor","")&amp;(IF(M31&gt;0.5," Completed",""))))))))))))))))</f>
        <v>Excavation work Completed. Plinth work completed</v>
      </c>
      <c r="U26" s="16"/>
      <c r="V26" s="1"/>
      <c r="W26" s="1"/>
    </row>
    <row r="27" spans="1:23" ht="20.25" x14ac:dyDescent="0.3">
      <c r="B27" s="38" t="s">
        <v>175</v>
      </c>
      <c r="C27" s="40">
        <v>10</v>
      </c>
      <c r="D27" s="40"/>
      <c r="E27" s="41" t="e">
        <f>((D27/#REF!)*0.05)*100</f>
        <v>#REF!</v>
      </c>
      <c r="F27" s="41" t="e">
        <f>((D27/#REF!)*(C27/100))*100</f>
        <v>#REF!</v>
      </c>
      <c r="K27" s="185"/>
      <c r="L27" s="185"/>
      <c r="M27" s="185"/>
      <c r="N27" s="186"/>
      <c r="O27" s="84">
        <v>3</v>
      </c>
      <c r="P27" s="164">
        <v>1</v>
      </c>
      <c r="Q27" s="164"/>
      <c r="R27" s="84">
        <v>0</v>
      </c>
      <c r="S27" s="84">
        <v>22</v>
      </c>
      <c r="T27" s="15" t="s">
        <v>122</v>
      </c>
      <c r="U27" s="16"/>
      <c r="V27" s="1"/>
      <c r="W27" s="1"/>
    </row>
    <row r="28" spans="1:23" ht="20.25" x14ac:dyDescent="0.3">
      <c r="B28" s="38" t="s">
        <v>176</v>
      </c>
      <c r="C28" s="40">
        <v>15</v>
      </c>
      <c r="D28" s="40"/>
      <c r="E28" s="41" t="e">
        <f>((D28/#REF!)*0.15)*100</f>
        <v>#REF!</v>
      </c>
      <c r="F28" s="41" t="e">
        <f>((D28/#REF!)*(C28/100))*100</f>
        <v>#REF!</v>
      </c>
      <c r="K28" s="163" t="s">
        <v>120</v>
      </c>
      <c r="L28" s="163"/>
      <c r="M28" s="163" t="s">
        <v>130</v>
      </c>
      <c r="N28" s="163"/>
      <c r="O28" s="83" t="s">
        <v>131</v>
      </c>
      <c r="P28" s="163" t="s">
        <v>121</v>
      </c>
      <c r="Q28" s="163"/>
      <c r="R28" s="26" t="s">
        <v>119</v>
      </c>
      <c r="S28" s="26"/>
      <c r="T28" s="18" t="s">
        <v>132</v>
      </c>
      <c r="U28" s="17">
        <f>S27*25%</f>
        <v>5.5</v>
      </c>
      <c r="V28" s="1"/>
      <c r="W28" s="1"/>
    </row>
    <row r="29" spans="1:23" ht="20.25" x14ac:dyDescent="0.3">
      <c r="B29" s="42" t="s">
        <v>177</v>
      </c>
      <c r="C29" s="40">
        <v>25</v>
      </c>
      <c r="D29" s="40"/>
      <c r="E29" s="41" t="e">
        <f>((D29/#REF!)*0.25)*100</f>
        <v>#REF!</v>
      </c>
      <c r="F29" s="41" t="e">
        <f>((D29/#REF!)*(C29/100))*100</f>
        <v>#REF!</v>
      </c>
      <c r="K29" s="104" t="s">
        <v>133</v>
      </c>
      <c r="L29" s="104"/>
      <c r="M29" s="164">
        <f>U30</f>
        <v>22</v>
      </c>
      <c r="N29" s="164"/>
      <c r="O29" s="82">
        <f>((100/S27)*M29)/100</f>
        <v>1.0000000000000002</v>
      </c>
      <c r="P29" s="104">
        <f>(((M29/S27*5)+(M30/S27*20)+(25/(P27+R27+S27)*M31)+(5/(S27)*M32)+(2.5/(S27)*M33)+(2.5/(S27)*M34)+(5/S27*M35)+(10/S27*M36)+(2.5/S27*M37)+(2.5/S27*M38)+(10/S27*M39)+(10/S27*M40))/100)</f>
        <v>0.25</v>
      </c>
      <c r="Q29" s="104"/>
      <c r="R29" s="104" t="str">
        <f>T26</f>
        <v>Excavation work Completed. Plinth work completed</v>
      </c>
      <c r="S29" s="104"/>
      <c r="T29" s="18" t="s">
        <v>123</v>
      </c>
      <c r="U29" s="22">
        <f>S27*50%</f>
        <v>11</v>
      </c>
      <c r="V29" s="1"/>
      <c r="W29" s="1"/>
    </row>
    <row r="30" spans="1:23" ht="20.25" x14ac:dyDescent="0.3">
      <c r="B30" s="42" t="s">
        <v>178</v>
      </c>
      <c r="C30" s="40">
        <v>5</v>
      </c>
      <c r="D30" s="40"/>
      <c r="E30" s="41" t="e">
        <f>((D30/#REF!)*0.05)*100</f>
        <v>#REF!</v>
      </c>
      <c r="F30" s="41" t="e">
        <f>((D30/#REF!)*(C30/100))*100</f>
        <v>#REF!</v>
      </c>
      <c r="K30" s="104" t="s">
        <v>104</v>
      </c>
      <c r="L30" s="104"/>
      <c r="M30" s="187">
        <v>22</v>
      </c>
      <c r="N30" s="164"/>
      <c r="O30" s="82">
        <f>((100/S27)*M30)/100</f>
        <v>1.0000000000000002</v>
      </c>
      <c r="P30" s="104"/>
      <c r="Q30" s="104"/>
      <c r="R30" s="104"/>
      <c r="S30" s="104"/>
      <c r="T30" s="18" t="s">
        <v>124</v>
      </c>
      <c r="U30" s="22">
        <f>S27</f>
        <v>22</v>
      </c>
      <c r="V30" s="1"/>
      <c r="W30" s="1"/>
    </row>
    <row r="31" spans="1:23" ht="30" x14ac:dyDescent="0.35">
      <c r="B31" s="42" t="s">
        <v>179</v>
      </c>
      <c r="C31" s="40">
        <v>2.5</v>
      </c>
      <c r="D31" s="40"/>
      <c r="E31" s="41" t="e">
        <f>((D31/#REF!)*0.025)*100</f>
        <v>#REF!</v>
      </c>
      <c r="F31" s="41" t="e">
        <f>((D31/#REF!)*(C31/100))*100</f>
        <v>#REF!</v>
      </c>
      <c r="K31" s="104" t="s">
        <v>134</v>
      </c>
      <c r="L31" s="104"/>
      <c r="M31" s="164">
        <v>0</v>
      </c>
      <c r="N31" s="164"/>
      <c r="O31" s="82">
        <f>((100/(P27+R27+S27))*M31)/100</f>
        <v>0</v>
      </c>
      <c r="P31" s="104"/>
      <c r="Q31" s="104"/>
      <c r="R31" s="104"/>
      <c r="S31" s="104"/>
      <c r="T31" s="18" t="s">
        <v>125</v>
      </c>
      <c r="U31" s="23">
        <f>(IF(O27&gt;1,(S27/(O27+2)),S27*0.2))</f>
        <v>4.4000000000000004</v>
      </c>
      <c r="V31" s="1"/>
      <c r="W31" s="1"/>
    </row>
    <row r="32" spans="1:23" ht="30" x14ac:dyDescent="0.35">
      <c r="B32" s="42" t="s">
        <v>180</v>
      </c>
      <c r="C32" s="40">
        <v>2.5</v>
      </c>
      <c r="D32" s="40"/>
      <c r="E32" s="41" t="e">
        <f>((D32/#REF!)*0.025)*100</f>
        <v>#REF!</v>
      </c>
      <c r="F32" s="41" t="e">
        <f>((D32/#REF!)*(C32/100))*100</f>
        <v>#REF!</v>
      </c>
      <c r="K32" s="104" t="s">
        <v>135</v>
      </c>
      <c r="L32" s="104"/>
      <c r="M32" s="164">
        <v>0</v>
      </c>
      <c r="N32" s="164"/>
      <c r="O32" s="82">
        <f>((100/S27)*M32)/100</f>
        <v>0</v>
      </c>
      <c r="P32" s="104"/>
      <c r="Q32" s="104"/>
      <c r="R32" s="104"/>
      <c r="S32" s="104"/>
      <c r="T32" s="18" t="s">
        <v>126</v>
      </c>
      <c r="U32" s="23">
        <f>(IF(O27&gt;1,(S27/(O27+2)+U31),S27*0.2+U31))</f>
        <v>8.8000000000000007</v>
      </c>
      <c r="V32" s="1"/>
      <c r="W32" s="1"/>
    </row>
    <row r="33" spans="1:23" ht="45" x14ac:dyDescent="0.35">
      <c r="B33" s="43" t="s">
        <v>181</v>
      </c>
      <c r="C33" s="40">
        <v>5</v>
      </c>
      <c r="D33" s="40"/>
      <c r="E33" s="41" t="e">
        <f>((D33/#REF!)*0.05)*100</f>
        <v>#REF!</v>
      </c>
      <c r="F33" s="41" t="e">
        <f>((D33/#REF!)*(C33/100))*100</f>
        <v>#REF!</v>
      </c>
      <c r="K33" s="105" t="s">
        <v>136</v>
      </c>
      <c r="L33" s="106"/>
      <c r="M33" s="164">
        <v>0</v>
      </c>
      <c r="N33" s="164"/>
      <c r="O33" s="82">
        <f>((100/S27)*M33)/100</f>
        <v>0</v>
      </c>
      <c r="P33" s="104"/>
      <c r="Q33" s="104"/>
      <c r="R33" s="104"/>
      <c r="S33" s="104"/>
      <c r="T33" s="18" t="s">
        <v>137</v>
      </c>
      <c r="U33" s="23">
        <f>(IF(O27&gt;1,(S27/(O27+2)+U32),0))</f>
        <v>13.200000000000001</v>
      </c>
      <c r="V33" s="1"/>
      <c r="W33" s="1"/>
    </row>
    <row r="34" spans="1:23" ht="30" x14ac:dyDescent="0.35">
      <c r="B34" s="43" t="s">
        <v>182</v>
      </c>
      <c r="C34" s="40">
        <v>5</v>
      </c>
      <c r="D34" s="40"/>
      <c r="E34" s="41" t="e">
        <f>((D34/#REF!)*0.1)*100</f>
        <v>#REF!</v>
      </c>
      <c r="F34" s="41" t="e">
        <f>((D34/#REF!)*(C34/100))*100</f>
        <v>#REF!</v>
      </c>
      <c r="K34" s="105" t="s">
        <v>167</v>
      </c>
      <c r="L34" s="106"/>
      <c r="M34" s="164">
        <v>0</v>
      </c>
      <c r="N34" s="164"/>
      <c r="O34" s="82">
        <f>((100/S27)*M34)/100</f>
        <v>0</v>
      </c>
      <c r="P34" s="104"/>
      <c r="Q34" s="104"/>
      <c r="R34" s="104"/>
      <c r="S34" s="104"/>
      <c r="T34" s="18" t="s">
        <v>138</v>
      </c>
      <c r="U34" s="23">
        <f>(IF(O27&gt;2,(S27/(O27+2)+U33),0))</f>
        <v>17.600000000000001</v>
      </c>
      <c r="V34" s="1"/>
      <c r="W34" s="1"/>
    </row>
    <row r="35" spans="1:23" ht="30" x14ac:dyDescent="0.35">
      <c r="B35" s="43" t="s">
        <v>183</v>
      </c>
      <c r="C35" s="40">
        <v>5</v>
      </c>
      <c r="D35" s="40"/>
      <c r="E35" s="41" t="e">
        <f>((D35/#REF!)*0.05)*100</f>
        <v>#REF!</v>
      </c>
      <c r="F35" s="41" t="e">
        <f>((D35/#REF!)*(C35/100))*100</f>
        <v>#REF!</v>
      </c>
      <c r="K35" s="105" t="s">
        <v>164</v>
      </c>
      <c r="L35" s="106"/>
      <c r="M35" s="164">
        <v>0</v>
      </c>
      <c r="N35" s="164"/>
      <c r="O35" s="82">
        <f>((100/(S27))*M35)/100</f>
        <v>0</v>
      </c>
      <c r="P35" s="104"/>
      <c r="Q35" s="104"/>
      <c r="R35" s="104"/>
      <c r="S35" s="104"/>
      <c r="T35" s="18" t="s">
        <v>140</v>
      </c>
      <c r="U35" s="24">
        <f>(IF(O27&gt;3,(S27/(O27+2)+U34),0))</f>
        <v>0</v>
      </c>
      <c r="V35" s="1"/>
      <c r="W35" s="1"/>
    </row>
    <row r="36" spans="1:23" ht="60" x14ac:dyDescent="0.35">
      <c r="B36" s="43" t="s">
        <v>184</v>
      </c>
      <c r="C36" s="40">
        <v>10</v>
      </c>
      <c r="D36" s="40"/>
      <c r="E36" s="41" t="e">
        <f>((D36/#REF!)*0.1)*100</f>
        <v>#REF!</v>
      </c>
      <c r="F36" s="41" t="e">
        <f>((D36/#REF!)*(C36/100))*100</f>
        <v>#REF!</v>
      </c>
      <c r="K36" s="104" t="s">
        <v>139</v>
      </c>
      <c r="L36" s="104"/>
      <c r="M36" s="164">
        <v>0</v>
      </c>
      <c r="N36" s="164"/>
      <c r="O36" s="82">
        <f>((100/(S27))*M36)/100</f>
        <v>0</v>
      </c>
      <c r="P36" s="104"/>
      <c r="Q36" s="104"/>
      <c r="R36" s="104"/>
      <c r="S36" s="104"/>
      <c r="T36" s="18" t="s">
        <v>141</v>
      </c>
      <c r="U36" s="23">
        <f>(IF(O27&gt;4,(S27/(O27+2)+U35),0))</f>
        <v>0</v>
      </c>
      <c r="V36" s="1"/>
      <c r="W36" s="1"/>
    </row>
    <row r="37" spans="1:23" ht="45" x14ac:dyDescent="0.35">
      <c r="B37" s="43" t="s">
        <v>185</v>
      </c>
      <c r="C37" s="40">
        <v>5</v>
      </c>
      <c r="D37" s="40"/>
      <c r="E37" s="41" t="e">
        <f>((D37/#REF!)*0.1)*100</f>
        <v>#REF!</v>
      </c>
      <c r="F37" s="41" t="e">
        <f>((D37/#REF!)*(C37/100))*100</f>
        <v>#REF!</v>
      </c>
      <c r="K37" s="104" t="s">
        <v>166</v>
      </c>
      <c r="L37" s="104"/>
      <c r="M37" s="164">
        <v>0</v>
      </c>
      <c r="N37" s="164"/>
      <c r="O37" s="82">
        <f>((100/S27)*M37)/100</f>
        <v>0</v>
      </c>
      <c r="P37" s="104"/>
      <c r="Q37" s="104"/>
      <c r="R37" s="104"/>
      <c r="S37" s="104"/>
      <c r="T37" s="18" t="s">
        <v>127</v>
      </c>
      <c r="U37" s="23">
        <f>(IF(O27=1,(S27/(O27+3)+U32),IF(O27=0,(S27*0.3+U32),IF(O27&gt;1,0))))</f>
        <v>0</v>
      </c>
      <c r="V37" s="1"/>
      <c r="W37" s="1"/>
    </row>
    <row r="38" spans="1:23" ht="21.75" thickBot="1" x14ac:dyDescent="0.4">
      <c r="B38" s="44" t="s">
        <v>186</v>
      </c>
      <c r="C38" s="45">
        <f>SUM(C26:C37)</f>
        <v>100</v>
      </c>
      <c r="D38" s="44"/>
      <c r="E38" s="45" t="e">
        <f>SUM(E26:E37)</f>
        <v>#REF!</v>
      </c>
      <c r="F38" s="45" t="e">
        <f>SUM(F26:F37)</f>
        <v>#REF!</v>
      </c>
      <c r="K38" s="104" t="s">
        <v>165</v>
      </c>
      <c r="L38" s="104"/>
      <c r="M38" s="164">
        <v>0</v>
      </c>
      <c r="N38" s="164"/>
      <c r="O38" s="82">
        <f>((100/S27)*M38)/100</f>
        <v>0</v>
      </c>
      <c r="P38" s="104"/>
      <c r="Q38" s="104"/>
      <c r="R38" s="104"/>
      <c r="S38" s="104"/>
      <c r="T38" s="20" t="s">
        <v>128</v>
      </c>
      <c r="U38" s="25">
        <f>(IF(O27&gt;1.5,(S27/(O27+2)+U32+MAX(0,U33-U32)+MAX(0,U34-U33)+MAX(0,U35-U34)+MAX(0,U36-U35)+MAX(0,U37-U36)),IF(O27=1,(S27/(O27+3)+U37),IF(O27=0,S27*0.3+U37))))</f>
        <v>22</v>
      </c>
      <c r="V38" s="1"/>
      <c r="W38" s="1"/>
    </row>
    <row r="39" spans="1:23" ht="20.25" x14ac:dyDescent="0.25">
      <c r="B39" s="182" t="s">
        <v>187</v>
      </c>
      <c r="C39" s="182"/>
      <c r="D39" s="182"/>
      <c r="E39" s="182"/>
      <c r="F39" s="182"/>
      <c r="K39" s="104" t="s">
        <v>142</v>
      </c>
      <c r="L39" s="104"/>
      <c r="M39" s="164">
        <v>0</v>
      </c>
      <c r="N39" s="164"/>
      <c r="O39" s="82">
        <f>((100/(S27))*M39)/100</f>
        <v>0</v>
      </c>
      <c r="P39" s="104"/>
      <c r="Q39" s="104"/>
      <c r="R39" s="104"/>
      <c r="S39" s="104"/>
      <c r="T39" s="1"/>
      <c r="U39" s="1"/>
      <c r="V39" s="1"/>
      <c r="W39" s="1"/>
    </row>
    <row r="40" spans="1:23" ht="20.25" x14ac:dyDescent="0.25">
      <c r="B40" s="183" t="s">
        <v>188</v>
      </c>
      <c r="C40" s="183"/>
      <c r="D40" s="183" t="s">
        <v>189</v>
      </c>
      <c r="E40" s="183"/>
      <c r="F40" s="183"/>
      <c r="K40" s="104" t="s">
        <v>143</v>
      </c>
      <c r="L40" s="104"/>
      <c r="M40" s="164">
        <v>0</v>
      </c>
      <c r="N40" s="164"/>
      <c r="O40" s="82">
        <f>((100/(S27))*M40)/100</f>
        <v>0</v>
      </c>
      <c r="P40" s="104"/>
      <c r="Q40" s="104"/>
      <c r="R40" s="104"/>
      <c r="S40" s="104"/>
      <c r="T40" s="1"/>
      <c r="U40" s="1"/>
      <c r="V40" s="1"/>
      <c r="W40" s="1"/>
    </row>
    <row r="41" spans="1:23" x14ac:dyDescent="0.25">
      <c r="B41" s="179" t="s">
        <v>190</v>
      </c>
      <c r="C41" s="179"/>
      <c r="D41" s="179" t="s">
        <v>191</v>
      </c>
      <c r="E41" s="179"/>
      <c r="F41" s="179"/>
    </row>
    <row r="42" spans="1:23" x14ac:dyDescent="0.25">
      <c r="B42" s="179" t="s">
        <v>192</v>
      </c>
      <c r="C42" s="179"/>
      <c r="D42" s="179" t="s">
        <v>193</v>
      </c>
      <c r="E42" s="179"/>
      <c r="F42" s="179"/>
    </row>
    <row r="43" spans="1:23" x14ac:dyDescent="0.25">
      <c r="B43" s="180" t="s">
        <v>194</v>
      </c>
      <c r="C43" s="180"/>
      <c r="D43" s="180" t="s">
        <v>195</v>
      </c>
      <c r="E43" s="180"/>
      <c r="F43" s="180"/>
    </row>
    <row r="45" spans="1:23" ht="15.75" thickBot="1" x14ac:dyDescent="0.3"/>
    <row r="46" spans="1:23" ht="17.25" thickTop="1" thickBot="1" x14ac:dyDescent="0.3">
      <c r="A46" s="46" t="s">
        <v>196</v>
      </c>
      <c r="B46" s="46" t="s">
        <v>169</v>
      </c>
      <c r="C46" s="47" t="s">
        <v>197</v>
      </c>
      <c r="D46" s="47" t="s">
        <v>198</v>
      </c>
    </row>
    <row r="47" spans="1:23" ht="31.5" thickTop="1" thickBot="1" x14ac:dyDescent="0.3">
      <c r="A47" s="48">
        <v>1</v>
      </c>
      <c r="B47" s="49" t="s">
        <v>199</v>
      </c>
      <c r="C47" s="50">
        <v>0</v>
      </c>
      <c r="D47" s="50">
        <v>0.1</v>
      </c>
    </row>
    <row r="48" spans="1:23" ht="31.5" thickTop="1" thickBot="1" x14ac:dyDescent="0.3">
      <c r="A48" s="48">
        <v>2</v>
      </c>
      <c r="B48" s="49" t="s">
        <v>200</v>
      </c>
      <c r="C48" s="50" t="s">
        <v>201</v>
      </c>
      <c r="D48" s="50">
        <v>0.3</v>
      </c>
    </row>
    <row r="49" spans="1:4" ht="61.5" thickTop="1" thickBot="1" x14ac:dyDescent="0.3">
      <c r="A49" s="48">
        <v>3</v>
      </c>
      <c r="B49" s="49" t="s">
        <v>202</v>
      </c>
      <c r="C49" s="50" t="s">
        <v>203</v>
      </c>
      <c r="D49" s="50">
        <v>0.45</v>
      </c>
    </row>
    <row r="50" spans="1:4" ht="76.5" thickTop="1" thickBot="1" x14ac:dyDescent="0.3">
      <c r="A50" s="48">
        <v>4</v>
      </c>
      <c r="B50" s="49" t="s">
        <v>204</v>
      </c>
      <c r="C50" s="50" t="s">
        <v>205</v>
      </c>
      <c r="D50" s="50">
        <v>0.7</v>
      </c>
    </row>
    <row r="51" spans="1:4" ht="76.5" thickTop="1" thickBot="1" x14ac:dyDescent="0.3">
      <c r="A51" s="48">
        <v>5</v>
      </c>
      <c r="B51" s="49" t="s">
        <v>206</v>
      </c>
      <c r="C51" s="50" t="s">
        <v>207</v>
      </c>
      <c r="D51" s="50">
        <v>0.75</v>
      </c>
    </row>
    <row r="52" spans="1:4" ht="76.5" thickTop="1" thickBot="1" x14ac:dyDescent="0.3">
      <c r="A52" s="48">
        <v>6</v>
      </c>
      <c r="B52" s="49" t="s">
        <v>208</v>
      </c>
      <c r="C52" s="50" t="s">
        <v>209</v>
      </c>
      <c r="D52" s="50">
        <v>0.8</v>
      </c>
    </row>
    <row r="53" spans="1:4" ht="121.5" thickTop="1" thickBot="1" x14ac:dyDescent="0.3">
      <c r="A53" s="48">
        <v>7</v>
      </c>
      <c r="B53" s="49" t="s">
        <v>210</v>
      </c>
      <c r="C53" s="50" t="s">
        <v>211</v>
      </c>
      <c r="D53" s="50">
        <v>0.85</v>
      </c>
    </row>
    <row r="54" spans="1:4" ht="211.5" thickTop="1" thickBot="1" x14ac:dyDescent="0.3">
      <c r="A54" s="48">
        <v>8</v>
      </c>
      <c r="B54" s="49" t="s">
        <v>212</v>
      </c>
      <c r="C54" s="50" t="s">
        <v>213</v>
      </c>
      <c r="D54" s="50">
        <v>0.95</v>
      </c>
    </row>
    <row r="55" spans="1:4" ht="91.5" thickTop="1" thickBot="1" x14ac:dyDescent="0.3">
      <c r="A55" s="48">
        <v>9</v>
      </c>
      <c r="B55" s="49" t="s">
        <v>214</v>
      </c>
      <c r="C55" s="50" t="s">
        <v>215</v>
      </c>
      <c r="D55" s="50">
        <v>1</v>
      </c>
    </row>
    <row r="56" spans="1:4" ht="15.75" thickTop="1" x14ac:dyDescent="0.25"/>
  </sheetData>
  <mergeCells count="68">
    <mergeCell ref="K39:L39"/>
    <mergeCell ref="M39:N39"/>
    <mergeCell ref="K40:L40"/>
    <mergeCell ref="M40:N40"/>
    <mergeCell ref="K36:L36"/>
    <mergeCell ref="M36:N36"/>
    <mergeCell ref="K37:L37"/>
    <mergeCell ref="M37:N37"/>
    <mergeCell ref="K38:L38"/>
    <mergeCell ref="M38:N38"/>
    <mergeCell ref="K29:L29"/>
    <mergeCell ref="M29:N29"/>
    <mergeCell ref="P29:Q40"/>
    <mergeCell ref="R29:S40"/>
    <mergeCell ref="K30:L30"/>
    <mergeCell ref="M30:N30"/>
    <mergeCell ref="K31:L31"/>
    <mergeCell ref="M31:N31"/>
    <mergeCell ref="K32:L32"/>
    <mergeCell ref="M32:N32"/>
    <mergeCell ref="K33:L33"/>
    <mergeCell ref="M33:N33"/>
    <mergeCell ref="K34:L34"/>
    <mergeCell ref="M34:N34"/>
    <mergeCell ref="K35:L35"/>
    <mergeCell ref="M35:N35"/>
    <mergeCell ref="K26:M27"/>
    <mergeCell ref="N26:N27"/>
    <mergeCell ref="P26:Q26"/>
    <mergeCell ref="P27:Q27"/>
    <mergeCell ref="K28:L28"/>
    <mergeCell ref="M28:N28"/>
    <mergeCell ref="P28:Q28"/>
    <mergeCell ref="B43:C43"/>
    <mergeCell ref="D43:F43"/>
    <mergeCell ref="F24:F25"/>
    <mergeCell ref="B39:F39"/>
    <mergeCell ref="B40:C40"/>
    <mergeCell ref="D40:F40"/>
    <mergeCell ref="B41:C41"/>
    <mergeCell ref="D41:F41"/>
    <mergeCell ref="B24:B25"/>
    <mergeCell ref="C24:C25"/>
    <mergeCell ref="D24:D25"/>
    <mergeCell ref="E24:E25"/>
    <mergeCell ref="B23:F23"/>
    <mergeCell ref="A14:B14"/>
    <mergeCell ref="A15:B15"/>
    <mergeCell ref="A16:B16"/>
    <mergeCell ref="B42:C42"/>
    <mergeCell ref="D42:F42"/>
    <mergeCell ref="A7:B7"/>
    <mergeCell ref="E7:F18"/>
    <mergeCell ref="G7:H18"/>
    <mergeCell ref="A8:B8"/>
    <mergeCell ref="A9:B9"/>
    <mergeCell ref="A10:B10"/>
    <mergeCell ref="A11:B11"/>
    <mergeCell ref="A12:B12"/>
    <mergeCell ref="A13:B13"/>
    <mergeCell ref="A17:B17"/>
    <mergeCell ref="A18:B18"/>
    <mergeCell ref="A6:B6"/>
    <mergeCell ref="E6:F6"/>
    <mergeCell ref="A3:H3"/>
    <mergeCell ref="A4:C5"/>
    <mergeCell ref="E4:F4"/>
    <mergeCell ref="E5: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40">
        <v>1</v>
      </c>
      <c r="C2" s="57" t="s">
        <v>232</v>
      </c>
    </row>
    <row r="3" spans="2:3" x14ac:dyDescent="0.25">
      <c r="B3" s="40">
        <v>2</v>
      </c>
      <c r="C3" s="58" t="s">
        <v>233</v>
      </c>
    </row>
    <row r="4" spans="2:3" x14ac:dyDescent="0.25">
      <c r="B4" s="40">
        <v>3</v>
      </c>
      <c r="C4" s="59" t="s">
        <v>234</v>
      </c>
    </row>
    <row r="5" spans="2:3" x14ac:dyDescent="0.25">
      <c r="B5" s="40">
        <v>4</v>
      </c>
      <c r="C5" s="58" t="s">
        <v>235</v>
      </c>
    </row>
    <row r="6" spans="2:3" x14ac:dyDescent="0.25">
      <c r="B6" s="40">
        <v>5</v>
      </c>
      <c r="C6" s="59" t="s">
        <v>236</v>
      </c>
    </row>
    <row r="7" spans="2:3" ht="30" x14ac:dyDescent="0.25">
      <c r="B7" s="40">
        <v>6</v>
      </c>
      <c r="C7" s="58" t="s">
        <v>237</v>
      </c>
    </row>
    <row r="8" spans="2:3" ht="75" x14ac:dyDescent="0.25">
      <c r="B8" s="40">
        <v>7</v>
      </c>
      <c r="C8" s="58" t="s">
        <v>238</v>
      </c>
    </row>
    <row r="9" spans="2:3" x14ac:dyDescent="0.25">
      <c r="B9" s="40">
        <v>8</v>
      </c>
      <c r="C9" s="59" t="s">
        <v>239</v>
      </c>
    </row>
    <row r="10" spans="2:3" x14ac:dyDescent="0.25">
      <c r="B10" s="40">
        <v>9</v>
      </c>
      <c r="C10" s="59" t="s">
        <v>240</v>
      </c>
    </row>
    <row r="11" spans="2:3" x14ac:dyDescent="0.25">
      <c r="B11" s="40">
        <v>10</v>
      </c>
      <c r="C11" s="59" t="s">
        <v>241</v>
      </c>
    </row>
    <row r="12" spans="2:3" x14ac:dyDescent="0.25">
      <c r="B12" s="40">
        <v>11</v>
      </c>
      <c r="C12" s="59" t="s">
        <v>242</v>
      </c>
    </row>
    <row r="13" spans="2:3" x14ac:dyDescent="0.25">
      <c r="B13" s="40">
        <v>12</v>
      </c>
      <c r="C13" s="59" t="s">
        <v>243</v>
      </c>
    </row>
    <row r="14" spans="2:3" x14ac:dyDescent="0.25">
      <c r="B14" s="40">
        <v>13</v>
      </c>
      <c r="C14" s="59" t="s">
        <v>244</v>
      </c>
    </row>
    <row r="15" spans="2:3" x14ac:dyDescent="0.25">
      <c r="B15" s="40">
        <v>14</v>
      </c>
      <c r="C15" s="59" t="s">
        <v>234</v>
      </c>
    </row>
    <row r="16" spans="2:3" x14ac:dyDescent="0.25">
      <c r="B16" s="40">
        <v>15</v>
      </c>
      <c r="C16" s="59" t="s">
        <v>229</v>
      </c>
    </row>
    <row r="17" spans="2:3" x14ac:dyDescent="0.25">
      <c r="B17" s="60">
        <v>16</v>
      </c>
      <c r="C17" s="61" t="s">
        <v>245</v>
      </c>
    </row>
    <row r="18" spans="2:3" x14ac:dyDescent="0.25">
      <c r="B18" s="62">
        <v>17</v>
      </c>
      <c r="C18" s="61" t="s">
        <v>246</v>
      </c>
    </row>
    <row r="19" spans="2:3" x14ac:dyDescent="0.25">
      <c r="B19" s="63">
        <v>18</v>
      </c>
      <c r="C19" s="40" t="s">
        <v>247</v>
      </c>
    </row>
    <row r="20" spans="2:3" x14ac:dyDescent="0.25">
      <c r="B20" s="62">
        <v>19</v>
      </c>
      <c r="C20" s="40" t="s">
        <v>248</v>
      </c>
    </row>
    <row r="21" spans="2:3" x14ac:dyDescent="0.25">
      <c r="B21" s="64">
        <v>20</v>
      </c>
      <c r="C21" s="40" t="s">
        <v>249</v>
      </c>
    </row>
    <row r="22" spans="2:3" x14ac:dyDescent="0.25">
      <c r="B22" s="62">
        <v>21</v>
      </c>
      <c r="C22" s="40" t="s">
        <v>247</v>
      </c>
    </row>
    <row r="23" spans="2:3" s="66" customFormat="1" ht="30" x14ac:dyDescent="0.25">
      <c r="B23" s="65">
        <v>22</v>
      </c>
      <c r="C23" s="57" t="s">
        <v>250</v>
      </c>
    </row>
    <row r="24" spans="2:3" s="66" customFormat="1" ht="30" x14ac:dyDescent="0.25">
      <c r="B24" s="67">
        <v>23</v>
      </c>
      <c r="C24" s="57" t="s">
        <v>251</v>
      </c>
    </row>
    <row r="25" spans="2:3" x14ac:dyDescent="0.25">
      <c r="B25" s="64">
        <v>24</v>
      </c>
      <c r="C25" s="40" t="s">
        <v>252</v>
      </c>
    </row>
    <row r="26" spans="2:3" x14ac:dyDescent="0.25">
      <c r="B26" s="62">
        <v>25</v>
      </c>
      <c r="C26" s="40" t="s">
        <v>253</v>
      </c>
    </row>
    <row r="27" spans="2:3" x14ac:dyDescent="0.25">
      <c r="B27" s="67">
        <v>26</v>
      </c>
      <c r="C27" s="64" t="s">
        <v>254</v>
      </c>
    </row>
    <row r="28" spans="2:3" x14ac:dyDescent="0.25">
      <c r="B28" s="68">
        <v>27</v>
      </c>
      <c r="C28" s="40" t="s">
        <v>255</v>
      </c>
    </row>
    <row r="29" spans="2:3" ht="60" x14ac:dyDescent="0.25">
      <c r="B29" s="69">
        <v>28</v>
      </c>
      <c r="C29" s="58" t="s">
        <v>256</v>
      </c>
    </row>
    <row r="30" spans="2:3" x14ac:dyDescent="0.25">
      <c r="B30" s="67">
        <v>29</v>
      </c>
      <c r="C30" s="40" t="s">
        <v>257</v>
      </c>
    </row>
    <row r="31" spans="2:3" ht="30" x14ac:dyDescent="0.25">
      <c r="B31" s="70">
        <v>30</v>
      </c>
      <c r="C31" s="58" t="s">
        <v>285</v>
      </c>
    </row>
    <row r="32" spans="2:3" x14ac:dyDescent="0.25">
      <c r="B32" s="67">
        <v>31</v>
      </c>
      <c r="C32" s="40" t="s">
        <v>286</v>
      </c>
    </row>
    <row r="33" spans="2:3" x14ac:dyDescent="0.25">
      <c r="B33" s="67">
        <v>32</v>
      </c>
      <c r="C33" s="40" t="s">
        <v>287</v>
      </c>
    </row>
    <row r="34" spans="2:3" ht="30" x14ac:dyDescent="0.25">
      <c r="B34" s="70">
        <v>33</v>
      </c>
      <c r="C34" s="61" t="s">
        <v>288</v>
      </c>
    </row>
    <row r="35" spans="2:3" x14ac:dyDescent="0.25">
      <c r="B35" s="67">
        <v>34</v>
      </c>
      <c r="C35" s="4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RowHeight="15" x14ac:dyDescent="0.25"/>
  <cols>
    <col min="1" max="1" width="9.140625" style="71"/>
    <col min="2" max="2" width="12.28515625" style="71" customWidth="1"/>
    <col min="3" max="16384" width="9.140625" style="71"/>
  </cols>
  <sheetData>
    <row r="2" spans="1:12" x14ac:dyDescent="0.25">
      <c r="B2" s="72" t="s">
        <v>258</v>
      </c>
      <c r="C2" s="188"/>
      <c r="D2" s="188"/>
    </row>
    <row r="3" spans="1:12" x14ac:dyDescent="0.25">
      <c r="D3" s="73"/>
      <c r="E3" s="73"/>
      <c r="F3" s="73"/>
      <c r="G3" s="73"/>
      <c r="H3" s="73"/>
      <c r="I3" s="73"/>
    </row>
    <row r="4" spans="1:12" x14ac:dyDescent="0.25">
      <c r="A4" s="72" t="s">
        <v>259</v>
      </c>
      <c r="B4" s="56" t="s">
        <v>260</v>
      </c>
      <c r="C4" s="189" t="s">
        <v>261</v>
      </c>
      <c r="D4" s="189"/>
      <c r="E4" s="189"/>
      <c r="F4" s="56"/>
      <c r="G4" s="190" t="s">
        <v>262</v>
      </c>
      <c r="H4" s="190"/>
      <c r="I4" s="190"/>
      <c r="J4" s="191" t="s">
        <v>263</v>
      </c>
      <c r="K4" s="191"/>
      <c r="L4" s="191"/>
    </row>
    <row r="5" spans="1:12" x14ac:dyDescent="0.25">
      <c r="A5" s="72"/>
      <c r="B5" s="56"/>
      <c r="C5" s="56" t="s">
        <v>264</v>
      </c>
      <c r="D5" s="56" t="s">
        <v>265</v>
      </c>
      <c r="E5" s="56" t="s">
        <v>266</v>
      </c>
      <c r="F5" s="56"/>
      <c r="G5" s="56" t="s">
        <v>264</v>
      </c>
      <c r="H5" s="56" t="s">
        <v>265</v>
      </c>
      <c r="I5" s="56" t="s">
        <v>266</v>
      </c>
      <c r="J5" s="56" t="s">
        <v>264</v>
      </c>
      <c r="K5" s="56" t="s">
        <v>265</v>
      </c>
      <c r="L5" s="56" t="s">
        <v>266</v>
      </c>
    </row>
    <row r="6" spans="1:12" x14ac:dyDescent="0.25">
      <c r="B6" s="55" t="s">
        <v>267</v>
      </c>
      <c r="C6" s="55"/>
      <c r="D6" s="55"/>
      <c r="E6" s="55">
        <f>C6*D6</f>
        <v>0</v>
      </c>
      <c r="F6" s="55" t="s">
        <v>268</v>
      </c>
      <c r="G6" s="55"/>
      <c r="H6" s="55"/>
      <c r="I6" s="55">
        <f>G6*H6</f>
        <v>0</v>
      </c>
      <c r="J6" s="55"/>
      <c r="K6" s="55"/>
      <c r="L6" s="55">
        <f>J6*K6</f>
        <v>0</v>
      </c>
    </row>
    <row r="7" spans="1:12" x14ac:dyDescent="0.25">
      <c r="B7" s="55"/>
      <c r="C7" s="55"/>
      <c r="D7" s="55"/>
      <c r="E7" s="55">
        <f t="shared" ref="E7:E41" si="0">C7*D7</f>
        <v>0</v>
      </c>
      <c r="F7" s="55" t="s">
        <v>268</v>
      </c>
      <c r="G7" s="55"/>
      <c r="H7" s="55"/>
      <c r="I7" s="55">
        <f t="shared" ref="I7:I35" si="1">G7*H7</f>
        <v>0</v>
      </c>
      <c r="J7" s="55"/>
      <c r="K7" s="55"/>
      <c r="L7" s="55">
        <f t="shared" ref="L7:L35" si="2">J7*K7</f>
        <v>0</v>
      </c>
    </row>
    <row r="8" spans="1:12" x14ac:dyDescent="0.25">
      <c r="B8" s="55"/>
      <c r="C8" s="55"/>
      <c r="D8" s="55"/>
      <c r="E8" s="55">
        <f t="shared" si="0"/>
        <v>0</v>
      </c>
      <c r="F8" s="55"/>
      <c r="G8" s="55"/>
      <c r="H8" s="55"/>
      <c r="I8" s="55">
        <f t="shared" si="1"/>
        <v>0</v>
      </c>
      <c r="J8" s="55"/>
      <c r="K8" s="55"/>
      <c r="L8" s="55">
        <f t="shared" si="2"/>
        <v>0</v>
      </c>
    </row>
    <row r="9" spans="1:12" x14ac:dyDescent="0.25">
      <c r="B9" s="55"/>
      <c r="C9" s="55"/>
      <c r="D9" s="55"/>
      <c r="E9" s="55">
        <f t="shared" si="0"/>
        <v>0</v>
      </c>
      <c r="F9" s="55" t="s">
        <v>269</v>
      </c>
      <c r="G9" s="55"/>
      <c r="H9" s="55"/>
      <c r="I9" s="55">
        <f t="shared" si="1"/>
        <v>0</v>
      </c>
      <c r="J9" s="55"/>
      <c r="K9" s="55"/>
      <c r="L9" s="55">
        <f t="shared" si="2"/>
        <v>0</v>
      </c>
    </row>
    <row r="10" spans="1:12" x14ac:dyDescent="0.25">
      <c r="B10" s="55" t="s">
        <v>270</v>
      </c>
      <c r="C10" s="55"/>
      <c r="D10" s="55"/>
      <c r="E10" s="55">
        <f t="shared" si="0"/>
        <v>0</v>
      </c>
      <c r="F10" s="55" t="s">
        <v>269</v>
      </c>
      <c r="G10" s="55"/>
      <c r="H10" s="55"/>
      <c r="I10" s="55">
        <f t="shared" si="1"/>
        <v>0</v>
      </c>
      <c r="J10" s="55"/>
      <c r="K10" s="55"/>
      <c r="L10" s="55">
        <f t="shared" si="2"/>
        <v>0</v>
      </c>
    </row>
    <row r="11" spans="1:12" x14ac:dyDescent="0.25">
      <c r="B11" s="55"/>
      <c r="C11" s="55"/>
      <c r="D11" s="55"/>
      <c r="E11" s="55">
        <f t="shared" si="0"/>
        <v>0</v>
      </c>
      <c r="F11" s="55" t="s">
        <v>271</v>
      </c>
      <c r="G11" s="55"/>
      <c r="H11" s="55"/>
      <c r="I11" s="55">
        <f t="shared" si="1"/>
        <v>0</v>
      </c>
      <c r="J11" s="55"/>
      <c r="K11" s="55"/>
      <c r="L11" s="55">
        <f t="shared" si="2"/>
        <v>0</v>
      </c>
    </row>
    <row r="12" spans="1:12" x14ac:dyDescent="0.25">
      <c r="B12" s="55"/>
      <c r="C12" s="55"/>
      <c r="D12" s="55"/>
      <c r="E12" s="55">
        <f t="shared" si="0"/>
        <v>0</v>
      </c>
      <c r="F12" s="55"/>
      <c r="G12" s="55"/>
      <c r="H12" s="55"/>
      <c r="I12" s="55">
        <f t="shared" si="1"/>
        <v>0</v>
      </c>
      <c r="J12" s="55"/>
      <c r="K12" s="55"/>
      <c r="L12" s="55">
        <f t="shared" si="2"/>
        <v>0</v>
      </c>
    </row>
    <row r="13" spans="1:12" x14ac:dyDescent="0.25">
      <c r="B13" s="55"/>
      <c r="C13" s="55"/>
      <c r="D13" s="55"/>
      <c r="E13" s="55">
        <f t="shared" si="0"/>
        <v>0</v>
      </c>
      <c r="F13" s="55"/>
      <c r="G13" s="55"/>
      <c r="H13" s="55"/>
      <c r="I13" s="55">
        <f t="shared" si="1"/>
        <v>0</v>
      </c>
      <c r="J13" s="55"/>
      <c r="K13" s="55"/>
      <c r="L13" s="55">
        <f t="shared" si="2"/>
        <v>0</v>
      </c>
    </row>
    <row r="14" spans="1:12" x14ac:dyDescent="0.25">
      <c r="B14" s="55" t="s">
        <v>272</v>
      </c>
      <c r="C14" s="55"/>
      <c r="D14" s="55"/>
      <c r="E14" s="55">
        <f t="shared" si="0"/>
        <v>0</v>
      </c>
      <c r="F14" s="55" t="s">
        <v>269</v>
      </c>
      <c r="G14" s="55"/>
      <c r="H14" s="55"/>
      <c r="I14" s="55">
        <f t="shared" si="1"/>
        <v>0</v>
      </c>
      <c r="J14" s="55"/>
      <c r="K14" s="55"/>
      <c r="L14" s="55">
        <f t="shared" si="2"/>
        <v>0</v>
      </c>
    </row>
    <row r="15" spans="1:12" x14ac:dyDescent="0.25">
      <c r="B15" s="55"/>
      <c r="C15" s="55"/>
      <c r="D15" s="55"/>
      <c r="E15" s="55">
        <f t="shared" si="0"/>
        <v>0</v>
      </c>
      <c r="F15" s="55" t="s">
        <v>271</v>
      </c>
      <c r="G15" s="55"/>
      <c r="H15" s="55"/>
      <c r="I15" s="55">
        <f t="shared" si="1"/>
        <v>0</v>
      </c>
      <c r="J15" s="55"/>
      <c r="K15" s="55"/>
      <c r="L15" s="55">
        <f t="shared" si="2"/>
        <v>0</v>
      </c>
    </row>
    <row r="16" spans="1:12" x14ac:dyDescent="0.25">
      <c r="B16" s="55"/>
      <c r="C16" s="55"/>
      <c r="D16" s="55"/>
      <c r="E16" s="55">
        <f t="shared" si="0"/>
        <v>0</v>
      </c>
      <c r="F16" s="55"/>
      <c r="G16" s="55"/>
      <c r="H16" s="55"/>
      <c r="I16" s="55">
        <f t="shared" si="1"/>
        <v>0</v>
      </c>
      <c r="J16" s="55"/>
      <c r="K16" s="55"/>
      <c r="L16" s="55">
        <f t="shared" si="2"/>
        <v>0</v>
      </c>
    </row>
    <row r="17" spans="2:12" x14ac:dyDescent="0.25">
      <c r="B17" s="55"/>
      <c r="C17" s="55"/>
      <c r="D17" s="55"/>
      <c r="E17" s="55">
        <f t="shared" si="0"/>
        <v>0</v>
      </c>
      <c r="F17" s="55"/>
      <c r="G17" s="55"/>
      <c r="H17" s="55"/>
      <c r="I17" s="55">
        <f t="shared" si="1"/>
        <v>0</v>
      </c>
      <c r="J17" s="55"/>
      <c r="K17" s="55"/>
      <c r="L17" s="55">
        <f t="shared" si="2"/>
        <v>0</v>
      </c>
    </row>
    <row r="18" spans="2:12" x14ac:dyDescent="0.25">
      <c r="B18" s="55" t="s">
        <v>273</v>
      </c>
      <c r="C18" s="55"/>
      <c r="D18" s="55"/>
      <c r="E18" s="55">
        <f t="shared" si="0"/>
        <v>0</v>
      </c>
      <c r="F18" s="55" t="s">
        <v>269</v>
      </c>
      <c r="G18" s="55"/>
      <c r="H18" s="55"/>
      <c r="I18" s="55">
        <f t="shared" si="1"/>
        <v>0</v>
      </c>
      <c r="J18" s="55"/>
      <c r="K18" s="55"/>
      <c r="L18" s="55">
        <f t="shared" si="2"/>
        <v>0</v>
      </c>
    </row>
    <row r="19" spans="2:12" x14ac:dyDescent="0.25">
      <c r="B19" s="55"/>
      <c r="C19" s="55"/>
      <c r="D19" s="55"/>
      <c r="E19" s="55">
        <f t="shared" si="0"/>
        <v>0</v>
      </c>
      <c r="F19" s="55" t="s">
        <v>271</v>
      </c>
      <c r="G19" s="55"/>
      <c r="H19" s="55"/>
      <c r="I19" s="55">
        <f t="shared" si="1"/>
        <v>0</v>
      </c>
      <c r="J19" s="55"/>
      <c r="K19" s="55"/>
      <c r="L19" s="55">
        <f t="shared" si="2"/>
        <v>0</v>
      </c>
    </row>
    <row r="20" spans="2:12" x14ac:dyDescent="0.25">
      <c r="B20" s="55"/>
      <c r="C20" s="55"/>
      <c r="D20" s="55"/>
      <c r="E20" s="55">
        <f t="shared" si="0"/>
        <v>0</v>
      </c>
      <c r="F20" s="55"/>
      <c r="G20" s="55"/>
      <c r="H20" s="55"/>
      <c r="I20" s="55">
        <f t="shared" si="1"/>
        <v>0</v>
      </c>
      <c r="J20" s="55"/>
      <c r="K20" s="55"/>
      <c r="L20" s="55">
        <f t="shared" si="2"/>
        <v>0</v>
      </c>
    </row>
    <row r="21" spans="2:12" x14ac:dyDescent="0.25">
      <c r="B21" s="55" t="s">
        <v>274</v>
      </c>
      <c r="C21" s="55"/>
      <c r="D21" s="55"/>
      <c r="E21" s="55">
        <f t="shared" si="0"/>
        <v>0</v>
      </c>
      <c r="F21" s="55" t="s">
        <v>269</v>
      </c>
      <c r="G21" s="55"/>
      <c r="H21" s="55"/>
      <c r="I21" s="55">
        <f t="shared" si="1"/>
        <v>0</v>
      </c>
      <c r="J21" s="55"/>
      <c r="K21" s="55"/>
      <c r="L21" s="55">
        <f t="shared" si="2"/>
        <v>0</v>
      </c>
    </row>
    <row r="22" spans="2:12" x14ac:dyDescent="0.25">
      <c r="B22" s="55"/>
      <c r="C22" s="55"/>
      <c r="D22" s="55"/>
      <c r="E22" s="55">
        <f t="shared" si="0"/>
        <v>0</v>
      </c>
      <c r="F22" s="55" t="s">
        <v>271</v>
      </c>
      <c r="G22" s="55"/>
      <c r="H22" s="55"/>
      <c r="I22" s="55">
        <f t="shared" si="1"/>
        <v>0</v>
      </c>
      <c r="J22" s="55"/>
      <c r="K22" s="55"/>
      <c r="L22" s="55">
        <f t="shared" si="2"/>
        <v>0</v>
      </c>
    </row>
    <row r="23" spans="2:12" x14ac:dyDescent="0.25">
      <c r="B23" s="55"/>
      <c r="C23" s="55"/>
      <c r="D23" s="55"/>
      <c r="E23" s="55">
        <f t="shared" si="0"/>
        <v>0</v>
      </c>
      <c r="F23" s="55"/>
      <c r="G23" s="55"/>
      <c r="H23" s="55"/>
      <c r="I23" s="55">
        <f t="shared" si="1"/>
        <v>0</v>
      </c>
      <c r="J23" s="55"/>
      <c r="K23" s="55"/>
      <c r="L23" s="55">
        <f t="shared" si="2"/>
        <v>0</v>
      </c>
    </row>
    <row r="24" spans="2:12" x14ac:dyDescent="0.25">
      <c r="B24" s="55" t="s">
        <v>275</v>
      </c>
      <c r="C24" s="55"/>
      <c r="D24" s="55"/>
      <c r="E24" s="55">
        <f t="shared" si="0"/>
        <v>0</v>
      </c>
      <c r="F24" s="55" t="s">
        <v>276</v>
      </c>
      <c r="G24" s="55"/>
      <c r="H24" s="55"/>
      <c r="I24" s="55">
        <f t="shared" si="1"/>
        <v>0</v>
      </c>
      <c r="J24" s="55"/>
      <c r="K24" s="55"/>
      <c r="L24" s="55">
        <f t="shared" si="2"/>
        <v>0</v>
      </c>
    </row>
    <row r="25" spans="2:12" x14ac:dyDescent="0.25">
      <c r="B25" s="55"/>
      <c r="C25" s="55"/>
      <c r="D25" s="55"/>
      <c r="E25" s="55">
        <f t="shared" si="0"/>
        <v>0</v>
      </c>
      <c r="F25" s="55" t="s">
        <v>276</v>
      </c>
      <c r="G25" s="55"/>
      <c r="H25" s="55"/>
      <c r="I25" s="55">
        <f t="shared" si="1"/>
        <v>0</v>
      </c>
      <c r="J25" s="55"/>
      <c r="K25" s="55"/>
      <c r="L25" s="55">
        <f t="shared" si="2"/>
        <v>0</v>
      </c>
    </row>
    <row r="26" spans="2:12" x14ac:dyDescent="0.25">
      <c r="B26" s="55"/>
      <c r="C26" s="55"/>
      <c r="D26" s="55"/>
      <c r="E26" s="55">
        <f t="shared" si="0"/>
        <v>0</v>
      </c>
      <c r="F26" s="55" t="s">
        <v>276</v>
      </c>
      <c r="G26" s="55"/>
      <c r="H26" s="55"/>
      <c r="I26" s="55">
        <f t="shared" si="1"/>
        <v>0</v>
      </c>
      <c r="J26" s="55"/>
      <c r="K26" s="55"/>
      <c r="L26" s="55">
        <f t="shared" si="2"/>
        <v>0</v>
      </c>
    </row>
    <row r="27" spans="2:12" x14ac:dyDescent="0.25">
      <c r="B27" s="55"/>
      <c r="C27" s="55"/>
      <c r="D27" s="55"/>
      <c r="E27" s="55">
        <f t="shared" si="0"/>
        <v>0</v>
      </c>
      <c r="F27" s="55" t="s">
        <v>276</v>
      </c>
      <c r="G27" s="55"/>
      <c r="H27" s="55"/>
      <c r="I27" s="55">
        <f t="shared" si="1"/>
        <v>0</v>
      </c>
      <c r="J27" s="55"/>
      <c r="K27" s="55"/>
      <c r="L27" s="55">
        <f t="shared" si="2"/>
        <v>0</v>
      </c>
    </row>
    <row r="28" spans="2:12" x14ac:dyDescent="0.25">
      <c r="B28" s="55" t="s">
        <v>277</v>
      </c>
      <c r="C28" s="55"/>
      <c r="D28" s="55"/>
      <c r="E28" s="55">
        <f t="shared" si="0"/>
        <v>0</v>
      </c>
      <c r="F28" s="55" t="s">
        <v>276</v>
      </c>
      <c r="G28" s="55"/>
      <c r="H28" s="55"/>
      <c r="I28" s="55">
        <f t="shared" si="1"/>
        <v>0</v>
      </c>
      <c r="J28" s="55"/>
      <c r="K28" s="55"/>
      <c r="L28" s="55">
        <f t="shared" si="2"/>
        <v>0</v>
      </c>
    </row>
    <row r="29" spans="2:12" x14ac:dyDescent="0.25">
      <c r="B29" s="55" t="s">
        <v>278</v>
      </c>
      <c r="C29" s="55"/>
      <c r="D29" s="55"/>
      <c r="E29" s="55">
        <f t="shared" si="0"/>
        <v>0</v>
      </c>
      <c r="F29" s="55" t="s">
        <v>276</v>
      </c>
      <c r="G29" s="55"/>
      <c r="H29" s="55"/>
      <c r="I29" s="55">
        <f t="shared" si="1"/>
        <v>0</v>
      </c>
      <c r="J29" s="55"/>
      <c r="K29" s="55"/>
      <c r="L29" s="55">
        <f t="shared" si="2"/>
        <v>0</v>
      </c>
    </row>
    <row r="30" spans="2:12" x14ac:dyDescent="0.25">
      <c r="B30" s="55" t="s">
        <v>279</v>
      </c>
      <c r="C30" s="55"/>
      <c r="D30" s="55"/>
      <c r="E30" s="55">
        <f t="shared" si="0"/>
        <v>0</v>
      </c>
      <c r="F30" s="55"/>
      <c r="G30" s="55"/>
      <c r="H30" s="55"/>
      <c r="I30" s="55">
        <f t="shared" si="1"/>
        <v>0</v>
      </c>
      <c r="J30" s="55"/>
      <c r="K30" s="55"/>
      <c r="L30" s="55">
        <f t="shared" si="2"/>
        <v>0</v>
      </c>
    </row>
    <row r="31" spans="2:12" x14ac:dyDescent="0.25">
      <c r="B31" s="55"/>
      <c r="C31" s="55"/>
      <c r="D31" s="55"/>
      <c r="E31" s="55">
        <f t="shared" si="0"/>
        <v>0</v>
      </c>
      <c r="F31" s="55"/>
      <c r="G31" s="55"/>
      <c r="H31" s="55"/>
      <c r="I31" s="55">
        <f t="shared" si="1"/>
        <v>0</v>
      </c>
      <c r="J31" s="55"/>
      <c r="K31" s="55"/>
      <c r="L31" s="55">
        <f t="shared" si="2"/>
        <v>0</v>
      </c>
    </row>
    <row r="32" spans="2:12" x14ac:dyDescent="0.25">
      <c r="B32" s="55"/>
      <c r="C32" s="55"/>
      <c r="D32" s="55"/>
      <c r="E32" s="55">
        <f t="shared" si="0"/>
        <v>0</v>
      </c>
      <c r="F32" s="55"/>
      <c r="G32" s="55"/>
      <c r="H32" s="55"/>
      <c r="I32" s="55">
        <f t="shared" si="1"/>
        <v>0</v>
      </c>
      <c r="J32" s="55"/>
      <c r="K32" s="55"/>
      <c r="L32" s="55">
        <f t="shared" si="2"/>
        <v>0</v>
      </c>
    </row>
    <row r="33" spans="2:12" x14ac:dyDescent="0.25">
      <c r="B33" s="55" t="s">
        <v>280</v>
      </c>
      <c r="C33" s="55"/>
      <c r="D33" s="55"/>
      <c r="E33" s="55">
        <f t="shared" si="0"/>
        <v>0</v>
      </c>
      <c r="F33" s="55"/>
      <c r="G33" s="55"/>
      <c r="H33" s="55"/>
      <c r="I33" s="55">
        <f t="shared" si="1"/>
        <v>0</v>
      </c>
      <c r="J33" s="55"/>
      <c r="K33" s="55"/>
      <c r="L33" s="55">
        <f t="shared" si="2"/>
        <v>0</v>
      </c>
    </row>
    <row r="34" spans="2:12" x14ac:dyDescent="0.25">
      <c r="B34" s="55" t="s">
        <v>281</v>
      </c>
      <c r="C34" s="55"/>
      <c r="D34" s="55"/>
      <c r="E34" s="55">
        <f t="shared" si="0"/>
        <v>0</v>
      </c>
      <c r="F34" s="55"/>
      <c r="G34" s="55"/>
      <c r="H34" s="55"/>
      <c r="I34" s="55">
        <f t="shared" si="1"/>
        <v>0</v>
      </c>
      <c r="J34" s="55"/>
      <c r="K34" s="55"/>
      <c r="L34" s="55">
        <f t="shared" si="2"/>
        <v>0</v>
      </c>
    </row>
    <row r="35" spans="2:12" x14ac:dyDescent="0.25">
      <c r="B35" s="55" t="s">
        <v>282</v>
      </c>
      <c r="C35" s="55"/>
      <c r="D35" s="55"/>
      <c r="E35" s="55">
        <f t="shared" si="0"/>
        <v>0</v>
      </c>
      <c r="F35" s="55"/>
      <c r="G35" s="55"/>
      <c r="H35" s="55"/>
      <c r="I35" s="55">
        <f t="shared" si="1"/>
        <v>0</v>
      </c>
      <c r="J35" s="55"/>
      <c r="K35" s="55"/>
      <c r="L35" s="55">
        <f t="shared" si="2"/>
        <v>0</v>
      </c>
    </row>
    <row r="36" spans="2:12" x14ac:dyDescent="0.25">
      <c r="B36" s="55" t="s">
        <v>283</v>
      </c>
      <c r="C36" s="55"/>
      <c r="D36" s="55"/>
      <c r="E36" s="55">
        <f t="shared" si="0"/>
        <v>0</v>
      </c>
      <c r="F36" s="55"/>
      <c r="G36" s="55"/>
      <c r="H36" s="55"/>
      <c r="I36" s="55">
        <f>G36*H36</f>
        <v>0</v>
      </c>
      <c r="J36" s="55"/>
      <c r="K36" s="55"/>
      <c r="L36" s="55">
        <f>J36*K36</f>
        <v>0</v>
      </c>
    </row>
    <row r="37" spans="2:12" x14ac:dyDescent="0.25">
      <c r="B37" s="55"/>
      <c r="C37" s="55"/>
      <c r="D37" s="55"/>
      <c r="E37" s="55">
        <f t="shared" si="0"/>
        <v>0</v>
      </c>
      <c r="F37" s="55"/>
      <c r="G37" s="55"/>
      <c r="H37" s="55"/>
      <c r="I37" s="55">
        <f t="shared" ref="I37:I38" si="3">G37*H37</f>
        <v>0</v>
      </c>
      <c r="J37" s="55"/>
      <c r="K37" s="55"/>
      <c r="L37" s="55">
        <f t="shared" ref="L37:L38" si="4">J37*K37</f>
        <v>0</v>
      </c>
    </row>
    <row r="38" spans="2:12" x14ac:dyDescent="0.25">
      <c r="B38" s="55" t="s">
        <v>284</v>
      </c>
      <c r="C38" s="55"/>
      <c r="D38" s="55"/>
      <c r="E38" s="55">
        <f t="shared" si="0"/>
        <v>0</v>
      </c>
      <c r="F38" s="55"/>
      <c r="G38" s="55"/>
      <c r="H38" s="55"/>
      <c r="I38" s="55">
        <f t="shared" si="3"/>
        <v>0</v>
      </c>
      <c r="J38" s="55"/>
      <c r="K38" s="55"/>
      <c r="L38" s="55">
        <f t="shared" si="4"/>
        <v>0</v>
      </c>
    </row>
    <row r="39" spans="2:12" x14ac:dyDescent="0.25">
      <c r="B39" s="55"/>
      <c r="C39" s="55"/>
      <c r="D39" s="55"/>
      <c r="E39" s="55">
        <f t="shared" si="0"/>
        <v>0</v>
      </c>
      <c r="F39" s="55"/>
      <c r="G39" s="55"/>
      <c r="H39" s="55"/>
      <c r="I39" s="55">
        <f>G39*H39</f>
        <v>0</v>
      </c>
      <c r="J39" s="55"/>
      <c r="K39" s="55"/>
      <c r="L39" s="55">
        <f>J39*K39</f>
        <v>0</v>
      </c>
    </row>
    <row r="40" spans="2:12" x14ac:dyDescent="0.25">
      <c r="B40" s="55"/>
      <c r="C40" s="55"/>
      <c r="D40" s="55"/>
      <c r="E40" s="55">
        <f t="shared" si="0"/>
        <v>0</v>
      </c>
      <c r="F40" s="55"/>
      <c r="G40" s="55"/>
      <c r="H40" s="55"/>
      <c r="I40" s="55">
        <f>G40*H40</f>
        <v>0</v>
      </c>
      <c r="J40" s="55"/>
      <c r="K40" s="55"/>
      <c r="L40" s="55">
        <f>J40*K40</f>
        <v>0</v>
      </c>
    </row>
    <row r="41" spans="2:12" x14ac:dyDescent="0.25">
      <c r="B41" s="55"/>
      <c r="C41" s="55"/>
      <c r="D41" s="55"/>
      <c r="E41" s="55">
        <f t="shared" si="0"/>
        <v>0</v>
      </c>
      <c r="F41" s="55"/>
      <c r="G41" s="55"/>
      <c r="H41" s="55"/>
      <c r="I41" s="55">
        <f>G41*H41</f>
        <v>0</v>
      </c>
      <c r="J41" s="55"/>
      <c r="K41" s="55"/>
      <c r="L41" s="55">
        <f>J41*K41</f>
        <v>0</v>
      </c>
    </row>
    <row r="42" spans="2:12" x14ac:dyDescent="0.25">
      <c r="B42" s="55" t="s">
        <v>153</v>
      </c>
      <c r="C42" s="55"/>
      <c r="D42" s="55">
        <f>E42*10.764</f>
        <v>0</v>
      </c>
      <c r="E42" s="74">
        <f>SUM(E6:E41)</f>
        <v>0</v>
      </c>
      <c r="F42" s="55"/>
      <c r="G42" s="55"/>
      <c r="H42" s="55">
        <f>I42*10.764</f>
        <v>0</v>
      </c>
      <c r="I42" s="75">
        <f>SUM(I6:I41)</f>
        <v>0</v>
      </c>
      <c r="J42" s="55"/>
      <c r="K42" s="55">
        <f>L42*10.764</f>
        <v>0</v>
      </c>
      <c r="L42" s="76">
        <f>SUM(L6:L41)</f>
        <v>0</v>
      </c>
    </row>
    <row r="44" spans="2:12" x14ac:dyDescent="0.25">
      <c r="D44" s="71">
        <f>D42+H42</f>
        <v>0</v>
      </c>
      <c r="E44" s="71">
        <f>E42+I42</f>
        <v>0</v>
      </c>
    </row>
  </sheetData>
  <mergeCells count="4">
    <mergeCell ref="C2:D2"/>
    <mergeCell ref="C4:E4"/>
    <mergeCell ref="G4:I4"/>
    <mergeCell ref="J4:L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F9:P24"/>
  <sheetViews>
    <sheetView workbookViewId="0">
      <selection activeCell="I10" sqref="F9:N11"/>
    </sheetView>
  </sheetViews>
  <sheetFormatPr defaultRowHeight="15" x14ac:dyDescent="0.25"/>
  <sheetData>
    <row r="9" spans="6:16" ht="21" thickBot="1" x14ac:dyDescent="0.3">
      <c r="F9" s="118" t="s">
        <v>68</v>
      </c>
      <c r="G9" s="118"/>
      <c r="H9" s="118"/>
      <c r="I9" s="118"/>
      <c r="J9" s="118"/>
      <c r="K9" s="118"/>
      <c r="L9" s="118"/>
      <c r="M9" s="118"/>
      <c r="N9" s="118"/>
      <c r="O9" s="1"/>
      <c r="P9" s="1"/>
    </row>
    <row r="10" spans="6:16" ht="40.5" x14ac:dyDescent="0.3">
      <c r="F10" s="185">
        <v>1</v>
      </c>
      <c r="G10" s="185"/>
      <c r="H10" s="185"/>
      <c r="I10" s="186" t="s">
        <v>4</v>
      </c>
      <c r="J10" s="84" t="s">
        <v>116</v>
      </c>
      <c r="K10" s="164" t="s">
        <v>103</v>
      </c>
      <c r="L10" s="164"/>
      <c r="M10" s="84" t="s">
        <v>117</v>
      </c>
      <c r="N10" s="84" t="s">
        <v>118</v>
      </c>
      <c r="O10" s="14" t="str">
        <f>(IF(K13&gt;99%,"All work completed. Please provide OC.",IF(K13&gt;89.8%,"Plinth, RCC, Brick, Plaster, Flooring, Wooden, Plumbing, Electrification, etc., work Completed. Finishing work is in process.",IF(K13&lt;94%,(IF(H13=0,"Work not yet Started.",IF(J13=25%,"Piling work in process",IF(J13=50%,"Excavation work in process",IF(J13=100%,"Excavation work Completed. ","0")))&amp;(IF(H14=0%,"",IF(H14=P15,"Footing work is process",IF(H14=P16,"Footing work Completed",IF(H14=P17,"1st Basement Completed",IF(H14=P18,"1st &amp; 2nd Basement Completed",IF(H14=P19,"1st to 3rd Basement Completed",IF(H14=P20,"1st to 4th Basement Completed",IF(H14=P21,"Plinth work is process",IF(H14=P22,"Plinth work completed","0")))))))))))&amp;(IF(H15=(K11+M11+N11),", RCC Slab",IF(H15&gt;0,", RCC upto "&amp;H15&amp;" Slab",""))&amp;(IF(H16=N11,", Brickwork",IF(H16&gt;0,", Brickwork upto "&amp;H16&amp;" Floor",""))&amp;(IF(H17=N11,", Internal Plaster",IF(H17&gt;0,", Internal Plaster upto "&amp;H17&amp;" Floor",""))&amp;(IF(H18=N11,", External Plaster",IF(H18&gt;0,", External Plaster upto "&amp;H18&amp;" Floor",""))&amp;(IF(H19=N11,", External Plumbing, Elevation and Waterproofing",IF(H19&gt;0,", External Plumbing, Elevation and Waterproofing upto "&amp;H19&amp;" Floor",""))&amp;(IF(H20=N11,", Flooring &amp; Fitting",IF(H20&gt;0,", Flooring &amp; Fitting upto "&amp;H20&amp;" Floor",""))&amp;(IF(H21=N11,", Wooden Work",IF(H21&gt;0,", Wooden Work upto "&amp;H21&amp;" Floor",""))&amp;(IF(H22=N11,", Electrical &amp; Sanitary fittings",IF(H22&gt;0,", Electrical &amp; Sanitary fittings upto "&amp;H22&amp;" Floor",""))&amp;(IF(H23&gt;0,", Finishing upto "&amp;H23&amp;" Floor","")&amp;(IF(H15&gt;0.5," Completed",""))))))))))))))))</f>
        <v>Excavation work Completed. Plinth work completed</v>
      </c>
      <c r="P10" s="16"/>
    </row>
    <row r="11" spans="6:16" ht="20.25" x14ac:dyDescent="0.3">
      <c r="F11" s="185"/>
      <c r="G11" s="185"/>
      <c r="H11" s="185"/>
      <c r="I11" s="186"/>
      <c r="J11" s="84">
        <v>3</v>
      </c>
      <c r="K11" s="164">
        <v>1</v>
      </c>
      <c r="L11" s="164"/>
      <c r="M11" s="84">
        <v>0</v>
      </c>
      <c r="N11" s="84">
        <v>22</v>
      </c>
      <c r="O11" s="15" t="s">
        <v>122</v>
      </c>
      <c r="P11" s="16"/>
    </row>
    <row r="12" spans="6:16" ht="20.25" x14ac:dyDescent="0.3">
      <c r="F12" s="163" t="s">
        <v>120</v>
      </c>
      <c r="G12" s="163"/>
      <c r="H12" s="163" t="s">
        <v>130</v>
      </c>
      <c r="I12" s="163"/>
      <c r="J12" s="83" t="s">
        <v>131</v>
      </c>
      <c r="K12" s="163" t="s">
        <v>121</v>
      </c>
      <c r="L12" s="163"/>
      <c r="M12" s="26" t="s">
        <v>119</v>
      </c>
      <c r="N12" s="26"/>
      <c r="O12" s="18" t="s">
        <v>132</v>
      </c>
      <c r="P12" s="17">
        <f>N11*25%</f>
        <v>5.5</v>
      </c>
    </row>
    <row r="13" spans="6:16" ht="20.25" x14ac:dyDescent="0.3">
      <c r="F13" s="104" t="s">
        <v>133</v>
      </c>
      <c r="G13" s="104"/>
      <c r="H13" s="164">
        <f>P14</f>
        <v>22</v>
      </c>
      <c r="I13" s="164"/>
      <c r="J13" s="82">
        <f>((100/N11)*H13)/100</f>
        <v>1.0000000000000002</v>
      </c>
      <c r="K13" s="104">
        <f>(((H13/N11*5)+(H14/N11*20)+(25/(K11+M11+N11)*H15)+(5/(N11)*H16)+(2.5/(N11)*H17)+(2.5/(N11)*H18)+(5/N11*H19)+(10/N11*H20)+(2.5/N11*H21)+(2.5/N11*H22)+(10/N11*H23)+(10/N11*H24))/100)</f>
        <v>0.25</v>
      </c>
      <c r="L13" s="104"/>
      <c r="M13" s="104" t="str">
        <f>O10</f>
        <v>Excavation work Completed. Plinth work completed</v>
      </c>
      <c r="N13" s="104"/>
      <c r="O13" s="18" t="s">
        <v>123</v>
      </c>
      <c r="P13" s="22">
        <f>N11*50%</f>
        <v>11</v>
      </c>
    </row>
    <row r="14" spans="6:16" ht="20.25" x14ac:dyDescent="0.3">
      <c r="F14" s="104" t="s">
        <v>104</v>
      </c>
      <c r="G14" s="104"/>
      <c r="H14" s="187">
        <v>22</v>
      </c>
      <c r="I14" s="164"/>
      <c r="J14" s="82">
        <f>((100/N11)*H14)/100</f>
        <v>1.0000000000000002</v>
      </c>
      <c r="K14" s="104"/>
      <c r="L14" s="104"/>
      <c r="M14" s="104"/>
      <c r="N14" s="104"/>
      <c r="O14" s="18" t="s">
        <v>124</v>
      </c>
      <c r="P14" s="22">
        <f>N11</f>
        <v>22</v>
      </c>
    </row>
    <row r="15" spans="6:16" ht="21" x14ac:dyDescent="0.35">
      <c r="F15" s="104" t="s">
        <v>134</v>
      </c>
      <c r="G15" s="104"/>
      <c r="H15" s="164">
        <v>0</v>
      </c>
      <c r="I15" s="164"/>
      <c r="J15" s="82">
        <f>((100/(K11+M11+N11))*H15)/100</f>
        <v>0</v>
      </c>
      <c r="K15" s="104"/>
      <c r="L15" s="104"/>
      <c r="M15" s="104"/>
      <c r="N15" s="104"/>
      <c r="O15" s="18" t="s">
        <v>125</v>
      </c>
      <c r="P15" s="23">
        <f>(IF(J11&gt;1,(N11/(J11+2)),N11*0.2))</f>
        <v>4.4000000000000004</v>
      </c>
    </row>
    <row r="16" spans="6:16" ht="21" x14ac:dyDescent="0.35">
      <c r="F16" s="104" t="s">
        <v>135</v>
      </c>
      <c r="G16" s="104"/>
      <c r="H16" s="164">
        <v>0</v>
      </c>
      <c r="I16" s="164"/>
      <c r="J16" s="82">
        <f>((100/N11)*H16)/100</f>
        <v>0</v>
      </c>
      <c r="K16" s="104"/>
      <c r="L16" s="104"/>
      <c r="M16" s="104"/>
      <c r="N16" s="104"/>
      <c r="O16" s="18" t="s">
        <v>126</v>
      </c>
      <c r="P16" s="23">
        <f>(IF(J11&gt;1,(N11/(J11+2)+P15),N11*0.2+P15))</f>
        <v>8.8000000000000007</v>
      </c>
    </row>
    <row r="17" spans="6:16" ht="21" x14ac:dyDescent="0.35">
      <c r="F17" s="105" t="s">
        <v>136</v>
      </c>
      <c r="G17" s="106"/>
      <c r="H17" s="164">
        <v>0</v>
      </c>
      <c r="I17" s="164"/>
      <c r="J17" s="82">
        <f>((100/N11)*H17)/100</f>
        <v>0</v>
      </c>
      <c r="K17" s="104"/>
      <c r="L17" s="104"/>
      <c r="M17" s="104"/>
      <c r="N17" s="104"/>
      <c r="O17" s="18" t="s">
        <v>137</v>
      </c>
      <c r="P17" s="23">
        <f>(IF(J11&gt;1,(N11/(J11+2)+P16),0))</f>
        <v>13.200000000000001</v>
      </c>
    </row>
    <row r="18" spans="6:16" ht="21" x14ac:dyDescent="0.35">
      <c r="F18" s="105" t="s">
        <v>167</v>
      </c>
      <c r="G18" s="106"/>
      <c r="H18" s="164">
        <v>0</v>
      </c>
      <c r="I18" s="164"/>
      <c r="J18" s="82">
        <f>((100/N11)*H18)/100</f>
        <v>0</v>
      </c>
      <c r="K18" s="104"/>
      <c r="L18" s="104"/>
      <c r="M18" s="104"/>
      <c r="N18" s="104"/>
      <c r="O18" s="18" t="s">
        <v>138</v>
      </c>
      <c r="P18" s="23">
        <f>(IF(J11&gt;2,(N11/(J11+2)+P17),0))</f>
        <v>17.600000000000001</v>
      </c>
    </row>
    <row r="19" spans="6:16" ht="21" x14ac:dyDescent="0.35">
      <c r="F19" s="105" t="s">
        <v>164</v>
      </c>
      <c r="G19" s="106"/>
      <c r="H19" s="164">
        <v>0</v>
      </c>
      <c r="I19" s="164"/>
      <c r="J19" s="82">
        <f>((100/(N11))*H19)/100</f>
        <v>0</v>
      </c>
      <c r="K19" s="104"/>
      <c r="L19" s="104"/>
      <c r="M19" s="104"/>
      <c r="N19" s="104"/>
      <c r="O19" s="18" t="s">
        <v>140</v>
      </c>
      <c r="P19" s="24">
        <f>(IF(J11&gt;3,(N11/(J11+2)+P18),0))</f>
        <v>0</v>
      </c>
    </row>
    <row r="20" spans="6:16" ht="21" x14ac:dyDescent="0.35">
      <c r="F20" s="104" t="s">
        <v>139</v>
      </c>
      <c r="G20" s="104"/>
      <c r="H20" s="164">
        <v>0</v>
      </c>
      <c r="I20" s="164"/>
      <c r="J20" s="82">
        <f>((100/(N11))*H20)/100</f>
        <v>0</v>
      </c>
      <c r="K20" s="104"/>
      <c r="L20" s="104"/>
      <c r="M20" s="104"/>
      <c r="N20" s="104"/>
      <c r="O20" s="18" t="s">
        <v>141</v>
      </c>
      <c r="P20" s="23">
        <f>(IF(J11&gt;4,(N11/(J11+2)+P19),0))</f>
        <v>0</v>
      </c>
    </row>
    <row r="21" spans="6:16" ht="21" x14ac:dyDescent="0.35">
      <c r="F21" s="104" t="s">
        <v>166</v>
      </c>
      <c r="G21" s="104"/>
      <c r="H21" s="164">
        <v>0</v>
      </c>
      <c r="I21" s="164"/>
      <c r="J21" s="82">
        <f>((100/N11)*H21)/100</f>
        <v>0</v>
      </c>
      <c r="K21" s="104"/>
      <c r="L21" s="104"/>
      <c r="M21" s="104"/>
      <c r="N21" s="104"/>
      <c r="O21" s="18" t="s">
        <v>127</v>
      </c>
      <c r="P21" s="23">
        <f>(IF(J11=1,(N11/(J11+3)+P16),IF(J11=0,(N11*0.3+P16),IF(J11&gt;1,0))))</f>
        <v>0</v>
      </c>
    </row>
    <row r="22" spans="6:16" ht="21.75" thickBot="1" x14ac:dyDescent="0.4">
      <c r="F22" s="104" t="s">
        <v>165</v>
      </c>
      <c r="G22" s="104"/>
      <c r="H22" s="164">
        <v>0</v>
      </c>
      <c r="I22" s="164"/>
      <c r="J22" s="82">
        <f>((100/N11)*H22)/100</f>
        <v>0</v>
      </c>
      <c r="K22" s="104"/>
      <c r="L22" s="104"/>
      <c r="M22" s="104"/>
      <c r="N22" s="104"/>
      <c r="O22" s="20" t="s">
        <v>128</v>
      </c>
      <c r="P22" s="25">
        <f>(IF(J11&gt;1.5,(N11/(J11+2)+P16+MAX(0,P17-P16)+MAX(0,P18-P17)+MAX(0,P19-P18)+MAX(0,P20-P19)+MAX(0,P21-P20)),IF(J11=1,(N11/(J11+3)+P21),IF(J11=0,N11*0.3+P21))))</f>
        <v>22</v>
      </c>
    </row>
    <row r="23" spans="6:16" ht="20.25" x14ac:dyDescent="0.25">
      <c r="F23" s="104" t="s">
        <v>142</v>
      </c>
      <c r="G23" s="104"/>
      <c r="H23" s="164">
        <v>0</v>
      </c>
      <c r="I23" s="164"/>
      <c r="J23" s="82">
        <f>((100/(N11))*H23)/100</f>
        <v>0</v>
      </c>
      <c r="K23" s="104"/>
      <c r="L23" s="104"/>
      <c r="M23" s="104"/>
      <c r="N23" s="104"/>
      <c r="O23" s="1"/>
      <c r="P23" s="1"/>
    </row>
    <row r="24" spans="6:16" ht="20.25" x14ac:dyDescent="0.25">
      <c r="F24" s="104" t="s">
        <v>143</v>
      </c>
      <c r="G24" s="104"/>
      <c r="H24" s="164">
        <v>0</v>
      </c>
      <c r="I24" s="164"/>
      <c r="J24" s="82">
        <f>((100/(N11))*H24)/100</f>
        <v>0</v>
      </c>
      <c r="K24" s="104"/>
      <c r="L24" s="104"/>
      <c r="M24" s="104"/>
      <c r="N24" s="104"/>
      <c r="O24" s="1"/>
      <c r="P24" s="1"/>
    </row>
  </sheetData>
  <mergeCells count="34">
    <mergeCell ref="F23:G23"/>
    <mergeCell ref="H23:I23"/>
    <mergeCell ref="F24:G24"/>
    <mergeCell ref="H24:I24"/>
    <mergeCell ref="F20:G20"/>
    <mergeCell ref="H20:I20"/>
    <mergeCell ref="F21:G21"/>
    <mergeCell ref="H21:I21"/>
    <mergeCell ref="F22:G22"/>
    <mergeCell ref="H22:I22"/>
    <mergeCell ref="F13:G13"/>
    <mergeCell ref="H13:I13"/>
    <mergeCell ref="K13:L24"/>
    <mergeCell ref="M13:N24"/>
    <mergeCell ref="F14:G14"/>
    <mergeCell ref="H14:I14"/>
    <mergeCell ref="F15:G15"/>
    <mergeCell ref="H15:I15"/>
    <mergeCell ref="F16:G16"/>
    <mergeCell ref="H16:I16"/>
    <mergeCell ref="F17:G17"/>
    <mergeCell ref="H17:I17"/>
    <mergeCell ref="F18:G18"/>
    <mergeCell ref="H18:I18"/>
    <mergeCell ref="F19:G19"/>
    <mergeCell ref="H19:I19"/>
    <mergeCell ref="F12:G12"/>
    <mergeCell ref="H12:I12"/>
    <mergeCell ref="K12:L12"/>
    <mergeCell ref="F9:N9"/>
    <mergeCell ref="F10:H11"/>
    <mergeCell ref="I10:I11"/>
    <mergeCell ref="K10:L10"/>
    <mergeCell ref="K11:L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Construction table</vt:lpstr>
      <vt:lpstr>Remarks</vt:lpstr>
      <vt:lpstr>Area Calculation</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2025-08-08T05:19:42Z</cp:lastPrinted>
  <dcterms:created xsi:type="dcterms:W3CDTF">2010-11-23T11:42:48Z</dcterms:created>
  <dcterms:modified xsi:type="dcterms:W3CDTF">2025-08-08T05:21:11Z</dcterms:modified>
</cp:coreProperties>
</file>