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4ABC2202-8F32-4B57-B198-621203D7846B}" xr6:coauthVersionLast="36" xr6:coauthVersionMax="36" xr10:uidLastSave="{00000000-0000-0000-0000-000000000000}"/>
  <bookViews>
    <workbookView xWindow="0" yWindow="0" windowWidth="20490" windowHeight="6825" xr2:uid="{00000000-000D-0000-FFFF-FFFF00000000}"/>
  </bookViews>
  <sheets>
    <sheet name="Report" sheetId="3" r:id="rId1"/>
  </sheets>
  <definedNames>
    <definedName name="_xlnm.Print_Area" localSheetId="0">Report!$A$1:$I$365</definedName>
  </definedNames>
  <calcPr calcId="191029"/>
</workbook>
</file>

<file path=xl/calcChain.xml><?xml version="1.0" encoding="utf-8"?>
<calcChain xmlns="http://schemas.openxmlformats.org/spreadsheetml/2006/main">
  <c r="K2" i="3" l="1"/>
  <c r="E214" i="3" l="1"/>
  <c r="E213" i="3"/>
  <c r="E212" i="3"/>
  <c r="E211" i="3"/>
  <c r="E210" i="3"/>
  <c r="E205" i="3"/>
  <c r="E207" i="3"/>
  <c r="E204" i="3"/>
  <c r="E181" i="3"/>
  <c r="C67" i="3"/>
  <c r="C69" i="3" s="1"/>
  <c r="E177" i="3"/>
  <c r="C68" i="3" l="1"/>
  <c r="J208" i="3"/>
  <c r="H214" i="3"/>
  <c r="G214" i="3"/>
  <c r="F214" i="3"/>
  <c r="H213" i="3"/>
  <c r="G213" i="3"/>
  <c r="F213" i="3"/>
  <c r="H212" i="3"/>
  <c r="G212" i="3"/>
  <c r="F212" i="3"/>
  <c r="H211" i="3"/>
  <c r="G211" i="3"/>
  <c r="F211" i="3"/>
  <c r="H210" i="3"/>
  <c r="G210" i="3"/>
  <c r="F210" i="3"/>
  <c r="J201" i="3"/>
  <c r="J194" i="3"/>
  <c r="J187" i="3"/>
  <c r="J180" i="3"/>
  <c r="H207" i="3"/>
  <c r="I207" i="3" s="1"/>
  <c r="G207" i="3"/>
  <c r="F207" i="3"/>
  <c r="H206" i="3"/>
  <c r="G206" i="3"/>
  <c r="F206" i="3"/>
  <c r="E206" i="3"/>
  <c r="H205" i="3"/>
  <c r="G205" i="3"/>
  <c r="F205" i="3"/>
  <c r="H204" i="3"/>
  <c r="G204" i="3"/>
  <c r="F204" i="3"/>
  <c r="H203" i="3"/>
  <c r="G203" i="3"/>
  <c r="F203" i="3"/>
  <c r="E203" i="3"/>
  <c r="H202" i="3"/>
  <c r="G202" i="3"/>
  <c r="F202" i="3"/>
  <c r="E202" i="3"/>
  <c r="H196" i="3"/>
  <c r="G196" i="3"/>
  <c r="F196" i="3"/>
  <c r="E196" i="3"/>
  <c r="I196" i="3" s="1"/>
  <c r="H189" i="3"/>
  <c r="G189" i="3"/>
  <c r="F189" i="3"/>
  <c r="E189" i="3"/>
  <c r="H188" i="3"/>
  <c r="G188" i="3"/>
  <c r="F188" i="3"/>
  <c r="E188" i="3"/>
  <c r="H182" i="3"/>
  <c r="G182" i="3"/>
  <c r="F182" i="3"/>
  <c r="E182" i="3"/>
  <c r="F169" i="3" s="1"/>
  <c r="H181" i="3"/>
  <c r="G181" i="3"/>
  <c r="F181" i="3"/>
  <c r="H178" i="3"/>
  <c r="F178" i="3"/>
  <c r="E178" i="3"/>
  <c r="H177" i="3"/>
  <c r="F177" i="3"/>
  <c r="J173" i="3"/>
  <c r="V202" i="3"/>
  <c r="V195" i="3"/>
  <c r="V188" i="3"/>
  <c r="W195" i="3"/>
  <c r="W188" i="3"/>
  <c r="V209" i="3"/>
  <c r="W202" i="3"/>
  <c r="W209" i="3"/>
  <c r="I178" i="3" l="1"/>
  <c r="F167" i="3"/>
  <c r="F171" i="3" s="1"/>
  <c r="I204" i="3"/>
  <c r="I211" i="3"/>
  <c r="I214" i="3"/>
  <c r="I177" i="3"/>
  <c r="H167" i="3" s="1"/>
  <c r="I202" i="3"/>
  <c r="I205" i="3"/>
  <c r="I210" i="3"/>
  <c r="I213" i="3"/>
  <c r="I212" i="3"/>
  <c r="I203" i="3"/>
  <c r="I206" i="3"/>
  <c r="U209" i="3"/>
  <c r="V210" i="3"/>
  <c r="W210" i="3"/>
  <c r="W211" i="3" s="1"/>
  <c r="W212" i="3" s="1"/>
  <c r="W213" i="3" s="1"/>
  <c r="W214" i="3" s="1"/>
  <c r="W203" i="3"/>
  <c r="W204" i="3" s="1"/>
  <c r="W205" i="3" s="1"/>
  <c r="W206" i="3" s="1"/>
  <c r="W207" i="3" s="1"/>
  <c r="V203" i="3"/>
  <c r="U202" i="3"/>
  <c r="I188" i="3"/>
  <c r="I189" i="3"/>
  <c r="W196" i="3"/>
  <c r="W197" i="3" s="1"/>
  <c r="W198" i="3" s="1"/>
  <c r="W199" i="3" s="1"/>
  <c r="W200" i="3" s="1"/>
  <c r="V196" i="3"/>
  <c r="U195" i="3"/>
  <c r="W189" i="3"/>
  <c r="W190" i="3" s="1"/>
  <c r="W191" i="3" s="1"/>
  <c r="W192" i="3" s="1"/>
  <c r="W193" i="3" s="1"/>
  <c r="V189" i="3"/>
  <c r="U188" i="3"/>
  <c r="H168" i="3" l="1"/>
  <c r="F168" i="3"/>
  <c r="U210" i="3"/>
  <c r="V211" i="3"/>
  <c r="V204" i="3"/>
  <c r="U203" i="3"/>
  <c r="V197" i="3"/>
  <c r="U196" i="3"/>
  <c r="V190" i="3"/>
  <c r="U189" i="3"/>
  <c r="C147" i="3"/>
  <c r="C149" i="3" s="1"/>
  <c r="A141" i="3"/>
  <c r="C131" i="3"/>
  <c r="A125" i="3"/>
  <c r="C115" i="3"/>
  <c r="C117" i="3" s="1"/>
  <c r="A109" i="3"/>
  <c r="C99" i="3"/>
  <c r="A93" i="3"/>
  <c r="C83" i="3"/>
  <c r="A77" i="3"/>
  <c r="A61" i="3"/>
  <c r="M153" i="3"/>
  <c r="K151" i="3"/>
  <c r="K150" i="3"/>
  <c r="K149" i="3"/>
  <c r="K148" i="3"/>
  <c r="M137" i="3"/>
  <c r="K135" i="3"/>
  <c r="K134" i="3"/>
  <c r="K133" i="3"/>
  <c r="K132" i="3"/>
  <c r="M121" i="3"/>
  <c r="K119" i="3"/>
  <c r="K118" i="3"/>
  <c r="K117" i="3"/>
  <c r="K116" i="3"/>
  <c r="M105" i="3"/>
  <c r="K103" i="3"/>
  <c r="K102" i="3"/>
  <c r="K101" i="3"/>
  <c r="K100" i="3"/>
  <c r="M89" i="3"/>
  <c r="K87" i="3"/>
  <c r="K86" i="3"/>
  <c r="K85" i="3"/>
  <c r="K84" i="3"/>
  <c r="M73" i="3"/>
  <c r="K71" i="3"/>
  <c r="K70" i="3"/>
  <c r="K69" i="3"/>
  <c r="K68" i="3"/>
  <c r="I110" i="3"/>
  <c r="I94" i="3"/>
  <c r="I142" i="3"/>
  <c r="I126" i="3"/>
  <c r="I62" i="3"/>
  <c r="I78" i="3"/>
  <c r="C133" i="3" l="1"/>
  <c r="C132" i="3"/>
  <c r="U211" i="3"/>
  <c r="V212" i="3"/>
  <c r="V205" i="3"/>
  <c r="U204" i="3"/>
  <c r="V198" i="3"/>
  <c r="U197" i="3"/>
  <c r="V191" i="3"/>
  <c r="U190" i="3"/>
  <c r="C148" i="3"/>
  <c r="E148" i="3" s="1"/>
  <c r="E132" i="3"/>
  <c r="C116" i="3"/>
  <c r="E116" i="3" s="1"/>
  <c r="E100" i="3"/>
  <c r="E84" i="3"/>
  <c r="E155" i="3"/>
  <c r="E151" i="3"/>
  <c r="E147" i="3"/>
  <c r="K146" i="3"/>
  <c r="K147" i="3" s="1"/>
  <c r="K152" i="3" s="1"/>
  <c r="K153" i="3" s="1"/>
  <c r="C145" i="3" s="1"/>
  <c r="E145" i="3" s="1"/>
  <c r="E154" i="3"/>
  <c r="K145" i="3"/>
  <c r="E153" i="3"/>
  <c r="E149" i="3"/>
  <c r="E146" i="3"/>
  <c r="K144" i="3"/>
  <c r="E150" i="3"/>
  <c r="E152" i="3"/>
  <c r="K143" i="3"/>
  <c r="E138" i="3"/>
  <c r="K130" i="3"/>
  <c r="K131" i="3" s="1"/>
  <c r="K136" i="3" s="1"/>
  <c r="K137" i="3" s="1"/>
  <c r="E137" i="3"/>
  <c r="E133" i="3"/>
  <c r="K128" i="3"/>
  <c r="E139" i="3"/>
  <c r="E131" i="3"/>
  <c r="E134" i="3"/>
  <c r="K127" i="3"/>
  <c r="K129" i="3"/>
  <c r="C128" i="3" s="1"/>
  <c r="E136" i="3"/>
  <c r="E135" i="3"/>
  <c r="E130" i="3"/>
  <c r="K113" i="3"/>
  <c r="K112" i="3"/>
  <c r="E123" i="3"/>
  <c r="E115" i="3"/>
  <c r="E122" i="3"/>
  <c r="K114" i="3"/>
  <c r="K115" i="3" s="1"/>
  <c r="K120" i="3" s="1"/>
  <c r="K121" i="3" s="1"/>
  <c r="C113" i="3" s="1"/>
  <c r="E113" i="3" s="1"/>
  <c r="E120" i="3"/>
  <c r="E119" i="3"/>
  <c r="E118" i="3"/>
  <c r="E114" i="3"/>
  <c r="K111" i="3"/>
  <c r="E121" i="3"/>
  <c r="E117" i="3"/>
  <c r="E106" i="3"/>
  <c r="K98" i="3"/>
  <c r="K99" i="3" s="1"/>
  <c r="K104" i="3" s="1"/>
  <c r="K105" i="3" s="1"/>
  <c r="C97" i="3" s="1"/>
  <c r="E97" i="3" s="1"/>
  <c r="E102" i="3"/>
  <c r="E98" i="3"/>
  <c r="K95" i="3"/>
  <c r="E105" i="3"/>
  <c r="E101" i="3"/>
  <c r="K97" i="3"/>
  <c r="K96" i="3"/>
  <c r="E103" i="3"/>
  <c r="E104" i="3"/>
  <c r="E107" i="3"/>
  <c r="E99" i="3"/>
  <c r="E91" i="3"/>
  <c r="E87" i="3"/>
  <c r="E83" i="3"/>
  <c r="E90" i="3"/>
  <c r="K82" i="3"/>
  <c r="K83" i="3" s="1"/>
  <c r="K88" i="3" s="1"/>
  <c r="K89" i="3" s="1"/>
  <c r="C81" i="3" s="1"/>
  <c r="E81" i="3" s="1"/>
  <c r="K81" i="3"/>
  <c r="E89" i="3"/>
  <c r="E85" i="3"/>
  <c r="K80" i="3"/>
  <c r="E88" i="3"/>
  <c r="E86" i="3"/>
  <c r="K79" i="3"/>
  <c r="E82" i="3"/>
  <c r="K65" i="3"/>
  <c r="K64" i="3"/>
  <c r="E71" i="3"/>
  <c r="E74" i="3"/>
  <c r="K66" i="3"/>
  <c r="K67" i="3" s="1"/>
  <c r="K72" i="3" s="1"/>
  <c r="K73" i="3" s="1"/>
  <c r="C65" i="3" s="1"/>
  <c r="E65" i="3" s="1"/>
  <c r="E70" i="3"/>
  <c r="E66" i="3"/>
  <c r="K63" i="3"/>
  <c r="E73" i="3"/>
  <c r="E69" i="3"/>
  <c r="E72" i="3"/>
  <c r="E68" i="3"/>
  <c r="E75" i="3"/>
  <c r="E67" i="3"/>
  <c r="U212" i="3" l="1"/>
  <c r="V213" i="3"/>
  <c r="V206" i="3"/>
  <c r="U205" i="3"/>
  <c r="V199" i="3"/>
  <c r="U198" i="3"/>
  <c r="V192" i="3"/>
  <c r="U191" i="3"/>
  <c r="C144" i="3"/>
  <c r="F144" i="3" s="1"/>
  <c r="C129" i="3"/>
  <c r="E129" i="3" s="1"/>
  <c r="C112" i="3"/>
  <c r="F112" i="3" s="1"/>
  <c r="C96" i="3"/>
  <c r="F96" i="3" s="1"/>
  <c r="C80" i="3"/>
  <c r="F80" i="3" s="1"/>
  <c r="C64" i="3"/>
  <c r="E64" i="3" s="1"/>
  <c r="U213" i="3" l="1"/>
  <c r="V214" i="3"/>
  <c r="U214" i="3" s="1"/>
  <c r="V207" i="3"/>
  <c r="U207" i="3" s="1"/>
  <c r="U206" i="3"/>
  <c r="V200" i="3"/>
  <c r="U200" i="3" s="1"/>
  <c r="U199" i="3"/>
  <c r="V193" i="3"/>
  <c r="U193" i="3" s="1"/>
  <c r="U192" i="3"/>
  <c r="F128" i="3"/>
  <c r="E144" i="3"/>
  <c r="J141" i="3" s="1"/>
  <c r="H144" i="3" s="1"/>
  <c r="E96" i="3"/>
  <c r="J93" i="3" s="1"/>
  <c r="H96" i="3" s="1"/>
  <c r="E112" i="3"/>
  <c r="J109" i="3" s="1"/>
  <c r="H112" i="3" s="1"/>
  <c r="E128" i="3"/>
  <c r="E80" i="3"/>
  <c r="J77" i="3" s="1"/>
  <c r="H80" i="3" s="1"/>
  <c r="F64" i="3"/>
  <c r="H156" i="3" l="1"/>
  <c r="J125" i="3"/>
  <c r="H128" i="3" s="1"/>
  <c r="J61" i="3"/>
  <c r="H64" i="3" s="1"/>
  <c r="I182" i="3"/>
  <c r="I181" i="3"/>
  <c r="H169" i="3" s="1"/>
  <c r="H171" i="3" l="1"/>
  <c r="J20" i="3"/>
  <c r="C20" i="3" l="1"/>
  <c r="I4" i="3" l="1"/>
  <c r="H170" i="3" l="1"/>
  <c r="F170" i="3"/>
  <c r="E219" i="3" l="1"/>
  <c r="H164" i="3"/>
  <c r="W181" i="3"/>
  <c r="V181" i="3"/>
  <c r="W182" i="3" l="1"/>
  <c r="W183" i="3" s="1"/>
  <c r="W184" i="3" s="1"/>
  <c r="W185" i="3" s="1"/>
  <c r="W186" i="3" s="1"/>
  <c r="V182" i="3"/>
  <c r="U181" i="3"/>
  <c r="V183" i="3" l="1"/>
  <c r="U182" i="3"/>
  <c r="V184" i="3" l="1"/>
  <c r="U183" i="3"/>
  <c r="V185" i="3" l="1"/>
  <c r="U184" i="3"/>
  <c r="V186" i="3" l="1"/>
  <c r="U185" i="3"/>
  <c r="U186" i="3" l="1"/>
  <c r="E220" i="3" l="1"/>
</calcChain>
</file>

<file path=xl/sharedStrings.xml><?xml version="1.0" encoding="utf-8"?>
<sst xmlns="http://schemas.openxmlformats.org/spreadsheetml/2006/main" count="593" uniqueCount="261">
  <si>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</si>
  <si>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</si>
  <si>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</si>
  <si>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</si>
  <si>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</si>
  <si>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</si>
  <si>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</si>
  <si>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</si>
  <si>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</si>
  <si>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</si>
  <si>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</si>
  <si>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</si>
  <si>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</si>
  <si>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</si>
  <si>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</si>
  <si>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</si>
  <si>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</si>
  <si>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</si>
  <si>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</si>
  <si>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the Main Market (Km)</t>
  </si>
  <si>
    <t>Property falls under Seismic Zone</t>
  </si>
  <si>
    <t>Property Falls under Flood Zone</t>
  </si>
  <si>
    <t>Zone/Locality/Surrounding/Civic Amenities</t>
  </si>
  <si>
    <t>Any risk of Demolition</t>
  </si>
  <si>
    <t>Property Falls in Cyclone Zone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</si>
  <si>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</si>
  <si>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</si>
  <si>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</si>
  <si>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</si>
  <si>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</si>
  <si>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</si>
  <si>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</si>
  <si>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</si>
  <si>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</si>
  <si>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</si>
  <si>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</si>
  <si>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</si>
  <si>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</si>
  <si>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</si>
  <si>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</si>
  <si>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</si>
  <si>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</si>
  <si>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</si>
  <si>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</si>
  <si>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</si>
  <si>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</si>
  <si>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</si>
  <si>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</si>
  <si>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</si>
  <si>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</si>
  <si>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</si>
  <si>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</si>
  <si>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</si>
  <si>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</si>
  <si>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</si>
  <si>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</si>
  <si>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</si>
  <si>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</si>
  <si>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</si>
  <si>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</si>
  <si>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</si>
  <si>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</si>
  <si>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</si>
  <si>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</si>
  <si>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</si>
  <si>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</si>
  <si>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</si>
  <si>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</si>
  <si>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</si>
  <si>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</si>
  <si>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</si>
  <si>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</si>
  <si>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</si>
  <si>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</si>
  <si>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Remarks / Observations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</si>
  <si>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</si>
  <si>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</si>
  <si>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</si>
  <si>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</si>
  <si>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</si>
  <si>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</si>
  <si>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</si>
  <si>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</si>
  <si>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</si>
  <si>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</si>
  <si>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</si>
  <si>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</si>
  <si>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</si>
  <si>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</si>
  <si>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CC Details</t>
  </si>
  <si>
    <t>Flat/Shop No.</t>
  </si>
  <si>
    <t>Attached Terrace area</t>
  </si>
  <si>
    <t>Godrej One, Vikhroli East, Mumbai</t>
  </si>
  <si>
    <t>Residential + Comm.</t>
  </si>
  <si>
    <t>Permissible Built up Area (In Sq.Mt)</t>
  </si>
  <si>
    <t>Proposed Built up Area (In Sq.Mt)</t>
  </si>
  <si>
    <t>-</t>
  </si>
  <si>
    <t>Yes</t>
  </si>
  <si>
    <t xml:space="preserve">Bitumen </t>
  </si>
  <si>
    <t>III</t>
  </si>
  <si>
    <t>No</t>
  </si>
  <si>
    <t>Low</t>
  </si>
  <si>
    <t>None</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</si>
  <si>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</si>
  <si>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</si>
  <si>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</si>
  <si>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</si>
  <si>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</si>
  <si>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</si>
  <si>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</si>
  <si>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</si>
  <si>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</si>
  <si>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</si>
  <si>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</si>
  <si>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</si>
  <si>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</si>
  <si>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</si>
  <si>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</si>
  <si>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</si>
  <si>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</si>
  <si>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</si>
  <si>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</si>
  <si>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</si>
  <si>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</si>
  <si>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</si>
  <si>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</si>
  <si>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</si>
  <si>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</si>
  <si>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</si>
  <si>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</si>
  <si>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</si>
  <si>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</si>
  <si>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</si>
  <si>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</si>
  <si>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</si>
  <si>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</si>
  <si>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</si>
  <si>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</si>
  <si>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</si>
  <si>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</si>
  <si>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</si>
  <si>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</si>
  <si>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</si>
  <si>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</si>
  <si>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</si>
  <si>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</si>
  <si>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</si>
  <si>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</si>
  <si>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 xml:space="preserve">Flats = </t>
  </si>
  <si>
    <t xml:space="preserve">Shop = </t>
  </si>
  <si>
    <t>Project Address</t>
  </si>
  <si>
    <t>Width of the Road</t>
  </si>
  <si>
    <t>Details of Flats in Building</t>
  </si>
  <si>
    <t>Total Carpet Area</t>
  </si>
  <si>
    <t>No. of Unit</t>
  </si>
  <si>
    <t>Building &amp; Wing</t>
  </si>
  <si>
    <t>Sale / Rehab</t>
  </si>
  <si>
    <t>Flats/ Shops/ Offices</t>
  </si>
  <si>
    <t>Total</t>
  </si>
  <si>
    <t>Rate of Flat Per Sq. Ft. 
(on Carpet area)</t>
  </si>
  <si>
    <t>On Carpet area</t>
  </si>
  <si>
    <t>Location Link</t>
  </si>
  <si>
    <t>Location Plan</t>
  </si>
  <si>
    <t>Net carpet</t>
  </si>
  <si>
    <t>Upper Class</t>
  </si>
  <si>
    <t xml:space="preserve">12M </t>
  </si>
  <si>
    <t>Developed</t>
  </si>
  <si>
    <t xml:space="preserve">2.7KM from Kanjurmarg Railway </t>
  </si>
  <si>
    <t>Electrification/Electric poles observed</t>
  </si>
  <si>
    <t>About 1KM from St Francis Xavier's High School</t>
  </si>
  <si>
    <t>About 2.8K form Aastha Hospital</t>
  </si>
  <si>
    <t>1. Approx. 3.8 KM from VHuma Mall
2. Approx. 3.7KM from D mart.</t>
  </si>
  <si>
    <t xml:space="preserve">Flats = 279 &amp; Shop = 42 </t>
  </si>
  <si>
    <t>Fire NOC Details</t>
  </si>
  <si>
    <t xml:space="preserve">1st &amp; 2nd Basement Floor for Parking </t>
  </si>
  <si>
    <t>Fungible Area</t>
  </si>
  <si>
    <t>Description</t>
  </si>
  <si>
    <t>Susneh Infrapark Private Limited</t>
  </si>
  <si>
    <t>NA</t>
  </si>
  <si>
    <t>Aryabhatt Building, C G Compound, Kanjurmarg (East), Locality:Kanjurmarg</t>
  </si>
  <si>
    <t>https://goo.gl/maps/yT3qtoy6FjJa1jx69?coh=178572&amp;entry=tt</t>
  </si>
  <si>
    <t xml:space="preserve">Municipal Corporation Of Greater Mumbai (MCGM)
</t>
  </si>
  <si>
    <t>I Wing = 20/04/2028 
J &amp; K Wing = 30/06/2027 
L Wing = 31/12/2026
M Wing = 18/04/2026
N Wing = 31/12/2027</t>
  </si>
  <si>
    <t>I Wing - P51800048234 
J Wing - P51800026860 
K Wing - P51800028811 
L Wing - P51800031895 
M Wing - P51800033514
N Wing - P51800047714</t>
  </si>
  <si>
    <t>Kanjur Village Road</t>
  </si>
  <si>
    <t>Toyo Engineering India Limited</t>
  </si>
  <si>
    <t>Other Plot</t>
  </si>
  <si>
    <t>Internal Road</t>
  </si>
  <si>
    <t>Gr + 1 Retail + 1st + 2nd to 7th Podium/Resi + 8th to 53rd Floor</t>
  </si>
  <si>
    <t xml:space="preserve">J Wing  </t>
  </si>
  <si>
    <t xml:space="preserve">K Wing  </t>
  </si>
  <si>
    <t xml:space="preserve">I Wing  </t>
  </si>
  <si>
    <t xml:space="preserve">L Wing  </t>
  </si>
  <si>
    <t xml:space="preserve">M Wing  </t>
  </si>
  <si>
    <t xml:space="preserve">N Wing  </t>
  </si>
  <si>
    <t>Aqua Gym, Jacuzzi, jogging track, Multipurpose Court, Open Green Vistas, Badminton Court, Yoga Pavilion, Kids play area, creche, Indoor games, etc.</t>
  </si>
  <si>
    <t>Runwal Avenue (Wing I, J, K, L, M &amp; N), CTS No. as per CC.1004, 1005, 1005/1, 1006, 1007(pt), 1007/3(pt), 1007/4, 1009(pt), 1009/5, 1009/6, 1010(pt), 1013(pt), 1014(pt), 1014/1 to 16, 1017, 1017/1 to 6, 1018 and 1018/1 to 9, near NG Royal Park, Kanjur Village Road, Kanjur, Datar Colony, Kanjurmarg East, Kurla, Mumbai - 400042.</t>
  </si>
  <si>
    <t>Runwal Avenue (Wing I, J, K, L, M &amp; N), near NG Royal Park, Kanjur Village Road, Kanjur, Datar Colony, Kanjurmarg East, Kurla, Mumbai - 400042.</t>
  </si>
  <si>
    <t>25500 to 26500</t>
  </si>
  <si>
    <t>I Wing = 19/12/2022 
J Wing = 31/10/2020 
K Wing = 30/03/2021 
LWing = 22/11/2021 
M Wing = 22/02/2022
N Wing  = 21/11/2022</t>
  </si>
  <si>
    <t>300m from Kanjur Marg Railway Station</t>
  </si>
  <si>
    <t>External Plaster</t>
  </si>
  <si>
    <t>External Plumbing, Elevation and Waterproofing</t>
  </si>
  <si>
    <t>Wooden Work</t>
  </si>
  <si>
    <t>Electrical &amp; Sanitary fittings</t>
  </si>
  <si>
    <r>
      <rPr>
        <b/>
        <sz val="16"/>
        <rFont val="Times New Roman"/>
        <family val="1"/>
      </rPr>
      <t>Runwal Avenue</t>
    </r>
    <r>
      <rPr>
        <sz val="16"/>
        <rFont val="Times New Roman"/>
        <family val="1"/>
      </rPr>
      <t xml:space="preserve"> - 
I Wing - First Avenue
J Wing - Madison
K Wing - Broadway
L Wing - Park View
M Wing - Manhattan
N Wing - Liberty</t>
    </r>
  </si>
  <si>
    <t xml:space="preserve"> Gr + 1 Retail + 1st to 49th Floor</t>
  </si>
  <si>
    <t>Mr.Nainesh Tambe</t>
  </si>
  <si>
    <t>Runwal Avenue Wing I to N</t>
  </si>
  <si>
    <t>Wing N</t>
  </si>
  <si>
    <t>Shop</t>
  </si>
  <si>
    <t>2.5BHK</t>
  </si>
  <si>
    <t xml:space="preserve"> - </t>
  </si>
  <si>
    <t xml:space="preserve"> -</t>
  </si>
  <si>
    <t>Parking</t>
  </si>
  <si>
    <t>Refuge Area</t>
  </si>
  <si>
    <t>8th to 12th, 14th to 19th &amp; 21st to 25th Floor</t>
  </si>
  <si>
    <t>1.5BHK</t>
  </si>
  <si>
    <t>1BHK</t>
  </si>
  <si>
    <t>Shops</t>
  </si>
  <si>
    <t>Flats</t>
  </si>
  <si>
    <t>13th &amp; 20th Floor For Residential (Part Refuge Area)</t>
  </si>
  <si>
    <t>Gr + 1 Retail + 1st + 2nd to 5th Podium/Resi + 25th Floor</t>
  </si>
  <si>
    <t>Approved Layout Details</t>
  </si>
  <si>
    <t>CHE/ES/3092/S/337(NEW)/337/12/Amend</t>
  </si>
  <si>
    <t>Date</t>
  </si>
  <si>
    <t>Date
Valid Upto Date</t>
  </si>
  <si>
    <t>07/07/2023
27/08/2024</t>
  </si>
  <si>
    <t>CHE/ES/3092/S/337(NEW)/FCC/7/Amend
Full C.C. is granted for wing 'N' upto 5th floor, Ground &amp; First floor for retail area and re-endorsement of C.C. for wing 'I', ‘'J', 'K’, 'L’, ‘M’ &amp; retail area proposed on Ground &amp; First floor as per approved amended plan dated 14.03.2023 subject to timely renewal of B.G, SWM NOC, Workmen’s compensation policy and taking all sorts of precautions during construction and for air pollution.</t>
  </si>
  <si>
    <t xml:space="preserve">CC Details
Valid Up to: </t>
  </si>
  <si>
    <t>Grand Total</t>
  </si>
  <si>
    <t>Unit Details, Nomenclature and Area Details (Commercial)</t>
  </si>
  <si>
    <t>29/11/2024
27/08/2025</t>
  </si>
  <si>
    <t>CC Details
Valid Up to:</t>
  </si>
  <si>
    <t xml:space="preserve">07/04/2023 
</t>
  </si>
  <si>
    <t>CHE/ES/3092/S/337(NEW)
Building No. 2 (Wing I to N)  = G + 1 st to 5th (Pt) Podium + 8th to 49th Floor (Height = 155.77M)</t>
  </si>
  <si>
    <t>Gr + 1 Retail + 1st to 49th Floor</t>
  </si>
  <si>
    <t>Gr + 1 Retail + 1st + 2nd to 7th Podium/Resi + 8th to 49th Floor</t>
  </si>
  <si>
    <t xml:space="preserve"> Gr + 1 Retail + 1st + 2nd to 5th Podium/Resi + 8th to 49th Floor</t>
  </si>
  <si>
    <t>Ground Floor For Commercial, Entrance Lobby, Meter Room &amp; Parking</t>
  </si>
  <si>
    <t>Retail 1 Floor For Commercial</t>
  </si>
  <si>
    <t>Approved Floor Plan Details For Wing N</t>
  </si>
  <si>
    <t>CHE/ES/3092/S/337(NEW)/FCC/8/Amend
Valid Up to: Full C.C. is granted for Wing ‘'J', 'K’, I and N and CC up to 44th upper floors for wing 'L’ &amp; ‘M’ is granted as per approved amended plans dated 14.03.2023 by restricting C.C. of 45th to 47th for wing ‘L’ &amp; ‘M’ for instalment facility subject to timely renewal of B.G, SWM NOC, Workmen’s compensation policy and taking all sorts of precautions during construction and for air pollution.</t>
  </si>
  <si>
    <t xml:space="preserve">Date: 
Valid Upto : </t>
  </si>
  <si>
    <t>28/02/2024
27/02/2025</t>
  </si>
  <si>
    <t xml:space="preserve">CHE/ES/3092/S/337(NEW)/FCC/9/Amend
Further C.C. is granted for Wing ‘I, ‘L’ &amp; ‘M’ upto 47th floor, C.C. for Wing ‘N’ is granted upto 14th upper floors and C.C. is re endorsed for wing ‘J’ &amp; ’K’ as per approved amended plans dated 06.11.2024 by restricting C.C. of 15th to 25th upper floors of wing ‘N’ against instalment facility subject to timely renewal of B.G, SWM NOC, Workmen’s compensation policy and taking all sorts of precautions during construction and for air pollution.
</t>
  </si>
  <si>
    <t>19.1312981,72.9309152</t>
  </si>
  <si>
    <t>Latitude, Longitude</t>
  </si>
  <si>
    <t>Landamrk</t>
  </si>
  <si>
    <t xml:space="preserve">Kanakia Zen World
</t>
  </si>
  <si>
    <t>Gross Carpet area</t>
  </si>
  <si>
    <t xml:space="preserve"> Podium Parking</t>
  </si>
  <si>
    <t>1st Floor For Residential &amp; Podium Parking</t>
  </si>
  <si>
    <t>2nd to 5th &amp; 7th Floor Residential &amp; Podium Parking</t>
  </si>
  <si>
    <t>6th Floor For Residential &amp; Podium Parking (Part Refuge Area)</t>
  </si>
  <si>
    <t>Mr. Abhishek Joshi 9920684949</t>
  </si>
  <si>
    <t>Date &amp; Time of Site Visit</t>
  </si>
  <si>
    <t>07/08/2025 at 01:12PM</t>
  </si>
  <si>
    <t>Mr. Lalit Thorat 8268917330</t>
  </si>
  <si>
    <t>Mr. Suraj Khare</t>
  </si>
  <si>
    <t xml:space="preserve">1. Wing I, K &amp; N  = Construction work is in process at the time of Visit. Internal Visit was not allowed.
   Wing J &amp; L  = Construction work is in process at the time of Visit. Internal Visit was not allowed (Slow speed).
   Wing M = Construction work is same as last visit dtd. 09/06/2025 but work is in process. (Slow speed).
2. We have considered rate by verifying it from market inquire.
3. Car parking is subjected to authentic documentation.
4. Type of construction used Mivan Construction.
5. High voltage wires passing between Building No. 1 (F Wing) &amp; Building No. 3 (G Wing). As shown in Layout Page No. 6
6. We have updated revised approved CC from MCGM site on 14/11/2024.
7. We have updated revised approved CC from MCGM site on 04/12/2024.
8. We have updated Wing N (on 07/05/2025).
6. On Site, we meet Mr. Chandan - 8879688457.
2. We considered  Saleable area as per our calculation.
3. We considered Carpet area as per Approved Plan.
4. We considered Gross carpet area = Net carpet + Enclose balcony + D.B Area + F.B Area.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</si>
</sst>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u/>
      <sz val="11"/>
      <color theme="10"/>
      <name val="Calibri"/>
      <family val="2"/>
    </font>
    <font>
      <sz val="12"/>
      <name val="Times New Roman"/>
      <family val="1"/>
    </font>
    <font>
      <u/>
      <sz val="16"/>
      <color theme="10"/>
      <name val="Calibri"/>
      <family val="2"/>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EF4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2" fillId="0" borderId="0" applyNumberFormat="0" applyFill="0" applyBorder="0" applyAlignment="0" applyProtection="0"/>
  </cellStyleXfs>
  <cellXfs count="170">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7" xfId="1" applyFont="1" applyBorder="1" applyProtection="1">
      <protection hidden="1"/>
    </xf>
    <xf numFmtId="0" fontId="3"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7" fillId="0" borderId="0" xfId="1" applyFont="1" applyAlignment="1">
      <alignment horizontal="center" vertical="center"/>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5" fillId="0" borderId="1" xfId="1" applyNumberFormat="1" applyFont="1" applyBorder="1" applyAlignment="1">
      <alignment horizontal="center" vertical="top" wrapText="1"/>
    </xf>
    <xf numFmtId="0" fontId="13" fillId="0" borderId="1" xfId="0" applyFont="1" applyBorder="1" applyAlignment="1">
      <alignment horizontal="center" vertical="top" wrapText="1"/>
    </xf>
    <xf numFmtId="0" fontId="4" fillId="0" borderId="0" xfId="0" applyFont="1" applyAlignment="1">
      <alignment vertical="top"/>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10" fillId="0" borderId="17" xfId="0" applyFont="1" applyBorder="1" applyProtection="1">
      <protection hidden="1"/>
    </xf>
    <xf numFmtId="0" fontId="10" fillId="0" borderId="18" xfId="0" applyFont="1" applyBorder="1" applyProtection="1">
      <protection hidden="1"/>
    </xf>
    <xf numFmtId="0" fontId="3" fillId="5" borderId="1" xfId="0" applyFont="1" applyFill="1" applyBorder="1" applyAlignment="1">
      <alignment horizontal="center" vertical="top"/>
    </xf>
    <xf numFmtId="1" fontId="3" fillId="5" borderId="1" xfId="0" applyNumberFormat="1" applyFont="1" applyFill="1" applyBorder="1" applyAlignment="1">
      <alignment horizontal="center" vertical="top"/>
    </xf>
    <xf numFmtId="14"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4" fontId="3" fillId="0" borderId="0" xfId="0" applyNumberFormat="1" applyFont="1" applyAlignment="1">
      <alignment vertical="top"/>
    </xf>
    <xf numFmtId="0" fontId="3" fillId="0" borderId="0" xfId="0" applyFont="1" applyAlignment="1">
      <alignment horizontal="center"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1" xfId="0" applyFont="1" applyBorder="1" applyAlignment="1">
      <alignment horizontal="left" vertical="top"/>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1" fontId="4" fillId="4" borderId="1" xfId="0" applyNumberFormat="1" applyFont="1" applyFill="1" applyBorder="1" applyAlignment="1">
      <alignment horizontal="left"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1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14" xfId="0" applyFont="1" applyFill="1" applyBorder="1" applyAlignment="1">
      <alignment horizontal="center" vertical="top" wrapText="1"/>
    </xf>
    <xf numFmtId="0" fontId="4" fillId="4" borderId="9" xfId="0"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4" borderId="3" xfId="0" applyFont="1" applyFill="1" applyBorder="1" applyAlignment="1">
      <alignment horizontal="left" vertical="top"/>
    </xf>
    <xf numFmtId="0" fontId="4" fillId="0" borderId="1"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14" fontId="4" fillId="4" borderId="2" xfId="0" applyNumberFormat="1" applyFont="1" applyFill="1" applyBorder="1" applyAlignment="1">
      <alignment horizontal="left" vertical="top" wrapText="1"/>
    </xf>
    <xf numFmtId="0" fontId="14" fillId="4" borderId="2" xfId="2" applyFont="1" applyFill="1" applyBorder="1" applyAlignment="1">
      <alignment horizontal="left" vertical="top" wrapText="1"/>
    </xf>
    <xf numFmtId="17" fontId="4" fillId="4" borderId="2" xfId="0" applyNumberFormat="1" applyFont="1" applyFill="1" applyBorder="1" applyAlignment="1">
      <alignment horizontal="left" vertical="top" wrapText="1"/>
    </xf>
    <xf numFmtId="0" fontId="4" fillId="4" borderId="1" xfId="0" applyFont="1" applyFill="1" applyBorder="1" applyAlignment="1">
      <alignment horizontal="left" vertical="top"/>
    </xf>
    <xf numFmtId="1" fontId="5"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3" fillId="5" borderId="2" xfId="0" applyFont="1" applyFill="1" applyBorder="1" applyAlignment="1">
      <alignment horizontal="center" vertical="top"/>
    </xf>
    <xf numFmtId="0" fontId="3" fillId="5" borderId="5" xfId="0" applyFont="1" applyFill="1" applyBorder="1" applyAlignment="1">
      <alignment horizontal="center" vertical="top"/>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9" fillId="4" borderId="1" xfId="0" applyFont="1" applyFill="1" applyBorder="1" applyAlignment="1">
      <alignment horizontal="left" vertical="top" wrapText="1"/>
    </xf>
    <xf numFmtId="0" fontId="9" fillId="4" borderId="2" xfId="0" applyFont="1" applyFill="1" applyBorder="1" applyAlignment="1">
      <alignment horizontal="left" vertical="top" wrapText="1"/>
    </xf>
    <xf numFmtId="0" fontId="9" fillId="4" borderId="5" xfId="0"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1" fontId="3" fillId="5" borderId="2" xfId="0" applyNumberFormat="1" applyFont="1" applyFill="1" applyBorder="1" applyAlignment="1">
      <alignment horizontal="center" vertical="top"/>
    </xf>
    <xf numFmtId="1" fontId="3" fillId="5" borderId="3" xfId="0" applyNumberFormat="1" applyFont="1" applyFill="1" applyBorder="1" applyAlignment="1">
      <alignment horizontal="center" vertical="top"/>
    </xf>
    <xf numFmtId="1" fontId="3" fillId="5" borderId="5" xfId="0" applyNumberFormat="1" applyFont="1" applyFill="1" applyBorder="1" applyAlignment="1">
      <alignment horizontal="center" vertical="top"/>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EF4E8"/>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2</xdr:col>
      <xdr:colOff>411827</xdr:colOff>
      <xdr:row>320</xdr:row>
      <xdr:rowOff>69272</xdr:rowOff>
    </xdr:from>
    <xdr:to>
      <xdr:col>7</xdr:col>
      <xdr:colOff>1201774</xdr:colOff>
      <xdr:row>338</xdr:row>
      <xdr:rowOff>73361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749782" y="91197545"/>
          <a:ext cx="6219197" cy="4680000"/>
        </a:xfrm>
        <a:prstGeom prst="rect">
          <a:avLst/>
        </a:prstGeom>
        <a:ln>
          <a:solidFill>
            <a:schemeClr val="tx1"/>
          </a:solidFill>
        </a:ln>
      </xdr:spPr>
    </xdr:pic>
    <xdr:clientData/>
  </xdr:twoCellAnchor>
  <xdr:twoCellAnchor>
    <xdr:from>
      <xdr:col>2</xdr:col>
      <xdr:colOff>840441</xdr:colOff>
      <xdr:row>339</xdr:row>
      <xdr:rowOff>22413</xdr:rowOff>
    </xdr:from>
    <xdr:to>
      <xdr:col>7</xdr:col>
      <xdr:colOff>914590</xdr:colOff>
      <xdr:row>352</xdr:row>
      <xdr:rowOff>249435</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3003176" y="111946766"/>
          <a:ext cx="5161620" cy="3577581"/>
          <a:chOff x="602959" y="21252510"/>
          <a:chExt cx="6307241" cy="4664388"/>
        </a:xfrm>
      </xdr:grpSpPr>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12917" y="21257812"/>
            <a:ext cx="6297283" cy="4659086"/>
          </a:xfrm>
          <a:prstGeom prst="rect">
            <a:avLst/>
          </a:prstGeom>
          <a:ln>
            <a:solidFill>
              <a:schemeClr val="tx1"/>
            </a:solidFill>
          </a:ln>
        </xdr:spPr>
      </xdr:pic>
      <xdr:sp macro="" textlink="">
        <xdr:nvSpPr>
          <xdr:cNvPr id="5" name="Rectangle 4">
            <a:extLst>
              <a:ext uri="{FF2B5EF4-FFF2-40B4-BE49-F238E27FC236}">
                <a16:creationId xmlns:a16="http://schemas.microsoft.com/office/drawing/2014/main" id="{00000000-0008-0000-0000-000005000000}"/>
              </a:ext>
            </a:extLst>
          </xdr:cNvPr>
          <xdr:cNvSpPr/>
        </xdr:nvSpPr>
        <xdr:spPr>
          <a:xfrm rot="2098091">
            <a:off x="2985728" y="22073753"/>
            <a:ext cx="857337" cy="3441361"/>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602959" y="21252511"/>
            <a:ext cx="2040262" cy="3886269"/>
          </a:xfrm>
          <a:prstGeom prst="line">
            <a:avLst/>
          </a:prstGeom>
          <a:ln w="381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flipV="1">
            <a:off x="602959" y="21252510"/>
            <a:ext cx="1697936" cy="3068106"/>
          </a:xfrm>
          <a:prstGeom prst="line">
            <a:avLst/>
          </a:prstGeom>
          <a:ln w="38100">
            <a:solidFill>
              <a:srgbClr val="FFC000"/>
            </a:solidFill>
          </a:ln>
        </xdr:spPr>
        <xdr:style>
          <a:lnRef idx="1">
            <a:schemeClr val="accent1"/>
          </a:lnRef>
          <a:fillRef idx="0">
            <a:schemeClr val="accent1"/>
          </a:fillRef>
          <a:effectRef idx="0">
            <a:schemeClr val="accent1"/>
          </a:effectRef>
          <a:fontRef idx="minor">
            <a:schemeClr val="tx1"/>
          </a:fontRef>
        </xdr:style>
      </xdr:cxnSp>
      <xdr:sp macro="" textlink="">
        <xdr:nvSpPr>
          <xdr:cNvPr id="8" name="TextBox 17">
            <a:extLst>
              <a:ext uri="{FF2B5EF4-FFF2-40B4-BE49-F238E27FC236}">
                <a16:creationId xmlns:a16="http://schemas.microsoft.com/office/drawing/2014/main" id="{00000000-0008-0000-0000-000008000000}"/>
              </a:ext>
            </a:extLst>
          </xdr:cNvPr>
          <xdr:cNvSpPr txBox="1"/>
        </xdr:nvSpPr>
        <xdr:spPr>
          <a:xfrm rot="18071849">
            <a:off x="579255" y="22600111"/>
            <a:ext cx="1995568" cy="45718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FF00"/>
                </a:solidFill>
              </a:rPr>
              <a:t>Railway Track</a:t>
            </a:r>
            <a:endParaRPr lang="en-IN">
              <a:solidFill>
                <a:srgbClr val="FFFF00"/>
              </a:solidFill>
            </a:endParaRPr>
          </a:p>
        </xdr:txBody>
      </xdr:sp>
    </xdr:grpSp>
    <xdr:clientData/>
  </xdr:twoCellAnchor>
  <xdr:twoCellAnchor>
    <xdr:from>
      <xdr:col>0</xdr:col>
      <xdr:colOff>1316182</xdr:colOff>
      <xdr:row>270</xdr:row>
      <xdr:rowOff>155864</xdr:rowOff>
    </xdr:from>
    <xdr:to>
      <xdr:col>8</xdr:col>
      <xdr:colOff>334241</xdr:colOff>
      <xdr:row>286</xdr:row>
      <xdr:rowOff>25083</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316182" y="94296482"/>
          <a:ext cx="7893118" cy="3992983"/>
          <a:chOff x="0" y="8787849"/>
          <a:chExt cx="6858000" cy="2841811"/>
        </a:xfrm>
      </xdr:grpSpPr>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0" y="8787849"/>
            <a:ext cx="6858000" cy="2841811"/>
          </a:xfrm>
          <a:prstGeom prst="rect">
            <a:avLst/>
          </a:prstGeom>
          <a:ln>
            <a:solidFill>
              <a:schemeClr val="tx1"/>
            </a:solidFill>
          </a:ln>
        </xdr:spPr>
      </xdr:pic>
      <xdr:sp macro="" textlink="">
        <xdr:nvSpPr>
          <xdr:cNvPr id="24" name="Rectangle 23">
            <a:extLst>
              <a:ext uri="{FF2B5EF4-FFF2-40B4-BE49-F238E27FC236}">
                <a16:creationId xmlns:a16="http://schemas.microsoft.com/office/drawing/2014/main" id="{00000000-0008-0000-0000-000018000000}"/>
              </a:ext>
            </a:extLst>
          </xdr:cNvPr>
          <xdr:cNvSpPr/>
        </xdr:nvSpPr>
        <xdr:spPr>
          <a:xfrm>
            <a:off x="2333151" y="10098704"/>
            <a:ext cx="781050" cy="47148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5" name="Rectangle 24">
            <a:extLst>
              <a:ext uri="{FF2B5EF4-FFF2-40B4-BE49-F238E27FC236}">
                <a16:creationId xmlns:a16="http://schemas.microsoft.com/office/drawing/2014/main" id="{00000000-0008-0000-0000-000019000000}"/>
              </a:ext>
            </a:extLst>
          </xdr:cNvPr>
          <xdr:cNvSpPr/>
        </xdr:nvSpPr>
        <xdr:spPr>
          <a:xfrm>
            <a:off x="1410656" y="10098704"/>
            <a:ext cx="781050" cy="47148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6" name="Rectangle 25">
            <a:extLst>
              <a:ext uri="{FF2B5EF4-FFF2-40B4-BE49-F238E27FC236}">
                <a16:creationId xmlns:a16="http://schemas.microsoft.com/office/drawing/2014/main" id="{00000000-0008-0000-0000-00001A000000}"/>
              </a:ext>
            </a:extLst>
          </xdr:cNvPr>
          <xdr:cNvSpPr/>
        </xdr:nvSpPr>
        <xdr:spPr>
          <a:xfrm>
            <a:off x="3233025" y="10098703"/>
            <a:ext cx="781050" cy="47148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7" name="Rectangle 26">
            <a:extLst>
              <a:ext uri="{FF2B5EF4-FFF2-40B4-BE49-F238E27FC236}">
                <a16:creationId xmlns:a16="http://schemas.microsoft.com/office/drawing/2014/main" id="{00000000-0008-0000-0000-00001B000000}"/>
              </a:ext>
            </a:extLst>
          </xdr:cNvPr>
          <xdr:cNvSpPr/>
        </xdr:nvSpPr>
        <xdr:spPr>
          <a:xfrm>
            <a:off x="4132899" y="10098703"/>
            <a:ext cx="781050" cy="47148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8" name="Rectangle 27">
            <a:extLst>
              <a:ext uri="{FF2B5EF4-FFF2-40B4-BE49-F238E27FC236}">
                <a16:creationId xmlns:a16="http://schemas.microsoft.com/office/drawing/2014/main" id="{00000000-0008-0000-0000-00001C000000}"/>
              </a:ext>
            </a:extLst>
          </xdr:cNvPr>
          <xdr:cNvSpPr/>
        </xdr:nvSpPr>
        <xdr:spPr>
          <a:xfrm>
            <a:off x="5010151" y="10101083"/>
            <a:ext cx="781050" cy="47148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9" name="TextBox 15">
            <a:extLst>
              <a:ext uri="{FF2B5EF4-FFF2-40B4-BE49-F238E27FC236}">
                <a16:creationId xmlns:a16="http://schemas.microsoft.com/office/drawing/2014/main" id="{00000000-0008-0000-0000-00001D000000}"/>
              </a:ext>
            </a:extLst>
          </xdr:cNvPr>
          <xdr:cNvSpPr txBox="1"/>
        </xdr:nvSpPr>
        <xdr:spPr>
          <a:xfrm>
            <a:off x="4895021" y="9775001"/>
            <a:ext cx="971898" cy="3427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rgbClr val="FFFF00"/>
                </a:solidFill>
              </a:rPr>
              <a:t>Wing I</a:t>
            </a:r>
            <a:endParaRPr lang="en-IN" sz="1600" b="1">
              <a:solidFill>
                <a:srgbClr val="FFFF00"/>
              </a:solidFill>
            </a:endParaRPr>
          </a:p>
        </xdr:txBody>
      </xdr:sp>
      <xdr:sp macro="" textlink="">
        <xdr:nvSpPr>
          <xdr:cNvPr id="30" name="TextBox 16">
            <a:extLst>
              <a:ext uri="{FF2B5EF4-FFF2-40B4-BE49-F238E27FC236}">
                <a16:creationId xmlns:a16="http://schemas.microsoft.com/office/drawing/2014/main" id="{00000000-0008-0000-0000-00001E000000}"/>
              </a:ext>
            </a:extLst>
          </xdr:cNvPr>
          <xdr:cNvSpPr txBox="1"/>
        </xdr:nvSpPr>
        <xdr:spPr>
          <a:xfrm>
            <a:off x="4025348" y="9766718"/>
            <a:ext cx="994155" cy="3427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rgbClr val="FFFF00"/>
                </a:solidFill>
              </a:rPr>
              <a:t>Wing J</a:t>
            </a:r>
            <a:endParaRPr lang="en-IN" sz="1600" b="1">
              <a:solidFill>
                <a:srgbClr val="FFFF00"/>
              </a:solidFill>
            </a:endParaRPr>
          </a:p>
        </xdr:txBody>
      </xdr:sp>
      <xdr:sp macro="" textlink="">
        <xdr:nvSpPr>
          <xdr:cNvPr id="31" name="TextBox 17">
            <a:extLst>
              <a:ext uri="{FF2B5EF4-FFF2-40B4-BE49-F238E27FC236}">
                <a16:creationId xmlns:a16="http://schemas.microsoft.com/office/drawing/2014/main" id="{00000000-0008-0000-0000-00001F000000}"/>
              </a:ext>
            </a:extLst>
          </xdr:cNvPr>
          <xdr:cNvSpPr txBox="1"/>
        </xdr:nvSpPr>
        <xdr:spPr>
          <a:xfrm>
            <a:off x="3205370" y="9766718"/>
            <a:ext cx="888357" cy="3427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rgbClr val="FFFF00"/>
                </a:solidFill>
              </a:rPr>
              <a:t>Wing K</a:t>
            </a:r>
            <a:endParaRPr lang="en-IN" sz="1600" b="1">
              <a:solidFill>
                <a:srgbClr val="FFFF00"/>
              </a:solidFill>
            </a:endParaRPr>
          </a:p>
        </xdr:txBody>
      </xdr:sp>
      <xdr:sp macro="" textlink="">
        <xdr:nvSpPr>
          <xdr:cNvPr id="32" name="TextBox 18">
            <a:extLst>
              <a:ext uri="{FF2B5EF4-FFF2-40B4-BE49-F238E27FC236}">
                <a16:creationId xmlns:a16="http://schemas.microsoft.com/office/drawing/2014/main" id="{00000000-0008-0000-0000-000020000000}"/>
              </a:ext>
            </a:extLst>
          </xdr:cNvPr>
          <xdr:cNvSpPr txBox="1"/>
        </xdr:nvSpPr>
        <xdr:spPr>
          <a:xfrm>
            <a:off x="2211457" y="9758435"/>
            <a:ext cx="1005461" cy="3427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rgbClr val="FFFF00"/>
                </a:solidFill>
              </a:rPr>
              <a:t>Wing L</a:t>
            </a:r>
            <a:endParaRPr lang="en-IN" sz="1600" b="1">
              <a:solidFill>
                <a:srgbClr val="FFFF00"/>
              </a:solidFill>
            </a:endParaRPr>
          </a:p>
        </xdr:txBody>
      </xdr:sp>
      <xdr:sp macro="" textlink="">
        <xdr:nvSpPr>
          <xdr:cNvPr id="33" name="TextBox 19">
            <a:extLst>
              <a:ext uri="{FF2B5EF4-FFF2-40B4-BE49-F238E27FC236}">
                <a16:creationId xmlns:a16="http://schemas.microsoft.com/office/drawing/2014/main" id="{00000000-0008-0000-0000-000021000000}"/>
              </a:ext>
            </a:extLst>
          </xdr:cNvPr>
          <xdr:cNvSpPr txBox="1"/>
        </xdr:nvSpPr>
        <xdr:spPr>
          <a:xfrm>
            <a:off x="1402374" y="10556022"/>
            <a:ext cx="894522" cy="23448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rgbClr val="FF0000"/>
                </a:solidFill>
              </a:rPr>
              <a:t>Wing M</a:t>
            </a:r>
            <a:endParaRPr lang="en-IN" sz="1600" b="1">
              <a:solidFill>
                <a:srgbClr val="FF0000"/>
              </a:solidFill>
            </a:endParaRPr>
          </a:p>
        </xdr:txBody>
      </xdr:sp>
    </xdr:grpSp>
    <xdr:clientData/>
  </xdr:twoCellAnchor>
  <xdr:twoCellAnchor editAs="oneCell">
    <xdr:from>
      <xdr:col>0</xdr:col>
      <xdr:colOff>1842633</xdr:colOff>
      <xdr:row>286</xdr:row>
      <xdr:rowOff>123670</xdr:rowOff>
    </xdr:from>
    <xdr:to>
      <xdr:col>7</xdr:col>
      <xdr:colOff>1395183</xdr:colOff>
      <xdr:row>306</xdr:row>
      <xdr:rowOff>220067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1842633" y="80341488"/>
          <a:ext cx="7319755" cy="5291853"/>
        </a:xfrm>
        <a:prstGeom prst="rect">
          <a:avLst/>
        </a:prstGeom>
        <a:ln>
          <a:solidFill>
            <a:sysClr val="windowText" lastClr="000000"/>
          </a:solidFill>
        </a:ln>
      </xdr:spPr>
    </xdr:pic>
    <xdr:clientData/>
  </xdr:twoCellAnchor>
  <xdr:twoCellAnchor>
    <xdr:from>
      <xdr:col>2</xdr:col>
      <xdr:colOff>250622</xdr:colOff>
      <xdr:row>297</xdr:row>
      <xdr:rowOff>116160</xdr:rowOff>
    </xdr:from>
    <xdr:to>
      <xdr:col>2</xdr:col>
      <xdr:colOff>954644</xdr:colOff>
      <xdr:row>297</xdr:row>
      <xdr:rowOff>182421</xdr:rowOff>
    </xdr:to>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2588577" y="83191478"/>
          <a:ext cx="704022" cy="6626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954644</xdr:colOff>
      <xdr:row>294</xdr:row>
      <xdr:rowOff>249436</xdr:rowOff>
    </xdr:from>
    <xdr:to>
      <xdr:col>4</xdr:col>
      <xdr:colOff>904196</xdr:colOff>
      <xdr:row>297</xdr:row>
      <xdr:rowOff>190705</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a:xfrm flipV="1">
          <a:off x="3292599" y="82545436"/>
          <a:ext cx="1300370" cy="72058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234057</xdr:colOff>
      <xdr:row>298</xdr:row>
      <xdr:rowOff>137996</xdr:rowOff>
    </xdr:from>
    <xdr:to>
      <xdr:col>2</xdr:col>
      <xdr:colOff>971209</xdr:colOff>
      <xdr:row>298</xdr:row>
      <xdr:rowOff>220822</xdr:rowOff>
    </xdr:to>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a:off x="2572012" y="83473087"/>
          <a:ext cx="737152" cy="8282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979492</xdr:colOff>
      <xdr:row>295</xdr:row>
      <xdr:rowOff>196728</xdr:rowOff>
    </xdr:from>
    <xdr:to>
      <xdr:col>4</xdr:col>
      <xdr:colOff>1078131</xdr:colOff>
      <xdr:row>298</xdr:row>
      <xdr:rowOff>220823</xdr:rowOff>
    </xdr:to>
    <xdr:cxnSp macro="">
      <xdr:nvCxnSpPr>
        <xdr:cNvPr id="14" name="Straight Connector 13">
          <a:extLst>
            <a:ext uri="{FF2B5EF4-FFF2-40B4-BE49-F238E27FC236}">
              <a16:creationId xmlns:a16="http://schemas.microsoft.com/office/drawing/2014/main" id="{00000000-0008-0000-0000-00000E000000}"/>
            </a:ext>
          </a:extLst>
        </xdr:cNvPr>
        <xdr:cNvCxnSpPr/>
      </xdr:nvCxnSpPr>
      <xdr:spPr>
        <a:xfrm flipV="1">
          <a:off x="3317447" y="82752501"/>
          <a:ext cx="1449457" cy="80341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250622</xdr:colOff>
      <xdr:row>298</xdr:row>
      <xdr:rowOff>13757</xdr:rowOff>
    </xdr:from>
    <xdr:to>
      <xdr:col>2</xdr:col>
      <xdr:colOff>962927</xdr:colOff>
      <xdr:row>298</xdr:row>
      <xdr:rowOff>71735</xdr:rowOff>
    </xdr:to>
    <xdr:cxnSp macro="">
      <xdr:nvCxnSpPr>
        <xdr:cNvPr id="15" name="Straight Connector 14">
          <a:extLst>
            <a:ext uri="{FF2B5EF4-FFF2-40B4-BE49-F238E27FC236}">
              <a16:creationId xmlns:a16="http://schemas.microsoft.com/office/drawing/2014/main" id="{00000000-0008-0000-0000-00000F000000}"/>
            </a:ext>
          </a:extLst>
        </xdr:cNvPr>
        <xdr:cNvCxnSpPr/>
      </xdr:nvCxnSpPr>
      <xdr:spPr>
        <a:xfrm>
          <a:off x="2588577" y="83348848"/>
          <a:ext cx="712305" cy="5797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938079</xdr:colOff>
      <xdr:row>295</xdr:row>
      <xdr:rowOff>80770</xdr:rowOff>
    </xdr:from>
    <xdr:to>
      <xdr:col>4</xdr:col>
      <xdr:colOff>970457</xdr:colOff>
      <xdr:row>298</xdr:row>
      <xdr:rowOff>63452</xdr:rowOff>
    </xdr:to>
    <xdr:cxnSp macro="">
      <xdr:nvCxnSpPr>
        <xdr:cNvPr id="16" name="Straight Connector 15">
          <a:extLst>
            <a:ext uri="{FF2B5EF4-FFF2-40B4-BE49-F238E27FC236}">
              <a16:creationId xmlns:a16="http://schemas.microsoft.com/office/drawing/2014/main" id="{00000000-0008-0000-0000-000010000000}"/>
            </a:ext>
          </a:extLst>
        </xdr:cNvPr>
        <xdr:cNvCxnSpPr/>
      </xdr:nvCxnSpPr>
      <xdr:spPr>
        <a:xfrm flipV="1">
          <a:off x="3276034" y="82636543"/>
          <a:ext cx="1383196" cy="7620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366579</xdr:colOff>
      <xdr:row>299</xdr:row>
      <xdr:rowOff>176396</xdr:rowOff>
    </xdr:from>
    <xdr:to>
      <xdr:col>4</xdr:col>
      <xdr:colOff>295835</xdr:colOff>
      <xdr:row>300</xdr:row>
      <xdr:rowOff>172015</xdr:rowOff>
    </xdr:to>
    <xdr:sp macro="" textlink="">
      <xdr:nvSpPr>
        <xdr:cNvPr id="17" name="TextBox 54">
          <a:extLst>
            <a:ext uri="{FF2B5EF4-FFF2-40B4-BE49-F238E27FC236}">
              <a16:creationId xmlns:a16="http://schemas.microsoft.com/office/drawing/2014/main" id="{00000000-0008-0000-0000-000011000000}"/>
            </a:ext>
          </a:extLst>
        </xdr:cNvPr>
        <xdr:cNvSpPr txBox="1"/>
      </xdr:nvSpPr>
      <xdr:spPr>
        <a:xfrm>
          <a:off x="2589826" y="102956749"/>
          <a:ext cx="1220174"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b="1">
              <a:solidFill>
                <a:srgbClr val="FF0000"/>
              </a:solidFill>
            </a:rPr>
            <a:t>High Voltage Line</a:t>
          </a:r>
        </a:p>
      </xdr:txBody>
    </xdr:sp>
    <xdr:clientData/>
  </xdr:twoCellAnchor>
  <xdr:twoCellAnchor>
    <xdr:from>
      <xdr:col>2</xdr:col>
      <xdr:colOff>1012623</xdr:colOff>
      <xdr:row>298</xdr:row>
      <xdr:rowOff>187691</xdr:rowOff>
    </xdr:from>
    <xdr:to>
      <xdr:col>2</xdr:col>
      <xdr:colOff>1070602</xdr:colOff>
      <xdr:row>299</xdr:row>
      <xdr:rowOff>201244</xdr:rowOff>
    </xdr:to>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flipV="1">
          <a:off x="3350578" y="83522782"/>
          <a:ext cx="57979" cy="27332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708212</xdr:colOff>
      <xdr:row>299</xdr:row>
      <xdr:rowOff>116541</xdr:rowOff>
    </xdr:from>
    <xdr:to>
      <xdr:col>7</xdr:col>
      <xdr:colOff>1322934</xdr:colOff>
      <xdr:row>301</xdr:row>
      <xdr:rowOff>71916</xdr:rowOff>
    </xdr:to>
    <xdr:sp macro="" textlink="">
      <xdr:nvSpPr>
        <xdr:cNvPr id="19" name="Rectangle 18">
          <a:extLst>
            <a:ext uri="{FF2B5EF4-FFF2-40B4-BE49-F238E27FC236}">
              <a16:creationId xmlns:a16="http://schemas.microsoft.com/office/drawing/2014/main" id="{00000000-0008-0000-0000-000013000000}"/>
            </a:ext>
          </a:extLst>
        </xdr:cNvPr>
        <xdr:cNvSpPr/>
      </xdr:nvSpPr>
      <xdr:spPr>
        <a:xfrm>
          <a:off x="6078071" y="102896894"/>
          <a:ext cx="2667639" cy="49325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5</xdr:col>
      <xdr:colOff>1257696</xdr:colOff>
      <xdr:row>302</xdr:row>
      <xdr:rowOff>73373</xdr:rowOff>
    </xdr:from>
    <xdr:to>
      <xdr:col>7</xdr:col>
      <xdr:colOff>211667</xdr:colOff>
      <xdr:row>303</xdr:row>
      <xdr:rowOff>250386</xdr:rowOff>
    </xdr:to>
    <xdr:sp macro="" textlink="">
      <xdr:nvSpPr>
        <xdr:cNvPr id="20" name="TextBox 58">
          <a:extLst>
            <a:ext uri="{FF2B5EF4-FFF2-40B4-BE49-F238E27FC236}">
              <a16:creationId xmlns:a16="http://schemas.microsoft.com/office/drawing/2014/main" id="{00000000-0008-0000-0000-000014000000}"/>
            </a:ext>
          </a:extLst>
        </xdr:cNvPr>
        <xdr:cNvSpPr txBox="1"/>
      </xdr:nvSpPr>
      <xdr:spPr>
        <a:xfrm>
          <a:off x="6886105" y="84447555"/>
          <a:ext cx="997517"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1100" b="1">
              <a:solidFill>
                <a:srgbClr val="FF0000"/>
              </a:solidFill>
            </a:rPr>
            <a:t>Building No</a:t>
          </a:r>
          <a:r>
            <a:rPr lang="en-IN" sz="1100" b="1" baseline="0">
              <a:solidFill>
                <a:srgbClr val="FF0000"/>
              </a:solidFill>
            </a:rPr>
            <a:t> 2 </a:t>
          </a:r>
        </a:p>
        <a:p>
          <a:pPr algn="ctr"/>
          <a:r>
            <a:rPr lang="en-IN" sz="1100" b="1" baseline="0">
              <a:solidFill>
                <a:srgbClr val="FF0000"/>
              </a:solidFill>
            </a:rPr>
            <a:t>Wing I to M</a:t>
          </a:r>
          <a:endParaRPr lang="en-IN" sz="1100" b="1">
            <a:solidFill>
              <a:srgbClr val="FF0000"/>
            </a:solidFill>
          </a:endParaRPr>
        </a:p>
      </xdr:txBody>
    </xdr:sp>
    <xdr:clientData/>
  </xdr:twoCellAnchor>
  <xdr:twoCellAnchor>
    <xdr:from>
      <xdr:col>4</xdr:col>
      <xdr:colOff>25805</xdr:colOff>
      <xdr:row>272</xdr:row>
      <xdr:rowOff>217038</xdr:rowOff>
    </xdr:from>
    <xdr:to>
      <xdr:col>4</xdr:col>
      <xdr:colOff>907188</xdr:colOff>
      <xdr:row>274</xdr:row>
      <xdr:rowOff>57657</xdr:rowOff>
    </xdr:to>
    <xdr:sp macro="" textlink="">
      <xdr:nvSpPr>
        <xdr:cNvPr id="22" name="Rectangle 21">
          <a:extLst>
            <a:ext uri="{FF2B5EF4-FFF2-40B4-BE49-F238E27FC236}">
              <a16:creationId xmlns:a16="http://schemas.microsoft.com/office/drawing/2014/main" id="{00000000-0008-0000-0000-000016000000}"/>
            </a:ext>
          </a:extLst>
        </xdr:cNvPr>
        <xdr:cNvSpPr/>
      </xdr:nvSpPr>
      <xdr:spPr>
        <a:xfrm>
          <a:off x="3539970" y="95735979"/>
          <a:ext cx="881383" cy="37850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N Wing </a:t>
          </a:r>
        </a:p>
      </xdr:txBody>
    </xdr:sp>
    <xdr:clientData/>
  </xdr:twoCellAnchor>
  <xdr:twoCellAnchor>
    <xdr:from>
      <xdr:col>2</xdr:col>
      <xdr:colOff>502227</xdr:colOff>
      <xdr:row>274</xdr:row>
      <xdr:rowOff>103910</xdr:rowOff>
    </xdr:from>
    <xdr:to>
      <xdr:col>4</xdr:col>
      <xdr:colOff>69272</xdr:colOff>
      <xdr:row>276</xdr:row>
      <xdr:rowOff>69273</xdr:rowOff>
    </xdr:to>
    <xdr:sp macro="" textlink="">
      <xdr:nvSpPr>
        <xdr:cNvPr id="34" name="Rectangle 33">
          <a:extLst>
            <a:ext uri="{FF2B5EF4-FFF2-40B4-BE49-F238E27FC236}">
              <a16:creationId xmlns:a16="http://schemas.microsoft.com/office/drawing/2014/main" id="{00000000-0008-0000-0000-000022000000}"/>
            </a:ext>
          </a:extLst>
        </xdr:cNvPr>
        <xdr:cNvSpPr/>
      </xdr:nvSpPr>
      <xdr:spPr>
        <a:xfrm>
          <a:off x="2840182" y="77204455"/>
          <a:ext cx="917863" cy="484909"/>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10</xdr:col>
      <xdr:colOff>191172</xdr:colOff>
      <xdr:row>225</xdr:row>
      <xdr:rowOff>133741</xdr:rowOff>
    </xdr:from>
    <xdr:to>
      <xdr:col>11</xdr:col>
      <xdr:colOff>552450</xdr:colOff>
      <xdr:row>226</xdr:row>
      <xdr:rowOff>244537</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12328743" y="63951241"/>
          <a:ext cx="973600"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N</a:t>
          </a:r>
        </a:p>
      </xdr:txBody>
    </xdr:sp>
    <xdr:clientData/>
  </xdr:twoCellAnchor>
  <xdr:twoCellAnchor>
    <xdr:from>
      <xdr:col>9</xdr:col>
      <xdr:colOff>658612</xdr:colOff>
      <xdr:row>229</xdr:row>
      <xdr:rowOff>139185</xdr:rowOff>
    </xdr:from>
    <xdr:to>
      <xdr:col>10</xdr:col>
      <xdr:colOff>176894</xdr:colOff>
      <xdr:row>230</xdr:row>
      <xdr:rowOff>254790</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a:off x="11054469" y="64419328"/>
          <a:ext cx="1259996"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K</a:t>
          </a:r>
        </a:p>
      </xdr:txBody>
    </xdr:sp>
    <xdr:clientData/>
  </xdr:twoCellAnchor>
  <xdr:twoCellAnchor>
    <xdr:from>
      <xdr:col>12</xdr:col>
      <xdr:colOff>174433</xdr:colOff>
      <xdr:row>225</xdr:row>
      <xdr:rowOff>242597</xdr:rowOff>
    </xdr:from>
    <xdr:to>
      <xdr:col>13</xdr:col>
      <xdr:colOff>585404</xdr:colOff>
      <xdr:row>227</xdr:row>
      <xdr:rowOff>99667</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13631897" y="81858240"/>
          <a:ext cx="1023293"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I</a:t>
          </a:r>
        </a:p>
      </xdr:txBody>
    </xdr:sp>
    <xdr:clientData/>
  </xdr:twoCellAnchor>
  <xdr:twoCellAnchor editAs="oneCell">
    <xdr:from>
      <xdr:col>9</xdr:col>
      <xdr:colOff>554182</xdr:colOff>
      <xdr:row>56</xdr:row>
      <xdr:rowOff>3359727</xdr:rowOff>
    </xdr:from>
    <xdr:to>
      <xdr:col>18</xdr:col>
      <xdr:colOff>357647</xdr:colOff>
      <xdr:row>59</xdr:row>
      <xdr:rowOff>123320</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
        <a:stretch>
          <a:fillRect/>
        </a:stretch>
      </xdr:blipFill>
      <xdr:spPr>
        <a:xfrm>
          <a:off x="11066318" y="36939682"/>
          <a:ext cx="6401693" cy="2219635"/>
        </a:xfrm>
        <a:prstGeom prst="rect">
          <a:avLst/>
        </a:prstGeom>
      </xdr:spPr>
    </xdr:pic>
    <xdr:clientData/>
  </xdr:twoCellAnchor>
  <xdr:twoCellAnchor>
    <xdr:from>
      <xdr:col>5</xdr:col>
      <xdr:colOff>582706</xdr:colOff>
      <xdr:row>298</xdr:row>
      <xdr:rowOff>44823</xdr:rowOff>
    </xdr:from>
    <xdr:to>
      <xdr:col>5</xdr:col>
      <xdr:colOff>1039906</xdr:colOff>
      <xdr:row>299</xdr:row>
      <xdr:rowOff>116541</xdr:rowOff>
    </xdr:to>
    <xdr:sp macro="" textlink="">
      <xdr:nvSpPr>
        <xdr:cNvPr id="37" name="Rectangle 36">
          <a:extLst>
            <a:ext uri="{FF2B5EF4-FFF2-40B4-BE49-F238E27FC236}">
              <a16:creationId xmlns:a16="http://schemas.microsoft.com/office/drawing/2014/main" id="{00000000-0008-0000-0000-000025000000}"/>
            </a:ext>
          </a:extLst>
        </xdr:cNvPr>
        <xdr:cNvSpPr/>
      </xdr:nvSpPr>
      <xdr:spPr>
        <a:xfrm>
          <a:off x="5952565" y="102556235"/>
          <a:ext cx="457200" cy="340659"/>
        </a:xfrm>
        <a:prstGeom prst="rect">
          <a:avLst/>
        </a:pr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5</xdr:col>
      <xdr:colOff>959223</xdr:colOff>
      <xdr:row>297</xdr:row>
      <xdr:rowOff>98611</xdr:rowOff>
    </xdr:from>
    <xdr:ext cx="614527" cy="264560"/>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6329082" y="102341082"/>
          <a:ext cx="6145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Wing</a:t>
          </a:r>
          <a:r>
            <a:rPr lang="en-IN" sz="1100" b="1" baseline="0">
              <a:solidFill>
                <a:srgbClr val="FF0000"/>
              </a:solidFill>
            </a:rPr>
            <a:t> N</a:t>
          </a:r>
          <a:endParaRPr lang="en-IN" sz="1100" b="1">
            <a:solidFill>
              <a:srgbClr val="FF0000"/>
            </a:solidFill>
          </a:endParaRPr>
        </a:p>
      </xdr:txBody>
    </xdr:sp>
    <xdr:clientData/>
  </xdr:oneCellAnchor>
  <xdr:twoCellAnchor>
    <xdr:from>
      <xdr:col>12</xdr:col>
      <xdr:colOff>0</xdr:colOff>
      <xdr:row>228</xdr:row>
      <xdr:rowOff>0</xdr:rowOff>
    </xdr:from>
    <xdr:to>
      <xdr:col>13</xdr:col>
      <xdr:colOff>410971</xdr:colOff>
      <xdr:row>229</xdr:row>
      <xdr:rowOff>115605</xdr:rowOff>
    </xdr:to>
    <xdr:sp macro="" textlink="">
      <xdr:nvSpPr>
        <xdr:cNvPr id="75" name="Rectangle 74">
          <a:extLst>
            <a:ext uri="{FF2B5EF4-FFF2-40B4-BE49-F238E27FC236}">
              <a16:creationId xmlns:a16="http://schemas.microsoft.com/office/drawing/2014/main" id="{00000000-0008-0000-0000-00004B000000}"/>
            </a:ext>
          </a:extLst>
        </xdr:cNvPr>
        <xdr:cNvSpPr/>
      </xdr:nvSpPr>
      <xdr:spPr>
        <a:xfrm>
          <a:off x="13457464" y="82391250"/>
          <a:ext cx="1023293"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J</a:t>
          </a:r>
        </a:p>
      </xdr:txBody>
    </xdr:sp>
    <xdr:clientData/>
  </xdr:twoCellAnchor>
  <xdr:twoCellAnchor>
    <xdr:from>
      <xdr:col>11</xdr:col>
      <xdr:colOff>0</xdr:colOff>
      <xdr:row>229</xdr:row>
      <xdr:rowOff>0</xdr:rowOff>
    </xdr:from>
    <xdr:to>
      <xdr:col>12</xdr:col>
      <xdr:colOff>598715</xdr:colOff>
      <xdr:row>230</xdr:row>
      <xdr:rowOff>115606</xdr:rowOff>
    </xdr:to>
    <xdr:sp macro="" textlink="">
      <xdr:nvSpPr>
        <xdr:cNvPr id="76" name="Rectangle 75">
          <a:extLst>
            <a:ext uri="{FF2B5EF4-FFF2-40B4-BE49-F238E27FC236}">
              <a16:creationId xmlns:a16="http://schemas.microsoft.com/office/drawing/2014/main" id="{00000000-0008-0000-0000-00004C000000}"/>
            </a:ext>
          </a:extLst>
        </xdr:cNvPr>
        <xdr:cNvSpPr/>
      </xdr:nvSpPr>
      <xdr:spPr>
        <a:xfrm>
          <a:off x="12845143" y="82649786"/>
          <a:ext cx="1211036"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M</a:t>
          </a:r>
        </a:p>
      </xdr:txBody>
    </xdr:sp>
    <xdr:clientData/>
  </xdr:twoCellAnchor>
  <xdr:twoCellAnchor>
    <xdr:from>
      <xdr:col>13</xdr:col>
      <xdr:colOff>125185</xdr:colOff>
      <xdr:row>231</xdr:row>
      <xdr:rowOff>16329</xdr:rowOff>
    </xdr:from>
    <xdr:to>
      <xdr:col>14</xdr:col>
      <xdr:colOff>486464</xdr:colOff>
      <xdr:row>232</xdr:row>
      <xdr:rowOff>131934</xdr:rowOff>
    </xdr:to>
    <xdr:sp macro="" textlink="">
      <xdr:nvSpPr>
        <xdr:cNvPr id="77" name="Rectangle 76">
          <a:extLst>
            <a:ext uri="{FF2B5EF4-FFF2-40B4-BE49-F238E27FC236}">
              <a16:creationId xmlns:a16="http://schemas.microsoft.com/office/drawing/2014/main" id="{00000000-0008-0000-0000-00004D000000}"/>
            </a:ext>
          </a:extLst>
        </xdr:cNvPr>
        <xdr:cNvSpPr/>
      </xdr:nvSpPr>
      <xdr:spPr>
        <a:xfrm>
          <a:off x="14194971" y="83183186"/>
          <a:ext cx="973600"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L</a:t>
          </a:r>
        </a:p>
      </xdr:txBody>
    </xdr:sp>
    <xdr:clientData/>
  </xdr:twoCellAnchor>
  <xdr:twoCellAnchor>
    <xdr:from>
      <xdr:col>9</xdr:col>
      <xdr:colOff>563362</xdr:colOff>
      <xdr:row>172</xdr:row>
      <xdr:rowOff>57542</xdr:rowOff>
    </xdr:from>
    <xdr:to>
      <xdr:col>9</xdr:col>
      <xdr:colOff>1586655</xdr:colOff>
      <xdr:row>172</xdr:row>
      <xdr:rowOff>431683</xdr:rowOff>
    </xdr:to>
    <xdr:sp macro="" textlink="">
      <xdr:nvSpPr>
        <xdr:cNvPr id="81" name="Rectangle 80">
          <a:extLst>
            <a:ext uri="{FF2B5EF4-FFF2-40B4-BE49-F238E27FC236}">
              <a16:creationId xmlns:a16="http://schemas.microsoft.com/office/drawing/2014/main" id="{00000000-0008-0000-0000-000051000000}"/>
            </a:ext>
          </a:extLst>
        </xdr:cNvPr>
        <xdr:cNvSpPr/>
      </xdr:nvSpPr>
      <xdr:spPr>
        <a:xfrm>
          <a:off x="11054469" y="64419328"/>
          <a:ext cx="1023293"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J</a:t>
          </a:r>
        </a:p>
      </xdr:txBody>
    </xdr:sp>
    <xdr:clientData/>
  </xdr:twoCellAnchor>
  <xdr:twoCellAnchor>
    <xdr:from>
      <xdr:col>9</xdr:col>
      <xdr:colOff>1061518</xdr:colOff>
      <xdr:row>221</xdr:row>
      <xdr:rowOff>225398</xdr:rowOff>
    </xdr:from>
    <xdr:to>
      <xdr:col>27</xdr:col>
      <xdr:colOff>271787</xdr:colOff>
      <xdr:row>269</xdr:row>
      <xdr:rowOff>219953</xdr:rowOff>
    </xdr:to>
    <xdr:grpSp>
      <xdr:nvGrpSpPr>
        <xdr:cNvPr id="35" name="Group 34">
          <a:extLst>
            <a:ext uri="{FF2B5EF4-FFF2-40B4-BE49-F238E27FC236}">
              <a16:creationId xmlns:a16="http://schemas.microsoft.com/office/drawing/2014/main" id="{00000000-0008-0000-0000-000023000000}"/>
            </a:ext>
          </a:extLst>
        </xdr:cNvPr>
        <xdr:cNvGrpSpPr/>
      </xdr:nvGrpSpPr>
      <xdr:grpSpPr>
        <a:xfrm>
          <a:off x="11561430" y="82510192"/>
          <a:ext cx="9351592" cy="11592643"/>
          <a:chOff x="593273" y="80401886"/>
          <a:chExt cx="9334783" cy="11628662"/>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593273" y="80401886"/>
            <a:ext cx="9334783" cy="11628662"/>
            <a:chOff x="593273" y="80456315"/>
            <a:chExt cx="9334783" cy="11628662"/>
          </a:xfrm>
        </xdr:grpSpPr>
        <xdr:pic>
          <xdr:nvPicPr>
            <xdr:cNvPr id="63" name="Picture 62" descr="https://vsjcllp.vsjadon.com/upload/insp-236509-1525.jpg">
              <a:extLst>
                <a:ext uri="{FF2B5EF4-FFF2-40B4-BE49-F238E27FC236}">
                  <a16:creationId xmlns:a16="http://schemas.microsoft.com/office/drawing/2014/main" id="{00000000-0008-0000-0000-00003F000000}"/>
                </a:ext>
              </a:extLst>
            </xdr:cNvPr>
            <xdr:cNvPicPr>
              <a:picLocks noChangeAspect="1" noChangeArrowheads="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bwMode="auto">
            <a:xfrm>
              <a:off x="6653894" y="88759390"/>
              <a:ext cx="2497055" cy="332014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4" name="Picture 63" descr="https://vsjcllp.vsjadon.com/upload/insp-236509-843.jpg">
              <a:extLst>
                <a:ext uri="{FF2B5EF4-FFF2-40B4-BE49-F238E27FC236}">
                  <a16:creationId xmlns:a16="http://schemas.microsoft.com/office/drawing/2014/main" id="{00000000-0008-0000-0000-000040000000}"/>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6887936" y="84611935"/>
              <a:ext cx="3037399" cy="40249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5" name="Picture 64" descr="https://vsjcllp.vsjadon.com/upload/insp-236509-845.jpg">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406979" y="88764832"/>
              <a:ext cx="2497055" cy="332014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7" name="Picture 66" descr="https://vsjcllp.vsjadon.com/upload/insp-236509-847.jpg">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95992" y="80456315"/>
              <a:ext cx="3037399" cy="4038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8" name="Picture 67" descr="https://vsjcllp.vsjadon.com/upload/insp-236509-851.jpg">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728357" y="84609215"/>
              <a:ext cx="3037399" cy="4038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9" name="Picture 68" descr="https://vsjcllp.vsjadon.com/upload/insp-236509-861.jpg">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731078" y="80475364"/>
              <a:ext cx="3037399" cy="4038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0" name="Picture 69" descr="https://vsjcllp.vsjadon.com/upload/insp-236509-862.jpg">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6890657" y="80464478"/>
              <a:ext cx="3037399" cy="4038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1" name="Picture 70" descr="https://vsjcllp.vsjadon.com/upload/insp-236509-871.jpg">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93273" y="84603770"/>
              <a:ext cx="3033306" cy="403315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3" name="Picture 72" descr="https://vsjcllp.vsjadon.com/upload/insp-236509-931.jpg">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4014108" y="88759390"/>
              <a:ext cx="2497055" cy="332014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78" name="Rectangle 77">
            <a:extLst>
              <a:ext uri="{FF2B5EF4-FFF2-40B4-BE49-F238E27FC236}">
                <a16:creationId xmlns:a16="http://schemas.microsoft.com/office/drawing/2014/main" id="{00000000-0008-0000-0000-00004E000000}"/>
              </a:ext>
            </a:extLst>
          </xdr:cNvPr>
          <xdr:cNvSpPr/>
        </xdr:nvSpPr>
        <xdr:spPr>
          <a:xfrm>
            <a:off x="2634345" y="80469922"/>
            <a:ext cx="1023293"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I</a:t>
            </a:r>
          </a:p>
        </xdr:txBody>
      </xdr:sp>
      <xdr:sp macro="" textlink="">
        <xdr:nvSpPr>
          <xdr:cNvPr id="80" name="Rectangle 79">
            <a:extLst>
              <a:ext uri="{FF2B5EF4-FFF2-40B4-BE49-F238E27FC236}">
                <a16:creationId xmlns:a16="http://schemas.microsoft.com/office/drawing/2014/main" id="{00000000-0008-0000-0000-000050000000}"/>
              </a:ext>
            </a:extLst>
          </xdr:cNvPr>
          <xdr:cNvSpPr/>
        </xdr:nvSpPr>
        <xdr:spPr>
          <a:xfrm>
            <a:off x="5644244" y="80472643"/>
            <a:ext cx="1023293"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J</a:t>
            </a:r>
          </a:p>
        </xdr:txBody>
      </xdr:sp>
      <xdr:sp macro="" textlink="">
        <xdr:nvSpPr>
          <xdr:cNvPr id="82" name="Rectangle 81">
            <a:extLst>
              <a:ext uri="{FF2B5EF4-FFF2-40B4-BE49-F238E27FC236}">
                <a16:creationId xmlns:a16="http://schemas.microsoft.com/office/drawing/2014/main" id="{00000000-0008-0000-0000-000052000000}"/>
              </a:ext>
            </a:extLst>
          </xdr:cNvPr>
          <xdr:cNvSpPr/>
        </xdr:nvSpPr>
        <xdr:spPr>
          <a:xfrm>
            <a:off x="7260773" y="80483529"/>
            <a:ext cx="1259996" cy="37414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K</a:t>
            </a:r>
          </a:p>
        </xdr:txBody>
      </xdr:sp>
      <xdr:sp macro="" textlink="">
        <xdr:nvSpPr>
          <xdr:cNvPr id="83" name="Rectangle 82">
            <a:extLst>
              <a:ext uri="{FF2B5EF4-FFF2-40B4-BE49-F238E27FC236}">
                <a16:creationId xmlns:a16="http://schemas.microsoft.com/office/drawing/2014/main" id="{00000000-0008-0000-0000-000053000000}"/>
              </a:ext>
            </a:extLst>
          </xdr:cNvPr>
          <xdr:cNvSpPr/>
        </xdr:nvSpPr>
        <xdr:spPr>
          <a:xfrm>
            <a:off x="715737" y="84620100"/>
            <a:ext cx="973600"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L</a:t>
            </a:r>
          </a:p>
        </xdr:txBody>
      </xdr:sp>
      <xdr:sp macro="" textlink="">
        <xdr:nvSpPr>
          <xdr:cNvPr id="85" name="Rectangle 84">
            <a:extLst>
              <a:ext uri="{FF2B5EF4-FFF2-40B4-BE49-F238E27FC236}">
                <a16:creationId xmlns:a16="http://schemas.microsoft.com/office/drawing/2014/main" id="{00000000-0008-0000-0000-000055000000}"/>
              </a:ext>
            </a:extLst>
          </xdr:cNvPr>
          <xdr:cNvSpPr/>
        </xdr:nvSpPr>
        <xdr:spPr>
          <a:xfrm>
            <a:off x="5546273" y="84620101"/>
            <a:ext cx="1211036"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M</a:t>
            </a:r>
          </a:p>
        </xdr:txBody>
      </xdr:sp>
      <xdr:sp macro="" textlink="">
        <xdr:nvSpPr>
          <xdr:cNvPr id="86" name="Rectangle 85">
            <a:extLst>
              <a:ext uri="{FF2B5EF4-FFF2-40B4-BE49-F238E27FC236}">
                <a16:creationId xmlns:a16="http://schemas.microsoft.com/office/drawing/2014/main" id="{00000000-0008-0000-0000-000056000000}"/>
              </a:ext>
            </a:extLst>
          </xdr:cNvPr>
          <xdr:cNvSpPr/>
        </xdr:nvSpPr>
        <xdr:spPr>
          <a:xfrm>
            <a:off x="7029451" y="84647315"/>
            <a:ext cx="973600"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Tower N</a:t>
            </a:r>
          </a:p>
        </xdr:txBody>
      </xdr:sp>
    </xdr:grpSp>
    <xdr:clientData/>
  </xdr:twoCellAnchor>
  <xdr:twoCellAnchor>
    <xdr:from>
      <xdr:col>0</xdr:col>
      <xdr:colOff>156881</xdr:colOff>
      <xdr:row>220</xdr:row>
      <xdr:rowOff>235323</xdr:rowOff>
    </xdr:from>
    <xdr:to>
      <xdr:col>8</xdr:col>
      <xdr:colOff>1479175</xdr:colOff>
      <xdr:row>259</xdr:row>
      <xdr:rowOff>246530</xdr:rowOff>
    </xdr:to>
    <xdr:grpSp>
      <xdr:nvGrpSpPr>
        <xdr:cNvPr id="61" name="Group 60">
          <a:extLst>
            <a:ext uri="{FF2B5EF4-FFF2-40B4-BE49-F238E27FC236}">
              <a16:creationId xmlns:a16="http://schemas.microsoft.com/office/drawing/2014/main" id="{A49E27A8-7083-452A-A843-60286C034DB2}"/>
            </a:ext>
          </a:extLst>
        </xdr:cNvPr>
        <xdr:cNvGrpSpPr/>
      </xdr:nvGrpSpPr>
      <xdr:grpSpPr>
        <a:xfrm>
          <a:off x="156881" y="82262382"/>
          <a:ext cx="10197353" cy="10062883"/>
          <a:chOff x="-904968" y="0"/>
          <a:chExt cx="8560362" cy="8530911"/>
        </a:xfrm>
      </xdr:grpSpPr>
      <xdr:grpSp>
        <xdr:nvGrpSpPr>
          <xdr:cNvPr id="62" name="Group 61">
            <a:extLst>
              <a:ext uri="{FF2B5EF4-FFF2-40B4-BE49-F238E27FC236}">
                <a16:creationId xmlns:a16="http://schemas.microsoft.com/office/drawing/2014/main" id="{09D83080-F248-4206-BB75-9F7E201879FC}"/>
              </a:ext>
            </a:extLst>
          </xdr:cNvPr>
          <xdr:cNvGrpSpPr/>
        </xdr:nvGrpSpPr>
        <xdr:grpSpPr>
          <a:xfrm>
            <a:off x="-904968" y="0"/>
            <a:ext cx="8560362" cy="8530911"/>
            <a:chOff x="-904968" y="0"/>
            <a:chExt cx="8560362" cy="8530911"/>
          </a:xfrm>
        </xdr:grpSpPr>
        <xdr:pic>
          <xdr:nvPicPr>
            <xdr:cNvPr id="88" name="Picture 87">
              <a:extLst>
                <a:ext uri="{FF2B5EF4-FFF2-40B4-BE49-F238E27FC236}">
                  <a16:creationId xmlns:a16="http://schemas.microsoft.com/office/drawing/2014/main" id="{09104D54-4990-472A-B34E-680C30FD576F}"/>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904968" y="0"/>
              <a:ext cx="2700000" cy="3589986"/>
            </a:xfrm>
            <a:prstGeom prst="rect">
              <a:avLst/>
            </a:prstGeom>
            <a:ln>
              <a:solidFill>
                <a:schemeClr val="tx1"/>
              </a:solidFill>
            </a:ln>
          </xdr:spPr>
        </xdr:pic>
        <xdr:pic>
          <xdr:nvPicPr>
            <xdr:cNvPr id="89" name="Picture 88">
              <a:extLst>
                <a:ext uri="{FF2B5EF4-FFF2-40B4-BE49-F238E27FC236}">
                  <a16:creationId xmlns:a16="http://schemas.microsoft.com/office/drawing/2014/main" id="{6AEF4737-6B66-4954-ADEF-6B1BAE116B0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025213" y="0"/>
              <a:ext cx="2700000" cy="3589986"/>
            </a:xfrm>
            <a:prstGeom prst="rect">
              <a:avLst/>
            </a:prstGeom>
            <a:ln>
              <a:solidFill>
                <a:schemeClr val="tx1"/>
              </a:solidFill>
            </a:ln>
          </xdr:spPr>
        </xdr:pic>
        <xdr:pic>
          <xdr:nvPicPr>
            <xdr:cNvPr id="90" name="Picture 89">
              <a:extLst>
                <a:ext uri="{FF2B5EF4-FFF2-40B4-BE49-F238E27FC236}">
                  <a16:creationId xmlns:a16="http://schemas.microsoft.com/office/drawing/2014/main" id="{37CEB9C3-B7F8-4D6B-A768-080967004522}"/>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4955394" y="0"/>
              <a:ext cx="2700000" cy="3589986"/>
            </a:xfrm>
            <a:prstGeom prst="rect">
              <a:avLst/>
            </a:prstGeom>
            <a:ln>
              <a:solidFill>
                <a:schemeClr val="tx1"/>
              </a:solidFill>
            </a:ln>
          </xdr:spPr>
        </xdr:pic>
        <xdr:pic>
          <xdr:nvPicPr>
            <xdr:cNvPr id="91" name="Picture 90">
              <a:extLst>
                <a:ext uri="{FF2B5EF4-FFF2-40B4-BE49-F238E27FC236}">
                  <a16:creationId xmlns:a16="http://schemas.microsoft.com/office/drawing/2014/main" id="{615B8EC5-371D-4D19-B0DA-39D307E806F1}"/>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729883" y="3730438"/>
              <a:ext cx="1980000" cy="2632657"/>
            </a:xfrm>
            <a:prstGeom prst="rect">
              <a:avLst/>
            </a:prstGeom>
            <a:ln>
              <a:solidFill>
                <a:schemeClr val="tx1"/>
              </a:solidFill>
            </a:ln>
          </xdr:spPr>
        </xdr:pic>
        <xdr:pic>
          <xdr:nvPicPr>
            <xdr:cNvPr id="92" name="Picture 91">
              <a:extLst>
                <a:ext uri="{FF2B5EF4-FFF2-40B4-BE49-F238E27FC236}">
                  <a16:creationId xmlns:a16="http://schemas.microsoft.com/office/drawing/2014/main" id="{6019B4C0-FE2F-4217-8E01-17DF5F8A4B62}"/>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395213" y="3730438"/>
              <a:ext cx="1980000" cy="2632656"/>
            </a:xfrm>
            <a:prstGeom prst="rect">
              <a:avLst/>
            </a:prstGeom>
            <a:ln>
              <a:solidFill>
                <a:schemeClr val="tx1"/>
              </a:solidFill>
            </a:ln>
          </xdr:spPr>
        </xdr:pic>
        <xdr:pic>
          <xdr:nvPicPr>
            <xdr:cNvPr id="93" name="Picture 92">
              <a:extLst>
                <a:ext uri="{FF2B5EF4-FFF2-40B4-BE49-F238E27FC236}">
                  <a16:creationId xmlns:a16="http://schemas.microsoft.com/office/drawing/2014/main" id="{62DE1D9D-BD63-483F-8048-90C168A2C704}"/>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3520309" y="3730438"/>
              <a:ext cx="1980000" cy="2632656"/>
            </a:xfrm>
            <a:prstGeom prst="rect">
              <a:avLst/>
            </a:prstGeom>
            <a:ln>
              <a:solidFill>
                <a:schemeClr val="tx1"/>
              </a:solidFill>
            </a:ln>
          </xdr:spPr>
        </xdr:pic>
        <xdr:pic>
          <xdr:nvPicPr>
            <xdr:cNvPr id="94" name="Picture 93">
              <a:extLst>
                <a:ext uri="{FF2B5EF4-FFF2-40B4-BE49-F238E27FC236}">
                  <a16:creationId xmlns:a16="http://schemas.microsoft.com/office/drawing/2014/main" id="{44B66A69-7681-4528-BF0E-58EDD99937D6}"/>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5675394" y="3730438"/>
              <a:ext cx="1980000" cy="2632656"/>
            </a:xfrm>
            <a:prstGeom prst="rect">
              <a:avLst/>
            </a:prstGeom>
            <a:ln>
              <a:solidFill>
                <a:schemeClr val="tx1"/>
              </a:solidFill>
            </a:ln>
          </xdr:spPr>
        </xdr:pic>
        <xdr:pic>
          <xdr:nvPicPr>
            <xdr:cNvPr id="95" name="Picture 94">
              <a:extLst>
                <a:ext uri="{FF2B5EF4-FFF2-40B4-BE49-F238E27FC236}">
                  <a16:creationId xmlns:a16="http://schemas.microsoft.com/office/drawing/2014/main" id="{5869A1F7-C24B-4FF4-A5F5-D9B98CA5646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935213" y="6616252"/>
              <a:ext cx="1440000" cy="1914659"/>
            </a:xfrm>
            <a:prstGeom prst="rect">
              <a:avLst/>
            </a:prstGeom>
            <a:ln>
              <a:solidFill>
                <a:schemeClr val="tx1"/>
              </a:solidFill>
            </a:ln>
          </xdr:spPr>
        </xdr:pic>
        <xdr:pic>
          <xdr:nvPicPr>
            <xdr:cNvPr id="96" name="Picture 95">
              <a:extLst>
                <a:ext uri="{FF2B5EF4-FFF2-40B4-BE49-F238E27FC236}">
                  <a16:creationId xmlns:a16="http://schemas.microsoft.com/office/drawing/2014/main" id="{01E5D7C7-A15E-4DB9-98B1-D6F3A52E1CCE}"/>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520309" y="6616252"/>
              <a:ext cx="1440000" cy="1914659"/>
            </a:xfrm>
            <a:prstGeom prst="rect">
              <a:avLst/>
            </a:prstGeom>
            <a:ln>
              <a:solidFill>
                <a:schemeClr val="tx1"/>
              </a:solidFill>
            </a:ln>
          </xdr:spPr>
        </xdr:pic>
      </xdr:grpSp>
      <xdr:sp macro="" textlink="">
        <xdr:nvSpPr>
          <xdr:cNvPr id="66" name="TextBox 40">
            <a:extLst>
              <a:ext uri="{FF2B5EF4-FFF2-40B4-BE49-F238E27FC236}">
                <a16:creationId xmlns:a16="http://schemas.microsoft.com/office/drawing/2014/main" id="{E66BCA20-5C8D-4AF4-8361-1C56DBDEB96F}"/>
              </a:ext>
            </a:extLst>
          </xdr:cNvPr>
          <xdr:cNvSpPr txBox="1"/>
        </xdr:nvSpPr>
        <xdr:spPr>
          <a:xfrm>
            <a:off x="598200" y="161364"/>
            <a:ext cx="797013"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I</a:t>
            </a:r>
            <a:endParaRPr lang="en-IN" b="1"/>
          </a:p>
        </xdr:txBody>
      </xdr:sp>
      <xdr:sp macro="" textlink="">
        <xdr:nvSpPr>
          <xdr:cNvPr id="72" name="TextBox 41">
            <a:extLst>
              <a:ext uri="{FF2B5EF4-FFF2-40B4-BE49-F238E27FC236}">
                <a16:creationId xmlns:a16="http://schemas.microsoft.com/office/drawing/2014/main" id="{CA76FF7F-7602-4BEE-81B4-40DC6F86951E}"/>
              </a:ext>
            </a:extLst>
          </xdr:cNvPr>
          <xdr:cNvSpPr txBox="1"/>
        </xdr:nvSpPr>
        <xdr:spPr>
          <a:xfrm>
            <a:off x="3713221" y="161364"/>
            <a:ext cx="813043"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J</a:t>
            </a:r>
            <a:endParaRPr lang="en-IN" b="1"/>
          </a:p>
        </xdr:txBody>
      </xdr:sp>
      <xdr:sp macro="" textlink="">
        <xdr:nvSpPr>
          <xdr:cNvPr id="74" name="TextBox 42">
            <a:extLst>
              <a:ext uri="{FF2B5EF4-FFF2-40B4-BE49-F238E27FC236}">
                <a16:creationId xmlns:a16="http://schemas.microsoft.com/office/drawing/2014/main" id="{764C8B27-3889-4252-8E96-C4D45D23B456}"/>
              </a:ext>
            </a:extLst>
          </xdr:cNvPr>
          <xdr:cNvSpPr txBox="1"/>
        </xdr:nvSpPr>
        <xdr:spPr>
          <a:xfrm>
            <a:off x="6665394" y="59159"/>
            <a:ext cx="862737"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K</a:t>
            </a:r>
            <a:endParaRPr lang="en-IN" b="1"/>
          </a:p>
        </xdr:txBody>
      </xdr:sp>
      <xdr:sp macro="" textlink="">
        <xdr:nvSpPr>
          <xdr:cNvPr id="79" name="TextBox 43">
            <a:extLst>
              <a:ext uri="{FF2B5EF4-FFF2-40B4-BE49-F238E27FC236}">
                <a16:creationId xmlns:a16="http://schemas.microsoft.com/office/drawing/2014/main" id="{F3B088B8-BD48-4D25-8087-A94244F8D03E}"/>
              </a:ext>
            </a:extLst>
          </xdr:cNvPr>
          <xdr:cNvSpPr txBox="1"/>
        </xdr:nvSpPr>
        <xdr:spPr>
          <a:xfrm>
            <a:off x="412303" y="3730438"/>
            <a:ext cx="833883"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L</a:t>
            </a:r>
            <a:endParaRPr lang="en-IN" b="1"/>
          </a:p>
        </xdr:txBody>
      </xdr:sp>
      <xdr:sp macro="" textlink="">
        <xdr:nvSpPr>
          <xdr:cNvPr id="84" name="TextBox 44">
            <a:extLst>
              <a:ext uri="{FF2B5EF4-FFF2-40B4-BE49-F238E27FC236}">
                <a16:creationId xmlns:a16="http://schemas.microsoft.com/office/drawing/2014/main" id="{B43B336B-9366-4AA5-BF24-9A0933994643}"/>
              </a:ext>
            </a:extLst>
          </xdr:cNvPr>
          <xdr:cNvSpPr txBox="1"/>
        </xdr:nvSpPr>
        <xdr:spPr>
          <a:xfrm>
            <a:off x="1421271" y="3753739"/>
            <a:ext cx="938077"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M</a:t>
            </a:r>
            <a:endParaRPr lang="en-IN" b="1"/>
          </a:p>
        </xdr:txBody>
      </xdr:sp>
      <xdr:sp macro="" textlink="">
        <xdr:nvSpPr>
          <xdr:cNvPr id="87" name="TextBox 45">
            <a:extLst>
              <a:ext uri="{FF2B5EF4-FFF2-40B4-BE49-F238E27FC236}">
                <a16:creationId xmlns:a16="http://schemas.microsoft.com/office/drawing/2014/main" id="{B9E37D52-E1D1-40D0-8586-50B3EFD43D27}"/>
              </a:ext>
            </a:extLst>
          </xdr:cNvPr>
          <xdr:cNvSpPr txBox="1"/>
        </xdr:nvSpPr>
        <xdr:spPr>
          <a:xfrm>
            <a:off x="3550298" y="3792580"/>
            <a:ext cx="888385"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N</a:t>
            </a:r>
            <a:endParaRPr lang="en-IN" b="1"/>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yT3qtoy6FjJa1jx69?coh=178572&amp;entry=tt"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365"/>
  <sheetViews>
    <sheetView tabSelected="1" view="pageBreakPreview" topLeftCell="A6" zoomScale="85" zoomScaleNormal="85" zoomScaleSheetLayoutView="85" zoomScalePageLayoutView="55" workbookViewId="0">
      <selection activeCell="J228" sqref="J228"/>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3" customWidth="1"/>
    <col min="5" max="6" width="27.140625" style="1" customWidth="1"/>
    <col min="7" max="7" width="2.85546875" style="1" bestFit="1" customWidth="1"/>
    <col min="8" max="8" width="24.42578125" style="1" customWidth="1"/>
    <col min="9" max="9" width="24.42578125" style="13" customWidth="1"/>
    <col min="10" max="10" width="26.140625" style="1" customWidth="1"/>
    <col min="11" max="20" width="9.140625" style="1"/>
    <col min="21" max="23" width="0" style="1" hidden="1" customWidth="1"/>
    <col min="24" max="26" width="9.140625" style="1"/>
    <col min="27" max="27" width="7.85546875" style="1" customWidth="1"/>
    <col min="28" max="16384" width="9.140625" style="1"/>
  </cols>
  <sheetData>
    <row r="1" spans="1:13" ht="20.25" x14ac:dyDescent="0.25">
      <c r="A1" s="88" t="s">
        <v>39</v>
      </c>
      <c r="B1" s="89"/>
      <c r="C1" s="89"/>
      <c r="D1" s="89"/>
      <c r="E1" s="89"/>
      <c r="F1" s="89"/>
      <c r="G1" s="89"/>
      <c r="H1" s="89"/>
      <c r="I1" s="90"/>
    </row>
    <row r="2" spans="1:13" ht="42" customHeight="1" x14ac:dyDescent="0.25">
      <c r="A2" s="138" t="s">
        <v>11</v>
      </c>
      <c r="B2" s="138"/>
      <c r="C2" s="138"/>
      <c r="D2" s="4" t="s">
        <v>4</v>
      </c>
      <c r="E2" s="139" t="s">
        <v>86</v>
      </c>
      <c r="F2" s="139"/>
      <c r="G2" s="91" t="s">
        <v>15</v>
      </c>
      <c r="H2" s="91"/>
      <c r="I2" s="58">
        <v>45874</v>
      </c>
      <c r="J2" s="60">
        <v>45876</v>
      </c>
      <c r="K2" s="61">
        <f>J2-J3</f>
        <v>59</v>
      </c>
      <c r="L2" s="61"/>
      <c r="M2" s="61"/>
    </row>
    <row r="3" spans="1:13" ht="148.15" customHeight="1" x14ac:dyDescent="0.25">
      <c r="A3" s="93" t="s">
        <v>40</v>
      </c>
      <c r="B3" s="94"/>
      <c r="C3" s="95"/>
      <c r="D3" s="19" t="s">
        <v>4</v>
      </c>
      <c r="E3" s="65" t="s">
        <v>205</v>
      </c>
      <c r="F3" s="66"/>
      <c r="G3" s="91" t="s">
        <v>256</v>
      </c>
      <c r="H3" s="91"/>
      <c r="I3" s="59" t="s">
        <v>257</v>
      </c>
      <c r="J3" s="60">
        <v>45817</v>
      </c>
    </row>
    <row r="4" spans="1:13" ht="43.5" customHeight="1" x14ac:dyDescent="0.25">
      <c r="A4" s="93" t="s">
        <v>37</v>
      </c>
      <c r="B4" s="94"/>
      <c r="C4" s="95"/>
      <c r="D4" s="26" t="s">
        <v>4</v>
      </c>
      <c r="E4" s="65" t="s">
        <v>258</v>
      </c>
      <c r="F4" s="67"/>
      <c r="G4" s="91" t="s">
        <v>34</v>
      </c>
      <c r="H4" s="91"/>
      <c r="I4" s="17" t="str">
        <f ca="1">TEXT(TODAY(),"DD/MM/YYYY")</f>
        <v>08/08/2025</v>
      </c>
      <c r="J4" s="65" t="s">
        <v>255</v>
      </c>
      <c r="K4" s="67"/>
    </row>
    <row r="5" spans="1:13" ht="20.25" x14ac:dyDescent="0.25">
      <c r="A5" s="85" t="s">
        <v>41</v>
      </c>
      <c r="B5" s="85"/>
      <c r="C5" s="85"/>
      <c r="D5" s="85"/>
      <c r="E5" s="85"/>
      <c r="F5" s="85"/>
      <c r="G5" s="85"/>
      <c r="H5" s="85"/>
      <c r="I5" s="134"/>
    </row>
    <row r="6" spans="1:13" ht="62.25" customHeight="1" x14ac:dyDescent="0.25">
      <c r="A6" s="140" t="s">
        <v>30</v>
      </c>
      <c r="B6" s="140"/>
      <c r="C6" s="140"/>
      <c r="D6" s="2" t="s">
        <v>4</v>
      </c>
      <c r="E6" s="20" t="s">
        <v>92</v>
      </c>
      <c r="F6" s="19" t="s">
        <v>36</v>
      </c>
      <c r="G6" s="2" t="s">
        <v>4</v>
      </c>
      <c r="H6" s="64" t="s">
        <v>259</v>
      </c>
      <c r="I6" s="64"/>
    </row>
    <row r="7" spans="1:13" ht="43.5" customHeight="1" x14ac:dyDescent="0.25">
      <c r="A7" s="140" t="s">
        <v>43</v>
      </c>
      <c r="B7" s="140"/>
      <c r="C7" s="140"/>
      <c r="D7" s="2" t="s">
        <v>4</v>
      </c>
      <c r="E7" s="5" t="s">
        <v>177</v>
      </c>
      <c r="F7" s="19" t="s">
        <v>44</v>
      </c>
      <c r="G7" s="2" t="s">
        <v>4</v>
      </c>
      <c r="H7" s="65" t="s">
        <v>177</v>
      </c>
      <c r="I7" s="67"/>
    </row>
    <row r="8" spans="1:13" ht="20.25" x14ac:dyDescent="0.25">
      <c r="A8" s="140" t="s">
        <v>45</v>
      </c>
      <c r="B8" s="140"/>
      <c r="C8" s="140"/>
      <c r="D8" s="2" t="s">
        <v>4</v>
      </c>
      <c r="E8" s="141" t="s">
        <v>179</v>
      </c>
      <c r="F8" s="141"/>
      <c r="G8" s="141"/>
      <c r="H8" s="141"/>
      <c r="I8" s="141"/>
    </row>
    <row r="9" spans="1:13" ht="108" customHeight="1" x14ac:dyDescent="0.25">
      <c r="A9" s="91" t="s">
        <v>150</v>
      </c>
      <c r="B9" s="19" t="s">
        <v>4</v>
      </c>
      <c r="C9" s="19" t="s">
        <v>42</v>
      </c>
      <c r="D9" s="2" t="s">
        <v>4</v>
      </c>
      <c r="E9" s="65" t="s">
        <v>196</v>
      </c>
      <c r="F9" s="66"/>
      <c r="G9" s="66"/>
      <c r="H9" s="66"/>
      <c r="I9" s="67"/>
    </row>
    <row r="10" spans="1:13" ht="86.25" hidden="1" customHeight="1" x14ac:dyDescent="0.25">
      <c r="A10" s="91"/>
      <c r="B10" s="19" t="s">
        <v>4</v>
      </c>
      <c r="C10" s="19" t="s">
        <v>14</v>
      </c>
      <c r="D10" s="2" t="s">
        <v>4</v>
      </c>
      <c r="E10" s="65" t="s">
        <v>196</v>
      </c>
      <c r="F10" s="66"/>
      <c r="G10" s="66"/>
      <c r="H10" s="66"/>
      <c r="I10" s="67"/>
    </row>
    <row r="11" spans="1:13" ht="50.45" customHeight="1" x14ac:dyDescent="0.25">
      <c r="A11" s="91"/>
      <c r="B11" s="19" t="s">
        <v>4</v>
      </c>
      <c r="C11" s="19" t="s">
        <v>5</v>
      </c>
      <c r="D11" s="2" t="s">
        <v>4</v>
      </c>
      <c r="E11" s="65" t="s">
        <v>197</v>
      </c>
      <c r="F11" s="66"/>
      <c r="G11" s="66"/>
      <c r="H11" s="66"/>
      <c r="I11" s="67"/>
    </row>
    <row r="12" spans="1:13" ht="20.25" x14ac:dyDescent="0.25">
      <c r="A12" s="91" t="s">
        <v>35</v>
      </c>
      <c r="B12" s="91"/>
      <c r="C12" s="91"/>
      <c r="D12" s="2" t="s">
        <v>4</v>
      </c>
      <c r="E12" s="64" t="s">
        <v>178</v>
      </c>
      <c r="F12" s="64"/>
      <c r="G12" s="64"/>
      <c r="H12" s="64"/>
      <c r="I12" s="64"/>
    </row>
    <row r="13" spans="1:13" ht="20.100000000000001" customHeight="1" x14ac:dyDescent="0.25">
      <c r="A13" s="85" t="s">
        <v>46</v>
      </c>
      <c r="B13" s="85"/>
      <c r="C13" s="85"/>
      <c r="D13" s="85"/>
      <c r="E13" s="85"/>
      <c r="F13" s="85"/>
      <c r="G13" s="85"/>
      <c r="H13" s="85"/>
      <c r="I13" s="85"/>
    </row>
    <row r="14" spans="1:13" ht="60.75" x14ac:dyDescent="0.25">
      <c r="A14" s="19" t="s">
        <v>28</v>
      </c>
      <c r="B14" s="2" t="s">
        <v>4</v>
      </c>
      <c r="C14" s="120" t="s">
        <v>87</v>
      </c>
      <c r="D14" s="121"/>
      <c r="E14" s="122"/>
      <c r="F14" s="16" t="s">
        <v>47</v>
      </c>
      <c r="G14" s="2" t="s">
        <v>4</v>
      </c>
      <c r="H14" s="64" t="s">
        <v>181</v>
      </c>
      <c r="I14" s="64"/>
    </row>
    <row r="15" spans="1:13" ht="129" customHeight="1" x14ac:dyDescent="0.25">
      <c r="A15" s="19" t="s">
        <v>48</v>
      </c>
      <c r="B15" s="2" t="s">
        <v>4</v>
      </c>
      <c r="C15" s="120" t="s">
        <v>183</v>
      </c>
      <c r="D15" s="121"/>
      <c r="E15" s="122"/>
      <c r="F15" s="19" t="s">
        <v>49</v>
      </c>
      <c r="G15" s="2" t="s">
        <v>4</v>
      </c>
      <c r="H15" s="74" t="s">
        <v>182</v>
      </c>
      <c r="I15" s="64"/>
    </row>
    <row r="16" spans="1:13" ht="132.75" customHeight="1" x14ac:dyDescent="0.25">
      <c r="A16" s="43" t="s">
        <v>50</v>
      </c>
      <c r="B16" s="2" t="s">
        <v>4</v>
      </c>
      <c r="C16" s="123">
        <v>44135</v>
      </c>
      <c r="D16" s="121"/>
      <c r="E16" s="122"/>
      <c r="F16" s="19" t="s">
        <v>51</v>
      </c>
      <c r="G16" s="2" t="s">
        <v>4</v>
      </c>
      <c r="H16" s="126" t="s">
        <v>199</v>
      </c>
      <c r="I16" s="67"/>
    </row>
    <row r="17" spans="1:10" ht="60.75" hidden="1" x14ac:dyDescent="0.25">
      <c r="A17" s="43" t="s">
        <v>52</v>
      </c>
      <c r="B17" s="2" t="s">
        <v>4</v>
      </c>
      <c r="C17" s="124"/>
      <c r="D17" s="66"/>
      <c r="E17" s="66"/>
      <c r="F17" s="66"/>
      <c r="G17" s="66"/>
      <c r="H17" s="66"/>
      <c r="I17" s="66"/>
    </row>
    <row r="18" spans="1:10" ht="104.25" customHeight="1" x14ac:dyDescent="0.25">
      <c r="A18" s="43" t="s">
        <v>53</v>
      </c>
      <c r="B18" s="2" t="s">
        <v>4</v>
      </c>
      <c r="C18" s="120" t="s">
        <v>93</v>
      </c>
      <c r="D18" s="121"/>
      <c r="E18" s="122"/>
      <c r="F18" s="19" t="s">
        <v>52</v>
      </c>
      <c r="G18" s="2" t="s">
        <v>4</v>
      </c>
      <c r="H18" s="64" t="s">
        <v>182</v>
      </c>
      <c r="I18" s="64"/>
    </row>
    <row r="19" spans="1:10" ht="40.5" hidden="1" x14ac:dyDescent="0.25">
      <c r="A19" s="19" t="s">
        <v>54</v>
      </c>
      <c r="B19" s="2" t="s">
        <v>4</v>
      </c>
      <c r="C19" s="120"/>
      <c r="D19" s="121"/>
      <c r="E19" s="122"/>
      <c r="F19" s="19" t="s">
        <v>95</v>
      </c>
      <c r="G19" s="2" t="s">
        <v>4</v>
      </c>
      <c r="H19" s="64"/>
      <c r="I19" s="64"/>
    </row>
    <row r="20" spans="1:10" ht="40.5" hidden="1" x14ac:dyDescent="0.25">
      <c r="A20" s="19" t="s">
        <v>94</v>
      </c>
      <c r="B20" s="2" t="s">
        <v>4</v>
      </c>
      <c r="C20" s="120">
        <f>H19</f>
        <v>0</v>
      </c>
      <c r="D20" s="121"/>
      <c r="E20" s="122"/>
      <c r="F20" s="6" t="s">
        <v>55</v>
      </c>
      <c r="G20" s="2" t="s">
        <v>4</v>
      </c>
      <c r="H20" s="65" t="s">
        <v>172</v>
      </c>
      <c r="I20" s="67"/>
      <c r="J20" s="1">
        <f>9+116+32+1+32+57+32</f>
        <v>279</v>
      </c>
    </row>
    <row r="21" spans="1:10" ht="40.5" hidden="1" x14ac:dyDescent="0.25">
      <c r="A21" s="19" t="s">
        <v>56</v>
      </c>
      <c r="B21" s="2" t="s">
        <v>4</v>
      </c>
      <c r="C21" s="120" t="s">
        <v>148</v>
      </c>
      <c r="D21" s="121"/>
      <c r="E21" s="122"/>
      <c r="F21" s="19" t="s">
        <v>57</v>
      </c>
      <c r="G21" s="2" t="s">
        <v>4</v>
      </c>
      <c r="H21" s="64" t="s">
        <v>149</v>
      </c>
      <c r="I21" s="64"/>
    </row>
    <row r="22" spans="1:10" ht="20.25" x14ac:dyDescent="0.25">
      <c r="A22" s="43" t="s">
        <v>247</v>
      </c>
      <c r="B22" s="2" t="s">
        <v>4</v>
      </c>
      <c r="C22" s="120" t="s">
        <v>246</v>
      </c>
      <c r="D22" s="121"/>
      <c r="E22" s="122"/>
      <c r="F22" s="27" t="s">
        <v>248</v>
      </c>
      <c r="G22" s="27" t="s">
        <v>4</v>
      </c>
      <c r="H22" s="120" t="s">
        <v>249</v>
      </c>
      <c r="I22" s="122"/>
    </row>
    <row r="23" spans="1:10" ht="20.25" x14ac:dyDescent="0.25">
      <c r="A23" s="43" t="s">
        <v>161</v>
      </c>
      <c r="B23" s="47" t="s">
        <v>4</v>
      </c>
      <c r="C23" s="125" t="s">
        <v>180</v>
      </c>
      <c r="D23" s="66"/>
      <c r="E23" s="66"/>
      <c r="F23" s="66"/>
      <c r="G23" s="66"/>
      <c r="H23" s="66"/>
      <c r="I23" s="66"/>
    </row>
    <row r="24" spans="1:10" ht="40.5" x14ac:dyDescent="0.25">
      <c r="A24" s="43" t="s">
        <v>26</v>
      </c>
      <c r="B24" s="2" t="s">
        <v>4</v>
      </c>
      <c r="C24" s="64" t="s">
        <v>195</v>
      </c>
      <c r="D24" s="64"/>
      <c r="E24" s="64"/>
      <c r="F24" s="64"/>
      <c r="G24" s="64"/>
      <c r="H24" s="64"/>
      <c r="I24" s="64"/>
    </row>
    <row r="25" spans="1:10" ht="24" customHeight="1" x14ac:dyDescent="0.25">
      <c r="A25" s="88" t="s">
        <v>22</v>
      </c>
      <c r="B25" s="89"/>
      <c r="C25" s="89"/>
      <c r="D25" s="89"/>
      <c r="E25" s="89"/>
      <c r="F25" s="89"/>
      <c r="G25" s="89"/>
      <c r="H25" s="89"/>
      <c r="I25" s="90"/>
    </row>
    <row r="26" spans="1:10" ht="20.25" customHeight="1" x14ac:dyDescent="0.25">
      <c r="A26" s="19" t="s">
        <v>27</v>
      </c>
      <c r="B26" s="2" t="s">
        <v>4</v>
      </c>
      <c r="C26" s="64" t="s">
        <v>166</v>
      </c>
      <c r="D26" s="64"/>
      <c r="E26" s="64"/>
      <c r="F26" s="19" t="s">
        <v>16</v>
      </c>
      <c r="G26" s="2" t="s">
        <v>4</v>
      </c>
      <c r="H26" s="64" t="s">
        <v>164</v>
      </c>
      <c r="I26" s="64"/>
    </row>
    <row r="27" spans="1:10" ht="20.25" x14ac:dyDescent="0.25">
      <c r="A27" s="19" t="s">
        <v>17</v>
      </c>
      <c r="B27" s="2" t="s">
        <v>4</v>
      </c>
      <c r="C27" s="64" t="s">
        <v>98</v>
      </c>
      <c r="D27" s="64"/>
      <c r="E27" s="64"/>
      <c r="F27" s="19" t="s">
        <v>151</v>
      </c>
      <c r="G27" s="2" t="s">
        <v>4</v>
      </c>
      <c r="H27" s="64" t="s">
        <v>165</v>
      </c>
      <c r="I27" s="64"/>
    </row>
    <row r="28" spans="1:10" ht="60.75" x14ac:dyDescent="0.25">
      <c r="A28" s="19" t="s">
        <v>168</v>
      </c>
      <c r="B28" s="2" t="s">
        <v>4</v>
      </c>
      <c r="C28" s="64" t="s">
        <v>97</v>
      </c>
      <c r="D28" s="64"/>
      <c r="E28" s="64"/>
      <c r="F28" s="19" t="s">
        <v>18</v>
      </c>
      <c r="G28" s="2" t="s">
        <v>4</v>
      </c>
      <c r="H28" s="64" t="s">
        <v>200</v>
      </c>
      <c r="I28" s="64"/>
    </row>
    <row r="29" spans="1:10" ht="40.5" hidden="1" x14ac:dyDescent="0.25">
      <c r="A29" s="43" t="s">
        <v>108</v>
      </c>
      <c r="B29" s="2" t="s">
        <v>4</v>
      </c>
      <c r="C29" s="135" t="s">
        <v>169</v>
      </c>
      <c r="D29" s="135"/>
      <c r="E29" s="135"/>
      <c r="F29" s="19" t="s">
        <v>109</v>
      </c>
      <c r="G29" s="2" t="s">
        <v>4</v>
      </c>
      <c r="H29" s="136" t="s">
        <v>170</v>
      </c>
      <c r="I29" s="137"/>
    </row>
    <row r="30" spans="1:10" ht="67.5" hidden="1" customHeight="1" x14ac:dyDescent="0.25">
      <c r="A30" s="19" t="s">
        <v>19</v>
      </c>
      <c r="B30" s="2" t="s">
        <v>4</v>
      </c>
      <c r="C30" s="135" t="s">
        <v>171</v>
      </c>
      <c r="D30" s="135"/>
      <c r="E30" s="135"/>
      <c r="F30" s="19" t="s">
        <v>18</v>
      </c>
      <c r="G30" s="2" t="s">
        <v>4</v>
      </c>
      <c r="H30" s="135" t="s">
        <v>167</v>
      </c>
      <c r="I30" s="135"/>
    </row>
    <row r="31" spans="1:10" ht="21.75" customHeight="1" x14ac:dyDescent="0.25">
      <c r="A31" s="43" t="s">
        <v>114</v>
      </c>
      <c r="B31" s="2" t="s">
        <v>4</v>
      </c>
      <c r="C31" s="64" t="s">
        <v>115</v>
      </c>
      <c r="D31" s="64"/>
      <c r="E31" s="64"/>
      <c r="F31" s="19" t="s">
        <v>116</v>
      </c>
      <c r="G31" s="2" t="s">
        <v>4</v>
      </c>
      <c r="H31" s="65" t="s">
        <v>115</v>
      </c>
      <c r="I31" s="67"/>
    </row>
    <row r="32" spans="1:10" ht="21.75" customHeight="1" x14ac:dyDescent="0.25">
      <c r="A32" s="43" t="s">
        <v>117</v>
      </c>
      <c r="B32" s="2" t="s">
        <v>4</v>
      </c>
      <c r="C32" s="65" t="s">
        <v>115</v>
      </c>
      <c r="D32" s="66"/>
      <c r="E32" s="66"/>
      <c r="F32" s="66"/>
      <c r="G32" s="66"/>
      <c r="H32" s="66"/>
      <c r="I32" s="67"/>
    </row>
    <row r="33" spans="1:11" ht="20.25" x14ac:dyDescent="0.25">
      <c r="A33" s="113" t="s">
        <v>38</v>
      </c>
      <c r="B33" s="114"/>
      <c r="C33" s="114"/>
      <c r="D33" s="114"/>
      <c r="E33" s="114"/>
      <c r="F33" s="114"/>
      <c r="G33" s="114"/>
      <c r="H33" s="114"/>
      <c r="I33" s="115"/>
    </row>
    <row r="34" spans="1:11" ht="40.5" x14ac:dyDescent="0.25">
      <c r="A34" s="93" t="s">
        <v>20</v>
      </c>
      <c r="B34" s="94"/>
      <c r="C34" s="95"/>
      <c r="D34" s="2" t="s">
        <v>4</v>
      </c>
      <c r="E34" s="20" t="s">
        <v>99</v>
      </c>
      <c r="F34" s="19" t="s">
        <v>21</v>
      </c>
      <c r="G34" s="7" t="s">
        <v>4</v>
      </c>
      <c r="H34" s="65" t="s">
        <v>100</v>
      </c>
      <c r="I34" s="67"/>
    </row>
    <row r="35" spans="1:11" ht="40.5" x14ac:dyDescent="0.25">
      <c r="A35" s="93" t="s">
        <v>24</v>
      </c>
      <c r="B35" s="94"/>
      <c r="C35" s="95"/>
      <c r="D35" s="2" t="s">
        <v>4</v>
      </c>
      <c r="E35" s="20" t="s">
        <v>100</v>
      </c>
      <c r="F35" s="8" t="s">
        <v>33</v>
      </c>
      <c r="G35" s="2" t="s">
        <v>4</v>
      </c>
      <c r="H35" s="65" t="s">
        <v>100</v>
      </c>
      <c r="I35" s="67"/>
    </row>
    <row r="36" spans="1:11" ht="40.5" x14ac:dyDescent="0.25">
      <c r="A36" s="93" t="s">
        <v>32</v>
      </c>
      <c r="B36" s="94"/>
      <c r="C36" s="95"/>
      <c r="D36" s="2" t="s">
        <v>4</v>
      </c>
      <c r="E36" s="5" t="s">
        <v>101</v>
      </c>
      <c r="F36" s="19" t="s">
        <v>23</v>
      </c>
      <c r="G36" s="22" t="s">
        <v>4</v>
      </c>
      <c r="H36" s="65" t="s">
        <v>102</v>
      </c>
      <c r="I36" s="67"/>
    </row>
    <row r="37" spans="1:11" ht="20.25" x14ac:dyDescent="0.25">
      <c r="A37" s="88" t="s">
        <v>0</v>
      </c>
      <c r="B37" s="89"/>
      <c r="C37" s="89"/>
      <c r="D37" s="89"/>
      <c r="E37" s="89"/>
      <c r="F37" s="89"/>
      <c r="G37" s="89"/>
      <c r="H37" s="89"/>
      <c r="I37" s="90"/>
    </row>
    <row r="38" spans="1:11" ht="20.25" x14ac:dyDescent="0.25">
      <c r="A38" s="116" t="s">
        <v>0</v>
      </c>
      <c r="B38" s="117"/>
      <c r="C38" s="118"/>
      <c r="D38" s="2" t="s">
        <v>4</v>
      </c>
      <c r="E38" s="9" t="s">
        <v>1</v>
      </c>
      <c r="F38" s="9" t="s">
        <v>6</v>
      </c>
      <c r="G38" s="116" t="s">
        <v>2</v>
      </c>
      <c r="H38" s="118"/>
      <c r="I38" s="9" t="s">
        <v>3</v>
      </c>
    </row>
    <row r="39" spans="1:11" ht="20.25" hidden="1" x14ac:dyDescent="0.25">
      <c r="A39" s="93" t="s">
        <v>7</v>
      </c>
      <c r="B39" s="94"/>
      <c r="C39" s="95"/>
      <c r="D39" s="2" t="s">
        <v>4</v>
      </c>
      <c r="E39" s="21"/>
      <c r="F39" s="21"/>
      <c r="G39" s="132"/>
      <c r="H39" s="133"/>
      <c r="I39" s="21"/>
    </row>
    <row r="40" spans="1:11" ht="48.75" customHeight="1" x14ac:dyDescent="0.25">
      <c r="A40" s="93" t="s">
        <v>8</v>
      </c>
      <c r="B40" s="94"/>
      <c r="C40" s="95"/>
      <c r="D40" s="2" t="s">
        <v>4</v>
      </c>
      <c r="E40" s="21" t="s">
        <v>185</v>
      </c>
      <c r="F40" s="21" t="s">
        <v>187</v>
      </c>
      <c r="G40" s="132" t="s">
        <v>186</v>
      </c>
      <c r="H40" s="133"/>
      <c r="I40" s="21" t="s">
        <v>184</v>
      </c>
    </row>
    <row r="41" spans="1:11" ht="20.25" customHeight="1" x14ac:dyDescent="0.25">
      <c r="A41" s="93" t="s">
        <v>12</v>
      </c>
      <c r="B41" s="94"/>
      <c r="C41" s="95"/>
      <c r="D41" s="2" t="s">
        <v>4</v>
      </c>
      <c r="E41" s="17" t="s">
        <v>97</v>
      </c>
      <c r="F41" s="19" t="s">
        <v>13</v>
      </c>
      <c r="G41" s="2" t="s">
        <v>4</v>
      </c>
      <c r="H41" s="65" t="s">
        <v>96</v>
      </c>
      <c r="I41" s="67"/>
    </row>
    <row r="42" spans="1:11" ht="20.25" x14ac:dyDescent="0.25">
      <c r="A42" s="88" t="s">
        <v>58</v>
      </c>
      <c r="B42" s="89"/>
      <c r="C42" s="89"/>
      <c r="D42" s="89"/>
      <c r="E42" s="89"/>
      <c r="F42" s="89"/>
      <c r="G42" s="89"/>
      <c r="H42" s="89"/>
      <c r="I42" s="90"/>
    </row>
    <row r="43" spans="1:11" ht="21" customHeight="1" x14ac:dyDescent="0.25">
      <c r="A43" s="119" t="s">
        <v>59</v>
      </c>
      <c r="B43" s="119"/>
      <c r="C43" s="119" t="s">
        <v>60</v>
      </c>
      <c r="D43" s="119"/>
      <c r="E43" s="119" t="s">
        <v>147</v>
      </c>
      <c r="F43" s="119"/>
      <c r="G43" s="119"/>
      <c r="H43" s="119" t="s">
        <v>61</v>
      </c>
      <c r="I43" s="119"/>
    </row>
    <row r="44" spans="1:11" s="48" customFormat="1" ht="43.5" customHeight="1" x14ac:dyDescent="0.25">
      <c r="A44" s="112" t="s">
        <v>191</v>
      </c>
      <c r="B44" s="112"/>
      <c r="C44" s="112" t="s">
        <v>88</v>
      </c>
      <c r="D44" s="112"/>
      <c r="E44" s="112" t="s">
        <v>206</v>
      </c>
      <c r="F44" s="112"/>
      <c r="G44" s="112"/>
      <c r="H44" s="112" t="s">
        <v>96</v>
      </c>
      <c r="I44" s="112"/>
      <c r="K44" s="48" t="s">
        <v>236</v>
      </c>
    </row>
    <row r="45" spans="1:11" s="48" customFormat="1" ht="43.5" customHeight="1" x14ac:dyDescent="0.25">
      <c r="A45" s="112" t="s">
        <v>189</v>
      </c>
      <c r="B45" s="112"/>
      <c r="C45" s="112" t="s">
        <v>88</v>
      </c>
      <c r="D45" s="112"/>
      <c r="E45" s="112" t="s">
        <v>188</v>
      </c>
      <c r="F45" s="112"/>
      <c r="G45" s="112"/>
      <c r="H45" s="112" t="s">
        <v>96</v>
      </c>
      <c r="I45" s="112"/>
      <c r="K45" s="48" t="s">
        <v>237</v>
      </c>
    </row>
    <row r="46" spans="1:11" s="48" customFormat="1" ht="43.5" customHeight="1" x14ac:dyDescent="0.25">
      <c r="A46" s="112" t="s">
        <v>190</v>
      </c>
      <c r="B46" s="112"/>
      <c r="C46" s="112" t="s">
        <v>88</v>
      </c>
      <c r="D46" s="112"/>
      <c r="E46" s="112" t="s">
        <v>188</v>
      </c>
      <c r="F46" s="112"/>
      <c r="G46" s="112"/>
      <c r="H46" s="112" t="s">
        <v>96</v>
      </c>
      <c r="I46" s="112"/>
      <c r="K46" s="48" t="s">
        <v>237</v>
      </c>
    </row>
    <row r="47" spans="1:11" s="48" customFormat="1" ht="43.5" customHeight="1" x14ac:dyDescent="0.25">
      <c r="A47" s="112" t="s">
        <v>192</v>
      </c>
      <c r="B47" s="112"/>
      <c r="C47" s="112" t="s">
        <v>88</v>
      </c>
      <c r="D47" s="112"/>
      <c r="E47" s="112" t="s">
        <v>188</v>
      </c>
      <c r="F47" s="112"/>
      <c r="G47" s="112"/>
      <c r="H47" s="112" t="s">
        <v>96</v>
      </c>
      <c r="I47" s="112"/>
      <c r="K47" s="48" t="s">
        <v>237</v>
      </c>
    </row>
    <row r="48" spans="1:11" s="48" customFormat="1" ht="43.5" customHeight="1" x14ac:dyDescent="0.25">
      <c r="A48" s="112" t="s">
        <v>193</v>
      </c>
      <c r="B48" s="112"/>
      <c r="C48" s="112" t="s">
        <v>88</v>
      </c>
      <c r="D48" s="112"/>
      <c r="E48" s="112" t="s">
        <v>188</v>
      </c>
      <c r="F48" s="112"/>
      <c r="G48" s="112"/>
      <c r="H48" s="112" t="s">
        <v>96</v>
      </c>
      <c r="I48" s="112"/>
      <c r="K48" s="48" t="s">
        <v>238</v>
      </c>
    </row>
    <row r="49" spans="1:11" s="48" customFormat="1" ht="43.5" customHeight="1" x14ac:dyDescent="0.25">
      <c r="A49" s="112" t="s">
        <v>194</v>
      </c>
      <c r="B49" s="112"/>
      <c r="C49" s="112" t="s">
        <v>88</v>
      </c>
      <c r="D49" s="112"/>
      <c r="E49" s="112" t="s">
        <v>188</v>
      </c>
      <c r="F49" s="112"/>
      <c r="G49" s="112"/>
      <c r="H49" s="112" t="s">
        <v>222</v>
      </c>
      <c r="I49" s="112"/>
    </row>
    <row r="50" spans="1:11" ht="20.25" x14ac:dyDescent="0.25">
      <c r="A50" s="85" t="s">
        <v>62</v>
      </c>
      <c r="B50" s="85"/>
      <c r="C50" s="85"/>
      <c r="D50" s="85"/>
      <c r="E50" s="85"/>
      <c r="F50" s="85"/>
      <c r="G50" s="85"/>
      <c r="H50" s="85"/>
      <c r="I50" s="85"/>
    </row>
    <row r="51" spans="1:11" ht="60.75" x14ac:dyDescent="0.25">
      <c r="A51" s="16" t="s">
        <v>63</v>
      </c>
      <c r="B51" s="16" t="s">
        <v>4</v>
      </c>
      <c r="C51" s="65" t="s">
        <v>97</v>
      </c>
      <c r="D51" s="66"/>
      <c r="E51" s="66"/>
      <c r="F51" s="66"/>
      <c r="G51" s="66"/>
      <c r="H51" s="66"/>
      <c r="I51" s="67"/>
    </row>
    <row r="52" spans="1:11" ht="40.5" x14ac:dyDescent="0.25">
      <c r="A52" s="16" t="s">
        <v>223</v>
      </c>
      <c r="B52" s="16" t="s">
        <v>4</v>
      </c>
      <c r="C52" s="64" t="s">
        <v>224</v>
      </c>
      <c r="D52" s="64"/>
      <c r="E52" s="64"/>
      <c r="F52" s="16" t="s">
        <v>225</v>
      </c>
      <c r="G52" s="16" t="s">
        <v>4</v>
      </c>
      <c r="H52" s="74">
        <v>45602</v>
      </c>
      <c r="I52" s="64"/>
    </row>
    <row r="53" spans="1:11" ht="40.5" x14ac:dyDescent="0.25">
      <c r="A53" s="16" t="s">
        <v>241</v>
      </c>
      <c r="B53" s="16" t="s">
        <v>4</v>
      </c>
      <c r="C53" s="64" t="s">
        <v>224</v>
      </c>
      <c r="D53" s="64"/>
      <c r="E53" s="64"/>
      <c r="F53" s="16" t="s">
        <v>225</v>
      </c>
      <c r="G53" s="16" t="s">
        <v>4</v>
      </c>
      <c r="H53" s="74">
        <v>45602</v>
      </c>
      <c r="I53" s="64"/>
    </row>
    <row r="54" spans="1:11" ht="328.5" hidden="1" customHeight="1" x14ac:dyDescent="0.25">
      <c r="A54" s="16" t="s">
        <v>229</v>
      </c>
      <c r="B54" s="16" t="s">
        <v>4</v>
      </c>
      <c r="C54" s="64" t="s">
        <v>228</v>
      </c>
      <c r="D54" s="64"/>
      <c r="E54" s="64"/>
      <c r="F54" s="16" t="s">
        <v>226</v>
      </c>
      <c r="G54" s="16" t="s">
        <v>4</v>
      </c>
      <c r="H54" s="64" t="s">
        <v>227</v>
      </c>
      <c r="I54" s="64"/>
    </row>
    <row r="55" spans="1:11" ht="46.5" hidden="1" customHeight="1" x14ac:dyDescent="0.25">
      <c r="A55" s="16" t="s">
        <v>64</v>
      </c>
      <c r="B55" s="16" t="s">
        <v>4</v>
      </c>
      <c r="C55" s="64"/>
      <c r="D55" s="64"/>
      <c r="E55" s="64"/>
      <c r="F55" s="16" t="s">
        <v>65</v>
      </c>
      <c r="G55" s="16" t="s">
        <v>4</v>
      </c>
      <c r="H55" s="64"/>
      <c r="I55" s="64"/>
    </row>
    <row r="56" spans="1:11" ht="307.5" hidden="1" customHeight="1" x14ac:dyDescent="0.25">
      <c r="A56" s="16" t="s">
        <v>89</v>
      </c>
      <c r="B56" s="16" t="s">
        <v>4</v>
      </c>
      <c r="C56" s="64" t="s">
        <v>242</v>
      </c>
      <c r="D56" s="64"/>
      <c r="E56" s="64"/>
      <c r="F56" s="16" t="s">
        <v>243</v>
      </c>
      <c r="G56" s="16" t="s">
        <v>4</v>
      </c>
      <c r="H56" s="74" t="s">
        <v>244</v>
      </c>
      <c r="I56" s="64"/>
    </row>
    <row r="57" spans="1:11" ht="334.5" customHeight="1" x14ac:dyDescent="0.25">
      <c r="A57" s="16" t="s">
        <v>233</v>
      </c>
      <c r="B57" s="16" t="s">
        <v>4</v>
      </c>
      <c r="C57" s="64" t="s">
        <v>245</v>
      </c>
      <c r="D57" s="64"/>
      <c r="E57" s="64"/>
      <c r="F57" s="16" t="s">
        <v>226</v>
      </c>
      <c r="G57" s="16" t="s">
        <v>4</v>
      </c>
      <c r="H57" s="74" t="s">
        <v>232</v>
      </c>
      <c r="I57" s="64"/>
    </row>
    <row r="58" spans="1:11" ht="93.75" customHeight="1" x14ac:dyDescent="0.25">
      <c r="A58" s="16" t="s">
        <v>173</v>
      </c>
      <c r="B58" s="16" t="s">
        <v>4</v>
      </c>
      <c r="C58" s="64" t="s">
        <v>235</v>
      </c>
      <c r="D58" s="64"/>
      <c r="E58" s="64"/>
      <c r="F58" s="16" t="s">
        <v>225</v>
      </c>
      <c r="G58" s="16" t="s">
        <v>4</v>
      </c>
      <c r="H58" s="64" t="s">
        <v>234</v>
      </c>
      <c r="I58" s="64"/>
    </row>
    <row r="59" spans="1:11" ht="48.75" hidden="1" customHeight="1" x14ac:dyDescent="0.25">
      <c r="A59" s="16" t="s">
        <v>66</v>
      </c>
      <c r="B59" s="16" t="s">
        <v>4</v>
      </c>
      <c r="C59" s="65" t="s">
        <v>96</v>
      </c>
      <c r="D59" s="66"/>
      <c r="E59" s="66"/>
      <c r="F59" s="66"/>
      <c r="G59" s="66"/>
      <c r="H59" s="66"/>
      <c r="I59" s="67"/>
    </row>
    <row r="60" spans="1:11" ht="21" thickBot="1" x14ac:dyDescent="0.3">
      <c r="A60" s="85" t="s">
        <v>67</v>
      </c>
      <c r="B60" s="85"/>
      <c r="C60" s="85"/>
      <c r="D60" s="85"/>
      <c r="E60" s="85"/>
      <c r="F60" s="85"/>
      <c r="G60" s="85"/>
      <c r="H60" s="85"/>
      <c r="I60" s="85"/>
    </row>
    <row r="61" spans="1:11" ht="20.25" customHeight="1" x14ac:dyDescent="0.3">
      <c r="A61" s="86" t="str">
        <f>CONCATENATE((IF(OR(A44="",A44="NA"),"",A44))," - ",(IF(OR(E44="",E44="NA"),"",E44))," ")</f>
        <v xml:space="preserve">I Wing   -  Gr + 1 Retail + 1st to 49th Floor </v>
      </c>
      <c r="B61" s="86"/>
      <c r="C61" s="86"/>
      <c r="D61" s="87" t="s">
        <v>4</v>
      </c>
      <c r="E61" s="51" t="s">
        <v>118</v>
      </c>
      <c r="F61" s="70" t="s">
        <v>104</v>
      </c>
      <c r="G61" s="70"/>
      <c r="H61" s="51" t="s">
        <v>119</v>
      </c>
      <c r="I61" s="51" t="s">
        <v>120</v>
      </c>
      <c r="J61" s="52" t="str">
        <f ca="1">(IF(F64&gt;99%,"All work completed. Please provide OC.",IF(F64&gt;89.8%,"Plinth, RCC, Brick, Plaster, Flooring, Wooden, Plumbing, Electrification, etc., work Completed. Finishing work is in process.",IF(F64&lt;94%,(IF(C64=0,"Work not yet Started.",IF(E64=25%,"Piling work in process",IF(E64=50%,"Excavation work in process",IF(E64=100%,"Excavation work Completed. ","0")))&amp;(IF(C65=0%,"",IF(C65=K66,"Footing work is process",IF(C65=K67,"Footing work Completed",IF(C65=K68,"1st Basement Completed",IF(C65=K69,"1st &amp; 2nd Basement Completed",IF(C65=K70,"1st to 3rd Basement Completed",IF(C65=K71,"1st to 4th Basement Completed",IF(C65=K72,"Plinth work is process",IF(C65=K73,"Plinth work completed","0")))))))))))&amp;(IF(C66=(F62+H62+I62),", RCC Slab",IF(C66&gt;0,", RCC upto "&amp;C66&amp;" Slab",""))&amp;(IF(C67=I62,", Brickwork",IF(C67&gt;0,", Brickwork upto "&amp;C67&amp;" Floor",""))&amp;(IF(C68=I62,", Internal Plaster",IF(C68&gt;0,", Internal Plaster upto "&amp;C68&amp;" Floor",""))&amp;(IF(C69=I62,", External Plaster",IF(C69&gt;0,", External Plaster upto "&amp;C69&amp;" Floor",""))&amp;(IF(C70=I62,", External Plumbing, Elevation and Waterproofing",IF(C70&gt;0,", External Plumbing, Elevation and Waterproofing upto "&amp;C70&amp;" Floor",""))&amp;(IF(C71=I62,", Flooring &amp; Fitting",IF(C71&gt;0,", Flooring &amp; Fitting upto "&amp;C71&amp;" Floor",""))&amp;(IF(C72=I62,", Wooden Work",IF(C72&gt;0,", Wooden Work upto "&amp;C72&amp;" Floor",""))&amp;(IF(C73=I62,", Electrical &amp; Sanitary fittings",IF(C73&gt;0,", Electrical &amp; Sanitary fittings upto "&amp;C73&amp;" Floor",""))&amp;(IF(C74&gt;0,", Finishing upto "&amp;C74&amp;" Floor","")&amp;(IF(C66&gt;0.5," Completed",""))))))))))))))))</f>
        <v>Excavation work Completed. Plinth work completed, RCC upto 21 Slab, Brickwork upto 19 Floor, Internal Plaster upto 15.2 Floor, External Plaster upto 15.2 Floor, External Plumbing, Elevation and Waterproofing upto 7 Floor Completed</v>
      </c>
      <c r="K61" s="34"/>
    </row>
    <row r="62" spans="1:11" ht="23.25" customHeight="1" x14ac:dyDescent="0.3">
      <c r="A62" s="86"/>
      <c r="B62" s="86"/>
      <c r="C62" s="86"/>
      <c r="D62" s="87"/>
      <c r="E62" s="51">
        <v>0</v>
      </c>
      <c r="F62" s="70">
        <v>2</v>
      </c>
      <c r="G62" s="70"/>
      <c r="H62" s="51">
        <v>0</v>
      </c>
      <c r="I62" s="51">
        <f ca="1">--TRIM(RIGHT(SUBSTITUTE(LEFT(A61,_xlfn.AGGREGATE(16,6,FIND({0,1,2,3,4,5,6,7,8,9},A61,ROW(INDIRECT("1:"&amp;LEN(A61)))),1))," ",REPT(" ",LEN(A61))),LEN(A61)))</f>
        <v>49</v>
      </c>
      <c r="J62" s="53" t="s">
        <v>124</v>
      </c>
      <c r="K62" s="34"/>
    </row>
    <row r="63" spans="1:11" ht="20.25" customHeight="1" x14ac:dyDescent="0.3">
      <c r="A63" s="68" t="s">
        <v>122</v>
      </c>
      <c r="B63" s="68"/>
      <c r="C63" s="68" t="s">
        <v>132</v>
      </c>
      <c r="D63" s="68"/>
      <c r="E63" s="49" t="s">
        <v>133</v>
      </c>
      <c r="F63" s="68" t="s">
        <v>123</v>
      </c>
      <c r="G63" s="68"/>
      <c r="H63" s="42" t="s">
        <v>121</v>
      </c>
      <c r="I63" s="42"/>
      <c r="J63" s="36" t="s">
        <v>134</v>
      </c>
      <c r="K63" s="35">
        <f ca="1">I62*25%</f>
        <v>12.25</v>
      </c>
    </row>
    <row r="64" spans="1:11" ht="20.25" customHeight="1" x14ac:dyDescent="0.3">
      <c r="A64" s="69" t="s">
        <v>135</v>
      </c>
      <c r="B64" s="69"/>
      <c r="C64" s="70">
        <f ca="1">K65</f>
        <v>49</v>
      </c>
      <c r="D64" s="70"/>
      <c r="E64" s="50">
        <f ca="1">((100/I62)*C64)/100</f>
        <v>1</v>
      </c>
      <c r="F64" s="69">
        <f ca="1">(((C64/I62*5)+(C65/I62*20)+(25/(F62+H62+I62)*C66)+(5/(I62)*C67)+(2.5/(I62)*C68)+(2.5/(I62)*C69)+(5/I62*C70)+(10/I62*C71)+(2.5/I62*C72)+(2.5/I62*C73)+(10/I62*C74)+(10/I62*C75))/100)</f>
        <v>0.39498199279711893</v>
      </c>
      <c r="G64" s="69"/>
      <c r="H64" s="69" t="str">
        <f ca="1">J61</f>
        <v>Excavation work Completed. Plinth work completed, RCC upto 21 Slab, Brickwork upto 19 Floor, Internal Plaster upto 15.2 Floor, External Plaster upto 15.2 Floor, External Plumbing, Elevation and Waterproofing upto 7 Floor Completed</v>
      </c>
      <c r="I64" s="69"/>
      <c r="J64" s="36" t="s">
        <v>125</v>
      </c>
      <c r="K64" s="54">
        <f ca="1">I62*50%</f>
        <v>24.5</v>
      </c>
    </row>
    <row r="65" spans="1:13" ht="20.25" x14ac:dyDescent="0.3">
      <c r="A65" s="69" t="s">
        <v>105</v>
      </c>
      <c r="B65" s="69"/>
      <c r="C65" s="71">
        <f ca="1">K73</f>
        <v>49</v>
      </c>
      <c r="D65" s="70"/>
      <c r="E65" s="50">
        <f ca="1">((100/I62)*C65)/100</f>
        <v>1</v>
      </c>
      <c r="F65" s="69"/>
      <c r="G65" s="69"/>
      <c r="H65" s="69"/>
      <c r="I65" s="69"/>
      <c r="J65" s="36" t="s">
        <v>126</v>
      </c>
      <c r="K65" s="54">
        <f ca="1">I62</f>
        <v>49</v>
      </c>
    </row>
    <row r="66" spans="1:13" ht="21" customHeight="1" x14ac:dyDescent="0.35">
      <c r="A66" s="69" t="s">
        <v>136</v>
      </c>
      <c r="B66" s="69"/>
      <c r="C66" s="70">
        <v>21</v>
      </c>
      <c r="D66" s="70"/>
      <c r="E66" s="50">
        <f ca="1">((100/(F62+H62+I62))*C66)/100</f>
        <v>0.41176470588235292</v>
      </c>
      <c r="F66" s="69"/>
      <c r="G66" s="69"/>
      <c r="H66" s="69"/>
      <c r="I66" s="69"/>
      <c r="J66" s="36" t="s">
        <v>127</v>
      </c>
      <c r="K66" s="39">
        <f ca="1">(IF(E62&gt;1,(I62/(E62+2)),I62/4))</f>
        <v>12.25</v>
      </c>
    </row>
    <row r="67" spans="1:13" ht="21" customHeight="1" x14ac:dyDescent="0.35">
      <c r="A67" s="69" t="s">
        <v>137</v>
      </c>
      <c r="B67" s="69"/>
      <c r="C67" s="70">
        <f>C66-H62-F62</f>
        <v>19</v>
      </c>
      <c r="D67" s="70"/>
      <c r="E67" s="50">
        <f ca="1">((100/I62)*C67)/100</f>
        <v>0.38775510204081631</v>
      </c>
      <c r="F67" s="69"/>
      <c r="G67" s="69"/>
      <c r="H67" s="69"/>
      <c r="I67" s="69"/>
      <c r="J67" s="36" t="s">
        <v>128</v>
      </c>
      <c r="K67" s="39">
        <f ca="1">(IF(E62&gt;1,(I62/(E62+2)+K66),I62/4+K66))</f>
        <v>24.5</v>
      </c>
    </row>
    <row r="68" spans="1:13" ht="21" customHeight="1" x14ac:dyDescent="0.35">
      <c r="A68" s="72" t="s">
        <v>138</v>
      </c>
      <c r="B68" s="73"/>
      <c r="C68" s="71">
        <f>C67*0.8</f>
        <v>15.200000000000001</v>
      </c>
      <c r="D68" s="71"/>
      <c r="E68" s="50">
        <f ca="1">((100/I62)*C68)/100</f>
        <v>0.31020408163265306</v>
      </c>
      <c r="F68" s="69"/>
      <c r="G68" s="69"/>
      <c r="H68" s="69"/>
      <c r="I68" s="69"/>
      <c r="J68" s="36" t="s">
        <v>139</v>
      </c>
      <c r="K68" s="39">
        <f>(IF(E62&gt;1,(I62/(E62+2)+K67),0))</f>
        <v>0</v>
      </c>
    </row>
    <row r="69" spans="1:13" ht="21" customHeight="1" x14ac:dyDescent="0.35">
      <c r="A69" s="72" t="s">
        <v>201</v>
      </c>
      <c r="B69" s="73"/>
      <c r="C69" s="71">
        <f>C67*0.8</f>
        <v>15.200000000000001</v>
      </c>
      <c r="D69" s="71"/>
      <c r="E69" s="50">
        <f ca="1">((100/I62)*C69)/100</f>
        <v>0.31020408163265306</v>
      </c>
      <c r="F69" s="69"/>
      <c r="G69" s="69"/>
      <c r="H69" s="69"/>
      <c r="I69" s="69"/>
      <c r="J69" s="36" t="s">
        <v>140</v>
      </c>
      <c r="K69" s="39">
        <f>(IF(E62&gt;2,(I62/(E62+2)+K68),0))</f>
        <v>0</v>
      </c>
    </row>
    <row r="70" spans="1:13" ht="57.75" customHeight="1" x14ac:dyDescent="0.35">
      <c r="A70" s="72" t="s">
        <v>202</v>
      </c>
      <c r="B70" s="73"/>
      <c r="C70" s="70">
        <v>7</v>
      </c>
      <c r="D70" s="70"/>
      <c r="E70" s="50">
        <f ca="1">((100/(I62))*C70)/100</f>
        <v>0.14285714285714288</v>
      </c>
      <c r="F70" s="69"/>
      <c r="G70" s="69"/>
      <c r="H70" s="69"/>
      <c r="I70" s="69"/>
      <c r="J70" s="36" t="s">
        <v>142</v>
      </c>
      <c r="K70" s="40">
        <f>(IF(E62&gt;3,(I62/(E62+2)+K69),0))</f>
        <v>0</v>
      </c>
    </row>
    <row r="71" spans="1:13" ht="21" x14ac:dyDescent="0.35">
      <c r="A71" s="69" t="s">
        <v>141</v>
      </c>
      <c r="B71" s="69"/>
      <c r="C71" s="70">
        <v>0</v>
      </c>
      <c r="D71" s="70"/>
      <c r="E71" s="50">
        <f ca="1">((100/(I62))*C71)/100</f>
        <v>0</v>
      </c>
      <c r="F71" s="69"/>
      <c r="G71" s="69"/>
      <c r="H71" s="69"/>
      <c r="I71" s="69"/>
      <c r="J71" s="36" t="s">
        <v>143</v>
      </c>
      <c r="K71" s="39">
        <f>(IF(E62&gt;4,(I62/(E62+2)+K70),0))</f>
        <v>0</v>
      </c>
    </row>
    <row r="72" spans="1:13" ht="21" customHeight="1" x14ac:dyDescent="0.35">
      <c r="A72" s="69" t="s">
        <v>203</v>
      </c>
      <c r="B72" s="69"/>
      <c r="C72" s="70">
        <v>0</v>
      </c>
      <c r="D72" s="70"/>
      <c r="E72" s="50">
        <f ca="1">((100/I62)*C72)/100</f>
        <v>0</v>
      </c>
      <c r="F72" s="69"/>
      <c r="G72" s="69"/>
      <c r="H72" s="69"/>
      <c r="I72" s="69"/>
      <c r="J72" s="36" t="s">
        <v>129</v>
      </c>
      <c r="K72" s="39">
        <f ca="1">(IF(E62=1,(I62/(E62+3)+K67),IF(E62=0,(I62/4+K67),IF(E62&gt;1,0))))</f>
        <v>36.75</v>
      </c>
    </row>
    <row r="73" spans="1:13" ht="21.75" thickBot="1" x14ac:dyDescent="0.4">
      <c r="A73" s="69" t="s">
        <v>204</v>
      </c>
      <c r="B73" s="69"/>
      <c r="C73" s="70">
        <v>0</v>
      </c>
      <c r="D73" s="70"/>
      <c r="E73" s="50">
        <f ca="1">((100/I62)*C73)/100</f>
        <v>0</v>
      </c>
      <c r="F73" s="69"/>
      <c r="G73" s="69"/>
      <c r="H73" s="69"/>
      <c r="I73" s="69"/>
      <c r="J73" s="55" t="s">
        <v>130</v>
      </c>
      <c r="K73" s="41">
        <f ca="1">(IF(E62&gt;1.5,(I62/(E62+2)+K66+MAX(0,K67-K66)+MAX(0,K68-K67)+MAX(0,K69-K68)+MAX(0,K70-K69)+MAX(0,K71-K70)),IF(E62=1,(I62/(E62+3)+K72),IF(E62=0,I62/4+K72))))</f>
        <v>49</v>
      </c>
      <c r="M73" s="1" t="e">
        <f>(IF(D61&gt;1.5,(H61/(D61+2)+J66+MAX(0,J67-J66)+MAX(0,J68-J67)+MAX(0,J69-J68)+MAX(0,J70-J69)+MAX(0,J71-J70)),IF(D61=1,(H61/(D61+3)+J71),IF(D61=0,H61*0.3+J71))))</f>
        <v>#VALUE!</v>
      </c>
    </row>
    <row r="74" spans="1:13" ht="20.25" x14ac:dyDescent="0.25">
      <c r="A74" s="69" t="s">
        <v>144</v>
      </c>
      <c r="B74" s="69"/>
      <c r="C74" s="70">
        <v>0</v>
      </c>
      <c r="D74" s="70"/>
      <c r="E74" s="50">
        <f ca="1">((100/(I62))*C74)/100</f>
        <v>0</v>
      </c>
      <c r="F74" s="69"/>
      <c r="G74" s="69"/>
      <c r="H74" s="69"/>
      <c r="I74" s="69"/>
    </row>
    <row r="75" spans="1:13" ht="20.25" x14ac:dyDescent="0.25">
      <c r="A75" s="69" t="s">
        <v>145</v>
      </c>
      <c r="B75" s="69"/>
      <c r="C75" s="70">
        <v>0</v>
      </c>
      <c r="D75" s="70"/>
      <c r="E75" s="50">
        <f ca="1">((100/(I62))*C75)/100</f>
        <v>0</v>
      </c>
      <c r="F75" s="69"/>
      <c r="G75" s="69"/>
      <c r="H75" s="69"/>
      <c r="I75" s="69"/>
    </row>
    <row r="76" spans="1:13" ht="21" thickBot="1" x14ac:dyDescent="0.3">
      <c r="A76" s="85" t="s">
        <v>67</v>
      </c>
      <c r="B76" s="85"/>
      <c r="C76" s="85"/>
      <c r="D76" s="85"/>
      <c r="E76" s="85"/>
      <c r="F76" s="85"/>
      <c r="G76" s="85"/>
      <c r="H76" s="85"/>
      <c r="I76" s="85"/>
    </row>
    <row r="77" spans="1:13" ht="20.25" customHeight="1" x14ac:dyDescent="0.3">
      <c r="A77" s="86" t="str">
        <f>CONCATENATE((IF(OR(A45="",A45="NA"),"",A45))," - ",(IF(OR(E45="",E45="NA"),"",E45))," ")</f>
        <v xml:space="preserve">J Wing   - Gr + 1 Retail + 1st + 2nd to 7th Podium/Resi + 8th to 53rd Floor </v>
      </c>
      <c r="B77" s="86"/>
      <c r="C77" s="86"/>
      <c r="D77" s="87" t="s">
        <v>4</v>
      </c>
      <c r="E77" s="51" t="s">
        <v>118</v>
      </c>
      <c r="F77" s="70" t="s">
        <v>104</v>
      </c>
      <c r="G77" s="70"/>
      <c r="H77" s="51" t="s">
        <v>119</v>
      </c>
      <c r="I77" s="51" t="s">
        <v>120</v>
      </c>
      <c r="J77" s="52" t="str">
        <f ca="1">(IF(F80&gt;99%,"All work completed. Please provide OC.",IF(F80&gt;89.8%,"Plinth, RCC, Brick, Plaster, Flooring, Wooden, Plumbing, Electrification, etc., work Completed. Finishing work is in process.",IF(F80&lt;94%,(IF(C80=0,"Work not yet Started.",IF(E80=25%,"Piling work in process",IF(E80=50%,"Excavation work in process",IF(E80=100%,"Excavation work Completed. ","0")))&amp;(IF(C81=0%,"",IF(C81=K82,"Footing work is process",IF(C81=K83,"Footing work Completed",IF(C81=K84,"1st Basement Completed",IF(C81=K85,"1st &amp; 2nd Basement Completed",IF(C81=K86,"1st to 3rd Basement Completed",IF(C81=K87,"1st to 4th Basement Completed",IF(C81=K88,"Plinth work is process",IF(C81=K89,"Plinth work completed","0")))))))))))&amp;(IF(C82=(F78+H78+I78),", RCC Slab",IF(C82&gt;0,", RCC upto "&amp;C82&amp;" Slab",""))&amp;(IF(C83=I78,", Brickwork",IF(C83&gt;0,", Brickwork upto "&amp;C83&amp;" Floor",""))&amp;(IF(C84=I78,", Internal Plaster",IF(C84&gt;0,", Internal Plaster upto "&amp;C84&amp;" Floor",""))&amp;(IF(C85=I78,", External Plaster",IF(C85&gt;0,", External Plaster upto "&amp;C85&amp;" Floor",""))&amp;(IF(C86=I78,", External Plumbing, Elevation and Waterproofing",IF(C86&gt;0,", External Plumbing, Elevation and Waterproofing upto "&amp;C86&amp;" Floor",""))&amp;(IF(C87=I78,", Flooring &amp; Fitting",IF(C87&gt;0,", Flooring &amp; Fitting upto "&amp;C87&amp;" Floor",""))&amp;(IF(C88=I78,", Wooden Work",IF(C88&gt;0,", Wooden Work upto "&amp;C88&amp;" Floor",""))&amp;(IF(C89=I78,", Electrical &amp; Sanitary fittings",IF(C89&gt;0,", Electrical &amp; Sanitary fittings upto "&amp;C89&amp;" Floor",""))&amp;(IF(C90&gt;0,", Finishing upto "&amp;C90&amp;" Floor","")&amp;(IF(C82&gt;0.5," Completed",""))))))))))))))))</f>
        <v>Excavation work Completed. Plinth work completed, RCC Slab, Brickwork, Internal Plaster upto 51 Floor, External Plaster upto 50 Floor, External Plumbing, Elevation and Waterproofing upto 17 Floor, Flooring &amp; Fitting upto 15 Floor Completed</v>
      </c>
      <c r="K77" s="34"/>
    </row>
    <row r="78" spans="1:13" ht="40.5" customHeight="1" x14ac:dyDescent="0.3">
      <c r="A78" s="86"/>
      <c r="B78" s="86"/>
      <c r="C78" s="86"/>
      <c r="D78" s="87"/>
      <c r="E78" s="51">
        <v>0</v>
      </c>
      <c r="F78" s="70">
        <v>2</v>
      </c>
      <c r="G78" s="70"/>
      <c r="H78" s="51">
        <v>0</v>
      </c>
      <c r="I78" s="51">
        <f ca="1">--TRIM(RIGHT(SUBSTITUTE(LEFT(A77,_xlfn.AGGREGATE(16,6,FIND({0,1,2,3,4,5,6,7,8,9},A77,ROW(INDIRECT("1:"&amp;LEN(A77)))),1))," ",REPT(" ",LEN(A77))),LEN(A77)))</f>
        <v>53</v>
      </c>
      <c r="J78" s="53" t="s">
        <v>124</v>
      </c>
      <c r="K78" s="34"/>
    </row>
    <row r="79" spans="1:13" ht="20.25" customHeight="1" x14ac:dyDescent="0.3">
      <c r="A79" s="68" t="s">
        <v>122</v>
      </c>
      <c r="B79" s="68"/>
      <c r="C79" s="68" t="s">
        <v>132</v>
      </c>
      <c r="D79" s="68"/>
      <c r="E79" s="49" t="s">
        <v>133</v>
      </c>
      <c r="F79" s="68" t="s">
        <v>123</v>
      </c>
      <c r="G79" s="68"/>
      <c r="H79" s="42" t="s">
        <v>121</v>
      </c>
      <c r="I79" s="42"/>
      <c r="J79" s="36" t="s">
        <v>134</v>
      </c>
      <c r="K79" s="35">
        <f ca="1">I78*25%</f>
        <v>13.25</v>
      </c>
    </row>
    <row r="80" spans="1:13" ht="20.25" customHeight="1" x14ac:dyDescent="0.3">
      <c r="A80" s="69" t="s">
        <v>135</v>
      </c>
      <c r="B80" s="69"/>
      <c r="C80" s="70">
        <f ca="1">K81</f>
        <v>53</v>
      </c>
      <c r="D80" s="70"/>
      <c r="E80" s="50">
        <f ca="1">((100/I78)*C80)/100</f>
        <v>1</v>
      </c>
      <c r="F80" s="69">
        <f ca="1">(((C80/I78*5)+(C81/I78*20)+(25/(F78+H78+I78)*C82)+(5/(I78)*C83)+(2.5/(I78)*C84)+(2.5/(I78)*C85)+(5/I78*C86)+(10/I78*C87)+(2.5/I78*C88)+(2.5/I78*C89)+(10/I78*C90)+(10/I78*C91))/100)</f>
        <v>0.64198113207547181</v>
      </c>
      <c r="G80" s="69"/>
      <c r="H80" s="69" t="str">
        <f ca="1">J77</f>
        <v>Excavation work Completed. Plinth work completed, RCC Slab, Brickwork, Internal Plaster upto 51 Floor, External Plaster upto 50 Floor, External Plumbing, Elevation and Waterproofing upto 17 Floor, Flooring &amp; Fitting upto 15 Floor Completed</v>
      </c>
      <c r="I80" s="69"/>
      <c r="J80" s="36" t="s">
        <v>125</v>
      </c>
      <c r="K80" s="54">
        <f ca="1">I78*50%</f>
        <v>26.5</v>
      </c>
    </row>
    <row r="81" spans="1:13" ht="20.25" x14ac:dyDescent="0.3">
      <c r="A81" s="69" t="s">
        <v>105</v>
      </c>
      <c r="B81" s="69"/>
      <c r="C81" s="71">
        <f ca="1">K89</f>
        <v>53</v>
      </c>
      <c r="D81" s="70"/>
      <c r="E81" s="50">
        <f ca="1">((100/I78)*C81)/100</f>
        <v>1</v>
      </c>
      <c r="F81" s="69"/>
      <c r="G81" s="69"/>
      <c r="H81" s="69"/>
      <c r="I81" s="69"/>
      <c r="J81" s="36" t="s">
        <v>126</v>
      </c>
      <c r="K81" s="54">
        <f ca="1">I78</f>
        <v>53</v>
      </c>
    </row>
    <row r="82" spans="1:13" ht="21" customHeight="1" x14ac:dyDescent="0.35">
      <c r="A82" s="69" t="s">
        <v>136</v>
      </c>
      <c r="B82" s="69"/>
      <c r="C82" s="70">
        <v>55</v>
      </c>
      <c r="D82" s="70"/>
      <c r="E82" s="50">
        <f ca="1">((100/(F78+H78+I78))*C82)/100</f>
        <v>1</v>
      </c>
      <c r="F82" s="69"/>
      <c r="G82" s="69"/>
      <c r="H82" s="69"/>
      <c r="I82" s="69"/>
      <c r="J82" s="36" t="s">
        <v>127</v>
      </c>
      <c r="K82" s="39">
        <f ca="1">(IF(E78&gt;1,(I78/(E78+2)),I78/4))</f>
        <v>13.25</v>
      </c>
    </row>
    <row r="83" spans="1:13" ht="21" customHeight="1" x14ac:dyDescent="0.35">
      <c r="A83" s="69" t="s">
        <v>137</v>
      </c>
      <c r="B83" s="69"/>
      <c r="C83" s="70">
        <f>C82-2</f>
        <v>53</v>
      </c>
      <c r="D83" s="70"/>
      <c r="E83" s="50">
        <f ca="1">((100/I78)*C83)/100</f>
        <v>1</v>
      </c>
      <c r="F83" s="69"/>
      <c r="G83" s="69"/>
      <c r="H83" s="69"/>
      <c r="I83" s="69"/>
      <c r="J83" s="36" t="s">
        <v>128</v>
      </c>
      <c r="K83" s="39">
        <f ca="1">(IF(E78&gt;1,(I78/(E78+2)+K82),I78/4+K82))</f>
        <v>26.5</v>
      </c>
    </row>
    <row r="84" spans="1:13" ht="21" customHeight="1" x14ac:dyDescent="0.35">
      <c r="A84" s="72" t="s">
        <v>138</v>
      </c>
      <c r="B84" s="73"/>
      <c r="C84" s="71">
        <v>51</v>
      </c>
      <c r="D84" s="71"/>
      <c r="E84" s="50">
        <f ca="1">((100/I78)*C84)/100</f>
        <v>0.96226415094339623</v>
      </c>
      <c r="F84" s="69"/>
      <c r="G84" s="69"/>
      <c r="H84" s="69"/>
      <c r="I84" s="69"/>
      <c r="J84" s="36" t="s">
        <v>139</v>
      </c>
      <c r="K84" s="39">
        <f>(IF(E78&gt;1,(I78/(E78+2)+K83),0))</f>
        <v>0</v>
      </c>
    </row>
    <row r="85" spans="1:13" ht="21" customHeight="1" x14ac:dyDescent="0.35">
      <c r="A85" s="72" t="s">
        <v>201</v>
      </c>
      <c r="B85" s="73"/>
      <c r="C85" s="71">
        <v>50</v>
      </c>
      <c r="D85" s="71"/>
      <c r="E85" s="50">
        <f ca="1">((100/I78)*C85)/100</f>
        <v>0.94339622641509435</v>
      </c>
      <c r="F85" s="69"/>
      <c r="G85" s="69"/>
      <c r="H85" s="69"/>
      <c r="I85" s="69"/>
      <c r="J85" s="36" t="s">
        <v>140</v>
      </c>
      <c r="K85" s="39">
        <f>(IF(E78&gt;2,(I78/(E78+2)+K84),0))</f>
        <v>0</v>
      </c>
    </row>
    <row r="86" spans="1:13" ht="57.75" customHeight="1" x14ac:dyDescent="0.35">
      <c r="A86" s="72" t="s">
        <v>202</v>
      </c>
      <c r="B86" s="73"/>
      <c r="C86" s="70">
        <v>17</v>
      </c>
      <c r="D86" s="70"/>
      <c r="E86" s="50">
        <f ca="1">((100/(I78))*C86)/100</f>
        <v>0.32075471698113206</v>
      </c>
      <c r="F86" s="69"/>
      <c r="G86" s="69"/>
      <c r="H86" s="69"/>
      <c r="I86" s="69"/>
      <c r="J86" s="36" t="s">
        <v>142</v>
      </c>
      <c r="K86" s="40">
        <f>(IF(E78&gt;3,(I78/(E78+2)+K85),0))</f>
        <v>0</v>
      </c>
    </row>
    <row r="87" spans="1:13" ht="21" x14ac:dyDescent="0.35">
      <c r="A87" s="69" t="s">
        <v>141</v>
      </c>
      <c r="B87" s="69"/>
      <c r="C87" s="70">
        <v>15</v>
      </c>
      <c r="D87" s="70"/>
      <c r="E87" s="50">
        <f ca="1">((100/(I78))*C87)/100</f>
        <v>0.28301886792452829</v>
      </c>
      <c r="F87" s="69"/>
      <c r="G87" s="69"/>
      <c r="H87" s="69"/>
      <c r="I87" s="69"/>
      <c r="J87" s="36" t="s">
        <v>143</v>
      </c>
      <c r="K87" s="39">
        <f>(IF(E78&gt;4,(I78/(E78+2)+K86),0))</f>
        <v>0</v>
      </c>
    </row>
    <row r="88" spans="1:13" ht="21" customHeight="1" x14ac:dyDescent="0.35">
      <c r="A88" s="69" t="s">
        <v>203</v>
      </c>
      <c r="B88" s="69"/>
      <c r="C88" s="70">
        <v>0</v>
      </c>
      <c r="D88" s="70"/>
      <c r="E88" s="50">
        <f ca="1">((100/I78)*C88)/100</f>
        <v>0</v>
      </c>
      <c r="F88" s="69"/>
      <c r="G88" s="69"/>
      <c r="H88" s="69"/>
      <c r="I88" s="69"/>
      <c r="J88" s="36" t="s">
        <v>129</v>
      </c>
      <c r="K88" s="39">
        <f ca="1">(IF(E78=1,(I78/(E78+3)+K83),IF(E78=0,(I78/4+K83),IF(E78&gt;1,0))))</f>
        <v>39.75</v>
      </c>
    </row>
    <row r="89" spans="1:13" ht="21.75" thickBot="1" x14ac:dyDescent="0.4">
      <c r="A89" s="69" t="s">
        <v>204</v>
      </c>
      <c r="B89" s="69"/>
      <c r="C89" s="70">
        <v>0</v>
      </c>
      <c r="D89" s="70"/>
      <c r="E89" s="50">
        <f ca="1">((100/I78)*C89)/100</f>
        <v>0</v>
      </c>
      <c r="F89" s="69"/>
      <c r="G89" s="69"/>
      <c r="H89" s="69"/>
      <c r="I89" s="69"/>
      <c r="J89" s="55" t="s">
        <v>130</v>
      </c>
      <c r="K89" s="41">
        <f ca="1">(IF(E78&gt;1.5,(I78/(E78+2)+K82+MAX(0,K83-K82)+MAX(0,K84-K83)+MAX(0,K85-K84)+MAX(0,K86-K85)+MAX(0,K87-K86)),IF(E78=1,(I78/(E78+3)+K88),IF(E78=0,I78/4+K88))))</f>
        <v>53</v>
      </c>
      <c r="M89" s="1" t="e">
        <f>(IF(D77&gt;1.5,(H77/(D77+2)+J82+MAX(0,J83-J82)+MAX(0,J84-J83)+MAX(0,J85-J84)+MAX(0,J86-J85)+MAX(0,J87-J86)),IF(D77=1,(H77/(D77+3)+J87),IF(D77=0,H77*0.3+J87))))</f>
        <v>#VALUE!</v>
      </c>
    </row>
    <row r="90" spans="1:13" ht="20.25" x14ac:dyDescent="0.25">
      <c r="A90" s="69" t="s">
        <v>144</v>
      </c>
      <c r="B90" s="69"/>
      <c r="C90" s="70">
        <v>0</v>
      </c>
      <c r="D90" s="70"/>
      <c r="E90" s="50">
        <f ca="1">((100/(I78))*C90)/100</f>
        <v>0</v>
      </c>
      <c r="F90" s="69"/>
      <c r="G90" s="69"/>
      <c r="H90" s="69"/>
      <c r="I90" s="69"/>
    </row>
    <row r="91" spans="1:13" ht="20.25" x14ac:dyDescent="0.25">
      <c r="A91" s="69" t="s">
        <v>145</v>
      </c>
      <c r="B91" s="69"/>
      <c r="C91" s="70">
        <v>0</v>
      </c>
      <c r="D91" s="70"/>
      <c r="E91" s="50">
        <f ca="1">((100/(I78))*C91)/100</f>
        <v>0</v>
      </c>
      <c r="F91" s="69"/>
      <c r="G91" s="69"/>
      <c r="H91" s="69"/>
      <c r="I91" s="69"/>
    </row>
    <row r="92" spans="1:13" ht="21" thickBot="1" x14ac:dyDescent="0.3">
      <c r="A92" s="85" t="s">
        <v>67</v>
      </c>
      <c r="B92" s="85"/>
      <c r="C92" s="85"/>
      <c r="D92" s="85"/>
      <c r="E92" s="85"/>
      <c r="F92" s="85"/>
      <c r="G92" s="85"/>
      <c r="H92" s="85"/>
      <c r="I92" s="85"/>
    </row>
    <row r="93" spans="1:13" ht="20.25" customHeight="1" x14ac:dyDescent="0.3">
      <c r="A93" s="86" t="str">
        <f>CONCATENATE((IF(OR(A46="",A46="NA"),"",A46)),"- ",(IF(OR(E46="",E46="NA"),"",E46))," ")</f>
        <v xml:space="preserve">K Wing  - Gr + 1 Retail + 1st + 2nd to 7th Podium/Resi + 8th to 53rd Floor </v>
      </c>
      <c r="B93" s="86"/>
      <c r="C93" s="86"/>
      <c r="D93" s="87" t="s">
        <v>4</v>
      </c>
      <c r="E93" s="51" t="s">
        <v>118</v>
      </c>
      <c r="F93" s="70" t="s">
        <v>104</v>
      </c>
      <c r="G93" s="70"/>
      <c r="H93" s="51" t="s">
        <v>119</v>
      </c>
      <c r="I93" s="51" t="s">
        <v>120</v>
      </c>
      <c r="J93" s="52" t="str">
        <f ca="1">(IF(F96&gt;99%,"All work completed. Please provide OC.",IF(F96&gt;89.8%,"Plinth, RCC, Brick, Plaster, Flooring, Wooden, Plumbing, Electrification, etc., work Completed. Finishing work is in process.",IF(F96&lt;94%,(IF(C96=0,"Work not yet Started.",IF(E96=25%,"Piling work in process",IF(E96=50%,"Excavation work in process",IF(E96=100%,"Excavation work Completed. ","0")))&amp;(IF(C97=0%,"",IF(C97=K98,"Footing work is process",IF(C97=K99,"Footing work Completed",IF(C97=K100,"1st Basement Completed",IF(C97=K101,"1st &amp; 2nd Basement Completed",IF(C97=K102,"1st to 3rd Basement Completed",IF(C97=K103,"1st to 4th Basement Completed",IF(C97=K104,"Plinth work is process",IF(C97=K105,"Plinth work completed","0")))))))))))&amp;(IF(C98=(F94+H94+I94),", RCC Slab",IF(C98&gt;0,", RCC upto "&amp;C98&amp;" Slab",""))&amp;(IF(C99=I94,", Brickwork",IF(C99&gt;0,", Brickwork upto "&amp;C99&amp;" Floor",""))&amp;(IF(C100=I94,", Internal Plaster",IF(C100&gt;0,", Internal Plaster upto "&amp;C100&amp;" Floor",""))&amp;(IF(C101=I94,", External Plaster",IF(C101&gt;0,", External Plaster upto "&amp;C101&amp;" Floor",""))&amp;(IF(C102=I94,", External Plumbing, Elevation and Waterproofing",IF(C102&gt;0,", External Plumbing, Elevation and Waterproofing upto "&amp;C102&amp;" Floor",""))&amp;(IF(C103=I94,", Flooring &amp; Fitting",IF(C103&gt;0,", Flooring &amp; Fitting upto "&amp;C103&amp;" Floor",""))&amp;(IF(C104=I94,", Wooden Work",IF(C104&gt;0,", Wooden Work upto "&amp;C104&amp;" Floor",""))&amp;(IF(C105=I94,", Electrical &amp; Sanitary fittings",IF(C105&gt;0,", Electrical &amp; Sanitary fittings upto "&amp;C105&amp;" Floor",""))&amp;(IF(C106&gt;0,", Finishing upto "&amp;C106&amp;" Floor","")&amp;(IF(C98&gt;0.5," Completed",""))))))))))))))))</f>
        <v>Excavation work Completed. Plinth work completed, RCC upto 53 Slab, Brickwork upto 51 Floor, Internal Plaster upto 46 Floor, External Plaster upto 43 Floor, External Plumbing, Elevation and Waterproofing upto 17 Floor, Flooring &amp; Fitting upto 16 Floor Completed</v>
      </c>
      <c r="K93" s="34"/>
    </row>
    <row r="94" spans="1:13" ht="41.25" customHeight="1" x14ac:dyDescent="0.3">
      <c r="A94" s="86"/>
      <c r="B94" s="86"/>
      <c r="C94" s="86"/>
      <c r="D94" s="87"/>
      <c r="E94" s="51">
        <v>0</v>
      </c>
      <c r="F94" s="70">
        <v>2</v>
      </c>
      <c r="G94" s="70"/>
      <c r="H94" s="51">
        <v>0</v>
      </c>
      <c r="I94" s="51">
        <f ca="1">--TRIM(RIGHT(SUBSTITUTE(LEFT(A93,_xlfn.AGGREGATE(16,6,FIND({0,1,2,3,4,5,6,7,8,9},A93,ROW(INDIRECT("1:"&amp;LEN(A93)))),1))," ",REPT(" ",LEN(A93))),LEN(A93)))</f>
        <v>53</v>
      </c>
      <c r="J94" s="53" t="s">
        <v>124</v>
      </c>
      <c r="K94" s="34"/>
    </row>
    <row r="95" spans="1:13" ht="20.25" customHeight="1" x14ac:dyDescent="0.3">
      <c r="A95" s="68" t="s">
        <v>122</v>
      </c>
      <c r="B95" s="68"/>
      <c r="C95" s="68" t="s">
        <v>132</v>
      </c>
      <c r="D95" s="68"/>
      <c r="E95" s="49" t="s">
        <v>133</v>
      </c>
      <c r="F95" s="68" t="s">
        <v>123</v>
      </c>
      <c r="G95" s="68"/>
      <c r="H95" s="42" t="s">
        <v>121</v>
      </c>
      <c r="I95" s="42"/>
      <c r="J95" s="36" t="s">
        <v>134</v>
      </c>
      <c r="K95" s="35">
        <f ca="1">I94*25%</f>
        <v>13.25</v>
      </c>
    </row>
    <row r="96" spans="1:13" ht="20.25" customHeight="1" x14ac:dyDescent="0.3">
      <c r="A96" s="69" t="s">
        <v>135</v>
      </c>
      <c r="B96" s="69"/>
      <c r="C96" s="70">
        <f ca="1">K97</f>
        <v>53</v>
      </c>
      <c r="D96" s="70"/>
      <c r="E96" s="50">
        <f ca="1">((100/I94)*C96)/100</f>
        <v>1</v>
      </c>
      <c r="F96" s="69">
        <f ca="1">(((C96/I94*5)+(C97/I94*20)+(25/(F94+H94+I94)*C98)+(5/(I94)*C99)+(2.5/(I94)*C100)+(2.5/(I94)*C101)+(5/I94*C102)+(10/I94*C103)+(2.5/I94*C104)+(2.5/I94*C105)+(10/I94*C106)+(10/I94*C107))/100)</f>
        <v>0.62722984562607209</v>
      </c>
      <c r="G96" s="69"/>
      <c r="H96" s="69" t="str">
        <f ca="1">J93</f>
        <v>Excavation work Completed. Plinth work completed, RCC upto 53 Slab, Brickwork upto 51 Floor, Internal Plaster upto 46 Floor, External Plaster upto 43 Floor, External Plumbing, Elevation and Waterproofing upto 17 Floor, Flooring &amp; Fitting upto 16 Floor Completed</v>
      </c>
      <c r="I96" s="69"/>
      <c r="J96" s="36" t="s">
        <v>125</v>
      </c>
      <c r="K96" s="54">
        <f ca="1">I94*50%</f>
        <v>26.5</v>
      </c>
    </row>
    <row r="97" spans="1:13" ht="20.25" x14ac:dyDescent="0.3">
      <c r="A97" s="69" t="s">
        <v>105</v>
      </c>
      <c r="B97" s="69"/>
      <c r="C97" s="71">
        <f ca="1">K105</f>
        <v>53</v>
      </c>
      <c r="D97" s="70"/>
      <c r="E97" s="50">
        <f ca="1">((100/I94)*C97)/100</f>
        <v>1</v>
      </c>
      <c r="F97" s="69"/>
      <c r="G97" s="69"/>
      <c r="H97" s="69"/>
      <c r="I97" s="69"/>
      <c r="J97" s="36" t="s">
        <v>126</v>
      </c>
      <c r="K97" s="54">
        <f ca="1">I94</f>
        <v>53</v>
      </c>
    </row>
    <row r="98" spans="1:13" ht="21" customHeight="1" x14ac:dyDescent="0.35">
      <c r="A98" s="69" t="s">
        <v>136</v>
      </c>
      <c r="B98" s="69"/>
      <c r="C98" s="70">
        <v>53</v>
      </c>
      <c r="D98" s="70"/>
      <c r="E98" s="50">
        <f ca="1">((100/(F94+H94+I94))*C98)/100</f>
        <v>0.96363636363636362</v>
      </c>
      <c r="F98" s="69"/>
      <c r="G98" s="69"/>
      <c r="H98" s="69"/>
      <c r="I98" s="69"/>
      <c r="J98" s="36" t="s">
        <v>127</v>
      </c>
      <c r="K98" s="39">
        <f ca="1">(IF(E94&gt;1,(I94/(E94+2)),I94/4))</f>
        <v>13.25</v>
      </c>
    </row>
    <row r="99" spans="1:13" ht="21" customHeight="1" x14ac:dyDescent="0.35">
      <c r="A99" s="69" t="s">
        <v>137</v>
      </c>
      <c r="B99" s="69"/>
      <c r="C99" s="70">
        <f>C98-2</f>
        <v>51</v>
      </c>
      <c r="D99" s="70"/>
      <c r="E99" s="50">
        <f ca="1">((100/I94)*C99)/100</f>
        <v>0.96226415094339623</v>
      </c>
      <c r="F99" s="69"/>
      <c r="G99" s="69"/>
      <c r="H99" s="69"/>
      <c r="I99" s="69"/>
      <c r="J99" s="36" t="s">
        <v>128</v>
      </c>
      <c r="K99" s="39">
        <f ca="1">(IF(E94&gt;1,(I94/(E94+2)+K98),I94/4+K98))</f>
        <v>26.5</v>
      </c>
    </row>
    <row r="100" spans="1:13" ht="21" customHeight="1" x14ac:dyDescent="0.35">
      <c r="A100" s="72" t="s">
        <v>138</v>
      </c>
      <c r="B100" s="73"/>
      <c r="C100" s="71">
        <v>46</v>
      </c>
      <c r="D100" s="71"/>
      <c r="E100" s="50">
        <f ca="1">((100/I94)*C100)/100</f>
        <v>0.86792452830188682</v>
      </c>
      <c r="F100" s="69"/>
      <c r="G100" s="69"/>
      <c r="H100" s="69"/>
      <c r="I100" s="69"/>
      <c r="J100" s="36" t="s">
        <v>139</v>
      </c>
      <c r="K100" s="39">
        <f>(IF(E94&gt;1,(I94/(E94+2)+K99),0))</f>
        <v>0</v>
      </c>
    </row>
    <row r="101" spans="1:13" ht="21" customHeight="1" x14ac:dyDescent="0.35">
      <c r="A101" s="72" t="s">
        <v>201</v>
      </c>
      <c r="B101" s="73"/>
      <c r="C101" s="71">
        <v>43</v>
      </c>
      <c r="D101" s="71"/>
      <c r="E101" s="50">
        <f ca="1">((100/I94)*C101)/100</f>
        <v>0.81132075471698117</v>
      </c>
      <c r="F101" s="69"/>
      <c r="G101" s="69"/>
      <c r="H101" s="69"/>
      <c r="I101" s="69"/>
      <c r="J101" s="36" t="s">
        <v>140</v>
      </c>
      <c r="K101" s="39">
        <f>(IF(E94&gt;2,(I94/(E94+2)+K100),0))</f>
        <v>0</v>
      </c>
    </row>
    <row r="102" spans="1:13" ht="57.75" customHeight="1" x14ac:dyDescent="0.35">
      <c r="A102" s="72" t="s">
        <v>202</v>
      </c>
      <c r="B102" s="73"/>
      <c r="C102" s="70">
        <v>17</v>
      </c>
      <c r="D102" s="70"/>
      <c r="E102" s="50">
        <f ca="1">((100/(I94))*C102)/100</f>
        <v>0.32075471698113206</v>
      </c>
      <c r="F102" s="69"/>
      <c r="G102" s="69"/>
      <c r="H102" s="69"/>
      <c r="I102" s="69"/>
      <c r="J102" s="36" t="s">
        <v>142</v>
      </c>
      <c r="K102" s="40">
        <f>(IF(E94&gt;3,(I94/(E94+2)+K101),0))</f>
        <v>0</v>
      </c>
    </row>
    <row r="103" spans="1:13" ht="21" x14ac:dyDescent="0.35">
      <c r="A103" s="69" t="s">
        <v>141</v>
      </c>
      <c r="B103" s="69"/>
      <c r="C103" s="70">
        <v>16</v>
      </c>
      <c r="D103" s="70"/>
      <c r="E103" s="50">
        <f ca="1">((100/(I94))*C103)/100</f>
        <v>0.30188679245283018</v>
      </c>
      <c r="F103" s="69"/>
      <c r="G103" s="69"/>
      <c r="H103" s="69"/>
      <c r="I103" s="69"/>
      <c r="J103" s="36" t="s">
        <v>143</v>
      </c>
      <c r="K103" s="39">
        <f>(IF(E94&gt;4,(I94/(E94+2)+K102),0))</f>
        <v>0</v>
      </c>
    </row>
    <row r="104" spans="1:13" ht="21" customHeight="1" x14ac:dyDescent="0.35">
      <c r="A104" s="69" t="s">
        <v>203</v>
      </c>
      <c r="B104" s="69"/>
      <c r="C104" s="70">
        <v>0</v>
      </c>
      <c r="D104" s="70"/>
      <c r="E104" s="50">
        <f ca="1">((100/I94)*C104)/100</f>
        <v>0</v>
      </c>
      <c r="F104" s="69"/>
      <c r="G104" s="69"/>
      <c r="H104" s="69"/>
      <c r="I104" s="69"/>
      <c r="J104" s="36" t="s">
        <v>129</v>
      </c>
      <c r="K104" s="39">
        <f ca="1">(IF(E94=1,(I94/(E94+3)+K99),IF(E94=0,(I94/4+K99),IF(E94&gt;1,0))))</f>
        <v>39.75</v>
      </c>
    </row>
    <row r="105" spans="1:13" ht="21.75" thickBot="1" x14ac:dyDescent="0.4">
      <c r="A105" s="69" t="s">
        <v>204</v>
      </c>
      <c r="B105" s="69"/>
      <c r="C105" s="70">
        <v>0</v>
      </c>
      <c r="D105" s="70"/>
      <c r="E105" s="50">
        <f ca="1">((100/I94)*C105)/100</f>
        <v>0</v>
      </c>
      <c r="F105" s="69"/>
      <c r="G105" s="69"/>
      <c r="H105" s="69"/>
      <c r="I105" s="69"/>
      <c r="J105" s="55" t="s">
        <v>130</v>
      </c>
      <c r="K105" s="41">
        <f ca="1">(IF(E94&gt;1.5,(I94/(E94+2)+K98+MAX(0,K99-K98)+MAX(0,K100-K99)+MAX(0,K101-K100)+MAX(0,K102-K101)+MAX(0,K103-K102)),IF(E94=1,(I94/(E94+3)+K104),IF(E94=0,I94/4+K104))))</f>
        <v>53</v>
      </c>
      <c r="M105" s="1" t="e">
        <f>(IF(D93&gt;1.5,(H93/(D93+2)+J98+MAX(0,J99-J98)+MAX(0,J100-J99)+MAX(0,J101-J100)+MAX(0,J102-J101)+MAX(0,J103-J102)),IF(D93=1,(H93/(D93+3)+J103),IF(D93=0,H93*0.3+J103))))</f>
        <v>#VALUE!</v>
      </c>
    </row>
    <row r="106" spans="1:13" ht="20.25" x14ac:dyDescent="0.25">
      <c r="A106" s="69" t="s">
        <v>144</v>
      </c>
      <c r="B106" s="69"/>
      <c r="C106" s="70">
        <v>0</v>
      </c>
      <c r="D106" s="70"/>
      <c r="E106" s="50">
        <f ca="1">((100/(I94))*C106)/100</f>
        <v>0</v>
      </c>
      <c r="F106" s="69"/>
      <c r="G106" s="69"/>
      <c r="H106" s="69"/>
      <c r="I106" s="69"/>
    </row>
    <row r="107" spans="1:13" ht="20.25" x14ac:dyDescent="0.25">
      <c r="A107" s="69" t="s">
        <v>145</v>
      </c>
      <c r="B107" s="69"/>
      <c r="C107" s="70">
        <v>0</v>
      </c>
      <c r="D107" s="70"/>
      <c r="E107" s="50">
        <f ca="1">((100/(I94))*C107)/100</f>
        <v>0</v>
      </c>
      <c r="F107" s="69"/>
      <c r="G107" s="69"/>
      <c r="H107" s="69"/>
      <c r="I107" s="69"/>
    </row>
    <row r="108" spans="1:13" ht="21" thickBot="1" x14ac:dyDescent="0.3">
      <c r="A108" s="85" t="s">
        <v>67</v>
      </c>
      <c r="B108" s="85"/>
      <c r="C108" s="85"/>
      <c r="D108" s="85"/>
      <c r="E108" s="85"/>
      <c r="F108" s="85"/>
      <c r="G108" s="85"/>
      <c r="H108" s="85"/>
      <c r="I108" s="85"/>
    </row>
    <row r="109" spans="1:13" ht="20.25" customHeight="1" x14ac:dyDescent="0.3">
      <c r="A109" s="86" t="str">
        <f>CONCATENATE((IF(OR(A47="",A47="NA"),"",A47)),"- ",(IF(OR(E47="",E47="NA"),"",E47))," ")</f>
        <v xml:space="preserve">L Wing  - Gr + 1 Retail + 1st + 2nd to 7th Podium/Resi + 8th to 53rd Floor </v>
      </c>
      <c r="B109" s="86"/>
      <c r="C109" s="86"/>
      <c r="D109" s="87" t="s">
        <v>4</v>
      </c>
      <c r="E109" s="51" t="s">
        <v>118</v>
      </c>
      <c r="F109" s="70" t="s">
        <v>104</v>
      </c>
      <c r="G109" s="70"/>
      <c r="H109" s="51" t="s">
        <v>119</v>
      </c>
      <c r="I109" s="51" t="s">
        <v>120</v>
      </c>
      <c r="J109" s="52" t="str">
        <f ca="1">(IF(F112&gt;99%,"All work completed. Please provide OC.",IF(F112&gt;89.8%,"Plinth, RCC, Brick, Plaster, Flooring, Wooden, Plumbing, Electrification, etc., work Completed. Finishing work is in process.",IF(F112&lt;94%,(IF(C112=0,"Work not yet Started.",IF(E112=25%,"Piling work in process",IF(E112=50%,"Excavation work in process",IF(E112=100%,"Excavation work Completed. ","0")))&amp;(IF(C113=0%,"",IF(C113=K114,"Footing work is process",IF(C113=K115,"Footing work Completed",IF(C113=K116,"1st Basement Completed",IF(C113=K117,"1st &amp; 2nd Basement Completed",IF(C113=K118,"1st to 3rd Basement Completed",IF(C113=K119,"1st to 4th Basement Completed",IF(C113=K120,"Plinth work is process",IF(C113=K121,"Plinth work completed","0")))))))))))&amp;(IF(C114=(F110+H110+I110),", RCC Slab",IF(C114&gt;0,", RCC upto "&amp;C114&amp;" Slab",""))&amp;(IF(C115=I110,", Brickwork",IF(C115&gt;0,", Brickwork upto "&amp;C115&amp;" Floor",""))&amp;(IF(C116=I110,", Internal Plaster",IF(C116&gt;0,", Internal Plaster upto "&amp;C116&amp;" Floor",""))&amp;(IF(C117=I110,", External Plaster",IF(C117&gt;0,", External Plaster upto "&amp;C117&amp;" Floor",""))&amp;(IF(C118=I110,", External Plumbing, Elevation and Waterproofing",IF(C118&gt;0,", External Plumbing, Elevation and Waterproofing upto "&amp;C118&amp;" Floor",""))&amp;(IF(C119=I110,", Flooring &amp; Fitting",IF(C119&gt;0,", Flooring &amp; Fitting upto "&amp;C119&amp;" Floor",""))&amp;(IF(C120=I110,", Wooden Work",IF(C120&gt;0,", Wooden Work upto "&amp;C120&amp;" Floor",""))&amp;(IF(C121=I110,", Electrical &amp; Sanitary fittings",IF(C121&gt;0,", Electrical &amp; Sanitary fittings upto "&amp;C121&amp;" Floor",""))&amp;(IF(C122&gt;0,", Finishing upto "&amp;C122&amp;" Floor","")&amp;(IF(C114&gt;0.5," Completed",""))))))))))))))))</f>
        <v>Excavation work Completed. Plinth work completed, RCC upto 20 Slab, Brickwork upto 18 Floor, Internal Plaster upto 14.4 Floor, External Plaster upto 14.4 Floor, External Plumbing, Elevation and Waterproofing upto 7 Floor Completed</v>
      </c>
      <c r="K109" s="34"/>
    </row>
    <row r="110" spans="1:13" ht="41.25" customHeight="1" x14ac:dyDescent="0.3">
      <c r="A110" s="86"/>
      <c r="B110" s="86"/>
      <c r="C110" s="86"/>
      <c r="D110" s="87"/>
      <c r="E110" s="51">
        <v>0</v>
      </c>
      <c r="F110" s="70">
        <v>2</v>
      </c>
      <c r="G110" s="70"/>
      <c r="H110" s="51">
        <v>0</v>
      </c>
      <c r="I110" s="51">
        <f ca="1">--TRIM(RIGHT(SUBSTITUTE(LEFT(A109,_xlfn.AGGREGATE(16,6,FIND({0,1,2,3,4,5,6,7,8,9},A109,ROW(INDIRECT("1:"&amp;LEN(A109)))),1))," ",REPT(" ",LEN(A109))),LEN(A109)))</f>
        <v>53</v>
      </c>
      <c r="J110" s="53" t="s">
        <v>124</v>
      </c>
      <c r="K110" s="34"/>
    </row>
    <row r="111" spans="1:13" ht="20.25" customHeight="1" x14ac:dyDescent="0.3">
      <c r="A111" s="68" t="s">
        <v>122</v>
      </c>
      <c r="B111" s="68"/>
      <c r="C111" s="68" t="s">
        <v>132</v>
      </c>
      <c r="D111" s="68"/>
      <c r="E111" s="49" t="s">
        <v>133</v>
      </c>
      <c r="F111" s="68" t="s">
        <v>123</v>
      </c>
      <c r="G111" s="68"/>
      <c r="H111" s="42" t="s">
        <v>121</v>
      </c>
      <c r="I111" s="42"/>
      <c r="J111" s="36" t="s">
        <v>134</v>
      </c>
      <c r="K111" s="35">
        <f ca="1">I110*25%</f>
        <v>13.25</v>
      </c>
    </row>
    <row r="112" spans="1:13" ht="20.25" customHeight="1" x14ac:dyDescent="0.3">
      <c r="A112" s="69" t="s">
        <v>135</v>
      </c>
      <c r="B112" s="69"/>
      <c r="C112" s="70">
        <f ca="1">K113</f>
        <v>53</v>
      </c>
      <c r="D112" s="70"/>
      <c r="E112" s="50">
        <f ca="1">((100/I110)*C112)/100</f>
        <v>1</v>
      </c>
      <c r="F112" s="69">
        <f ca="1">(((C112/I110*5)+(C113/I110*20)+(25/(F110+H110+I110)*C114)+(5/(I110)*C115)+(2.5/(I110)*C116)+(2.5/(I110)*C117)+(5/I110*C118)+(10/I110*C119)+(2.5/I110*C120)+(2.5/I110*C121)+(10/I110*C122)+(10/I110*C123))/100)</f>
        <v>0.37807890222984553</v>
      </c>
      <c r="G112" s="69"/>
      <c r="H112" s="69" t="str">
        <f ca="1">J109</f>
        <v>Excavation work Completed. Plinth work completed, RCC upto 20 Slab, Brickwork upto 18 Floor, Internal Plaster upto 14.4 Floor, External Plaster upto 14.4 Floor, External Plumbing, Elevation and Waterproofing upto 7 Floor Completed</v>
      </c>
      <c r="I112" s="69"/>
      <c r="J112" s="36" t="s">
        <v>125</v>
      </c>
      <c r="K112" s="54">
        <f ca="1">I110*50%</f>
        <v>26.5</v>
      </c>
    </row>
    <row r="113" spans="1:13" ht="20.25" x14ac:dyDescent="0.3">
      <c r="A113" s="69" t="s">
        <v>105</v>
      </c>
      <c r="B113" s="69"/>
      <c r="C113" s="71">
        <f ca="1">K121</f>
        <v>53</v>
      </c>
      <c r="D113" s="70"/>
      <c r="E113" s="50">
        <f ca="1">((100/I110)*C113)/100</f>
        <v>1</v>
      </c>
      <c r="F113" s="69"/>
      <c r="G113" s="69"/>
      <c r="H113" s="69"/>
      <c r="I113" s="69"/>
      <c r="J113" s="36" t="s">
        <v>126</v>
      </c>
      <c r="K113" s="54">
        <f ca="1">I110</f>
        <v>53</v>
      </c>
    </row>
    <row r="114" spans="1:13" ht="21" customHeight="1" x14ac:dyDescent="0.35">
      <c r="A114" s="69" t="s">
        <v>136</v>
      </c>
      <c r="B114" s="69"/>
      <c r="C114" s="70">
        <v>20</v>
      </c>
      <c r="D114" s="70"/>
      <c r="E114" s="50">
        <f ca="1">((100/(F110+H110+I110))*C114)/100</f>
        <v>0.36363636363636359</v>
      </c>
      <c r="F114" s="69"/>
      <c r="G114" s="69"/>
      <c r="H114" s="69"/>
      <c r="I114" s="69"/>
      <c r="J114" s="36" t="s">
        <v>127</v>
      </c>
      <c r="K114" s="39">
        <f ca="1">(IF(E110&gt;1,(I110/(E110+2)),I110/4))</f>
        <v>13.25</v>
      </c>
    </row>
    <row r="115" spans="1:13" ht="21" customHeight="1" x14ac:dyDescent="0.35">
      <c r="A115" s="69" t="s">
        <v>137</v>
      </c>
      <c r="B115" s="69"/>
      <c r="C115" s="70">
        <f>C114-F110</f>
        <v>18</v>
      </c>
      <c r="D115" s="70"/>
      <c r="E115" s="50">
        <f ca="1">((100/I110)*C115)/100</f>
        <v>0.339622641509434</v>
      </c>
      <c r="F115" s="69"/>
      <c r="G115" s="69"/>
      <c r="H115" s="69"/>
      <c r="I115" s="69"/>
      <c r="J115" s="36" t="s">
        <v>128</v>
      </c>
      <c r="K115" s="39">
        <f ca="1">(IF(E110&gt;1,(I110/(E110+2)+K114),I110/4+K114))</f>
        <v>26.5</v>
      </c>
    </row>
    <row r="116" spans="1:13" ht="21" customHeight="1" x14ac:dyDescent="0.35">
      <c r="A116" s="72" t="s">
        <v>138</v>
      </c>
      <c r="B116" s="73"/>
      <c r="C116" s="71">
        <f>C115*0.8</f>
        <v>14.4</v>
      </c>
      <c r="D116" s="71"/>
      <c r="E116" s="50">
        <f ca="1">((100/I110)*C116)/100</f>
        <v>0.27169811320754716</v>
      </c>
      <c r="F116" s="69"/>
      <c r="G116" s="69"/>
      <c r="H116" s="69"/>
      <c r="I116" s="69"/>
      <c r="J116" s="36" t="s">
        <v>139</v>
      </c>
      <c r="K116" s="39">
        <f>(IF(E110&gt;1,(I110/(E110+2)+K115),0))</f>
        <v>0</v>
      </c>
    </row>
    <row r="117" spans="1:13" ht="21" customHeight="1" x14ac:dyDescent="0.35">
      <c r="A117" s="72" t="s">
        <v>201</v>
      </c>
      <c r="B117" s="73"/>
      <c r="C117" s="71">
        <f>C115*0.8</f>
        <v>14.4</v>
      </c>
      <c r="D117" s="71"/>
      <c r="E117" s="50">
        <f ca="1">((100/I110)*C117)/100</f>
        <v>0.27169811320754716</v>
      </c>
      <c r="F117" s="69"/>
      <c r="G117" s="69"/>
      <c r="H117" s="69"/>
      <c r="I117" s="69"/>
      <c r="J117" s="36" t="s">
        <v>140</v>
      </c>
      <c r="K117" s="39">
        <f>(IF(E110&gt;2,(I110/(E110+2)+K116),0))</f>
        <v>0</v>
      </c>
    </row>
    <row r="118" spans="1:13" ht="57.75" customHeight="1" x14ac:dyDescent="0.35">
      <c r="A118" s="72" t="s">
        <v>202</v>
      </c>
      <c r="B118" s="73"/>
      <c r="C118" s="70">
        <v>7</v>
      </c>
      <c r="D118" s="70"/>
      <c r="E118" s="50">
        <f ca="1">((100/(I110))*C118)/100</f>
        <v>0.13207547169811321</v>
      </c>
      <c r="F118" s="69"/>
      <c r="G118" s="69"/>
      <c r="H118" s="69"/>
      <c r="I118" s="69"/>
      <c r="J118" s="36" t="s">
        <v>142</v>
      </c>
      <c r="K118" s="40">
        <f>(IF(E110&gt;3,(I110/(E110+2)+K117),0))</f>
        <v>0</v>
      </c>
    </row>
    <row r="119" spans="1:13" ht="21" x14ac:dyDescent="0.35">
      <c r="A119" s="69" t="s">
        <v>141</v>
      </c>
      <c r="B119" s="69"/>
      <c r="C119" s="70">
        <v>0</v>
      </c>
      <c r="D119" s="70"/>
      <c r="E119" s="50">
        <f ca="1">((100/(I110))*C119)/100</f>
        <v>0</v>
      </c>
      <c r="F119" s="69"/>
      <c r="G119" s="69"/>
      <c r="H119" s="69"/>
      <c r="I119" s="69"/>
      <c r="J119" s="36" t="s">
        <v>143</v>
      </c>
      <c r="K119" s="39">
        <f>(IF(E110&gt;4,(I110/(E110+2)+K118),0))</f>
        <v>0</v>
      </c>
    </row>
    <row r="120" spans="1:13" ht="21" customHeight="1" x14ac:dyDescent="0.35">
      <c r="A120" s="69" t="s">
        <v>203</v>
      </c>
      <c r="B120" s="69"/>
      <c r="C120" s="70">
        <v>0</v>
      </c>
      <c r="D120" s="70"/>
      <c r="E120" s="50">
        <f ca="1">((100/I110)*C120)/100</f>
        <v>0</v>
      </c>
      <c r="F120" s="69"/>
      <c r="G120" s="69"/>
      <c r="H120" s="69"/>
      <c r="I120" s="69"/>
      <c r="J120" s="36" t="s">
        <v>129</v>
      </c>
      <c r="K120" s="39">
        <f ca="1">(IF(E110=1,(I110/(E110+3)+K115),IF(E110=0,(I110/4+K115),IF(E110&gt;1,0))))</f>
        <v>39.75</v>
      </c>
    </row>
    <row r="121" spans="1:13" ht="21.75" thickBot="1" x14ac:dyDescent="0.4">
      <c r="A121" s="69" t="s">
        <v>204</v>
      </c>
      <c r="B121" s="69"/>
      <c r="C121" s="70">
        <v>0</v>
      </c>
      <c r="D121" s="70"/>
      <c r="E121" s="50">
        <f ca="1">((100/I110)*C121)/100</f>
        <v>0</v>
      </c>
      <c r="F121" s="69"/>
      <c r="G121" s="69"/>
      <c r="H121" s="69"/>
      <c r="I121" s="69"/>
      <c r="J121" s="55" t="s">
        <v>130</v>
      </c>
      <c r="K121" s="41">
        <f ca="1">(IF(E110&gt;1.5,(I110/(E110+2)+K114+MAX(0,K115-K114)+MAX(0,K116-K115)+MAX(0,K117-K116)+MAX(0,K118-K117)+MAX(0,K119-K118)),IF(E110=1,(I110/(E110+3)+K120),IF(E110=0,I110/4+K120))))</f>
        <v>53</v>
      </c>
      <c r="M121" s="1" t="e">
        <f>(IF(D109&gt;1.5,(H109/(D109+2)+J114+MAX(0,J115-J114)+MAX(0,J116-J115)+MAX(0,J117-J116)+MAX(0,J118-J117)+MAX(0,J119-J118)),IF(D109=1,(H109/(D109+3)+J119),IF(D109=0,H109*0.3+J119))))</f>
        <v>#VALUE!</v>
      </c>
    </row>
    <row r="122" spans="1:13" ht="20.25" x14ac:dyDescent="0.25">
      <c r="A122" s="69" t="s">
        <v>144</v>
      </c>
      <c r="B122" s="69"/>
      <c r="C122" s="70">
        <v>0</v>
      </c>
      <c r="D122" s="70"/>
      <c r="E122" s="50">
        <f ca="1">((100/(I110))*C122)/100</f>
        <v>0</v>
      </c>
      <c r="F122" s="69"/>
      <c r="G122" s="69"/>
      <c r="H122" s="69"/>
      <c r="I122" s="69"/>
    </row>
    <row r="123" spans="1:13" ht="20.25" x14ac:dyDescent="0.25">
      <c r="A123" s="69" t="s">
        <v>145</v>
      </c>
      <c r="B123" s="69"/>
      <c r="C123" s="70">
        <v>0</v>
      </c>
      <c r="D123" s="70"/>
      <c r="E123" s="50">
        <f ca="1">((100/(I110))*C123)/100</f>
        <v>0</v>
      </c>
      <c r="F123" s="69"/>
      <c r="G123" s="69"/>
      <c r="H123" s="69"/>
      <c r="I123" s="69"/>
    </row>
    <row r="124" spans="1:13" ht="21" thickBot="1" x14ac:dyDescent="0.3">
      <c r="A124" s="85" t="s">
        <v>67</v>
      </c>
      <c r="B124" s="85"/>
      <c r="C124" s="85"/>
      <c r="D124" s="85"/>
      <c r="E124" s="85"/>
      <c r="F124" s="85"/>
      <c r="G124" s="85"/>
      <c r="H124" s="85"/>
      <c r="I124" s="85"/>
    </row>
    <row r="125" spans="1:13" ht="20.25" customHeight="1" x14ac:dyDescent="0.3">
      <c r="A125" s="86" t="str">
        <f>CONCATENATE((IF(OR(A48="",A48="NA"),"",A48)),"- ",(IF(OR(E48="",E48="NA"),"",E48))," ")</f>
        <v xml:space="preserve">M Wing  - Gr + 1 Retail + 1st + 2nd to 7th Podium/Resi + 8th to 53rd Floor </v>
      </c>
      <c r="B125" s="86"/>
      <c r="C125" s="86"/>
      <c r="D125" s="87" t="s">
        <v>4</v>
      </c>
      <c r="E125" s="51" t="s">
        <v>118</v>
      </c>
      <c r="F125" s="70" t="s">
        <v>104</v>
      </c>
      <c r="G125" s="70"/>
      <c r="H125" s="51" t="s">
        <v>119</v>
      </c>
      <c r="I125" s="51" t="s">
        <v>120</v>
      </c>
      <c r="J125" s="52" t="str">
        <f ca="1">(IF(F128&gt;99%,"All work completed. Please provide OC.",IF(F128&gt;89.8%,"Plinth, RCC, Brick, Plaster, Flooring, Wooden, Plumbing, Electrification, etc., work Completed. Finishing work is in process.",IF(F128&lt;94%,(IF(C128=0,"Work not yet Started.",IF(E128=25%,"Piling work in process",IF(E128=50%,"Excavation work in process",IF(E128=100%,"Excavation work Completed. ","0")))&amp;(IF(C129=0%,"",IF(C129=K130,"Footing work is process",IF(C129=K131,"Footing work Completed",IF(C129=K132,"1st Basement Completed",IF(C129=K133,"1st &amp; 2nd Basement Completed",IF(C129=K134,"1st to 3rd Basement Completed",IF(C129=K135,"1st to 4th Basement Completed",IF(C129=K136,"Plinth work is process",IF(C129=K137,"Plinth work completed","0")))))))))))&amp;(IF(C130=(F126+H126+I126),", RCC Slab",IF(C130&gt;0,", RCC upto "&amp;C130&amp;" Slab",""))&amp;(IF(C131=I126,", Brickwork",IF(C131&gt;0,", Brickwork upto "&amp;C131&amp;" Floor",""))&amp;(IF(C132=I126,", Internal Plaster",IF(C132&gt;0,", Internal Plaster upto "&amp;C132&amp;" Floor",""))&amp;(IF(C133=I126,", External Plaster",IF(C133&gt;0,", External Plaster upto "&amp;C133&amp;" Floor",""))&amp;(IF(C134=I126,", External Plumbing, Elevation and Waterproofing",IF(C134&gt;0,", External Plumbing, Elevation and Waterproofing upto "&amp;C134&amp;" Floor",""))&amp;(IF(C135=I126,", Flooring &amp; Fitting",IF(C135&gt;0,", Flooring &amp; Fitting upto "&amp;C135&amp;" Floor",""))&amp;(IF(C136=I126,", Wooden Work",IF(C136&gt;0,", Wooden Work upto "&amp;C136&amp;" Floor",""))&amp;(IF(C137=I126,", Electrical &amp; Sanitary fittings",IF(C137&gt;0,", Electrical &amp; Sanitary fittings upto "&amp;C137&amp;" Floor",""))&amp;(IF(C138&gt;0,", Finishing upto "&amp;C138&amp;" Floor","")&amp;(IF(C130&gt;0.5," Completed",""))))))))))))))))</f>
        <v>Excavation work Completed. Plinth work completed, RCC upto 9 Slab, Brickwork upto 7 Floor, Internal Plaster upto 6.3 Floor, External Plaster upto 6.3 Floor, External Plumbing, Elevation and Waterproofing upto 6 Floor Completed</v>
      </c>
      <c r="K125" s="34"/>
    </row>
    <row r="126" spans="1:13" ht="42" customHeight="1" x14ac:dyDescent="0.3">
      <c r="A126" s="86"/>
      <c r="B126" s="86"/>
      <c r="C126" s="86"/>
      <c r="D126" s="87"/>
      <c r="E126" s="51">
        <v>0</v>
      </c>
      <c r="F126" s="70">
        <v>2</v>
      </c>
      <c r="G126" s="70"/>
      <c r="H126" s="51">
        <v>0</v>
      </c>
      <c r="I126" s="51">
        <f ca="1">--TRIM(RIGHT(SUBSTITUTE(LEFT(A125,_xlfn.AGGREGATE(16,6,FIND({0,1,2,3,4,5,6,7,8,9},A125,ROW(INDIRECT("1:"&amp;LEN(A125)))),1))," ",REPT(" ",LEN(A125))),LEN(A125)))</f>
        <v>53</v>
      </c>
      <c r="J126" s="53" t="s">
        <v>124</v>
      </c>
      <c r="K126" s="34"/>
    </row>
    <row r="127" spans="1:13" ht="20.25" customHeight="1" x14ac:dyDescent="0.3">
      <c r="A127" s="68" t="s">
        <v>122</v>
      </c>
      <c r="B127" s="68"/>
      <c r="C127" s="68" t="s">
        <v>132</v>
      </c>
      <c r="D127" s="68"/>
      <c r="E127" s="49" t="s">
        <v>133</v>
      </c>
      <c r="F127" s="68" t="s">
        <v>123</v>
      </c>
      <c r="G127" s="68"/>
      <c r="H127" s="42" t="s">
        <v>121</v>
      </c>
      <c r="I127" s="42"/>
      <c r="J127" s="36" t="s">
        <v>134</v>
      </c>
      <c r="K127" s="35">
        <f ca="1">I126*25%</f>
        <v>13.25</v>
      </c>
    </row>
    <row r="128" spans="1:13" ht="20.25" customHeight="1" x14ac:dyDescent="0.3">
      <c r="A128" s="69" t="s">
        <v>135</v>
      </c>
      <c r="B128" s="69"/>
      <c r="C128" s="70">
        <f ca="1">K129</f>
        <v>53</v>
      </c>
      <c r="D128" s="70"/>
      <c r="E128" s="50">
        <f ca="1">((100/I126)*C128)/100</f>
        <v>1</v>
      </c>
      <c r="F128" s="69">
        <f ca="1">(((C128/I126*5)+(C129/I126*20)+(25/(F126+H126+I126)*C130)+(5/(I126)*C131)+(2.5/(I126)*C132)+(2.5/(I126)*C133)+(5/I126*C134)+(10/I126*C135)+(2.5/I126*C136)+(2.5/I126*C137)+(10/I126*C138)+(10/I126*C139))/100)</f>
        <v>0.30911663807890222</v>
      </c>
      <c r="G128" s="69"/>
      <c r="H128" s="69" t="str">
        <f ca="1">J125</f>
        <v>Excavation work Completed. Plinth work completed, RCC upto 9 Slab, Brickwork upto 7 Floor, Internal Plaster upto 6.3 Floor, External Plaster upto 6.3 Floor, External Plumbing, Elevation and Waterproofing upto 6 Floor Completed</v>
      </c>
      <c r="I128" s="69"/>
      <c r="J128" s="36" t="s">
        <v>125</v>
      </c>
      <c r="K128" s="54">
        <f ca="1">I126*50%</f>
        <v>26.5</v>
      </c>
    </row>
    <row r="129" spans="1:13" ht="20.25" x14ac:dyDescent="0.3">
      <c r="A129" s="69" t="s">
        <v>105</v>
      </c>
      <c r="B129" s="69"/>
      <c r="C129" s="71">
        <f ca="1">K137</f>
        <v>53</v>
      </c>
      <c r="D129" s="70"/>
      <c r="E129" s="50">
        <f ca="1">((100/I126)*C129)/100</f>
        <v>1</v>
      </c>
      <c r="F129" s="69"/>
      <c r="G129" s="69"/>
      <c r="H129" s="69"/>
      <c r="I129" s="69"/>
      <c r="J129" s="36" t="s">
        <v>126</v>
      </c>
      <c r="K129" s="54">
        <f ca="1">I126</f>
        <v>53</v>
      </c>
    </row>
    <row r="130" spans="1:13" ht="21" customHeight="1" x14ac:dyDescent="0.35">
      <c r="A130" s="69" t="s">
        <v>136</v>
      </c>
      <c r="B130" s="69"/>
      <c r="C130" s="70">
        <v>9</v>
      </c>
      <c r="D130" s="70"/>
      <c r="E130" s="50">
        <f ca="1">((100/(F126+H126+I126))*C130)/100</f>
        <v>0.16363636363636364</v>
      </c>
      <c r="F130" s="69"/>
      <c r="G130" s="69"/>
      <c r="H130" s="69"/>
      <c r="I130" s="69"/>
      <c r="J130" s="36" t="s">
        <v>127</v>
      </c>
      <c r="K130" s="39">
        <f ca="1">(IF(E126&gt;1,(I126/(E126+2)),I126/4))</f>
        <v>13.25</v>
      </c>
    </row>
    <row r="131" spans="1:13" ht="21" customHeight="1" x14ac:dyDescent="0.35">
      <c r="A131" s="69" t="s">
        <v>137</v>
      </c>
      <c r="B131" s="69"/>
      <c r="C131" s="70">
        <f>C130-F126</f>
        <v>7</v>
      </c>
      <c r="D131" s="70"/>
      <c r="E131" s="50">
        <f ca="1">((100/I126)*C131)/100</f>
        <v>0.13207547169811321</v>
      </c>
      <c r="F131" s="69"/>
      <c r="G131" s="69"/>
      <c r="H131" s="69"/>
      <c r="I131" s="69"/>
      <c r="J131" s="36" t="s">
        <v>128</v>
      </c>
      <c r="K131" s="39">
        <f ca="1">(IF(E126&gt;1,(I126/(E126+2)+K130),I126/4+K130))</f>
        <v>26.5</v>
      </c>
    </row>
    <row r="132" spans="1:13" ht="21" customHeight="1" x14ac:dyDescent="0.35">
      <c r="A132" s="72" t="s">
        <v>138</v>
      </c>
      <c r="B132" s="73"/>
      <c r="C132" s="71">
        <f>C131*0.9</f>
        <v>6.3</v>
      </c>
      <c r="D132" s="71"/>
      <c r="E132" s="50">
        <f ca="1">((100/I126)*C132)/100</f>
        <v>0.11886792452830189</v>
      </c>
      <c r="F132" s="69"/>
      <c r="G132" s="69"/>
      <c r="H132" s="69"/>
      <c r="I132" s="69"/>
      <c r="J132" s="36" t="s">
        <v>139</v>
      </c>
      <c r="K132" s="39">
        <f>(IF(E126&gt;1,(I126/(E126+2)+K131),0))</f>
        <v>0</v>
      </c>
    </row>
    <row r="133" spans="1:13" ht="21" customHeight="1" x14ac:dyDescent="0.35">
      <c r="A133" s="72" t="s">
        <v>201</v>
      </c>
      <c r="B133" s="73"/>
      <c r="C133" s="71">
        <f>C131*0.9</f>
        <v>6.3</v>
      </c>
      <c r="D133" s="71"/>
      <c r="E133" s="50">
        <f ca="1">((100/I126)*C133)/100</f>
        <v>0.11886792452830189</v>
      </c>
      <c r="F133" s="69"/>
      <c r="G133" s="69"/>
      <c r="H133" s="69"/>
      <c r="I133" s="69"/>
      <c r="J133" s="36" t="s">
        <v>140</v>
      </c>
      <c r="K133" s="39">
        <f>(IF(E126&gt;2,(I126/(E126+2)+K132),0))</f>
        <v>0</v>
      </c>
    </row>
    <row r="134" spans="1:13" ht="57.75" customHeight="1" x14ac:dyDescent="0.35">
      <c r="A134" s="72" t="s">
        <v>202</v>
      </c>
      <c r="B134" s="73"/>
      <c r="C134" s="70">
        <v>6</v>
      </c>
      <c r="D134" s="70"/>
      <c r="E134" s="50">
        <f ca="1">((100/(I126))*C134)/100</f>
        <v>0.11320754716981131</v>
      </c>
      <c r="F134" s="69"/>
      <c r="G134" s="69"/>
      <c r="H134" s="69"/>
      <c r="I134" s="69"/>
      <c r="J134" s="36" t="s">
        <v>142</v>
      </c>
      <c r="K134" s="40">
        <f>(IF(E126&gt;3,(I126/(E126+2)+K133),0))</f>
        <v>0</v>
      </c>
    </row>
    <row r="135" spans="1:13" ht="21" x14ac:dyDescent="0.35">
      <c r="A135" s="69" t="s">
        <v>141</v>
      </c>
      <c r="B135" s="69"/>
      <c r="C135" s="70">
        <v>0</v>
      </c>
      <c r="D135" s="70"/>
      <c r="E135" s="50">
        <f ca="1">((100/(I126))*C135)/100</f>
        <v>0</v>
      </c>
      <c r="F135" s="69"/>
      <c r="G135" s="69"/>
      <c r="H135" s="69"/>
      <c r="I135" s="69"/>
      <c r="J135" s="36" t="s">
        <v>143</v>
      </c>
      <c r="K135" s="39">
        <f>(IF(E126&gt;4,(I126/(E126+2)+K134),0))</f>
        <v>0</v>
      </c>
    </row>
    <row r="136" spans="1:13" ht="21" customHeight="1" x14ac:dyDescent="0.35">
      <c r="A136" s="69" t="s">
        <v>203</v>
      </c>
      <c r="B136" s="69"/>
      <c r="C136" s="70">
        <v>0</v>
      </c>
      <c r="D136" s="70"/>
      <c r="E136" s="50">
        <f ca="1">((100/I126)*C136)/100</f>
        <v>0</v>
      </c>
      <c r="F136" s="69"/>
      <c r="G136" s="69"/>
      <c r="H136" s="69"/>
      <c r="I136" s="69"/>
      <c r="J136" s="36" t="s">
        <v>129</v>
      </c>
      <c r="K136" s="39">
        <f ca="1">(IF(E126=1,(I126/(E126+3)+K131),IF(E126=0,(I126/4+K131),IF(E126&gt;1,0))))</f>
        <v>39.75</v>
      </c>
    </row>
    <row r="137" spans="1:13" ht="21.75" thickBot="1" x14ac:dyDescent="0.4">
      <c r="A137" s="69" t="s">
        <v>204</v>
      </c>
      <c r="B137" s="69"/>
      <c r="C137" s="70">
        <v>0</v>
      </c>
      <c r="D137" s="70"/>
      <c r="E137" s="50">
        <f ca="1">((100/I126)*C137)/100</f>
        <v>0</v>
      </c>
      <c r="F137" s="69"/>
      <c r="G137" s="69"/>
      <c r="H137" s="69"/>
      <c r="I137" s="69"/>
      <c r="J137" s="55" t="s">
        <v>130</v>
      </c>
      <c r="K137" s="41">
        <f ca="1">(IF(E126&gt;1.5,(I126/(E126+2)+K130+MAX(0,K131-K130)+MAX(0,K132-K131)+MAX(0,K133-K132)+MAX(0,K134-K133)+MAX(0,K135-K134)),IF(E126=1,(I126/(E126+3)+K136),IF(E126=0,I126/4+K136))))</f>
        <v>53</v>
      </c>
      <c r="M137" s="1" t="e">
        <f>(IF(D125&gt;1.5,(H125/(D125+2)+J130+MAX(0,J131-J130)+MAX(0,J132-J131)+MAX(0,J133-J132)+MAX(0,J134-J133)+MAX(0,J135-J134)),IF(D125=1,(H125/(D125+3)+J135),IF(D125=0,H125*0.3+J135))))</f>
        <v>#VALUE!</v>
      </c>
    </row>
    <row r="138" spans="1:13" ht="20.25" x14ac:dyDescent="0.25">
      <c r="A138" s="69" t="s">
        <v>144</v>
      </c>
      <c r="B138" s="69"/>
      <c r="C138" s="70">
        <v>0</v>
      </c>
      <c r="D138" s="70"/>
      <c r="E138" s="50">
        <f ca="1">((100/(I126))*C138)/100</f>
        <v>0</v>
      </c>
      <c r="F138" s="69"/>
      <c r="G138" s="69"/>
      <c r="H138" s="69"/>
      <c r="I138" s="69"/>
    </row>
    <row r="139" spans="1:13" ht="20.25" x14ac:dyDescent="0.25">
      <c r="A139" s="69" t="s">
        <v>145</v>
      </c>
      <c r="B139" s="69"/>
      <c r="C139" s="70">
        <v>0</v>
      </c>
      <c r="D139" s="70"/>
      <c r="E139" s="50">
        <f ca="1">((100/(I126))*C139)/100</f>
        <v>0</v>
      </c>
      <c r="F139" s="69"/>
      <c r="G139" s="69"/>
      <c r="H139" s="69"/>
      <c r="I139" s="69"/>
    </row>
    <row r="140" spans="1:13" ht="21" thickBot="1" x14ac:dyDescent="0.3">
      <c r="A140" s="85" t="s">
        <v>67</v>
      </c>
      <c r="B140" s="85"/>
      <c r="C140" s="85"/>
      <c r="D140" s="85"/>
      <c r="E140" s="85"/>
      <c r="F140" s="85"/>
      <c r="G140" s="85"/>
      <c r="H140" s="85"/>
      <c r="I140" s="85"/>
    </row>
    <row r="141" spans="1:13" ht="20.25" customHeight="1" x14ac:dyDescent="0.3">
      <c r="A141" s="86" t="str">
        <f>CONCATENATE((IF(OR(A49="",A49="NA"),"",A49)),"- ",(IF(OR(E49="",E49="NA"),"",E49))," ")</f>
        <v xml:space="preserve">N Wing  - Gr + 1 Retail + 1st + 2nd to 7th Podium/Resi + 8th to 53rd Floor </v>
      </c>
      <c r="B141" s="86"/>
      <c r="C141" s="86"/>
      <c r="D141" s="87" t="s">
        <v>4</v>
      </c>
      <c r="E141" s="51" t="s">
        <v>118</v>
      </c>
      <c r="F141" s="70" t="s">
        <v>104</v>
      </c>
      <c r="G141" s="70"/>
      <c r="H141" s="51" t="s">
        <v>119</v>
      </c>
      <c r="I141" s="51" t="s">
        <v>120</v>
      </c>
      <c r="J141" s="52" t="str">
        <f ca="1">(IF(F144&gt;99%,"All work completed. Please provide OC.",IF(F144&gt;89.8%,"Plinth, RCC, Brick, Plaster, Flooring, Wooden, Plumbing, Electrification, etc., work Completed. Finishing work is in process.",IF(F144&lt;94%,(IF(C144=0,"Work not yet Started.",IF(E144=25%,"Piling work in process",IF(E144=50%,"Excavation work in process",IF(E144=100%,"Excavation work Completed. ","0")))&amp;(IF(C145=0%,"",IF(C145=K146,"Footing work is process",IF(C145=K147,"Footing work Completed",IF(C145=K148,"1st Basement Completed",IF(C145=K149,"1st &amp; 2nd Basement Completed",IF(C145=K150,"1st to 3rd Basement Completed",IF(C145=K151,"1st to 4th Basement Completed",IF(C145=K152,"Plinth work is process",IF(C145=K153,"Plinth work completed","0")))))))))))&amp;(IF(C146=(F142+H142+I142),", RCC Slab",IF(C146&gt;0,", RCC upto "&amp;C146&amp;" Slab",""))&amp;(IF(C147=I142,", Brickwork",IF(C147&gt;0,", Brickwork upto "&amp;C147&amp;" Floor",""))&amp;(IF(C148=I142,", Internal Plaster",IF(C148&gt;0,", Internal Plaster upto "&amp;C148&amp;" Floor",""))&amp;(IF(C149=I142,", External Plaster",IF(C149&gt;0,", External Plaster upto "&amp;C149&amp;" Floor",""))&amp;(IF(C150=I142,", External Plumbing, Elevation and Waterproofing",IF(C150&gt;0,", External Plumbing, Elevation and Waterproofing upto "&amp;C150&amp;" Floor",""))&amp;(IF(C151=I142,", Flooring &amp; Fitting",IF(C151&gt;0,", Flooring &amp; Fitting upto "&amp;C151&amp;" Floor",""))&amp;(IF(C152=I142,", Wooden Work",IF(C152&gt;0,", Wooden Work upto "&amp;C152&amp;" Floor",""))&amp;(IF(C153=I142,", Electrical &amp; Sanitary fittings",IF(C153&gt;0,", Electrical &amp; Sanitary fittings upto "&amp;C153&amp;" Floor",""))&amp;(IF(C154&gt;0,", Finishing upto "&amp;C154&amp;" Floor","")&amp;(IF(C146&gt;0.5," Completed",""))))))))))))))))</f>
        <v>Excavation work Completed. Plinth work completed, RCC upto 11 Slab, Brickwork upto 9 Floor, Internal Plaster upto 7.2 Floor, External Plaster upto 7.2 Floor, External Plumbing, Elevation and Waterproofing upto 7 Floor Completed</v>
      </c>
      <c r="K141" s="34"/>
    </row>
    <row r="142" spans="1:13" ht="20.25" x14ac:dyDescent="0.3">
      <c r="A142" s="86"/>
      <c r="B142" s="86"/>
      <c r="C142" s="86"/>
      <c r="D142" s="87"/>
      <c r="E142" s="51">
        <v>0</v>
      </c>
      <c r="F142" s="70">
        <v>2</v>
      </c>
      <c r="G142" s="70"/>
      <c r="H142" s="51">
        <v>0</v>
      </c>
      <c r="I142" s="51">
        <f ca="1">--TRIM(RIGHT(SUBSTITUTE(LEFT(A141,_xlfn.AGGREGATE(16,6,FIND({0,1,2,3,4,5,6,7,8,9},A141,ROW(INDIRECT("1:"&amp;LEN(A141)))),1))," ",REPT(" ",LEN(A141))),LEN(A141)))</f>
        <v>53</v>
      </c>
      <c r="J142" s="53" t="s">
        <v>124</v>
      </c>
      <c r="K142" s="34"/>
    </row>
    <row r="143" spans="1:13" ht="20.25" customHeight="1" x14ac:dyDescent="0.3">
      <c r="A143" s="68" t="s">
        <v>122</v>
      </c>
      <c r="B143" s="68"/>
      <c r="C143" s="68" t="s">
        <v>132</v>
      </c>
      <c r="D143" s="68"/>
      <c r="E143" s="49" t="s">
        <v>133</v>
      </c>
      <c r="F143" s="68" t="s">
        <v>123</v>
      </c>
      <c r="G143" s="68"/>
      <c r="H143" s="42" t="s">
        <v>121</v>
      </c>
      <c r="I143" s="42"/>
      <c r="J143" s="36" t="s">
        <v>134</v>
      </c>
      <c r="K143" s="35">
        <f ca="1">I142*25%</f>
        <v>13.25</v>
      </c>
    </row>
    <row r="144" spans="1:13" ht="20.25" customHeight="1" x14ac:dyDescent="0.3">
      <c r="A144" s="69" t="s">
        <v>135</v>
      </c>
      <c r="B144" s="69"/>
      <c r="C144" s="70">
        <f ca="1">K145</f>
        <v>53</v>
      </c>
      <c r="D144" s="70"/>
      <c r="E144" s="50">
        <f ca="1">((100/I142)*C144)/100</f>
        <v>1</v>
      </c>
      <c r="F144" s="69">
        <f ca="1">(((C144/I142*5)+(C145/I142*20)+(25/(F142+H142+I142)*C146)+(5/(I142)*C147)+(2.5/(I142)*C148)+(2.5/(I142)*C149)+(5/I142*C150)+(10/I142*C151)+(2.5/I142*C152)+(2.5/I142*C153)+(10/I142*C154)+(10/I142*C155))/100)</f>
        <v>0.32188679245283014</v>
      </c>
      <c r="G144" s="69"/>
      <c r="H144" s="69" t="str">
        <f ca="1">J141</f>
        <v>Excavation work Completed. Plinth work completed, RCC upto 11 Slab, Brickwork upto 9 Floor, Internal Plaster upto 7.2 Floor, External Plaster upto 7.2 Floor, External Plumbing, Elevation and Waterproofing upto 7 Floor Completed</v>
      </c>
      <c r="I144" s="69"/>
      <c r="J144" s="36" t="s">
        <v>125</v>
      </c>
      <c r="K144" s="54">
        <f ca="1">I142*50%</f>
        <v>26.5</v>
      </c>
    </row>
    <row r="145" spans="1:13" ht="20.25" x14ac:dyDescent="0.3">
      <c r="A145" s="69" t="s">
        <v>105</v>
      </c>
      <c r="B145" s="69"/>
      <c r="C145" s="71">
        <f ca="1">K153</f>
        <v>53</v>
      </c>
      <c r="D145" s="70"/>
      <c r="E145" s="50">
        <f ca="1">((100/I142)*C145)/100</f>
        <v>1</v>
      </c>
      <c r="F145" s="69"/>
      <c r="G145" s="69"/>
      <c r="H145" s="69"/>
      <c r="I145" s="69"/>
      <c r="J145" s="36" t="s">
        <v>126</v>
      </c>
      <c r="K145" s="54">
        <f ca="1">I142</f>
        <v>53</v>
      </c>
    </row>
    <row r="146" spans="1:13" ht="21" customHeight="1" x14ac:dyDescent="0.35">
      <c r="A146" s="69" t="s">
        <v>136</v>
      </c>
      <c r="B146" s="69"/>
      <c r="C146" s="70">
        <v>11</v>
      </c>
      <c r="D146" s="70"/>
      <c r="E146" s="50">
        <f ca="1">((100/(F142+H142+I142))*C146)/100</f>
        <v>0.2</v>
      </c>
      <c r="F146" s="69"/>
      <c r="G146" s="69"/>
      <c r="H146" s="69"/>
      <c r="I146" s="69"/>
      <c r="J146" s="36" t="s">
        <v>127</v>
      </c>
      <c r="K146" s="39">
        <f ca="1">(IF(E142&gt;1,(I142/(E142+2)),I142/4))</f>
        <v>13.25</v>
      </c>
    </row>
    <row r="147" spans="1:13" ht="21" customHeight="1" x14ac:dyDescent="0.35">
      <c r="A147" s="69" t="s">
        <v>137</v>
      </c>
      <c r="B147" s="69"/>
      <c r="C147" s="70">
        <f>C146-F142</f>
        <v>9</v>
      </c>
      <c r="D147" s="70"/>
      <c r="E147" s="50">
        <f ca="1">((100/I142)*C147)/100</f>
        <v>0.169811320754717</v>
      </c>
      <c r="F147" s="69"/>
      <c r="G147" s="69"/>
      <c r="H147" s="69"/>
      <c r="I147" s="69"/>
      <c r="J147" s="36" t="s">
        <v>128</v>
      </c>
      <c r="K147" s="39">
        <f ca="1">(IF(E142&gt;1,(I142/(E142+2)+K146),I142/4+K146))</f>
        <v>26.5</v>
      </c>
    </row>
    <row r="148" spans="1:13" ht="21" customHeight="1" x14ac:dyDescent="0.35">
      <c r="A148" s="72" t="s">
        <v>138</v>
      </c>
      <c r="B148" s="73"/>
      <c r="C148" s="71">
        <f>C147*0.8</f>
        <v>7.2</v>
      </c>
      <c r="D148" s="71"/>
      <c r="E148" s="50">
        <f ca="1">((100/I142)*C148)/100</f>
        <v>0.13584905660377358</v>
      </c>
      <c r="F148" s="69"/>
      <c r="G148" s="69"/>
      <c r="H148" s="69"/>
      <c r="I148" s="69"/>
      <c r="J148" s="36" t="s">
        <v>139</v>
      </c>
      <c r="K148" s="39">
        <f>(IF(E142&gt;1,(I142/(E142+2)+K147),0))</f>
        <v>0</v>
      </c>
    </row>
    <row r="149" spans="1:13" ht="21" customHeight="1" x14ac:dyDescent="0.35">
      <c r="A149" s="72" t="s">
        <v>201</v>
      </c>
      <c r="B149" s="73"/>
      <c r="C149" s="71">
        <f>C147*0.8</f>
        <v>7.2</v>
      </c>
      <c r="D149" s="71"/>
      <c r="E149" s="50">
        <f ca="1">((100/I142)*C149)/100</f>
        <v>0.13584905660377358</v>
      </c>
      <c r="F149" s="69"/>
      <c r="G149" s="69"/>
      <c r="H149" s="69"/>
      <c r="I149" s="69"/>
      <c r="J149" s="36" t="s">
        <v>140</v>
      </c>
      <c r="K149" s="39">
        <f>(IF(E142&gt;2,(I142/(E142+2)+K148),0))</f>
        <v>0</v>
      </c>
    </row>
    <row r="150" spans="1:13" ht="57.75" customHeight="1" x14ac:dyDescent="0.35">
      <c r="A150" s="72" t="s">
        <v>202</v>
      </c>
      <c r="B150" s="73"/>
      <c r="C150" s="70">
        <v>7</v>
      </c>
      <c r="D150" s="70"/>
      <c r="E150" s="50">
        <f ca="1">((100/(I142))*C150)/100</f>
        <v>0.13207547169811321</v>
      </c>
      <c r="F150" s="69"/>
      <c r="G150" s="69"/>
      <c r="H150" s="69"/>
      <c r="I150" s="69"/>
      <c r="J150" s="36" t="s">
        <v>142</v>
      </c>
      <c r="K150" s="40">
        <f>(IF(E142&gt;3,(I142/(E142+2)+K149),0))</f>
        <v>0</v>
      </c>
    </row>
    <row r="151" spans="1:13" ht="21" x14ac:dyDescent="0.35">
      <c r="A151" s="69" t="s">
        <v>141</v>
      </c>
      <c r="B151" s="69"/>
      <c r="C151" s="70">
        <v>0</v>
      </c>
      <c r="D151" s="70"/>
      <c r="E151" s="50">
        <f ca="1">((100/(I142))*C151)/100</f>
        <v>0</v>
      </c>
      <c r="F151" s="69"/>
      <c r="G151" s="69"/>
      <c r="H151" s="69"/>
      <c r="I151" s="69"/>
      <c r="J151" s="36" t="s">
        <v>143</v>
      </c>
      <c r="K151" s="39">
        <f>(IF(E142&gt;4,(I142/(E142+2)+K150),0))</f>
        <v>0</v>
      </c>
    </row>
    <row r="152" spans="1:13" ht="21" customHeight="1" x14ac:dyDescent="0.35">
      <c r="A152" s="69" t="s">
        <v>203</v>
      </c>
      <c r="B152" s="69"/>
      <c r="C152" s="70">
        <v>0</v>
      </c>
      <c r="D152" s="70"/>
      <c r="E152" s="50">
        <f ca="1">((100/I142)*C152)/100</f>
        <v>0</v>
      </c>
      <c r="F152" s="69"/>
      <c r="G152" s="69"/>
      <c r="H152" s="69"/>
      <c r="I152" s="69"/>
      <c r="J152" s="36" t="s">
        <v>129</v>
      </c>
      <c r="K152" s="39">
        <f ca="1">(IF(E142=1,(I142/(E142+3)+K147),IF(E142=0,(I142/4+K147),IF(E142&gt;1,0))))</f>
        <v>39.75</v>
      </c>
    </row>
    <row r="153" spans="1:13" ht="21.75" thickBot="1" x14ac:dyDescent="0.4">
      <c r="A153" s="69" t="s">
        <v>204</v>
      </c>
      <c r="B153" s="69"/>
      <c r="C153" s="70">
        <v>0</v>
      </c>
      <c r="D153" s="70"/>
      <c r="E153" s="50">
        <f ca="1">((100/I142)*C153)/100</f>
        <v>0</v>
      </c>
      <c r="F153" s="69"/>
      <c r="G153" s="69"/>
      <c r="H153" s="69"/>
      <c r="I153" s="69"/>
      <c r="J153" s="55" t="s">
        <v>130</v>
      </c>
      <c r="K153" s="41">
        <f ca="1">(IF(E142&gt;1.5,(I142/(E142+2)+K146+MAX(0,K147-K146)+MAX(0,K148-K147)+MAX(0,K149-K148)+MAX(0,K150-K149)+MAX(0,K151-K150)),IF(E142=1,(I142/(E142+3)+K152),IF(E142=0,I142/4+K152))))</f>
        <v>53</v>
      </c>
      <c r="M153" s="1" t="e">
        <f>(IF(D141&gt;1.5,(H141/(D141+2)+J146+MAX(0,J147-J146)+MAX(0,J148-J147)+MAX(0,J149-J148)+MAX(0,J150-J149)+MAX(0,J151-J150)),IF(D141=1,(H141/(D141+3)+J151),IF(D141=0,H141*0.3+J151))))</f>
        <v>#VALUE!</v>
      </c>
    </row>
    <row r="154" spans="1:13" ht="20.25" x14ac:dyDescent="0.25">
      <c r="A154" s="69" t="s">
        <v>144</v>
      </c>
      <c r="B154" s="69"/>
      <c r="C154" s="70">
        <v>0</v>
      </c>
      <c r="D154" s="70"/>
      <c r="E154" s="50">
        <f ca="1">((100/(I142))*C154)/100</f>
        <v>0</v>
      </c>
      <c r="F154" s="69"/>
      <c r="G154" s="69"/>
      <c r="H154" s="69"/>
      <c r="I154" s="69"/>
    </row>
    <row r="155" spans="1:13" ht="20.25" x14ac:dyDescent="0.25">
      <c r="A155" s="69" t="s">
        <v>145</v>
      </c>
      <c r="B155" s="69"/>
      <c r="C155" s="70">
        <v>0</v>
      </c>
      <c r="D155" s="70"/>
      <c r="E155" s="50">
        <f ca="1">((100/(I142))*C155)/100</f>
        <v>0</v>
      </c>
      <c r="F155" s="69"/>
      <c r="G155" s="69"/>
      <c r="H155" s="69"/>
      <c r="I155" s="69"/>
    </row>
    <row r="156" spans="1:13" ht="36.75" customHeight="1" x14ac:dyDescent="0.3">
      <c r="A156" s="81" t="s">
        <v>131</v>
      </c>
      <c r="B156" s="82"/>
      <c r="C156" s="82"/>
      <c r="D156" s="82"/>
      <c r="E156" s="82"/>
      <c r="F156" s="82"/>
      <c r="G156" s="82"/>
      <c r="H156" s="83">
        <f ca="1">AVERAGE(F64,F80,F96,F112,F128,F144)</f>
        <v>0.44554588387670679</v>
      </c>
      <c r="I156" s="84"/>
      <c r="J156" s="36"/>
      <c r="K156" s="37"/>
      <c r="L156" s="37"/>
    </row>
    <row r="157" spans="1:13" ht="20.25" x14ac:dyDescent="0.25">
      <c r="A157" s="88" t="s">
        <v>71</v>
      </c>
      <c r="B157" s="89"/>
      <c r="C157" s="89"/>
      <c r="D157" s="89"/>
      <c r="E157" s="89"/>
      <c r="F157" s="89"/>
      <c r="G157" s="89"/>
      <c r="H157" s="89"/>
      <c r="I157" s="90"/>
    </row>
    <row r="158" spans="1:13" ht="60.75" x14ac:dyDescent="0.25">
      <c r="A158" s="91" t="s">
        <v>72</v>
      </c>
      <c r="B158" s="91"/>
      <c r="C158" s="91"/>
      <c r="D158" s="3" t="s">
        <v>4</v>
      </c>
      <c r="E158" s="14" t="s">
        <v>110</v>
      </c>
      <c r="F158" s="19" t="s">
        <v>146</v>
      </c>
      <c r="G158" s="3" t="s">
        <v>4</v>
      </c>
      <c r="H158" s="127" t="s">
        <v>160</v>
      </c>
      <c r="I158" s="127"/>
    </row>
    <row r="159" spans="1:13" ht="40.5" customHeight="1" x14ac:dyDescent="0.25">
      <c r="A159" s="91" t="s">
        <v>159</v>
      </c>
      <c r="B159" s="91"/>
      <c r="C159" s="91"/>
      <c r="D159" s="2" t="s">
        <v>106</v>
      </c>
      <c r="E159" s="78" t="s">
        <v>198</v>
      </c>
      <c r="F159" s="111"/>
      <c r="G159" s="111"/>
      <c r="H159" s="111"/>
      <c r="I159" s="79"/>
    </row>
    <row r="160" spans="1:13" ht="26.25" customHeight="1" x14ac:dyDescent="0.25">
      <c r="A160" s="80" t="s">
        <v>73</v>
      </c>
      <c r="B160" s="80"/>
      <c r="C160" s="80"/>
      <c r="D160" s="3" t="s">
        <v>4</v>
      </c>
      <c r="E160" s="17">
        <v>800000</v>
      </c>
      <c r="F160" s="3" t="s">
        <v>103</v>
      </c>
      <c r="G160" s="3" t="s">
        <v>4</v>
      </c>
      <c r="H160" s="78" t="s">
        <v>111</v>
      </c>
      <c r="I160" s="79"/>
    </row>
    <row r="161" spans="1:151 16227:16384" ht="20.25" x14ac:dyDescent="0.25">
      <c r="A161" s="88" t="s">
        <v>70</v>
      </c>
      <c r="B161" s="89"/>
      <c r="C161" s="89"/>
      <c r="D161" s="89"/>
      <c r="E161" s="89"/>
      <c r="F161" s="89"/>
      <c r="G161" s="89"/>
      <c r="H161" s="89"/>
      <c r="I161" s="90"/>
    </row>
    <row r="162" spans="1:151 16227:16384" ht="20.25" x14ac:dyDescent="0.25">
      <c r="A162" s="93" t="s">
        <v>9</v>
      </c>
      <c r="B162" s="94"/>
      <c r="C162" s="94"/>
      <c r="D162" s="94"/>
      <c r="E162" s="94"/>
      <c r="F162" s="95"/>
      <c r="G162" s="2" t="s">
        <v>4</v>
      </c>
      <c r="H162" s="97">
        <v>3717.95</v>
      </c>
      <c r="I162" s="98"/>
    </row>
    <row r="163" spans="1:151 16227:16384" ht="20.25" x14ac:dyDescent="0.25">
      <c r="A163" s="93" t="s">
        <v>29</v>
      </c>
      <c r="B163" s="94"/>
      <c r="C163" s="94"/>
      <c r="D163" s="94"/>
      <c r="E163" s="94"/>
      <c r="F163" s="95"/>
      <c r="G163" s="2" t="s">
        <v>4</v>
      </c>
      <c r="H163" s="96">
        <v>9750.8700000000008</v>
      </c>
      <c r="I163" s="96"/>
    </row>
    <row r="164" spans="1:151 16227:16384" ht="20.25" x14ac:dyDescent="0.25">
      <c r="A164" s="93" t="s">
        <v>112</v>
      </c>
      <c r="B164" s="94"/>
      <c r="C164" s="94"/>
      <c r="D164" s="94"/>
      <c r="E164" s="94"/>
      <c r="F164" s="95"/>
      <c r="G164" s="2" t="s">
        <v>4</v>
      </c>
      <c r="H164" s="96">
        <f>H162*0.8</f>
        <v>2974.36</v>
      </c>
      <c r="I164" s="96"/>
    </row>
    <row r="165" spans="1:151 16227:16384" ht="20.25" x14ac:dyDescent="0.25">
      <c r="A165" s="75" t="s">
        <v>231</v>
      </c>
      <c r="B165" s="76"/>
      <c r="C165" s="76"/>
      <c r="D165" s="76"/>
      <c r="E165" s="76"/>
      <c r="F165" s="76"/>
      <c r="G165" s="76"/>
      <c r="H165" s="76"/>
      <c r="I165" s="77"/>
    </row>
    <row r="166" spans="1:151 16227:16384" s="10" customFormat="1" ht="40.5" x14ac:dyDescent="0.25">
      <c r="A166" s="62" t="s">
        <v>155</v>
      </c>
      <c r="B166" s="63"/>
      <c r="C166" s="62" t="s">
        <v>156</v>
      </c>
      <c r="D166" s="63"/>
      <c r="E166" s="44" t="s">
        <v>157</v>
      </c>
      <c r="F166" s="62" t="s">
        <v>154</v>
      </c>
      <c r="G166" s="63"/>
      <c r="H166" s="62" t="s">
        <v>153</v>
      </c>
      <c r="I166" s="6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0" customFormat="1" ht="20.25" x14ac:dyDescent="0.25">
      <c r="A167" s="159" t="s">
        <v>209</v>
      </c>
      <c r="B167" s="161"/>
      <c r="C167" s="105" t="s">
        <v>212</v>
      </c>
      <c r="D167" s="106"/>
      <c r="E167" s="45" t="s">
        <v>219</v>
      </c>
      <c r="F167" s="105">
        <f>COUNT(E177:E178)</f>
        <v>2</v>
      </c>
      <c r="G167" s="106"/>
      <c r="H167" s="105">
        <f>SUM(I177:I178)</f>
        <v>1085.4081225</v>
      </c>
      <c r="I167" s="10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0" customFormat="1" ht="21" hidden="1" customHeight="1" x14ac:dyDescent="0.25">
      <c r="A168" s="162"/>
      <c r="B168" s="164"/>
      <c r="C168" s="62" t="s">
        <v>96</v>
      </c>
      <c r="D168" s="63"/>
      <c r="E168" s="44" t="s">
        <v>96</v>
      </c>
      <c r="F168" s="62">
        <f>SUM(F167:G167)</f>
        <v>2</v>
      </c>
      <c r="G168" s="63"/>
      <c r="H168" s="62">
        <f>SUM(H167:H167)</f>
        <v>1085.4081225</v>
      </c>
      <c r="I168" s="6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0" customFormat="1" ht="20.25" x14ac:dyDescent="0.25">
      <c r="A169" s="165"/>
      <c r="B169" s="167"/>
      <c r="C169" s="105" t="s">
        <v>212</v>
      </c>
      <c r="D169" s="106"/>
      <c r="E169" s="45" t="s">
        <v>220</v>
      </c>
      <c r="F169" s="105">
        <f>COUNT(E181:E182)+COUNT(E188:E189)*5+COUNT(E196)+COUNT(E202:E207)*16+COUNT(E210:E214)*2</f>
        <v>119</v>
      </c>
      <c r="G169" s="106"/>
      <c r="H169" s="105">
        <f>SUM(I181:I182)+SUM(I188:I189)*5+SUM(I196)+SUM(I202:I207)*16+SUM(I210:I214)*2</f>
        <v>58246.275203999998</v>
      </c>
      <c r="I169" s="106"/>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0" customFormat="1" ht="20.25" hidden="1" x14ac:dyDescent="0.25">
      <c r="A170" s="62" t="s">
        <v>158</v>
      </c>
      <c r="B170" s="63"/>
      <c r="C170" s="62" t="s">
        <v>96</v>
      </c>
      <c r="D170" s="63"/>
      <c r="E170" s="44" t="s">
        <v>96</v>
      </c>
      <c r="F170" s="62">
        <f>SUM(F169:G169)</f>
        <v>119</v>
      </c>
      <c r="G170" s="63"/>
      <c r="H170" s="62">
        <f>SUM(H169:H169)</f>
        <v>58246.275203999998</v>
      </c>
      <c r="I170" s="6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0" customFormat="1" ht="20.25" x14ac:dyDescent="0.25">
      <c r="A171" s="62" t="s">
        <v>230</v>
      </c>
      <c r="B171" s="63"/>
      <c r="C171" s="62" t="s">
        <v>96</v>
      </c>
      <c r="D171" s="63"/>
      <c r="E171" s="44" t="s">
        <v>96</v>
      </c>
      <c r="F171" s="62">
        <f>F167+F169</f>
        <v>121</v>
      </c>
      <c r="G171" s="63"/>
      <c r="H171" s="62">
        <f>H167+H169</f>
        <v>59331.683326499995</v>
      </c>
      <c r="I171" s="6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ht="20.25" x14ac:dyDescent="0.25">
      <c r="A172" s="113" t="s">
        <v>152</v>
      </c>
      <c r="B172" s="114"/>
      <c r="C172" s="114"/>
      <c r="D172" s="114"/>
      <c r="E172" s="114"/>
      <c r="F172" s="114"/>
      <c r="G172" s="114"/>
      <c r="H172" s="114"/>
      <c r="I172" s="77"/>
    </row>
    <row r="173" spans="1:151 16227:16384" ht="43.15" customHeight="1" x14ac:dyDescent="0.25">
      <c r="A173" s="169" t="s">
        <v>90</v>
      </c>
      <c r="B173" s="169"/>
      <c r="C173" s="169" t="s">
        <v>176</v>
      </c>
      <c r="D173" s="169"/>
      <c r="E173" s="46" t="s">
        <v>163</v>
      </c>
      <c r="F173" s="169" t="s">
        <v>175</v>
      </c>
      <c r="G173" s="169"/>
      <c r="H173" s="46" t="s">
        <v>91</v>
      </c>
      <c r="I173" s="46" t="s">
        <v>250</v>
      </c>
      <c r="J173" s="1">
        <f>10.764</f>
        <v>10.763999999999999</v>
      </c>
    </row>
    <row r="174" spans="1:151 16227:16384" s="10" customFormat="1" ht="20.25" x14ac:dyDescent="0.25">
      <c r="A174" s="99" t="s">
        <v>209</v>
      </c>
      <c r="B174" s="100"/>
      <c r="C174" s="100"/>
      <c r="D174" s="100"/>
      <c r="E174" s="100"/>
      <c r="F174" s="100"/>
      <c r="G174" s="100"/>
      <c r="H174" s="100"/>
      <c r="I174" s="10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0" customFormat="1" ht="20.25" hidden="1" x14ac:dyDescent="0.25">
      <c r="A175" s="102" t="s">
        <v>174</v>
      </c>
      <c r="B175" s="103"/>
      <c r="C175" s="103"/>
      <c r="D175" s="103"/>
      <c r="E175" s="103"/>
      <c r="F175" s="103"/>
      <c r="G175" s="103"/>
      <c r="H175" s="103"/>
      <c r="I175" s="104"/>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0" customFormat="1" ht="20.25" x14ac:dyDescent="0.25">
      <c r="A176" s="102" t="s">
        <v>239</v>
      </c>
      <c r="B176" s="103"/>
      <c r="C176" s="103"/>
      <c r="D176" s="103"/>
      <c r="E176" s="103"/>
      <c r="F176" s="103"/>
      <c r="G176" s="103"/>
      <c r="H176" s="103"/>
      <c r="I176" s="104"/>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0" customFormat="1" ht="20.25" x14ac:dyDescent="0.25">
      <c r="A177" s="129">
        <v>49</v>
      </c>
      <c r="B177" s="129"/>
      <c r="C177" s="109" t="s">
        <v>210</v>
      </c>
      <c r="D177" s="110"/>
      <c r="E177" s="57">
        <f>(10.175*5.725+1.1*5.725)*(10.764)</f>
        <v>694.80947249999997</v>
      </c>
      <c r="F177" s="130">
        <f>(0)*(10.764)</f>
        <v>0</v>
      </c>
      <c r="G177" s="131"/>
      <c r="H177" s="56">
        <f>(0)*(10.764)</f>
        <v>0</v>
      </c>
      <c r="I177" s="18">
        <f>E177+F177+H177</f>
        <v>694.80947249999997</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0" customFormat="1" ht="20.25" x14ac:dyDescent="0.25">
      <c r="A178" s="129">
        <v>50</v>
      </c>
      <c r="B178" s="129"/>
      <c r="C178" s="109" t="s">
        <v>210</v>
      </c>
      <c r="D178" s="110"/>
      <c r="E178" s="57">
        <f>(3.825*5.725+4.025*3.575)*(10.764)</f>
        <v>390.59864999999996</v>
      </c>
      <c r="F178" s="130">
        <f>(0)*(10.764)</f>
        <v>0</v>
      </c>
      <c r="G178" s="131"/>
      <c r="H178" s="56">
        <f>(0)*(10.764)</f>
        <v>0</v>
      </c>
      <c r="I178" s="18">
        <f t="shared" ref="I178" si="0">E178+F178+H178</f>
        <v>390.59864999999996</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0" customFormat="1" ht="20.25" x14ac:dyDescent="0.25">
      <c r="A179" s="102" t="s">
        <v>240</v>
      </c>
      <c r="B179" s="103"/>
      <c r="C179" s="103"/>
      <c r="D179" s="103"/>
      <c r="E179" s="103"/>
      <c r="F179" s="103"/>
      <c r="G179" s="103"/>
      <c r="H179" s="103"/>
      <c r="I179" s="104"/>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0" customFormat="1" ht="20.25" x14ac:dyDescent="0.25">
      <c r="A180" s="102" t="s">
        <v>252</v>
      </c>
      <c r="B180" s="103"/>
      <c r="C180" s="103"/>
      <c r="D180" s="103"/>
      <c r="E180" s="103"/>
      <c r="F180" s="103"/>
      <c r="G180" s="103"/>
      <c r="H180" s="103"/>
      <c r="I180" s="128"/>
      <c r="J180" s="1">
        <f>1</f>
        <v>1</v>
      </c>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0" customFormat="1" ht="20.25" customHeight="1" x14ac:dyDescent="0.25">
      <c r="A181" s="129">
        <v>1</v>
      </c>
      <c r="B181" s="129"/>
      <c r="C181" s="109" t="s">
        <v>211</v>
      </c>
      <c r="D181" s="110"/>
      <c r="E181" s="57">
        <f>(3*5.4+1.155*1.5+2.85*1.925+2.9*3+0.1*1.625+2.8*3.375+0.1*1.05+1.35*2.225+2.275*1.4+2.3*2.75+0.1*0.475+2.5*1.05)*(10.764)</f>
        <v>613.79019000000005</v>
      </c>
      <c r="F181" s="130">
        <f>(0)*(10.764)</f>
        <v>0</v>
      </c>
      <c r="G181" s="131">
        <f>0*(10.764)</f>
        <v>0</v>
      </c>
      <c r="H181" s="56">
        <f>(0)*(10.764)</f>
        <v>0</v>
      </c>
      <c r="I181" s="18">
        <f>E181+F181+H181</f>
        <v>613.79019000000005</v>
      </c>
      <c r="J181" s="1"/>
      <c r="K181" s="1"/>
      <c r="L181" s="1"/>
      <c r="M181" s="1"/>
      <c r="N181" s="1"/>
      <c r="O181" s="1"/>
      <c r="P181" s="1"/>
      <c r="Q181" s="1"/>
      <c r="R181" s="1"/>
      <c r="S181" s="1"/>
      <c r="T181" s="1"/>
      <c r="U181" s="38" t="str">
        <f t="shared" ref="U181:U186" ca="1" si="1">V181&amp;""&amp;",..,"&amp;""&amp;W181</f>
        <v>101,..,101</v>
      </c>
      <c r="V181" s="38">
        <f ca="1">(SUMPRODUCT(MID(0&amp;(LEFT(A180,SUM(LEN(A180)-LEN(SUBSTITUTE(A180,{"0","1","2","3"},""))))), LARGE(INDEX(ISNUMBER(--MID((LEFT(A180,SUM(LEN(A180)-LEN(SUBSTITUTE(A180,{"0","1","2","3"},""))))), ROW(INDIRECT("1:"&amp;LEN((LEFT(A180,SUM(LEN(A180)-LEN(SUBSTITUTE(A180,{"0","1","2","3"},"")))))))), 1)) * ROW(INDIRECT("1:"&amp;LEN((LEFT(A180,SUM(LEN(A180)-LEN(SUBSTITUTE(A180,{"0","1","2","3"},"")))))))), 0), ROW(INDIRECT("1:"&amp;LEN((LEFT(A180,SUM(LEN(A180)-LEN(SUBSTITUTE(A180,{"0","1","2","3"},"")))))))))+1, 1) * 10^ROW(INDIRECT("1:"&amp;LEN((LEFT(A180,SUM(LEN(A180)-LEN(SUBSTITUTE(A180,{"0","1","2","3"},""))))))))/10))*100+1</f>
        <v>101</v>
      </c>
      <c r="W181" s="38">
        <f ca="1">(SUMPRODUCT(MID(0&amp;(--TRIM(RIGHT(SUBSTITUTE(LEFT(A180,_xlfn.AGGREGATE(16,6,FIND({0,1,2,3,4,5,6,7,8,9},A180,ROW(INDIRECT("1:"&amp;LEN(A180)))),1)),"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",LEN(A180))),LEN(A180)))))))/10))*100+1</f>
        <v>101</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0" customFormat="1" ht="20.25" customHeight="1" x14ac:dyDescent="0.25">
      <c r="A182" s="129">
        <v>2</v>
      </c>
      <c r="B182" s="129"/>
      <c r="C182" s="109" t="s">
        <v>211</v>
      </c>
      <c r="D182" s="110"/>
      <c r="E182" s="57">
        <f>(3*5.4+1.155*1.5+2.85*1.925+2.9*3+0.1*1.625+2.8*3.375+0.1*1.05+1.35*2.225+2.275*1.4+2.3*2.75+0.1*0.475+2.5*1.05)*(10.764)</f>
        <v>613.79019000000005</v>
      </c>
      <c r="F182" s="130">
        <f>(0)*(10.764)</f>
        <v>0</v>
      </c>
      <c r="G182" s="131">
        <f>0*(10.764)</f>
        <v>0</v>
      </c>
      <c r="H182" s="56">
        <f>(0)*(10.764)</f>
        <v>0</v>
      </c>
      <c r="I182" s="18">
        <f t="shared" ref="I182" si="2">E182+F182+H182</f>
        <v>613.79019000000005</v>
      </c>
      <c r="J182" s="1"/>
      <c r="K182" s="1"/>
      <c r="L182" s="1"/>
      <c r="M182" s="1"/>
      <c r="N182" s="1"/>
      <c r="O182" s="1"/>
      <c r="P182" s="1"/>
      <c r="Q182" s="1"/>
      <c r="R182" s="1"/>
      <c r="S182" s="1"/>
      <c r="T182" s="1"/>
      <c r="U182" s="38" t="str">
        <f t="shared" ca="1" si="1"/>
        <v>102,..,102</v>
      </c>
      <c r="V182" s="38">
        <f ca="1">V181+1</f>
        <v>102</v>
      </c>
      <c r="W182" s="38">
        <f ca="1">W181+1</f>
        <v>102</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0" customFormat="1" ht="20.25" customHeight="1" x14ac:dyDescent="0.25">
      <c r="A183" s="129">
        <v>3</v>
      </c>
      <c r="B183" s="129"/>
      <c r="C183" s="109" t="s">
        <v>212</v>
      </c>
      <c r="D183" s="110"/>
      <c r="E183" s="159" t="s">
        <v>251</v>
      </c>
      <c r="F183" s="160"/>
      <c r="G183" s="160"/>
      <c r="H183" s="160"/>
      <c r="I183" s="161"/>
      <c r="J183" s="1"/>
      <c r="K183" s="1"/>
      <c r="L183" s="1"/>
      <c r="M183" s="1"/>
      <c r="N183" s="1"/>
      <c r="O183" s="1"/>
      <c r="P183" s="1"/>
      <c r="Q183" s="1"/>
      <c r="R183" s="1"/>
      <c r="S183" s="1"/>
      <c r="T183" s="1"/>
      <c r="U183" s="38" t="str">
        <f t="shared" ca="1" si="1"/>
        <v>103,..,103</v>
      </c>
      <c r="V183" s="38">
        <f t="shared" ref="V183:V186" ca="1" si="3">V182+1</f>
        <v>103</v>
      </c>
      <c r="W183" s="38">
        <f t="shared" ref="W183:W186" ca="1" si="4">W182+1</f>
        <v>103</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0" customFormat="1" ht="20.25" customHeight="1" x14ac:dyDescent="0.25">
      <c r="A184" s="129">
        <v>4</v>
      </c>
      <c r="B184" s="129"/>
      <c r="C184" s="109" t="s">
        <v>212</v>
      </c>
      <c r="D184" s="110"/>
      <c r="E184" s="162"/>
      <c r="F184" s="163"/>
      <c r="G184" s="163"/>
      <c r="H184" s="163"/>
      <c r="I184" s="164"/>
      <c r="J184" s="1"/>
      <c r="K184" s="1"/>
      <c r="L184" s="1"/>
      <c r="M184" s="1"/>
      <c r="N184" s="1"/>
      <c r="O184" s="1"/>
      <c r="P184" s="1"/>
      <c r="Q184" s="1"/>
      <c r="R184" s="1"/>
      <c r="S184" s="1"/>
      <c r="T184" s="1"/>
      <c r="U184" s="38" t="str">
        <f t="shared" ca="1" si="1"/>
        <v>104,..,104</v>
      </c>
      <c r="V184" s="38">
        <f t="shared" ca="1" si="3"/>
        <v>104</v>
      </c>
      <c r="W184" s="38">
        <f t="shared" ca="1" si="4"/>
        <v>104</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0" customFormat="1" ht="20.25" customHeight="1" x14ac:dyDescent="0.25">
      <c r="A185" s="129">
        <v>5</v>
      </c>
      <c r="B185" s="129"/>
      <c r="C185" s="109" t="s">
        <v>212</v>
      </c>
      <c r="D185" s="110"/>
      <c r="E185" s="162"/>
      <c r="F185" s="163"/>
      <c r="G185" s="163"/>
      <c r="H185" s="163"/>
      <c r="I185" s="164"/>
      <c r="J185" s="1"/>
      <c r="K185" s="1"/>
      <c r="L185" s="1"/>
      <c r="M185" s="1"/>
      <c r="N185" s="1"/>
      <c r="O185" s="1"/>
      <c r="P185" s="1"/>
      <c r="Q185" s="1"/>
      <c r="R185" s="1"/>
      <c r="S185" s="1"/>
      <c r="T185" s="1"/>
      <c r="U185" s="38" t="str">
        <f t="shared" ca="1" si="1"/>
        <v>105,..,105</v>
      </c>
      <c r="V185" s="38">
        <f t="shared" ca="1" si="3"/>
        <v>105</v>
      </c>
      <c r="W185" s="38">
        <f t="shared" ca="1" si="4"/>
        <v>105</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0" customFormat="1" ht="20.25" customHeight="1" x14ac:dyDescent="0.25">
      <c r="A186" s="129">
        <v>6</v>
      </c>
      <c r="B186" s="129"/>
      <c r="C186" s="109" t="s">
        <v>213</v>
      </c>
      <c r="D186" s="110"/>
      <c r="E186" s="165"/>
      <c r="F186" s="166"/>
      <c r="G186" s="166"/>
      <c r="H186" s="166"/>
      <c r="I186" s="167"/>
      <c r="J186" s="1"/>
      <c r="K186" s="1"/>
      <c r="L186" s="1"/>
      <c r="M186" s="1"/>
      <c r="N186" s="1"/>
      <c r="O186" s="1"/>
      <c r="P186" s="1"/>
      <c r="Q186" s="1"/>
      <c r="R186" s="1"/>
      <c r="S186" s="1"/>
      <c r="T186" s="1"/>
      <c r="U186" s="38" t="str">
        <f t="shared" ca="1" si="1"/>
        <v>106,..,106</v>
      </c>
      <c r="V186" s="38">
        <f t="shared" ca="1" si="3"/>
        <v>106</v>
      </c>
      <c r="W186" s="38">
        <f t="shared" ca="1" si="4"/>
        <v>106</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0" customFormat="1" ht="20.25" x14ac:dyDescent="0.25">
      <c r="A187" s="102" t="s">
        <v>253</v>
      </c>
      <c r="B187" s="103"/>
      <c r="C187" s="103"/>
      <c r="D187" s="103"/>
      <c r="E187" s="103"/>
      <c r="F187" s="103"/>
      <c r="G187" s="103"/>
      <c r="H187" s="103"/>
      <c r="I187" s="128"/>
      <c r="J187" s="1">
        <f>4+1</f>
        <v>5</v>
      </c>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0" customFormat="1" ht="20.25" customHeight="1" x14ac:dyDescent="0.25">
      <c r="A188" s="129">
        <v>1</v>
      </c>
      <c r="B188" s="129"/>
      <c r="C188" s="109" t="s">
        <v>211</v>
      </c>
      <c r="D188" s="110"/>
      <c r="E188" s="57">
        <f>(3*5.4+1.155*1.5+2.85*1.925+2.9*3+0.1*1.625+2.8*3.375+0.1*1.05+1.35*2.225+2.275*1.4+2.3*2.75+0.1*0.475+2.5*1.05)*(10.764)</f>
        <v>613.79019000000005</v>
      </c>
      <c r="F188" s="130">
        <f>(0)*(10.764)</f>
        <v>0</v>
      </c>
      <c r="G188" s="131">
        <f>0*(10.764)</f>
        <v>0</v>
      </c>
      <c r="H188" s="56">
        <f>(0)*(10.764)</f>
        <v>0</v>
      </c>
      <c r="I188" s="18">
        <f>E188+F188+H188</f>
        <v>613.79019000000005</v>
      </c>
      <c r="J188" s="1"/>
      <c r="K188" s="1"/>
      <c r="L188" s="1"/>
      <c r="M188" s="1"/>
      <c r="N188" s="1"/>
      <c r="O188" s="1"/>
      <c r="P188" s="1"/>
      <c r="Q188" s="1"/>
      <c r="R188" s="1"/>
      <c r="S188" s="1"/>
      <c r="T188" s="1"/>
      <c r="U188" s="38" t="str">
        <f t="shared" ref="U188:U193" ca="1" si="5">V188&amp;""&amp;",..,"&amp;""&amp;W188</f>
        <v>201,..,701</v>
      </c>
      <c r="V188" s="38">
        <f ca="1">(SUMPRODUCT(MID(0&amp;(LEFT(A187,SUM(LEN(A187)-LEN(SUBSTITUTE(A187,{"0","1","2","3"},""))))), LARGE(INDEX(ISNUMBER(--MID((LEFT(A187,SUM(LEN(A187)-LEN(SUBSTITUTE(A187,{"0","1","2","3"},""))))), ROW(INDIRECT("1:"&amp;LEN((LEFT(A187,SUM(LEN(A187)-LEN(SUBSTITUTE(A187,{"0","1","2","3"},"")))))))), 1)) * ROW(INDIRECT("1:"&amp;LEN((LEFT(A187,SUM(LEN(A187)-LEN(SUBSTITUTE(A187,{"0","1","2","3"},"")))))))), 0), ROW(INDIRECT("1:"&amp;LEN((LEFT(A187,SUM(LEN(A187)-LEN(SUBSTITUTE(A187,{"0","1","2","3"},"")))))))))+1, 1) * 10^ROW(INDIRECT("1:"&amp;LEN((LEFT(A187,SUM(LEN(A187)-LEN(SUBSTITUTE(A187,{"0","1","2","3"},""))))))))/10))*100+1</f>
        <v>201</v>
      </c>
      <c r="W188" s="38">
        <f ca="1">(SUMPRODUCT(MID(0&amp;(--TRIM(RIGHT(SUBSTITUTE(LEFT(A187,_xlfn.AGGREGATE(16,6,FIND({0,1,2,3,4,5,6,7,8,9},A187,ROW(INDIRECT("1:"&amp;LEN(A187)))),1)),"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",LEN(A187))),LEN(A187)))))))/10))*100+1</f>
        <v>701</v>
      </c>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0" customFormat="1" ht="20.25" customHeight="1" x14ac:dyDescent="0.25">
      <c r="A189" s="129">
        <v>2</v>
      </c>
      <c r="B189" s="129"/>
      <c r="C189" s="109" t="s">
        <v>211</v>
      </c>
      <c r="D189" s="110"/>
      <c r="E189" s="57">
        <f>(3*5.4+1.155*1.5+2.85*1.925+2.9*3+0.1*1.625+2.8*3.375+0.1*1.05+1.35*2.225+2.275*1.4+2.3*2.75+0.1*0.475+2.5*1.05)*(10.764)</f>
        <v>613.79019000000005</v>
      </c>
      <c r="F189" s="130">
        <f>(0)*(10.764)</f>
        <v>0</v>
      </c>
      <c r="G189" s="131">
        <f>0*(10.764)</f>
        <v>0</v>
      </c>
      <c r="H189" s="56">
        <f>(0)*(10.764)</f>
        <v>0</v>
      </c>
      <c r="I189" s="18">
        <f t="shared" ref="I189" si="6">E189+F189+H189</f>
        <v>613.79019000000005</v>
      </c>
      <c r="J189" s="1"/>
      <c r="K189" s="1"/>
      <c r="L189" s="1"/>
      <c r="M189" s="1"/>
      <c r="N189" s="1"/>
      <c r="O189" s="1"/>
      <c r="P189" s="1"/>
      <c r="Q189" s="1"/>
      <c r="R189" s="1"/>
      <c r="S189" s="1"/>
      <c r="T189" s="1"/>
      <c r="U189" s="38" t="str">
        <f t="shared" ca="1" si="5"/>
        <v>202,..,702</v>
      </c>
      <c r="V189" s="38">
        <f ca="1">V188+1</f>
        <v>202</v>
      </c>
      <c r="W189" s="38">
        <f ca="1">W188+1</f>
        <v>702</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0" customFormat="1" ht="20.25" customHeight="1" x14ac:dyDescent="0.25">
      <c r="A190" s="129">
        <v>3</v>
      </c>
      <c r="B190" s="129"/>
      <c r="C190" s="109" t="s">
        <v>212</v>
      </c>
      <c r="D190" s="110"/>
      <c r="E190" s="159" t="s">
        <v>251</v>
      </c>
      <c r="F190" s="160"/>
      <c r="G190" s="160"/>
      <c r="H190" s="160"/>
      <c r="I190" s="161"/>
      <c r="J190" s="1"/>
      <c r="K190" s="1"/>
      <c r="L190" s="1"/>
      <c r="M190" s="1"/>
      <c r="N190" s="1"/>
      <c r="O190" s="1"/>
      <c r="P190" s="1"/>
      <c r="Q190" s="1"/>
      <c r="R190" s="1"/>
      <c r="S190" s="1"/>
      <c r="T190" s="1"/>
      <c r="U190" s="38" t="str">
        <f t="shared" ca="1" si="5"/>
        <v>203,..,703</v>
      </c>
      <c r="V190" s="38">
        <f t="shared" ref="V190:W193" ca="1" si="7">V189+1</f>
        <v>203</v>
      </c>
      <c r="W190" s="38">
        <f t="shared" ca="1" si="7"/>
        <v>703</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0" customFormat="1" ht="20.25" customHeight="1" x14ac:dyDescent="0.25">
      <c r="A191" s="129">
        <v>4</v>
      </c>
      <c r="B191" s="129"/>
      <c r="C191" s="109" t="s">
        <v>212</v>
      </c>
      <c r="D191" s="110"/>
      <c r="E191" s="162"/>
      <c r="F191" s="163"/>
      <c r="G191" s="163"/>
      <c r="H191" s="163"/>
      <c r="I191" s="164"/>
      <c r="J191" s="1"/>
      <c r="K191" s="1"/>
      <c r="L191" s="1"/>
      <c r="M191" s="1"/>
      <c r="N191" s="1"/>
      <c r="O191" s="1"/>
      <c r="P191" s="1"/>
      <c r="Q191" s="1"/>
      <c r="R191" s="1"/>
      <c r="S191" s="1"/>
      <c r="T191" s="1"/>
      <c r="U191" s="38" t="str">
        <f t="shared" ca="1" si="5"/>
        <v>204,..,704</v>
      </c>
      <c r="V191" s="38">
        <f t="shared" ca="1" si="7"/>
        <v>204</v>
      </c>
      <c r="W191" s="38">
        <f t="shared" ca="1" si="7"/>
        <v>704</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0" customFormat="1" ht="20.25" customHeight="1" x14ac:dyDescent="0.25">
      <c r="A192" s="129">
        <v>5</v>
      </c>
      <c r="B192" s="129"/>
      <c r="C192" s="109" t="s">
        <v>212</v>
      </c>
      <c r="D192" s="110"/>
      <c r="E192" s="162"/>
      <c r="F192" s="163"/>
      <c r="G192" s="163"/>
      <c r="H192" s="163"/>
      <c r="I192" s="164"/>
      <c r="J192" s="1"/>
      <c r="K192" s="1"/>
      <c r="L192" s="1"/>
      <c r="M192" s="1"/>
      <c r="N192" s="1"/>
      <c r="O192" s="1"/>
      <c r="P192" s="1"/>
      <c r="Q192" s="1"/>
      <c r="R192" s="1"/>
      <c r="S192" s="1"/>
      <c r="T192" s="1"/>
      <c r="U192" s="38" t="str">
        <f t="shared" ca="1" si="5"/>
        <v>205,..,705</v>
      </c>
      <c r="V192" s="38">
        <f t="shared" ca="1" si="7"/>
        <v>205</v>
      </c>
      <c r="W192" s="38">
        <f t="shared" ca="1" si="7"/>
        <v>705</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0" customFormat="1" ht="20.25" customHeight="1" x14ac:dyDescent="0.25">
      <c r="A193" s="129">
        <v>6</v>
      </c>
      <c r="B193" s="129"/>
      <c r="C193" s="109" t="s">
        <v>213</v>
      </c>
      <c r="D193" s="110"/>
      <c r="E193" s="165"/>
      <c r="F193" s="166"/>
      <c r="G193" s="166"/>
      <c r="H193" s="166"/>
      <c r="I193" s="167"/>
      <c r="J193" s="1"/>
      <c r="K193" s="1"/>
      <c r="L193" s="1"/>
      <c r="M193" s="1"/>
      <c r="N193" s="1"/>
      <c r="O193" s="1"/>
      <c r="P193" s="1"/>
      <c r="Q193" s="1"/>
      <c r="R193" s="1"/>
      <c r="S193" s="1"/>
      <c r="T193" s="1"/>
      <c r="U193" s="38" t="str">
        <f t="shared" ca="1" si="5"/>
        <v>206,..,706</v>
      </c>
      <c r="V193" s="38">
        <f t="shared" ca="1" si="7"/>
        <v>206</v>
      </c>
      <c r="W193" s="38">
        <f t="shared" ca="1" si="7"/>
        <v>706</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0" customFormat="1" ht="20.25" x14ac:dyDescent="0.25">
      <c r="A194" s="102" t="s">
        <v>254</v>
      </c>
      <c r="B194" s="103"/>
      <c r="C194" s="103"/>
      <c r="D194" s="103"/>
      <c r="E194" s="103"/>
      <c r="F194" s="103"/>
      <c r="G194" s="103"/>
      <c r="H194" s="103"/>
      <c r="I194" s="128"/>
      <c r="J194" s="1">
        <f>1</f>
        <v>1</v>
      </c>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0" customFormat="1" ht="20.25" customHeight="1" x14ac:dyDescent="0.25">
      <c r="A195" s="129">
        <v>1</v>
      </c>
      <c r="B195" s="129"/>
      <c r="C195" s="109" t="s">
        <v>213</v>
      </c>
      <c r="D195" s="110"/>
      <c r="E195" s="109" t="s">
        <v>215</v>
      </c>
      <c r="F195" s="168"/>
      <c r="G195" s="168"/>
      <c r="H195" s="168"/>
      <c r="I195" s="110"/>
      <c r="J195" s="1"/>
      <c r="K195" s="1"/>
      <c r="L195" s="1"/>
      <c r="M195" s="1"/>
      <c r="N195" s="1"/>
      <c r="O195" s="1"/>
      <c r="P195" s="1"/>
      <c r="Q195" s="1"/>
      <c r="R195" s="1"/>
      <c r="S195" s="1"/>
      <c r="T195" s="1"/>
      <c r="U195" s="38" t="e">
        <f t="shared" ref="U195:U200" ca="1" si="8">V195&amp;""&amp;",..,"&amp;""&amp;W195</f>
        <v>#REF!</v>
      </c>
      <c r="V195" s="38" t="e">
        <f ca="1">(SUMPRODUCT(MID(0&amp;(LEFT(A194,SUM(LEN(A194)-LEN(SUBSTITUTE(A194,{"0","1","2","3"},""))))), LARGE(INDEX(ISNUMBER(--MID((LEFT(A194,SUM(LEN(A194)-LEN(SUBSTITUTE(A194,{"0","1","2","3"},""))))), ROW(INDIRECT("1:"&amp;LEN((LEFT(A194,SUM(LEN(A194)-LEN(SUBSTITUTE(A194,{"0","1","2","3"},"")))))))), 1)) * ROW(INDIRECT("1:"&amp;LEN((LEFT(A194,SUM(LEN(A194)-LEN(SUBSTITUTE(A194,{"0","1","2","3"},"")))))))), 0), ROW(INDIRECT("1:"&amp;LEN((LEFT(A194,SUM(LEN(A194)-LEN(SUBSTITUTE(A194,{"0","1","2","3"},"")))))))))+1, 1) * 10^ROW(INDIRECT("1:"&amp;LEN((LEFT(A194,SUM(LEN(A194)-LEN(SUBSTITUTE(A194,{"0","1","2","3"},""))))))))/10))*100+1</f>
        <v>#REF!</v>
      </c>
      <c r="W195" s="38">
        <f ca="1">(SUMPRODUCT(MID(0&amp;(--TRIM(RIGHT(SUBSTITUTE(LEFT(A194,_xlfn.AGGREGATE(16,6,FIND({0,1,2,3,4,5,6,7,8,9},A194,ROW(INDIRECT("1:"&amp;LEN(A194)))),1)),"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601</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0" customFormat="1" ht="20.25" customHeight="1" x14ac:dyDescent="0.25">
      <c r="A196" s="129">
        <v>2</v>
      </c>
      <c r="B196" s="129"/>
      <c r="C196" s="109" t="s">
        <v>211</v>
      </c>
      <c r="D196" s="110"/>
      <c r="E196" s="57">
        <f>(3*5.4+1.155*1.5+2.85*1.925+2.9*3+0.1*1.625+2.8*3.375+0.1*1.05+1.35*2.225+2.275*1.4+2.3*2.75+0.1*0.475+2.5*1.05)*(10.764)</f>
        <v>613.79019000000005</v>
      </c>
      <c r="F196" s="130">
        <f>(0)*(10.764)</f>
        <v>0</v>
      </c>
      <c r="G196" s="131">
        <f>0*(10.764)</f>
        <v>0</v>
      </c>
      <c r="H196" s="56">
        <f>(0)*(10.764)</f>
        <v>0</v>
      </c>
      <c r="I196" s="18">
        <f t="shared" ref="I196" si="9">E196+F196+H196</f>
        <v>613.79019000000005</v>
      </c>
      <c r="J196" s="1"/>
      <c r="K196" s="1"/>
      <c r="L196" s="1"/>
      <c r="M196" s="1"/>
      <c r="N196" s="1"/>
      <c r="O196" s="1"/>
      <c r="P196" s="1"/>
      <c r="Q196" s="1"/>
      <c r="R196" s="1"/>
      <c r="S196" s="1"/>
      <c r="T196" s="1"/>
      <c r="U196" s="38" t="e">
        <f t="shared" ca="1" si="8"/>
        <v>#REF!</v>
      </c>
      <c r="V196" s="38" t="e">
        <f ca="1">V195+1</f>
        <v>#REF!</v>
      </c>
      <c r="W196" s="38">
        <f ca="1">W195+1</f>
        <v>602</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0" customFormat="1" ht="20.25" customHeight="1" x14ac:dyDescent="0.25">
      <c r="A197" s="129">
        <v>3</v>
      </c>
      <c r="B197" s="129"/>
      <c r="C197" s="109" t="s">
        <v>212</v>
      </c>
      <c r="D197" s="110"/>
      <c r="E197" s="159" t="s">
        <v>214</v>
      </c>
      <c r="F197" s="160"/>
      <c r="G197" s="160"/>
      <c r="H197" s="160"/>
      <c r="I197" s="161"/>
      <c r="J197" s="1"/>
      <c r="K197" s="1"/>
      <c r="L197" s="1"/>
      <c r="M197" s="1"/>
      <c r="N197" s="1"/>
      <c r="O197" s="1"/>
      <c r="P197" s="1"/>
      <c r="Q197" s="1"/>
      <c r="R197" s="1"/>
      <c r="S197" s="1"/>
      <c r="T197" s="1"/>
      <c r="U197" s="38" t="e">
        <f t="shared" ca="1" si="8"/>
        <v>#REF!</v>
      </c>
      <c r="V197" s="38" t="e">
        <f t="shared" ref="V197:W197" ca="1" si="10">V196+1</f>
        <v>#REF!</v>
      </c>
      <c r="W197" s="38">
        <f t="shared" ca="1" si="10"/>
        <v>603</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0" customFormat="1" ht="20.25" customHeight="1" x14ac:dyDescent="0.25">
      <c r="A198" s="129">
        <v>4</v>
      </c>
      <c r="B198" s="129"/>
      <c r="C198" s="109" t="s">
        <v>212</v>
      </c>
      <c r="D198" s="110"/>
      <c r="E198" s="162"/>
      <c r="F198" s="163"/>
      <c r="G198" s="163"/>
      <c r="H198" s="163"/>
      <c r="I198" s="164"/>
      <c r="J198" s="1"/>
      <c r="K198" s="1"/>
      <c r="L198" s="1"/>
      <c r="M198" s="1"/>
      <c r="N198" s="1"/>
      <c r="O198" s="1"/>
      <c r="P198" s="1"/>
      <c r="Q198" s="1"/>
      <c r="R198" s="1"/>
      <c r="S198" s="1"/>
      <c r="T198" s="1"/>
      <c r="U198" s="38" t="e">
        <f t="shared" ca="1" si="8"/>
        <v>#REF!</v>
      </c>
      <c r="V198" s="38" t="e">
        <f t="shared" ref="V198:W198" ca="1" si="11">V197+1</f>
        <v>#REF!</v>
      </c>
      <c r="W198" s="38">
        <f t="shared" ca="1" si="11"/>
        <v>604</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0" customFormat="1" ht="20.25" customHeight="1" x14ac:dyDescent="0.25">
      <c r="A199" s="129">
        <v>5</v>
      </c>
      <c r="B199" s="129"/>
      <c r="C199" s="109" t="s">
        <v>212</v>
      </c>
      <c r="D199" s="110"/>
      <c r="E199" s="162"/>
      <c r="F199" s="163"/>
      <c r="G199" s="163"/>
      <c r="H199" s="163"/>
      <c r="I199" s="164"/>
      <c r="J199" s="1"/>
      <c r="K199" s="1"/>
      <c r="L199" s="1"/>
      <c r="M199" s="1"/>
      <c r="N199" s="1"/>
      <c r="O199" s="1"/>
      <c r="P199" s="1"/>
      <c r="Q199" s="1"/>
      <c r="R199" s="1"/>
      <c r="S199" s="1"/>
      <c r="T199" s="1"/>
      <c r="U199" s="38" t="e">
        <f t="shared" ca="1" si="8"/>
        <v>#REF!</v>
      </c>
      <c r="V199" s="38" t="e">
        <f t="shared" ref="V199:W199" ca="1" si="12">V198+1</f>
        <v>#REF!</v>
      </c>
      <c r="W199" s="38">
        <f t="shared" ca="1" si="12"/>
        <v>605</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0" customFormat="1" ht="20.25" customHeight="1" x14ac:dyDescent="0.25">
      <c r="A200" s="129">
        <v>6</v>
      </c>
      <c r="B200" s="129"/>
      <c r="C200" s="109" t="s">
        <v>213</v>
      </c>
      <c r="D200" s="110"/>
      <c r="E200" s="165"/>
      <c r="F200" s="166"/>
      <c r="G200" s="166"/>
      <c r="H200" s="166"/>
      <c r="I200" s="167"/>
      <c r="J200" s="1"/>
      <c r="K200" s="1"/>
      <c r="L200" s="1"/>
      <c r="M200" s="1"/>
      <c r="N200" s="1"/>
      <c r="O200" s="1"/>
      <c r="P200" s="1"/>
      <c r="Q200" s="1"/>
      <c r="R200" s="1"/>
      <c r="S200" s="1"/>
      <c r="T200" s="1"/>
      <c r="U200" s="38" t="e">
        <f t="shared" ca="1" si="8"/>
        <v>#REF!</v>
      </c>
      <c r="V200" s="38" t="e">
        <f t="shared" ref="V200:W200" ca="1" si="13">V199+1</f>
        <v>#REF!</v>
      </c>
      <c r="W200" s="38">
        <f t="shared" ca="1" si="13"/>
        <v>606</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0" customFormat="1" ht="20.25" x14ac:dyDescent="0.25">
      <c r="A201" s="102" t="s">
        <v>216</v>
      </c>
      <c r="B201" s="103"/>
      <c r="C201" s="103"/>
      <c r="D201" s="103"/>
      <c r="E201" s="103"/>
      <c r="F201" s="103"/>
      <c r="G201" s="103"/>
      <c r="H201" s="103"/>
      <c r="I201" s="128"/>
      <c r="J201" s="1">
        <f>5+6+5</f>
        <v>16</v>
      </c>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0" customFormat="1" ht="20.25" customHeight="1" x14ac:dyDescent="0.25">
      <c r="A202" s="129">
        <v>1</v>
      </c>
      <c r="B202" s="129"/>
      <c r="C202" s="109" t="s">
        <v>211</v>
      </c>
      <c r="D202" s="110"/>
      <c r="E202" s="57">
        <f>(3*5.4+1.155*1.5+2.85*1.925+2.9*3+0.1*1.625+2.8*3.375+0.1*1.05+1.35*2.225+2.275*1.4+2.3*2.75+0.1*0.475+2.5*1.05)*(10.764)</f>
        <v>613.79019000000005</v>
      </c>
      <c r="F202" s="130">
        <f t="shared" ref="F202:F207" si="14">(0)*(10.764)</f>
        <v>0</v>
      </c>
      <c r="G202" s="131">
        <f t="shared" ref="G202:G207" si="15">0*(10.764)</f>
        <v>0</v>
      </c>
      <c r="H202" s="56">
        <f t="shared" ref="H202:H207" si="16">(0)*(10.764)</f>
        <v>0</v>
      </c>
      <c r="I202" s="18">
        <f>E202+F202+H202</f>
        <v>613.79019000000005</v>
      </c>
      <c r="J202" s="1"/>
      <c r="K202" s="1"/>
      <c r="L202" s="1"/>
      <c r="M202" s="1"/>
      <c r="N202" s="1"/>
      <c r="O202" s="1"/>
      <c r="P202" s="1"/>
      <c r="Q202" s="1"/>
      <c r="R202" s="1"/>
      <c r="S202" s="1"/>
      <c r="T202" s="1"/>
      <c r="U202" s="38" t="str">
        <f t="shared" ref="U202:U207" ca="1" si="17">V202&amp;""&amp;",..,"&amp;""&amp;W202</f>
        <v>801,..,2501</v>
      </c>
      <c r="V202" s="38">
        <f ca="1">(SUMPRODUCT(MID(0&amp;(LEFT(A201,SUM(LEN(A201)-LEN(SUBSTITUTE(A201,{"0","1","2","3"},""))))), LARGE(INDEX(ISNUMBER(--MID((LEFT(A201,SUM(LEN(A201)-LEN(SUBSTITUTE(A201,{"0","1","2","3"},""))))), ROW(INDIRECT("1:"&amp;LEN((LEFT(A201,SUM(LEN(A201)-LEN(SUBSTITUTE(A201,{"0","1","2","3"},"")))))))), 1)) * ROW(INDIRECT("1:"&amp;LEN((LEFT(A201,SUM(LEN(A201)-LEN(SUBSTITUTE(A201,{"0","1","2","3"},"")))))))), 0), ROW(INDIRECT("1:"&amp;LEN((LEFT(A201,SUM(LEN(A201)-LEN(SUBSTITUTE(A201,{"0","1","2","3"},"")))))))))+1, 1) * 10^ROW(INDIRECT("1:"&amp;LEN((LEFT(A201,SUM(LEN(A201)-LEN(SUBSTITUTE(A201,{"0","1","2","3"},""))))))))/10))*100+1</f>
        <v>801</v>
      </c>
      <c r="W202" s="38">
        <f ca="1">(SUMPRODUCT(MID(0&amp;(--TRIM(RIGHT(SUBSTITUTE(LEFT(A201,_xlfn.AGGREGATE(16,6,FIND({0,1,2,3,4,5,6,7,8,9},A201,ROW(INDIRECT("1:"&amp;LEN(A201)))),1)),"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",LEN(A201))),LEN(A201)))))))/10))*100+1</f>
        <v>2501</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0" customFormat="1" ht="20.25" customHeight="1" x14ac:dyDescent="0.25">
      <c r="A203" s="129">
        <v>2</v>
      </c>
      <c r="B203" s="129"/>
      <c r="C203" s="109" t="s">
        <v>211</v>
      </c>
      <c r="D203" s="110"/>
      <c r="E203" s="57">
        <f>(3*5.4+1.155*1.5+2.85*1.925+2.9*3+0.1*1.625+2.8*3.375+0.1*1.05+1.35*2.225+2.275*1.4+2.3*2.75+0.1*0.475+2.5*1.05)*(10.764)</f>
        <v>613.79019000000005</v>
      </c>
      <c r="F203" s="130">
        <f t="shared" si="14"/>
        <v>0</v>
      </c>
      <c r="G203" s="131">
        <f t="shared" si="15"/>
        <v>0</v>
      </c>
      <c r="H203" s="56">
        <f t="shared" si="16"/>
        <v>0</v>
      </c>
      <c r="I203" s="18">
        <f t="shared" ref="I203:I207" si="18">E203+F203+H203</f>
        <v>613.79019000000005</v>
      </c>
      <c r="J203" s="1"/>
      <c r="K203" s="1"/>
      <c r="L203" s="1"/>
      <c r="M203" s="1"/>
      <c r="N203" s="1"/>
      <c r="O203" s="1"/>
      <c r="P203" s="1"/>
      <c r="Q203" s="1"/>
      <c r="R203" s="1"/>
      <c r="S203" s="1"/>
      <c r="T203" s="1"/>
      <c r="U203" s="38" t="str">
        <f t="shared" ca="1" si="17"/>
        <v>802,..,2502</v>
      </c>
      <c r="V203" s="38">
        <f ca="1">V202+1</f>
        <v>802</v>
      </c>
      <c r="W203" s="38">
        <f ca="1">W202+1</f>
        <v>2502</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0" customFormat="1" ht="20.25" customHeight="1" x14ac:dyDescent="0.25">
      <c r="A204" s="129">
        <v>3</v>
      </c>
      <c r="B204" s="129"/>
      <c r="C204" s="109" t="s">
        <v>217</v>
      </c>
      <c r="D204" s="110"/>
      <c r="E204" s="57">
        <f>(3.75*2.9+2.4*0.46+2.525*1.85+0.785*0.05+2.75*3.15+2.4*2.725+1.275*2.2+1.225*2.2+1.225*1.125+2.3*0.9+0.325*0.9)*(10.764)</f>
        <v>442.75157549999989</v>
      </c>
      <c r="F204" s="130">
        <f t="shared" si="14"/>
        <v>0</v>
      </c>
      <c r="G204" s="131">
        <f t="shared" si="15"/>
        <v>0</v>
      </c>
      <c r="H204" s="56">
        <f t="shared" si="16"/>
        <v>0</v>
      </c>
      <c r="I204" s="18">
        <f t="shared" si="18"/>
        <v>442.75157549999989</v>
      </c>
      <c r="J204" s="1"/>
      <c r="K204" s="1"/>
      <c r="L204" s="1"/>
      <c r="M204" s="1"/>
      <c r="N204" s="1"/>
      <c r="O204" s="1"/>
      <c r="P204" s="1"/>
      <c r="Q204" s="1"/>
      <c r="R204" s="1"/>
      <c r="S204" s="1"/>
      <c r="T204" s="1"/>
      <c r="U204" s="38" t="str">
        <f t="shared" ca="1" si="17"/>
        <v>803,..,2503</v>
      </c>
      <c r="V204" s="38">
        <f t="shared" ref="V204:W204" ca="1" si="19">V203+1</f>
        <v>803</v>
      </c>
      <c r="W204" s="38">
        <f t="shared" ca="1" si="19"/>
        <v>2503</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0" customFormat="1" ht="20.25" customHeight="1" x14ac:dyDescent="0.25">
      <c r="A205" s="129">
        <v>4</v>
      </c>
      <c r="B205" s="129"/>
      <c r="C205" s="109" t="s">
        <v>218</v>
      </c>
      <c r="D205" s="110"/>
      <c r="E205" s="57">
        <f>(4.525*2.85+1.25*1.125+2.4*0.51+1.925*2.75+2.85*3.05+1.35*1.2+1.5*1.2+1.5*1.2)*(10.764)</f>
        <v>373.86332099999993</v>
      </c>
      <c r="F205" s="130">
        <f t="shared" si="14"/>
        <v>0</v>
      </c>
      <c r="G205" s="131">
        <f t="shared" si="15"/>
        <v>0</v>
      </c>
      <c r="H205" s="56">
        <f t="shared" si="16"/>
        <v>0</v>
      </c>
      <c r="I205" s="18">
        <f t="shared" si="18"/>
        <v>373.86332099999993</v>
      </c>
      <c r="J205" s="1"/>
      <c r="K205" s="1"/>
      <c r="L205" s="1"/>
      <c r="M205" s="1"/>
      <c r="N205" s="1"/>
      <c r="O205" s="1"/>
      <c r="P205" s="1"/>
      <c r="Q205" s="1"/>
      <c r="R205" s="1"/>
      <c r="S205" s="1"/>
      <c r="T205" s="1"/>
      <c r="U205" s="38" t="str">
        <f t="shared" ca="1" si="17"/>
        <v>804,..,2504</v>
      </c>
      <c r="V205" s="38">
        <f t="shared" ref="V205:W205" ca="1" si="20">V204+1</f>
        <v>804</v>
      </c>
      <c r="W205" s="38">
        <f t="shared" ca="1" si="20"/>
        <v>2504</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0" customFormat="1" ht="20.25" customHeight="1" x14ac:dyDescent="0.25">
      <c r="A206" s="129">
        <v>5</v>
      </c>
      <c r="B206" s="129"/>
      <c r="C206" s="109" t="s">
        <v>218</v>
      </c>
      <c r="D206" s="110"/>
      <c r="E206" s="57">
        <f>(4.525*2.85+1.25*1.125+2.4*0.51+1.925*2.75+2.85*3.05+1.35*1.2+1.5*1.2+1.5*1.2)*(10.764)</f>
        <v>373.86332099999993</v>
      </c>
      <c r="F206" s="130">
        <f t="shared" si="14"/>
        <v>0</v>
      </c>
      <c r="G206" s="131">
        <f t="shared" si="15"/>
        <v>0</v>
      </c>
      <c r="H206" s="56">
        <f t="shared" si="16"/>
        <v>0</v>
      </c>
      <c r="I206" s="18">
        <f t="shared" si="18"/>
        <v>373.86332099999993</v>
      </c>
      <c r="J206" s="1"/>
      <c r="K206" s="1"/>
      <c r="L206" s="1"/>
      <c r="M206" s="1"/>
      <c r="N206" s="1"/>
      <c r="O206" s="1"/>
      <c r="P206" s="1"/>
      <c r="Q206" s="1"/>
      <c r="R206" s="1"/>
      <c r="S206" s="1"/>
      <c r="T206" s="1"/>
      <c r="U206" s="38" t="str">
        <f t="shared" ca="1" si="17"/>
        <v>805,..,2505</v>
      </c>
      <c r="V206" s="38">
        <f t="shared" ref="V206:W206" ca="1" si="21">V205+1</f>
        <v>805</v>
      </c>
      <c r="W206" s="38">
        <f t="shared" ca="1" si="21"/>
        <v>2505</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0" customFormat="1" ht="20.25" customHeight="1" x14ac:dyDescent="0.25">
      <c r="A207" s="129">
        <v>6</v>
      </c>
      <c r="B207" s="129"/>
      <c r="C207" s="109" t="s">
        <v>217</v>
      </c>
      <c r="D207" s="110"/>
      <c r="E207" s="57">
        <f>(3.75*2.9+2.4*0.46+2.525*1.85+0.785*0.05+2.75*3.15+2.4*2.725+1.275*2.2+1.225*2.2+1.225*1.125+2.3*0.9+0.325*0.9)*(10.764)</f>
        <v>442.75157549999989</v>
      </c>
      <c r="F207" s="130">
        <f t="shared" si="14"/>
        <v>0</v>
      </c>
      <c r="G207" s="131">
        <f t="shared" si="15"/>
        <v>0</v>
      </c>
      <c r="H207" s="56">
        <f t="shared" si="16"/>
        <v>0</v>
      </c>
      <c r="I207" s="18">
        <f t="shared" si="18"/>
        <v>442.75157549999989</v>
      </c>
      <c r="J207" s="1"/>
      <c r="K207" s="1"/>
      <c r="L207" s="1"/>
      <c r="M207" s="1"/>
      <c r="N207" s="1"/>
      <c r="O207" s="1"/>
      <c r="P207" s="1"/>
      <c r="Q207" s="1"/>
      <c r="R207" s="1"/>
      <c r="S207" s="1"/>
      <c r="T207" s="1"/>
      <c r="U207" s="38" t="str">
        <f t="shared" ca="1" si="17"/>
        <v>806,..,2506</v>
      </c>
      <c r="V207" s="38">
        <f t="shared" ref="V207:W207" ca="1" si="22">V206+1</f>
        <v>806</v>
      </c>
      <c r="W207" s="38">
        <f t="shared" ca="1" si="22"/>
        <v>2506</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0" customFormat="1" ht="20.25" x14ac:dyDescent="0.25">
      <c r="A208" s="102" t="s">
        <v>221</v>
      </c>
      <c r="B208" s="103"/>
      <c r="C208" s="103"/>
      <c r="D208" s="103"/>
      <c r="E208" s="103"/>
      <c r="F208" s="103"/>
      <c r="G208" s="103"/>
      <c r="H208" s="103"/>
      <c r="I208" s="128"/>
      <c r="J208" s="1">
        <f>2</f>
        <v>2</v>
      </c>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0" customFormat="1" ht="20.25" customHeight="1" x14ac:dyDescent="0.25">
      <c r="A209" s="129">
        <v>1</v>
      </c>
      <c r="B209" s="129"/>
      <c r="C209" s="109" t="s">
        <v>212</v>
      </c>
      <c r="D209" s="110"/>
      <c r="E209" s="156" t="s">
        <v>215</v>
      </c>
      <c r="F209" s="157"/>
      <c r="G209" s="157"/>
      <c r="H209" s="157"/>
      <c r="I209" s="158"/>
      <c r="J209" s="1"/>
      <c r="K209" s="1"/>
      <c r="L209" s="1"/>
      <c r="M209" s="1"/>
      <c r="N209" s="1"/>
      <c r="O209" s="1"/>
      <c r="P209" s="1"/>
      <c r="Q209" s="1"/>
      <c r="R209" s="1"/>
      <c r="S209" s="1"/>
      <c r="T209" s="1"/>
      <c r="U209" s="38" t="str">
        <f t="shared" ref="U209:U214" ca="1" si="23">V209&amp;""&amp;",..,"&amp;""&amp;W209</f>
        <v>1301,..,2001</v>
      </c>
      <c r="V209" s="38">
        <f ca="1">(SUMPRODUCT(MID(0&amp;(LEFT(A208,SUM(LEN(A208)-LEN(SUBSTITUTE(A208,{"0","1","2","3"},""))))), LARGE(INDEX(ISNUMBER(--MID((LEFT(A208,SUM(LEN(A208)-LEN(SUBSTITUTE(A208,{"0","1","2","3"},""))))), ROW(INDIRECT("1:"&amp;LEN((LEFT(A208,SUM(LEN(A208)-LEN(SUBSTITUTE(A208,{"0","1","2","3"},"")))))))), 1)) * ROW(INDIRECT("1:"&amp;LEN((LEFT(A208,SUM(LEN(A208)-LEN(SUBSTITUTE(A208,{"0","1","2","3"},"")))))))), 0), ROW(INDIRECT("1:"&amp;LEN((LEFT(A208,SUM(LEN(A208)-LEN(SUBSTITUTE(A208,{"0","1","2","3"},"")))))))))+1, 1) * 10^ROW(INDIRECT("1:"&amp;LEN((LEFT(A208,SUM(LEN(A208)-LEN(SUBSTITUTE(A208,{"0","1","2","3"},""))))))))/10))*100+1</f>
        <v>1301</v>
      </c>
      <c r="W209" s="38">
        <f ca="1">(SUMPRODUCT(MID(0&amp;(--TRIM(RIGHT(SUBSTITUTE(LEFT(A208,_xlfn.AGGREGATE(16,6,FIND({0,1,2,3,4,5,6,7,8,9},A208,ROW(INDIRECT("1:"&amp;LEN(A208)))),1)),"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",LEN(A208))),LEN(A208)))))))/10))*100+1</f>
        <v>2001</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0" customFormat="1" ht="20.25" customHeight="1" x14ac:dyDescent="0.25">
      <c r="A210" s="129">
        <v>2</v>
      </c>
      <c r="B210" s="129"/>
      <c r="C210" s="109" t="s">
        <v>211</v>
      </c>
      <c r="D210" s="110"/>
      <c r="E210" s="57">
        <f>(3*5.4+1.155*1.5+2.85*1.925+2.9*3+0.1*1.625+2.8*3.375+0.1*1.05+1.35*2.225+2.275*1.4+2.3*2.75+0.1*0.475+2.5*1.05)*(10.764)</f>
        <v>613.79019000000005</v>
      </c>
      <c r="F210" s="130">
        <f>(0)*(10.764)</f>
        <v>0</v>
      </c>
      <c r="G210" s="131">
        <f>0*(10.764)</f>
        <v>0</v>
      </c>
      <c r="H210" s="56">
        <f>(0)*(10.764)</f>
        <v>0</v>
      </c>
      <c r="I210" s="18">
        <f t="shared" ref="I210:I214" si="24">E210+F210+H210</f>
        <v>613.79019000000005</v>
      </c>
      <c r="J210" s="1"/>
      <c r="K210" s="1"/>
      <c r="L210" s="1"/>
      <c r="M210" s="1"/>
      <c r="N210" s="1"/>
      <c r="O210" s="1"/>
      <c r="P210" s="1"/>
      <c r="Q210" s="1"/>
      <c r="R210" s="1"/>
      <c r="S210" s="1"/>
      <c r="T210" s="1"/>
      <c r="U210" s="38" t="str">
        <f t="shared" ca="1" si="23"/>
        <v>1302,..,2002</v>
      </c>
      <c r="V210" s="38">
        <f ca="1">V209+1</f>
        <v>1302</v>
      </c>
      <c r="W210" s="38">
        <f ca="1">W209+1</f>
        <v>2002</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0" customFormat="1" ht="20.25" customHeight="1" x14ac:dyDescent="0.25">
      <c r="A211" s="129">
        <v>3</v>
      </c>
      <c r="B211" s="129"/>
      <c r="C211" s="109" t="s">
        <v>217</v>
      </c>
      <c r="D211" s="110"/>
      <c r="E211" s="57">
        <f>(3.75*2.9+2.4*0.46+2.525*1.85+0.785*0.05+2.75*3.15+2.4*2.725+1.275*2.2+1.225*2.2+1.225*1.125+2.3*0.9+0.325*0.9)*(10.764)</f>
        <v>442.75157549999989</v>
      </c>
      <c r="F211" s="130">
        <f>(0)*(10.764)</f>
        <v>0</v>
      </c>
      <c r="G211" s="131">
        <f>0*(10.764)</f>
        <v>0</v>
      </c>
      <c r="H211" s="56">
        <f>(0)*(10.764)</f>
        <v>0</v>
      </c>
      <c r="I211" s="18">
        <f t="shared" si="24"/>
        <v>442.75157549999989</v>
      </c>
      <c r="J211" s="1"/>
      <c r="K211" s="1"/>
      <c r="L211" s="1"/>
      <c r="M211" s="1"/>
      <c r="N211" s="1"/>
      <c r="O211" s="1"/>
      <c r="P211" s="1"/>
      <c r="Q211" s="1"/>
      <c r="R211" s="1"/>
      <c r="S211" s="1"/>
      <c r="T211" s="1"/>
      <c r="U211" s="38" t="str">
        <f t="shared" ca="1" si="23"/>
        <v>1303,..,2003</v>
      </c>
      <c r="V211" s="38">
        <f t="shared" ref="V211:W211" ca="1" si="25">V210+1</f>
        <v>1303</v>
      </c>
      <c r="W211" s="38">
        <f t="shared" ca="1" si="25"/>
        <v>2003</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0" customFormat="1" ht="20.25" customHeight="1" x14ac:dyDescent="0.25">
      <c r="A212" s="129">
        <v>4</v>
      </c>
      <c r="B212" s="129"/>
      <c r="C212" s="109" t="s">
        <v>218</v>
      </c>
      <c r="D212" s="110"/>
      <c r="E212" s="57">
        <f>(4.525*2.85+1.25*1.125+2.4*0.51+1.925*2.75+2.85*3.05+1.35*1.2+1.5*1.2+1.5*1.2)*(10.764)</f>
        <v>373.86332099999993</v>
      </c>
      <c r="F212" s="130">
        <f>(0)*(10.764)</f>
        <v>0</v>
      </c>
      <c r="G212" s="131">
        <f>0*(10.764)</f>
        <v>0</v>
      </c>
      <c r="H212" s="56">
        <f>(0)*(10.764)</f>
        <v>0</v>
      </c>
      <c r="I212" s="18">
        <f t="shared" si="24"/>
        <v>373.86332099999993</v>
      </c>
      <c r="J212" s="1"/>
      <c r="K212" s="1"/>
      <c r="L212" s="1"/>
      <c r="M212" s="1"/>
      <c r="N212" s="1"/>
      <c r="O212" s="1"/>
      <c r="P212" s="1"/>
      <c r="Q212" s="1"/>
      <c r="R212" s="1"/>
      <c r="S212" s="1"/>
      <c r="T212" s="1"/>
      <c r="U212" s="38" t="str">
        <f t="shared" ca="1" si="23"/>
        <v>1304,..,2004</v>
      </c>
      <c r="V212" s="38">
        <f t="shared" ref="V212:W212" ca="1" si="26">V211+1</f>
        <v>1304</v>
      </c>
      <c r="W212" s="38">
        <f t="shared" ca="1" si="26"/>
        <v>2004</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0" customFormat="1" ht="20.25" customHeight="1" x14ac:dyDescent="0.25">
      <c r="A213" s="129">
        <v>5</v>
      </c>
      <c r="B213" s="129"/>
      <c r="C213" s="109" t="s">
        <v>218</v>
      </c>
      <c r="D213" s="110"/>
      <c r="E213" s="57">
        <f>(4.525*2.85+1.25*1.125+2.4*0.51+1.925*2.75+2.85*3.05+1.35*1.2+1.5*1.2+1.5*1.2)*(10.764)</f>
        <v>373.86332099999993</v>
      </c>
      <c r="F213" s="130">
        <f>(0)*(10.764)</f>
        <v>0</v>
      </c>
      <c r="G213" s="131">
        <f>0*(10.764)</f>
        <v>0</v>
      </c>
      <c r="H213" s="56">
        <f>(0)*(10.764)</f>
        <v>0</v>
      </c>
      <c r="I213" s="18">
        <f t="shared" si="24"/>
        <v>373.86332099999993</v>
      </c>
      <c r="J213" s="1"/>
      <c r="K213" s="1"/>
      <c r="L213" s="1"/>
      <c r="M213" s="1"/>
      <c r="N213" s="1"/>
      <c r="O213" s="1"/>
      <c r="P213" s="1"/>
      <c r="Q213" s="1"/>
      <c r="R213" s="1"/>
      <c r="S213" s="1"/>
      <c r="T213" s="1"/>
      <c r="U213" s="38" t="str">
        <f t="shared" ca="1" si="23"/>
        <v>1305,..,2005</v>
      </c>
      <c r="V213" s="38">
        <f t="shared" ref="V213:W213" ca="1" si="27">V212+1</f>
        <v>1305</v>
      </c>
      <c r="W213" s="38">
        <f t="shared" ca="1" si="27"/>
        <v>2005</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0" customFormat="1" ht="20.25" customHeight="1" x14ac:dyDescent="0.25">
      <c r="A214" s="129">
        <v>6</v>
      </c>
      <c r="B214" s="129"/>
      <c r="C214" s="109" t="s">
        <v>217</v>
      </c>
      <c r="D214" s="110"/>
      <c r="E214" s="57">
        <f>(3.75*2.9+2.4*0.46+2.525*1.85+0.785*0.05+2.75*3.15+2.4*2.725+1.275*2.2+1.225*2.2+1.225*1.125+2.3*0.9+0.325*0.9)*(10.764)</f>
        <v>442.75157549999989</v>
      </c>
      <c r="F214" s="130">
        <f>(0)*(10.764)</f>
        <v>0</v>
      </c>
      <c r="G214" s="131">
        <f>0*(10.764)</f>
        <v>0</v>
      </c>
      <c r="H214" s="56">
        <f>(0)*(10.764)</f>
        <v>0</v>
      </c>
      <c r="I214" s="18">
        <f t="shared" si="24"/>
        <v>442.75157549999989</v>
      </c>
      <c r="J214" s="1"/>
      <c r="K214" s="1"/>
      <c r="L214" s="1"/>
      <c r="M214" s="1"/>
      <c r="N214" s="1"/>
      <c r="O214" s="1"/>
      <c r="P214" s="1"/>
      <c r="Q214" s="1"/>
      <c r="R214" s="1"/>
      <c r="S214" s="1"/>
      <c r="T214" s="1"/>
      <c r="U214" s="38" t="str">
        <f t="shared" ca="1" si="23"/>
        <v>1306,..,2006</v>
      </c>
      <c r="V214" s="38">
        <f t="shared" ref="V214:W214" ca="1" si="28">V213+1</f>
        <v>1306</v>
      </c>
      <c r="W214" s="38">
        <f t="shared" ca="1" si="28"/>
        <v>2006</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ht="20.25" x14ac:dyDescent="0.25">
      <c r="A215" s="85" t="s">
        <v>68</v>
      </c>
      <c r="B215" s="85"/>
      <c r="C215" s="85"/>
      <c r="D215" s="85"/>
      <c r="E215" s="85"/>
      <c r="F215" s="85"/>
      <c r="G215" s="85"/>
      <c r="H215" s="85"/>
      <c r="I215" s="85"/>
    </row>
    <row r="216" spans="1:151 16227:16384" ht="284.25" customHeight="1" x14ac:dyDescent="0.25">
      <c r="A216" s="9" t="s">
        <v>74</v>
      </c>
      <c r="B216" s="11" t="s">
        <v>4</v>
      </c>
      <c r="C216" s="64" t="s">
        <v>260</v>
      </c>
      <c r="D216" s="64"/>
      <c r="E216" s="64"/>
      <c r="F216" s="64"/>
      <c r="G216" s="64"/>
      <c r="H216" s="64"/>
      <c r="I216" s="64"/>
    </row>
    <row r="217" spans="1:151 16227:16384" ht="20.25" x14ac:dyDescent="0.25">
      <c r="A217" s="92" t="s">
        <v>75</v>
      </c>
      <c r="B217" s="92"/>
      <c r="C217" s="92"/>
      <c r="D217" s="92"/>
      <c r="E217" s="92"/>
      <c r="F217" s="92"/>
      <c r="G217" s="92"/>
      <c r="H217" s="92"/>
      <c r="I217" s="92"/>
    </row>
    <row r="218" spans="1:151 16227:16384" ht="25.5" customHeight="1" x14ac:dyDescent="0.25">
      <c r="A218" s="91" t="s">
        <v>69</v>
      </c>
      <c r="B218" s="91"/>
      <c r="C218" s="91"/>
      <c r="D218" s="2" t="s">
        <v>4</v>
      </c>
      <c r="E218" s="65" t="s">
        <v>208</v>
      </c>
      <c r="F218" s="66"/>
      <c r="G218" s="66"/>
      <c r="H218" s="66"/>
      <c r="I218" s="67"/>
    </row>
    <row r="219" spans="1:151 16227:16384" ht="103.5" customHeight="1" x14ac:dyDescent="0.25">
      <c r="A219" s="91" t="s">
        <v>107</v>
      </c>
      <c r="B219" s="91"/>
      <c r="C219" s="91"/>
      <c r="D219" s="2" t="s">
        <v>4</v>
      </c>
      <c r="E219" s="65" t="str">
        <f>E9</f>
        <v>Runwal Avenue (Wing I, J, K, L, M &amp; N), CTS No. as per CC.1004, 1005, 1005/1, 1006, 1007(pt), 1007/3(pt), 1007/4, 1009(pt), 1009/5, 1009/6, 1010(pt), 1013(pt), 1014(pt), 1014/1 to 16, 1017, 1017/1 to 6, 1018 and 1018/1 to 9, near NG Royal Park, Kanjur Village Road, Kanjur, Datar Colony, Kanjurmarg East, Kurla, Mumbai - 400042.</v>
      </c>
      <c r="F219" s="66"/>
      <c r="G219" s="66"/>
      <c r="H219" s="66"/>
      <c r="I219" s="67"/>
    </row>
    <row r="220" spans="1:151 16227:16384" ht="20.25" customHeight="1" x14ac:dyDescent="0.25">
      <c r="A220" s="153" t="s">
        <v>113</v>
      </c>
      <c r="B220" s="153"/>
      <c r="C220" s="153"/>
      <c r="D220" s="15" t="s">
        <v>4</v>
      </c>
      <c r="E220" s="124" t="str">
        <f>I3</f>
        <v>07/08/2025 at 01:12PM</v>
      </c>
      <c r="F220" s="154"/>
      <c r="G220" s="154"/>
      <c r="H220" s="154"/>
      <c r="I220" s="155"/>
    </row>
    <row r="221" spans="1:151 16227:16384" ht="20.25" x14ac:dyDescent="0.25">
      <c r="A221" s="28"/>
      <c r="B221" s="29"/>
      <c r="C221" s="29"/>
      <c r="D221" s="29"/>
      <c r="E221" s="29"/>
      <c r="F221" s="29"/>
      <c r="G221" s="29"/>
      <c r="H221" s="29"/>
      <c r="I221" s="23"/>
    </row>
    <row r="222" spans="1:151 16227:16384" ht="20.25" x14ac:dyDescent="0.25">
      <c r="A222" s="30"/>
      <c r="B222" s="31"/>
      <c r="C222" s="31"/>
      <c r="D222" s="31"/>
      <c r="E222" s="31"/>
      <c r="F222" s="31"/>
      <c r="G222" s="31"/>
      <c r="H222" s="31"/>
      <c r="I222" s="24"/>
    </row>
    <row r="223" spans="1:151 16227:16384" ht="20.25" x14ac:dyDescent="0.25">
      <c r="A223" s="30"/>
      <c r="B223" s="31"/>
      <c r="C223" s="31"/>
      <c r="D223" s="31"/>
      <c r="E223" s="31"/>
      <c r="F223" s="31"/>
      <c r="G223" s="31"/>
      <c r="H223" s="31"/>
      <c r="I223" s="24"/>
    </row>
    <row r="224" spans="1:151 16227:16384" ht="20.25" x14ac:dyDescent="0.25">
      <c r="A224" s="30"/>
      <c r="B224" s="31"/>
      <c r="C224" s="31"/>
      <c r="D224" s="31"/>
      <c r="E224" s="31"/>
      <c r="F224" s="31"/>
      <c r="G224" s="31"/>
      <c r="H224" s="31"/>
      <c r="I224" s="24"/>
    </row>
    <row r="225" spans="1:9" ht="20.25" x14ac:dyDescent="0.25">
      <c r="A225" s="30"/>
      <c r="B225" s="31"/>
      <c r="C225" s="31"/>
      <c r="D225" s="31"/>
      <c r="E225" s="31"/>
      <c r="F225" s="31"/>
      <c r="G225" s="31"/>
      <c r="H225" s="31"/>
      <c r="I225" s="24"/>
    </row>
    <row r="226" spans="1:9" ht="20.25" x14ac:dyDescent="0.25">
      <c r="A226" s="30"/>
      <c r="B226" s="31"/>
      <c r="C226" s="31"/>
      <c r="D226" s="31"/>
      <c r="E226" s="31"/>
      <c r="F226" s="31"/>
      <c r="G226" s="31"/>
      <c r="H226" s="31"/>
      <c r="I226" s="24"/>
    </row>
    <row r="227" spans="1:9" ht="20.25" x14ac:dyDescent="0.25">
      <c r="A227" s="30"/>
      <c r="B227" s="31"/>
      <c r="C227" s="31"/>
      <c r="D227" s="31"/>
      <c r="E227" s="31"/>
      <c r="F227" s="31"/>
      <c r="G227" s="31"/>
      <c r="H227" s="31"/>
      <c r="I227" s="24"/>
    </row>
    <row r="228" spans="1:9" ht="20.25" x14ac:dyDescent="0.25">
      <c r="A228" s="30"/>
      <c r="B228" s="31"/>
      <c r="C228" s="31"/>
      <c r="D228" s="31"/>
      <c r="E228" s="31"/>
      <c r="F228" s="31"/>
      <c r="G228" s="31"/>
      <c r="H228" s="31"/>
      <c r="I228" s="24"/>
    </row>
    <row r="229" spans="1:9" ht="20.25" x14ac:dyDescent="0.25">
      <c r="A229" s="30"/>
      <c r="B229" s="31"/>
      <c r="C229" s="31"/>
      <c r="D229" s="31"/>
      <c r="E229" s="31"/>
      <c r="F229" s="31"/>
      <c r="G229" s="31"/>
      <c r="H229" s="31"/>
      <c r="I229" s="24"/>
    </row>
    <row r="230" spans="1:9" ht="20.25" x14ac:dyDescent="0.25">
      <c r="A230" s="30"/>
      <c r="B230" s="31"/>
      <c r="C230" s="31"/>
      <c r="D230" s="31"/>
      <c r="E230" s="31"/>
      <c r="F230" s="31"/>
      <c r="G230" s="31"/>
      <c r="H230" s="31"/>
      <c r="I230" s="24"/>
    </row>
    <row r="231" spans="1:9" ht="20.25" x14ac:dyDescent="0.25">
      <c r="A231" s="30"/>
      <c r="B231" s="31"/>
      <c r="C231" s="31"/>
      <c r="D231" s="31"/>
      <c r="E231" s="31"/>
      <c r="F231" s="31"/>
      <c r="G231" s="31"/>
      <c r="H231" s="31"/>
      <c r="I231" s="24"/>
    </row>
    <row r="232" spans="1:9" ht="20.25" x14ac:dyDescent="0.25">
      <c r="A232" s="30"/>
      <c r="B232" s="31"/>
      <c r="C232" s="31"/>
      <c r="D232" s="31"/>
      <c r="E232" s="31"/>
      <c r="F232" s="31"/>
      <c r="G232" s="31"/>
      <c r="H232" s="31"/>
      <c r="I232" s="24"/>
    </row>
    <row r="233" spans="1:9" ht="20.25" x14ac:dyDescent="0.25">
      <c r="A233" s="30"/>
      <c r="B233" s="31"/>
      <c r="C233" s="31"/>
      <c r="D233" s="31"/>
      <c r="E233" s="31"/>
      <c r="F233" s="31"/>
      <c r="G233" s="31"/>
      <c r="H233" s="31"/>
      <c r="I233" s="24"/>
    </row>
    <row r="234" spans="1:9" ht="20.25" x14ac:dyDescent="0.25">
      <c r="A234" s="30"/>
      <c r="B234" s="31"/>
      <c r="C234" s="31"/>
      <c r="D234" s="31"/>
      <c r="E234" s="31"/>
      <c r="F234" s="31"/>
      <c r="G234" s="31"/>
      <c r="H234" s="31"/>
      <c r="I234" s="24"/>
    </row>
    <row r="235" spans="1:9" ht="20.25" x14ac:dyDescent="0.25">
      <c r="A235" s="30"/>
      <c r="B235" s="31"/>
      <c r="C235" s="31"/>
      <c r="D235" s="31"/>
      <c r="E235" s="31"/>
      <c r="F235" s="31"/>
      <c r="G235" s="31"/>
      <c r="H235" s="31"/>
      <c r="I235" s="24"/>
    </row>
    <row r="236" spans="1:9" ht="20.25" x14ac:dyDescent="0.25">
      <c r="A236" s="30"/>
      <c r="B236" s="31"/>
      <c r="C236" s="31"/>
      <c r="D236" s="31"/>
      <c r="E236" s="31"/>
      <c r="F236" s="31"/>
      <c r="G236" s="31"/>
      <c r="H236" s="31"/>
      <c r="I236" s="24"/>
    </row>
    <row r="237" spans="1:9" ht="20.25" x14ac:dyDescent="0.25">
      <c r="A237" s="30"/>
      <c r="B237" s="31"/>
      <c r="C237" s="31"/>
      <c r="D237" s="31"/>
      <c r="E237" s="31"/>
      <c r="F237" s="31"/>
      <c r="G237" s="31"/>
      <c r="H237" s="31"/>
      <c r="I237" s="24"/>
    </row>
    <row r="238" spans="1:9" ht="20.25" x14ac:dyDescent="0.25">
      <c r="A238" s="30"/>
      <c r="B238" s="31"/>
      <c r="C238" s="31"/>
      <c r="D238" s="31"/>
      <c r="E238" s="31"/>
      <c r="F238" s="31"/>
      <c r="G238" s="31"/>
      <c r="H238" s="31"/>
      <c r="I238" s="24"/>
    </row>
    <row r="239" spans="1:9" ht="20.25" x14ac:dyDescent="0.25">
      <c r="A239" s="30"/>
      <c r="B239" s="31"/>
      <c r="C239" s="31"/>
      <c r="D239" s="31"/>
      <c r="E239" s="31"/>
      <c r="F239" s="31"/>
      <c r="G239" s="31"/>
      <c r="H239" s="31"/>
      <c r="I239" s="24"/>
    </row>
    <row r="240" spans="1:9" ht="20.25" x14ac:dyDescent="0.25">
      <c r="A240" s="30"/>
      <c r="B240" s="31"/>
      <c r="C240" s="31"/>
      <c r="D240" s="31"/>
      <c r="E240" s="31"/>
      <c r="F240" s="31"/>
      <c r="G240" s="31"/>
      <c r="H240" s="31"/>
      <c r="I240" s="24"/>
    </row>
    <row r="241" spans="1:9" ht="20.25" x14ac:dyDescent="0.25">
      <c r="A241" s="30"/>
      <c r="B241" s="31"/>
      <c r="C241" s="31"/>
      <c r="D241" s="31"/>
      <c r="E241" s="31"/>
      <c r="F241" s="31"/>
      <c r="G241" s="31"/>
      <c r="H241" s="31"/>
      <c r="I241" s="24"/>
    </row>
    <row r="242" spans="1:9" ht="20.25" x14ac:dyDescent="0.25">
      <c r="A242" s="30"/>
      <c r="B242" s="31"/>
      <c r="C242" s="31"/>
      <c r="D242" s="31"/>
      <c r="E242" s="31"/>
      <c r="F242" s="31"/>
      <c r="G242" s="31"/>
      <c r="H242" s="31"/>
      <c r="I242" s="24"/>
    </row>
    <row r="243" spans="1:9" ht="20.25" x14ac:dyDescent="0.25">
      <c r="A243" s="30"/>
      <c r="B243" s="31"/>
      <c r="C243" s="31"/>
      <c r="D243" s="31"/>
      <c r="E243" s="31"/>
      <c r="F243" s="31"/>
      <c r="G243" s="31"/>
      <c r="H243" s="31"/>
      <c r="I243" s="24"/>
    </row>
    <row r="244" spans="1:9" ht="20.25" x14ac:dyDescent="0.25">
      <c r="A244" s="30"/>
      <c r="B244" s="31"/>
      <c r="C244" s="31"/>
      <c r="D244" s="31"/>
      <c r="E244" s="31"/>
      <c r="F244" s="31"/>
      <c r="G244" s="31"/>
      <c r="H244" s="31"/>
      <c r="I244" s="24"/>
    </row>
    <row r="245" spans="1:9" ht="20.25" x14ac:dyDescent="0.25">
      <c r="A245" s="30"/>
      <c r="B245" s="31"/>
      <c r="C245" s="31"/>
      <c r="D245" s="31"/>
      <c r="E245" s="31"/>
      <c r="F245" s="31"/>
      <c r="G245" s="31"/>
      <c r="H245" s="31"/>
      <c r="I245" s="24"/>
    </row>
    <row r="246" spans="1:9" ht="20.25" x14ac:dyDescent="0.25">
      <c r="A246" s="30"/>
      <c r="B246" s="31"/>
      <c r="C246" s="31"/>
      <c r="D246" s="31"/>
      <c r="E246" s="31"/>
      <c r="F246" s="31"/>
      <c r="G246" s="31"/>
      <c r="H246" s="31"/>
      <c r="I246" s="24"/>
    </row>
    <row r="247" spans="1:9" ht="20.25" x14ac:dyDescent="0.25">
      <c r="A247" s="30"/>
      <c r="B247" s="31"/>
      <c r="C247" s="31"/>
      <c r="D247" s="31"/>
      <c r="E247" s="31"/>
      <c r="F247" s="31"/>
      <c r="G247" s="31"/>
      <c r="H247" s="31"/>
      <c r="I247" s="24"/>
    </row>
    <row r="248" spans="1:9" ht="20.25" x14ac:dyDescent="0.25">
      <c r="A248" s="30"/>
      <c r="B248" s="31"/>
      <c r="C248" s="31"/>
      <c r="D248" s="31"/>
      <c r="E248" s="31"/>
      <c r="F248" s="31"/>
      <c r="G248" s="31"/>
      <c r="H248" s="31"/>
      <c r="I248" s="24"/>
    </row>
    <row r="249" spans="1:9" ht="20.25" x14ac:dyDescent="0.25">
      <c r="A249" s="30"/>
      <c r="B249" s="31"/>
      <c r="C249" s="31"/>
      <c r="D249" s="31"/>
      <c r="E249" s="31"/>
      <c r="F249" s="31"/>
      <c r="G249" s="31"/>
      <c r="H249" s="31"/>
      <c r="I249" s="24"/>
    </row>
    <row r="250" spans="1:9" ht="20.25" x14ac:dyDescent="0.25">
      <c r="A250" s="30"/>
      <c r="B250" s="31"/>
      <c r="C250" s="31"/>
      <c r="D250" s="31"/>
      <c r="E250" s="31"/>
      <c r="F250" s="31"/>
      <c r="G250" s="31"/>
      <c r="H250" s="31"/>
      <c r="I250" s="24"/>
    </row>
    <row r="251" spans="1:9" ht="20.25" x14ac:dyDescent="0.25">
      <c r="A251" s="30"/>
      <c r="B251" s="31"/>
      <c r="C251" s="31"/>
      <c r="D251" s="31"/>
      <c r="E251" s="31"/>
      <c r="F251" s="31"/>
      <c r="G251" s="31"/>
      <c r="H251" s="31"/>
      <c r="I251" s="24"/>
    </row>
    <row r="252" spans="1:9" ht="20.25" x14ac:dyDescent="0.25">
      <c r="A252" s="30"/>
      <c r="B252" s="31"/>
      <c r="C252" s="31"/>
      <c r="D252" s="31"/>
      <c r="E252" s="31"/>
      <c r="F252" s="31"/>
      <c r="G252" s="31"/>
      <c r="H252" s="31"/>
      <c r="I252" s="24"/>
    </row>
    <row r="253" spans="1:9" ht="20.25" x14ac:dyDescent="0.25">
      <c r="A253" s="30"/>
      <c r="B253" s="31"/>
      <c r="C253" s="31"/>
      <c r="D253" s="31"/>
      <c r="E253" s="31"/>
      <c r="F253" s="31"/>
      <c r="G253" s="31"/>
      <c r="H253" s="31"/>
      <c r="I253" s="24"/>
    </row>
    <row r="254" spans="1:9" ht="20.25" x14ac:dyDescent="0.25">
      <c r="A254" s="30"/>
      <c r="B254" s="31"/>
      <c r="C254" s="31"/>
      <c r="D254" s="31"/>
      <c r="E254" s="31"/>
      <c r="F254" s="31"/>
      <c r="G254" s="31"/>
      <c r="H254" s="31"/>
      <c r="I254" s="24"/>
    </row>
    <row r="255" spans="1:9" ht="20.25" x14ac:dyDescent="0.25">
      <c r="A255" s="30"/>
      <c r="B255" s="31"/>
      <c r="C255" s="31"/>
      <c r="D255" s="31"/>
      <c r="E255" s="31"/>
      <c r="F255" s="31"/>
      <c r="G255" s="31"/>
      <c r="H255" s="31"/>
      <c r="I255" s="24"/>
    </row>
    <row r="256" spans="1:9" ht="20.25" x14ac:dyDescent="0.25">
      <c r="A256" s="30"/>
      <c r="B256" s="31"/>
      <c r="C256" s="31"/>
      <c r="D256" s="31"/>
      <c r="E256" s="31"/>
      <c r="F256" s="31"/>
      <c r="G256" s="31"/>
      <c r="H256" s="31"/>
      <c r="I256" s="24"/>
    </row>
    <row r="257" spans="1:9" ht="20.25" x14ac:dyDescent="0.25">
      <c r="A257" s="30"/>
      <c r="B257" s="31"/>
      <c r="C257" s="31"/>
      <c r="D257" s="31"/>
      <c r="E257" s="31"/>
      <c r="F257" s="31"/>
      <c r="G257" s="31"/>
      <c r="H257" s="31"/>
      <c r="I257" s="24"/>
    </row>
    <row r="258" spans="1:9" ht="20.25" x14ac:dyDescent="0.25">
      <c r="A258" s="30"/>
      <c r="B258" s="31"/>
      <c r="C258" s="31"/>
      <c r="D258" s="31"/>
      <c r="E258" s="31"/>
      <c r="F258" s="31"/>
      <c r="G258" s="31"/>
      <c r="H258" s="31"/>
      <c r="I258" s="24"/>
    </row>
    <row r="259" spans="1:9" ht="20.25" x14ac:dyDescent="0.25">
      <c r="A259" s="30"/>
      <c r="B259" s="31"/>
      <c r="C259" s="31"/>
      <c r="D259" s="31"/>
      <c r="E259" s="31"/>
      <c r="F259" s="31"/>
      <c r="G259" s="31"/>
      <c r="H259" s="31"/>
      <c r="I259" s="24"/>
    </row>
    <row r="260" spans="1:9" ht="20.25" x14ac:dyDescent="0.25">
      <c r="A260" s="30"/>
      <c r="B260" s="31"/>
      <c r="C260" s="31"/>
      <c r="D260" s="31"/>
      <c r="E260" s="31"/>
      <c r="F260" s="31"/>
      <c r="G260" s="31"/>
      <c r="H260" s="31"/>
      <c r="I260" s="24"/>
    </row>
    <row r="261" spans="1:9" ht="20.25" x14ac:dyDescent="0.25">
      <c r="A261" s="30"/>
      <c r="B261" s="31"/>
      <c r="C261" s="31"/>
      <c r="D261" s="31"/>
      <c r="E261" s="31"/>
      <c r="F261" s="31"/>
      <c r="G261" s="31"/>
      <c r="H261" s="31"/>
      <c r="I261" s="24"/>
    </row>
    <row r="262" spans="1:9" ht="20.25" x14ac:dyDescent="0.25">
      <c r="A262" s="30"/>
      <c r="B262" s="31"/>
      <c r="C262" s="31"/>
      <c r="D262" s="31"/>
      <c r="E262" s="31"/>
      <c r="F262" s="31"/>
      <c r="G262" s="31"/>
      <c r="H262" s="31"/>
      <c r="I262" s="24"/>
    </row>
    <row r="263" spans="1:9" ht="20.25" x14ac:dyDescent="0.25">
      <c r="A263" s="30"/>
      <c r="B263" s="31"/>
      <c r="C263" s="31"/>
      <c r="D263" s="31"/>
      <c r="E263" s="31"/>
      <c r="F263" s="31"/>
      <c r="G263" s="31"/>
      <c r="H263" s="31"/>
      <c r="I263" s="24"/>
    </row>
    <row r="264" spans="1:9" ht="20.25" x14ac:dyDescent="0.25">
      <c r="A264" s="30"/>
      <c r="B264" s="31"/>
      <c r="C264" s="31"/>
      <c r="D264" s="31"/>
      <c r="E264" s="31"/>
      <c r="F264" s="31"/>
      <c r="G264" s="31"/>
      <c r="H264" s="31"/>
      <c r="I264" s="24"/>
    </row>
    <row r="265" spans="1:9" ht="20.25" x14ac:dyDescent="0.25">
      <c r="A265" s="30"/>
      <c r="B265" s="31"/>
      <c r="C265" s="31"/>
      <c r="D265" s="31"/>
      <c r="E265" s="31"/>
      <c r="F265" s="31"/>
      <c r="G265" s="31"/>
      <c r="H265" s="31"/>
      <c r="I265" s="24"/>
    </row>
    <row r="266" spans="1:9" ht="20.25" hidden="1" x14ac:dyDescent="0.25">
      <c r="A266" s="30"/>
      <c r="B266" s="31"/>
      <c r="C266" s="31"/>
      <c r="D266" s="31"/>
      <c r="E266" s="31"/>
      <c r="F266" s="31"/>
      <c r="G266" s="31"/>
      <c r="H266" s="31"/>
      <c r="I266" s="24"/>
    </row>
    <row r="267" spans="1:9" ht="20.25" hidden="1" x14ac:dyDescent="0.25">
      <c r="A267" s="30"/>
      <c r="B267" s="31"/>
      <c r="C267" s="31"/>
      <c r="D267" s="31"/>
      <c r="E267" s="31"/>
      <c r="F267" s="31"/>
      <c r="G267" s="31"/>
      <c r="H267" s="31"/>
      <c r="I267" s="24"/>
    </row>
    <row r="268" spans="1:9" ht="20.25" hidden="1" x14ac:dyDescent="0.25">
      <c r="A268" s="30"/>
      <c r="B268" s="31"/>
      <c r="C268" s="31"/>
      <c r="D268" s="31"/>
      <c r="E268" s="31"/>
      <c r="F268" s="31"/>
      <c r="G268" s="31"/>
      <c r="H268" s="31"/>
      <c r="I268" s="24"/>
    </row>
    <row r="269" spans="1:9" ht="20.25" x14ac:dyDescent="0.25">
      <c r="A269" s="107"/>
      <c r="B269" s="108"/>
      <c r="C269" s="108"/>
      <c r="D269" s="108"/>
      <c r="E269" s="108"/>
      <c r="F269" s="108"/>
      <c r="G269" s="108"/>
      <c r="H269" s="108"/>
      <c r="I269" s="108"/>
    </row>
    <row r="270" spans="1:9" ht="20.25" x14ac:dyDescent="0.25">
      <c r="A270" s="92" t="s">
        <v>162</v>
      </c>
      <c r="B270" s="92"/>
      <c r="C270" s="92"/>
      <c r="D270" s="92"/>
      <c r="E270" s="92"/>
      <c r="F270" s="92"/>
      <c r="G270" s="92"/>
      <c r="H270" s="92"/>
      <c r="I270" s="92"/>
    </row>
    <row r="271" spans="1:9" ht="20.25" customHeight="1" x14ac:dyDescent="0.25">
      <c r="A271" s="31"/>
      <c r="B271" s="31"/>
      <c r="C271" s="31"/>
      <c r="D271" s="31"/>
      <c r="E271" s="31"/>
      <c r="F271" s="31"/>
      <c r="G271" s="31"/>
      <c r="H271" s="31"/>
      <c r="I271" s="31"/>
    </row>
    <row r="272" spans="1:9" ht="20.25" x14ac:dyDescent="0.25">
      <c r="A272" s="31"/>
      <c r="B272" s="31"/>
      <c r="C272" s="31"/>
      <c r="D272" s="31"/>
      <c r="E272" s="31"/>
      <c r="F272" s="31"/>
      <c r="G272" s="31"/>
      <c r="H272" s="31"/>
      <c r="I272" s="31"/>
    </row>
    <row r="273" spans="1:9" ht="20.25" x14ac:dyDescent="0.25">
      <c r="A273" s="30"/>
      <c r="B273" s="31"/>
      <c r="C273" s="31"/>
      <c r="D273" s="31"/>
      <c r="E273" s="31"/>
      <c r="F273" s="31"/>
      <c r="G273" s="31"/>
      <c r="H273" s="31"/>
      <c r="I273" s="24"/>
    </row>
    <row r="274" spans="1:9" ht="20.25" x14ac:dyDescent="0.25">
      <c r="A274" s="30"/>
      <c r="B274" s="31"/>
      <c r="C274" s="31"/>
      <c r="D274" s="31"/>
      <c r="E274" s="31"/>
      <c r="F274" s="31"/>
      <c r="G274" s="31"/>
      <c r="H274" s="31"/>
      <c r="I274" s="24"/>
    </row>
    <row r="275" spans="1:9" ht="20.25" x14ac:dyDescent="0.25">
      <c r="A275" s="30"/>
      <c r="B275" s="31"/>
      <c r="C275" s="31"/>
      <c r="D275" s="31"/>
      <c r="E275" s="31"/>
      <c r="F275" s="31"/>
      <c r="G275" s="31"/>
      <c r="H275" s="31"/>
      <c r="I275" s="24"/>
    </row>
    <row r="276" spans="1:9" ht="20.25" x14ac:dyDescent="0.25">
      <c r="A276" s="30"/>
      <c r="B276" s="31"/>
      <c r="C276" s="31"/>
      <c r="D276" s="31"/>
      <c r="E276" s="31"/>
      <c r="F276" s="31"/>
      <c r="G276" s="31"/>
      <c r="H276" s="31"/>
      <c r="I276" s="24"/>
    </row>
    <row r="277" spans="1:9" ht="20.25" x14ac:dyDescent="0.25">
      <c r="A277" s="30"/>
      <c r="B277" s="31"/>
      <c r="C277" s="31"/>
      <c r="D277" s="31"/>
      <c r="E277" s="31"/>
      <c r="F277" s="31"/>
      <c r="G277" s="31"/>
      <c r="H277" s="31"/>
      <c r="I277" s="24"/>
    </row>
    <row r="278" spans="1:9" ht="20.25" x14ac:dyDescent="0.25">
      <c r="A278" s="30"/>
      <c r="B278" s="31"/>
      <c r="C278" s="31"/>
      <c r="D278" s="31"/>
      <c r="E278" s="31"/>
      <c r="F278" s="31"/>
      <c r="G278" s="31"/>
      <c r="H278" s="31"/>
      <c r="I278" s="24"/>
    </row>
    <row r="279" spans="1:9" ht="20.25" x14ac:dyDescent="0.25">
      <c r="A279" s="30"/>
      <c r="B279" s="31"/>
      <c r="C279" s="31"/>
      <c r="D279" s="31"/>
      <c r="E279" s="31"/>
      <c r="F279" s="31"/>
      <c r="G279" s="31"/>
      <c r="H279" s="31"/>
      <c r="I279" s="24"/>
    </row>
    <row r="280" spans="1:9" ht="20.25" x14ac:dyDescent="0.25">
      <c r="A280" s="30"/>
      <c r="B280" s="31"/>
      <c r="C280" s="31"/>
      <c r="D280" s="31"/>
      <c r="E280" s="31"/>
      <c r="F280" s="31"/>
      <c r="G280" s="31"/>
      <c r="H280" s="31"/>
      <c r="I280" s="24"/>
    </row>
    <row r="281" spans="1:9" ht="20.25" x14ac:dyDescent="0.25">
      <c r="A281" s="30"/>
      <c r="B281" s="31"/>
      <c r="C281" s="31"/>
      <c r="D281" s="31"/>
      <c r="E281" s="31"/>
      <c r="F281" s="31"/>
      <c r="G281" s="31"/>
      <c r="H281" s="31"/>
      <c r="I281" s="24"/>
    </row>
    <row r="282" spans="1:9" ht="20.25" x14ac:dyDescent="0.25">
      <c r="A282" s="30"/>
      <c r="B282" s="31"/>
      <c r="C282" s="31"/>
      <c r="D282" s="31"/>
      <c r="E282" s="31"/>
      <c r="F282" s="31"/>
      <c r="G282" s="31"/>
      <c r="H282" s="31"/>
      <c r="I282" s="24"/>
    </row>
    <row r="283" spans="1:9" ht="20.25" x14ac:dyDescent="0.25">
      <c r="A283" s="30"/>
      <c r="B283" s="31"/>
      <c r="C283" s="31"/>
      <c r="D283" s="31"/>
      <c r="E283" s="31"/>
      <c r="F283" s="31"/>
      <c r="G283" s="31"/>
      <c r="H283" s="31"/>
      <c r="I283" s="24"/>
    </row>
    <row r="284" spans="1:9" ht="20.25" x14ac:dyDescent="0.25">
      <c r="A284" s="30"/>
      <c r="B284" s="31"/>
      <c r="C284" s="31"/>
      <c r="D284" s="31"/>
      <c r="E284" s="31"/>
      <c r="F284" s="31"/>
      <c r="G284" s="31"/>
      <c r="H284" s="31"/>
      <c r="I284" s="24"/>
    </row>
    <row r="285" spans="1:9" ht="20.25" x14ac:dyDescent="0.25">
      <c r="A285" s="30"/>
      <c r="B285" s="31"/>
      <c r="C285" s="31"/>
      <c r="D285" s="31"/>
      <c r="E285" s="31"/>
      <c r="F285" s="31"/>
      <c r="G285" s="31"/>
      <c r="H285" s="31"/>
      <c r="I285" s="24"/>
    </row>
    <row r="286" spans="1:9" ht="20.25" x14ac:dyDescent="0.25">
      <c r="A286" s="30"/>
      <c r="B286" s="31"/>
      <c r="C286" s="31"/>
      <c r="D286" s="31"/>
      <c r="E286" s="31"/>
      <c r="F286" s="31"/>
      <c r="G286" s="31"/>
      <c r="H286" s="31"/>
      <c r="I286" s="24"/>
    </row>
    <row r="287" spans="1:9" ht="20.25" x14ac:dyDescent="0.25">
      <c r="A287" s="30"/>
      <c r="B287" s="31"/>
      <c r="C287" s="31"/>
      <c r="D287" s="31"/>
      <c r="E287" s="31"/>
      <c r="F287" s="31"/>
      <c r="G287" s="31"/>
      <c r="H287" s="31"/>
      <c r="I287" s="24"/>
    </row>
    <row r="288" spans="1:9" ht="20.25" x14ac:dyDescent="0.25">
      <c r="A288" s="30"/>
      <c r="B288" s="31"/>
      <c r="C288" s="31"/>
      <c r="D288" s="31"/>
      <c r="E288" s="31"/>
      <c r="F288" s="31"/>
      <c r="G288" s="31"/>
      <c r="H288" s="31"/>
      <c r="I288" s="24"/>
    </row>
    <row r="289" spans="1:9" ht="20.25" x14ac:dyDescent="0.25">
      <c r="A289" s="30"/>
      <c r="B289" s="31"/>
      <c r="C289" s="31"/>
      <c r="D289" s="31"/>
      <c r="E289" s="31"/>
      <c r="F289" s="31"/>
      <c r="G289" s="31"/>
      <c r="H289" s="31"/>
      <c r="I289" s="24"/>
    </row>
    <row r="290" spans="1:9" ht="20.25" x14ac:dyDescent="0.25">
      <c r="A290" s="30"/>
      <c r="B290" s="31"/>
      <c r="C290" s="31"/>
      <c r="D290" s="31"/>
      <c r="E290" s="31"/>
      <c r="F290" s="31"/>
      <c r="G290" s="31"/>
      <c r="H290" s="31"/>
      <c r="I290" s="24"/>
    </row>
    <row r="291" spans="1:9" ht="20.25" x14ac:dyDescent="0.25">
      <c r="A291" s="30"/>
      <c r="B291" s="31"/>
      <c r="C291" s="31"/>
      <c r="D291" s="31"/>
      <c r="E291" s="31"/>
      <c r="F291" s="31"/>
      <c r="G291" s="31"/>
      <c r="H291" s="31"/>
      <c r="I291" s="24"/>
    </row>
    <row r="292" spans="1:9" ht="20.25" x14ac:dyDescent="0.25">
      <c r="A292" s="30"/>
      <c r="B292" s="31"/>
      <c r="C292" s="31"/>
      <c r="D292" s="31"/>
      <c r="E292" s="31"/>
      <c r="F292" s="31"/>
      <c r="G292" s="31"/>
      <c r="H292" s="31"/>
      <c r="I292" s="24"/>
    </row>
    <row r="293" spans="1:9" ht="20.25" x14ac:dyDescent="0.25">
      <c r="A293" s="30"/>
      <c r="B293" s="31"/>
      <c r="C293" s="31"/>
      <c r="D293" s="31"/>
      <c r="E293" s="31"/>
      <c r="F293" s="31"/>
      <c r="G293" s="31"/>
      <c r="H293" s="31"/>
      <c r="I293" s="24"/>
    </row>
    <row r="294" spans="1:9" ht="20.25" x14ac:dyDescent="0.25">
      <c r="A294" s="30"/>
      <c r="B294" s="31"/>
      <c r="C294" s="31"/>
      <c r="D294" s="31"/>
      <c r="E294" s="31"/>
      <c r="F294" s="31"/>
      <c r="G294" s="31"/>
      <c r="H294" s="31"/>
      <c r="I294" s="24"/>
    </row>
    <row r="295" spans="1:9" ht="20.25" x14ac:dyDescent="0.25">
      <c r="A295" s="30"/>
      <c r="B295" s="31"/>
      <c r="C295" s="31"/>
      <c r="D295" s="31"/>
      <c r="E295" s="31"/>
      <c r="F295" s="31"/>
      <c r="G295" s="31"/>
      <c r="H295" s="31"/>
      <c r="I295" s="24"/>
    </row>
    <row r="296" spans="1:9" ht="20.25" x14ac:dyDescent="0.25">
      <c r="A296" s="30"/>
      <c r="B296" s="31"/>
      <c r="C296" s="31"/>
      <c r="D296" s="31"/>
      <c r="E296" s="31"/>
      <c r="F296" s="31"/>
      <c r="G296" s="31"/>
      <c r="H296" s="31"/>
      <c r="I296" s="24"/>
    </row>
    <row r="297" spans="1:9" ht="20.25" x14ac:dyDescent="0.25">
      <c r="A297" s="30"/>
      <c r="B297" s="31"/>
      <c r="C297" s="31"/>
      <c r="D297" s="31"/>
      <c r="E297" s="31"/>
      <c r="F297" s="31"/>
      <c r="G297" s="31"/>
      <c r="H297" s="31"/>
      <c r="I297" s="24"/>
    </row>
    <row r="298" spans="1:9" ht="20.25" x14ac:dyDescent="0.25">
      <c r="A298" s="30"/>
      <c r="B298" s="31"/>
      <c r="C298" s="31"/>
      <c r="D298" s="31"/>
      <c r="E298" s="31"/>
      <c r="F298" s="31"/>
      <c r="G298" s="31"/>
      <c r="H298" s="31"/>
      <c r="I298" s="24"/>
    </row>
    <row r="299" spans="1:9" ht="20.25" x14ac:dyDescent="0.25">
      <c r="A299" s="30"/>
      <c r="B299" s="31"/>
      <c r="C299" s="31"/>
      <c r="D299" s="31"/>
      <c r="E299" s="31"/>
      <c r="F299" s="31"/>
      <c r="G299" s="31"/>
      <c r="H299" s="31"/>
      <c r="I299" s="24"/>
    </row>
    <row r="300" spans="1:9" ht="20.25" x14ac:dyDescent="0.25">
      <c r="A300" s="30"/>
      <c r="B300" s="31"/>
      <c r="C300" s="31"/>
      <c r="D300" s="31"/>
      <c r="E300" s="31"/>
      <c r="F300" s="31"/>
      <c r="G300" s="31"/>
      <c r="H300" s="31"/>
      <c r="I300" s="24"/>
    </row>
    <row r="301" spans="1:9" ht="20.25" x14ac:dyDescent="0.25">
      <c r="A301" s="30"/>
      <c r="B301" s="31"/>
      <c r="C301" s="31"/>
      <c r="D301" s="31"/>
      <c r="E301" s="31"/>
      <c r="F301" s="31"/>
      <c r="G301" s="31"/>
      <c r="H301" s="31"/>
      <c r="I301" s="24"/>
    </row>
    <row r="302" spans="1:9" ht="20.25" x14ac:dyDescent="0.25">
      <c r="A302" s="30"/>
      <c r="B302" s="31"/>
      <c r="C302" s="31"/>
      <c r="D302" s="31"/>
      <c r="E302" s="31"/>
      <c r="F302" s="31"/>
      <c r="G302" s="31"/>
      <c r="H302" s="31"/>
      <c r="I302" s="24"/>
    </row>
    <row r="303" spans="1:9" ht="20.25" x14ac:dyDescent="0.25">
      <c r="A303" s="30"/>
      <c r="B303" s="31"/>
      <c r="C303" s="31"/>
      <c r="D303" s="31"/>
      <c r="E303" s="31"/>
      <c r="F303" s="31"/>
      <c r="G303" s="31"/>
      <c r="H303" s="31"/>
      <c r="I303" s="24"/>
    </row>
    <row r="304" spans="1:9" ht="20.25" x14ac:dyDescent="0.25">
      <c r="A304" s="30"/>
      <c r="B304" s="31"/>
      <c r="C304" s="31"/>
      <c r="D304" s="31"/>
      <c r="E304" s="31"/>
      <c r="F304" s="31"/>
      <c r="G304" s="31"/>
      <c r="H304" s="31"/>
      <c r="I304" s="24"/>
    </row>
    <row r="305" spans="1:9" ht="20.25" x14ac:dyDescent="0.25">
      <c r="A305" s="30"/>
      <c r="B305" s="31"/>
      <c r="C305" s="31"/>
      <c r="D305" s="31"/>
      <c r="E305" s="31"/>
      <c r="F305" s="31"/>
      <c r="G305" s="31"/>
      <c r="H305" s="31"/>
      <c r="I305" s="24"/>
    </row>
    <row r="306" spans="1:9" ht="20.25" x14ac:dyDescent="0.25">
      <c r="A306" s="30"/>
      <c r="B306" s="31"/>
      <c r="C306" s="31"/>
      <c r="D306" s="31"/>
      <c r="E306" s="31"/>
      <c r="F306" s="31"/>
      <c r="G306" s="31"/>
      <c r="H306" s="31"/>
      <c r="I306" s="24"/>
    </row>
    <row r="307" spans="1:9" ht="20.25" x14ac:dyDescent="0.25">
      <c r="A307" s="30"/>
      <c r="B307" s="31"/>
      <c r="C307" s="31"/>
      <c r="D307" s="31"/>
      <c r="E307" s="31"/>
      <c r="F307" s="31"/>
      <c r="G307" s="31"/>
      <c r="H307" s="31"/>
      <c r="I307" s="24"/>
    </row>
    <row r="308" spans="1:9" ht="20.25" x14ac:dyDescent="0.25">
      <c r="A308" s="30"/>
      <c r="B308" s="31"/>
      <c r="C308" s="31"/>
      <c r="D308" s="31"/>
      <c r="E308" s="31"/>
      <c r="F308" s="31"/>
      <c r="G308" s="31"/>
      <c r="H308" s="31"/>
      <c r="I308" s="24"/>
    </row>
    <row r="309" spans="1:9" ht="20.25" x14ac:dyDescent="0.25">
      <c r="A309" s="30"/>
      <c r="B309" s="31"/>
      <c r="C309" s="31"/>
      <c r="D309" s="31"/>
      <c r="E309" s="31"/>
      <c r="F309" s="31"/>
      <c r="G309" s="31"/>
      <c r="H309" s="31"/>
      <c r="I309" s="24"/>
    </row>
    <row r="310" spans="1:9" ht="20.25" x14ac:dyDescent="0.25">
      <c r="A310" s="30"/>
      <c r="B310" s="31"/>
      <c r="C310" s="31"/>
      <c r="D310" s="31"/>
      <c r="E310" s="31"/>
      <c r="F310" s="31"/>
      <c r="G310" s="31"/>
      <c r="H310" s="31"/>
      <c r="I310" s="24"/>
    </row>
    <row r="311" spans="1:9" ht="20.25" x14ac:dyDescent="0.25">
      <c r="A311" s="30"/>
      <c r="B311" s="31"/>
      <c r="C311" s="31"/>
      <c r="D311" s="31"/>
      <c r="E311" s="31"/>
      <c r="F311" s="31"/>
      <c r="G311" s="31"/>
      <c r="H311" s="31"/>
      <c r="I311" s="24"/>
    </row>
    <row r="312" spans="1:9" ht="20.25" x14ac:dyDescent="0.25">
      <c r="A312" s="30"/>
      <c r="B312" s="31"/>
      <c r="C312" s="31"/>
      <c r="D312" s="31"/>
      <c r="E312" s="31"/>
      <c r="F312" s="31"/>
      <c r="G312" s="31"/>
      <c r="H312" s="31"/>
      <c r="I312" s="24"/>
    </row>
    <row r="313" spans="1:9" ht="20.25" x14ac:dyDescent="0.25">
      <c r="A313" s="30"/>
      <c r="B313" s="31"/>
      <c r="C313" s="31"/>
      <c r="D313" s="31"/>
      <c r="E313" s="31"/>
      <c r="F313" s="31"/>
      <c r="G313" s="31"/>
      <c r="H313" s="31"/>
      <c r="I313" s="24"/>
    </row>
    <row r="314" spans="1:9" ht="20.25" x14ac:dyDescent="0.25">
      <c r="A314" s="30"/>
      <c r="B314" s="31"/>
      <c r="C314" s="31"/>
      <c r="D314" s="31"/>
      <c r="E314" s="31"/>
      <c r="F314" s="31"/>
      <c r="G314" s="31"/>
      <c r="H314" s="31"/>
      <c r="I314" s="24"/>
    </row>
    <row r="315" spans="1:9" ht="20.25" x14ac:dyDescent="0.25">
      <c r="A315" s="30"/>
      <c r="B315" s="31"/>
      <c r="C315" s="31"/>
      <c r="D315" s="31"/>
      <c r="E315" s="31"/>
      <c r="F315" s="31"/>
      <c r="G315" s="31"/>
      <c r="H315" s="31"/>
      <c r="I315" s="24"/>
    </row>
    <row r="316" spans="1:9" ht="20.25" x14ac:dyDescent="0.25">
      <c r="A316" s="30"/>
      <c r="B316" s="31"/>
      <c r="C316" s="31"/>
      <c r="D316" s="31"/>
      <c r="E316" s="31"/>
      <c r="F316" s="31"/>
      <c r="G316" s="31"/>
      <c r="H316" s="31"/>
      <c r="I316" s="24"/>
    </row>
    <row r="317" spans="1:9" ht="20.25" x14ac:dyDescent="0.25">
      <c r="A317" s="30"/>
      <c r="B317" s="31"/>
      <c r="C317" s="31"/>
      <c r="D317" s="31"/>
      <c r="E317" s="31"/>
      <c r="F317" s="31"/>
      <c r="G317" s="31"/>
      <c r="H317" s="31"/>
      <c r="I317" s="24"/>
    </row>
    <row r="318" spans="1:9" ht="20.25" x14ac:dyDescent="0.25">
      <c r="A318" s="32"/>
      <c r="B318" s="33"/>
      <c r="C318" s="33"/>
      <c r="D318" s="33"/>
      <c r="E318" s="33"/>
      <c r="F318" s="33"/>
      <c r="G318" s="33"/>
      <c r="H318" s="33"/>
      <c r="I318" s="25"/>
    </row>
    <row r="319" spans="1:9" ht="20.25" x14ac:dyDescent="0.25">
      <c r="A319" s="88" t="s">
        <v>76</v>
      </c>
      <c r="B319" s="89"/>
      <c r="C319" s="89"/>
      <c r="D319" s="89"/>
      <c r="E319" s="89"/>
      <c r="F319" s="89"/>
      <c r="G319" s="89"/>
      <c r="H319" s="89"/>
      <c r="I319" s="90"/>
    </row>
    <row r="320" spans="1:9" ht="20.25" x14ac:dyDescent="0.25">
      <c r="A320" s="28"/>
      <c r="B320" s="29"/>
      <c r="C320" s="29"/>
      <c r="D320" s="29"/>
      <c r="E320" s="29"/>
      <c r="F320" s="29"/>
      <c r="G320" s="29"/>
      <c r="H320" s="29"/>
      <c r="I320" s="23"/>
    </row>
    <row r="321" spans="1:9" ht="20.25" x14ac:dyDescent="0.25">
      <c r="A321" s="30"/>
      <c r="B321" s="31"/>
      <c r="C321" s="31"/>
      <c r="D321" s="31"/>
      <c r="E321" s="31"/>
      <c r="F321" s="31"/>
      <c r="G321" s="31"/>
      <c r="H321" s="31"/>
      <c r="I321" s="24"/>
    </row>
    <row r="322" spans="1:9" ht="20.25" x14ac:dyDescent="0.25">
      <c r="A322" s="30"/>
      <c r="B322" s="31"/>
      <c r="C322" s="31"/>
      <c r="D322" s="31"/>
      <c r="E322" s="31"/>
      <c r="F322" s="31"/>
      <c r="G322" s="31"/>
      <c r="H322" s="31"/>
      <c r="I322" s="24"/>
    </row>
    <row r="323" spans="1:9" ht="20.25" x14ac:dyDescent="0.25">
      <c r="A323" s="30"/>
      <c r="B323" s="31"/>
      <c r="C323" s="31"/>
      <c r="D323" s="31"/>
      <c r="E323" s="31"/>
      <c r="F323" s="31"/>
      <c r="G323" s="31"/>
      <c r="H323" s="31"/>
      <c r="I323" s="24"/>
    </row>
    <row r="324" spans="1:9" ht="20.25" x14ac:dyDescent="0.25">
      <c r="A324" s="30"/>
      <c r="B324" s="31"/>
      <c r="C324" s="31"/>
      <c r="D324" s="31"/>
      <c r="E324" s="31"/>
      <c r="F324" s="31"/>
      <c r="G324" s="31"/>
      <c r="H324" s="31"/>
      <c r="I324" s="24"/>
    </row>
    <row r="325" spans="1:9" ht="20.25" x14ac:dyDescent="0.25">
      <c r="A325" s="30"/>
      <c r="B325" s="31"/>
      <c r="C325" s="31"/>
      <c r="D325" s="31"/>
      <c r="E325" s="31"/>
      <c r="F325" s="31"/>
      <c r="G325" s="31"/>
      <c r="H325" s="31"/>
      <c r="I325" s="24"/>
    </row>
    <row r="326" spans="1:9" ht="20.25" x14ac:dyDescent="0.25">
      <c r="A326" s="30"/>
      <c r="B326" s="31"/>
      <c r="C326" s="31"/>
      <c r="D326" s="31"/>
      <c r="E326" s="31"/>
      <c r="F326" s="31"/>
      <c r="G326" s="31"/>
      <c r="H326" s="31"/>
      <c r="I326" s="24"/>
    </row>
    <row r="327" spans="1:9" ht="20.25" x14ac:dyDescent="0.25">
      <c r="A327" s="30"/>
      <c r="B327" s="31"/>
      <c r="C327" s="31"/>
      <c r="D327" s="31"/>
      <c r="E327" s="31"/>
      <c r="F327" s="31"/>
      <c r="G327" s="31"/>
      <c r="H327" s="31"/>
      <c r="I327" s="24"/>
    </row>
    <row r="328" spans="1:9" ht="20.25" x14ac:dyDescent="0.25">
      <c r="A328" s="30"/>
      <c r="B328" s="31"/>
      <c r="C328" s="31"/>
      <c r="D328" s="31"/>
      <c r="E328" s="31"/>
      <c r="F328" s="31"/>
      <c r="G328" s="31"/>
      <c r="H328" s="31"/>
      <c r="I328" s="24"/>
    </row>
    <row r="329" spans="1:9" ht="20.25" x14ac:dyDescent="0.25">
      <c r="A329" s="30"/>
      <c r="B329" s="31"/>
      <c r="C329" s="31"/>
      <c r="D329" s="31"/>
      <c r="E329" s="31"/>
      <c r="F329" s="31"/>
      <c r="G329" s="31"/>
      <c r="H329" s="31"/>
      <c r="I329" s="24"/>
    </row>
    <row r="330" spans="1:9" ht="20.25" x14ac:dyDescent="0.25">
      <c r="A330" s="30"/>
      <c r="B330" s="31"/>
      <c r="C330" s="31"/>
      <c r="D330" s="31"/>
      <c r="E330" s="31"/>
      <c r="F330" s="31"/>
      <c r="G330" s="31"/>
      <c r="H330" s="31"/>
      <c r="I330" s="24"/>
    </row>
    <row r="331" spans="1:9" ht="20.25" x14ac:dyDescent="0.25">
      <c r="A331" s="30"/>
      <c r="B331" s="31"/>
      <c r="C331" s="31"/>
      <c r="D331" s="31"/>
      <c r="E331" s="31"/>
      <c r="F331" s="31"/>
      <c r="G331" s="31"/>
      <c r="H331" s="31"/>
      <c r="I331" s="24"/>
    </row>
    <row r="332" spans="1:9" ht="20.25" x14ac:dyDescent="0.25">
      <c r="A332" s="30"/>
      <c r="B332" s="31"/>
      <c r="C332" s="31"/>
      <c r="D332" s="31"/>
      <c r="E332" s="31"/>
      <c r="F332" s="31"/>
      <c r="G332" s="31"/>
      <c r="H332" s="31"/>
      <c r="I332" s="24"/>
    </row>
    <row r="333" spans="1:9" ht="20.25" x14ac:dyDescent="0.25">
      <c r="A333" s="30"/>
      <c r="B333" s="31"/>
      <c r="C333" s="31"/>
      <c r="D333" s="31"/>
      <c r="E333" s="31"/>
      <c r="F333" s="31"/>
      <c r="G333" s="31"/>
      <c r="H333" s="31"/>
      <c r="I333" s="24"/>
    </row>
    <row r="334" spans="1:9" ht="20.25" x14ac:dyDescent="0.25">
      <c r="A334" s="30"/>
      <c r="B334" s="31"/>
      <c r="C334" s="31"/>
      <c r="D334" s="31"/>
      <c r="E334" s="31"/>
      <c r="F334" s="31"/>
      <c r="G334" s="31"/>
      <c r="H334" s="31"/>
      <c r="I334" s="24"/>
    </row>
    <row r="335" spans="1:9" ht="20.25" x14ac:dyDescent="0.25">
      <c r="A335" s="30"/>
      <c r="B335" s="31"/>
      <c r="C335" s="31"/>
      <c r="D335" s="31"/>
      <c r="E335" s="31"/>
      <c r="F335" s="31"/>
      <c r="G335" s="31"/>
      <c r="H335" s="31"/>
      <c r="I335" s="24"/>
    </row>
    <row r="336" spans="1:9" ht="20.25" x14ac:dyDescent="0.25">
      <c r="A336" s="30"/>
      <c r="B336" s="31"/>
      <c r="C336" s="31"/>
      <c r="D336" s="31"/>
      <c r="E336" s="31"/>
      <c r="F336" s="31"/>
      <c r="G336" s="31"/>
      <c r="H336" s="31"/>
      <c r="I336" s="24"/>
    </row>
    <row r="337" spans="1:9" ht="20.25" x14ac:dyDescent="0.25">
      <c r="A337" s="30"/>
      <c r="B337" s="31"/>
      <c r="C337" s="31"/>
      <c r="D337" s="31"/>
      <c r="E337" s="31"/>
      <c r="F337" s="31"/>
      <c r="G337" s="31"/>
      <c r="H337" s="31"/>
      <c r="I337" s="24"/>
    </row>
    <row r="338" spans="1:9" ht="20.25" x14ac:dyDescent="0.25">
      <c r="A338" s="30"/>
      <c r="B338" s="31"/>
      <c r="C338" s="31"/>
      <c r="D338" s="31"/>
      <c r="E338" s="31"/>
      <c r="F338" s="31"/>
      <c r="G338" s="31"/>
      <c r="H338" s="31"/>
      <c r="I338" s="24"/>
    </row>
    <row r="339" spans="1:9" ht="20.25" x14ac:dyDescent="0.25">
      <c r="A339" s="30"/>
      <c r="B339" s="31"/>
      <c r="C339" s="31"/>
      <c r="D339" s="31"/>
      <c r="E339" s="31"/>
      <c r="F339" s="31"/>
      <c r="G339" s="31"/>
      <c r="H339" s="31"/>
      <c r="I339" s="24"/>
    </row>
    <row r="340" spans="1:9" ht="20.25" x14ac:dyDescent="0.25">
      <c r="A340" s="30"/>
      <c r="B340" s="31"/>
      <c r="C340" s="31"/>
      <c r="D340" s="31"/>
      <c r="E340" s="31"/>
      <c r="F340" s="31"/>
      <c r="G340" s="31"/>
      <c r="H340" s="31"/>
      <c r="I340" s="24"/>
    </row>
    <row r="341" spans="1:9" ht="20.25" x14ac:dyDescent="0.25">
      <c r="A341" s="30"/>
      <c r="B341" s="31"/>
      <c r="C341" s="31"/>
      <c r="D341" s="31"/>
      <c r="E341" s="31"/>
      <c r="F341" s="31"/>
      <c r="G341" s="31"/>
      <c r="H341" s="31"/>
      <c r="I341" s="24"/>
    </row>
    <row r="342" spans="1:9" ht="20.25" x14ac:dyDescent="0.25">
      <c r="A342" s="30"/>
      <c r="B342" s="31"/>
      <c r="C342" s="31"/>
      <c r="D342" s="31"/>
      <c r="E342" s="31"/>
      <c r="F342" s="31"/>
      <c r="G342" s="31"/>
      <c r="H342" s="31"/>
      <c r="I342" s="24"/>
    </row>
    <row r="343" spans="1:9" ht="20.25" x14ac:dyDescent="0.25">
      <c r="A343" s="30"/>
      <c r="B343" s="31"/>
      <c r="C343" s="31"/>
      <c r="D343" s="31"/>
      <c r="E343" s="31"/>
      <c r="F343" s="31"/>
      <c r="G343" s="31"/>
      <c r="H343" s="31"/>
      <c r="I343" s="24"/>
    </row>
    <row r="344" spans="1:9" ht="20.25" x14ac:dyDescent="0.25">
      <c r="A344" s="30"/>
      <c r="B344" s="31"/>
      <c r="C344" s="31"/>
      <c r="D344" s="31"/>
      <c r="E344" s="31"/>
      <c r="F344" s="31"/>
      <c r="G344" s="31"/>
      <c r="H344" s="31"/>
      <c r="I344" s="24"/>
    </row>
    <row r="345" spans="1:9" ht="20.25" x14ac:dyDescent="0.25">
      <c r="A345" s="30"/>
      <c r="B345" s="31"/>
      <c r="C345" s="31"/>
      <c r="D345" s="31"/>
      <c r="E345" s="31"/>
      <c r="F345" s="31"/>
      <c r="G345" s="31"/>
      <c r="H345" s="31"/>
      <c r="I345" s="24"/>
    </row>
    <row r="346" spans="1:9" ht="20.25" x14ac:dyDescent="0.25">
      <c r="A346" s="30"/>
      <c r="B346" s="31"/>
      <c r="C346" s="31"/>
      <c r="D346" s="31"/>
      <c r="E346" s="31"/>
      <c r="F346" s="31"/>
      <c r="G346" s="31"/>
      <c r="H346" s="31"/>
      <c r="I346" s="24"/>
    </row>
    <row r="347" spans="1:9" ht="20.25" x14ac:dyDescent="0.25">
      <c r="A347" s="30"/>
      <c r="B347" s="31"/>
      <c r="C347" s="31"/>
      <c r="D347" s="31"/>
      <c r="E347" s="31"/>
      <c r="F347" s="31"/>
      <c r="G347" s="31"/>
      <c r="H347" s="31"/>
      <c r="I347" s="24"/>
    </row>
    <row r="348" spans="1:9" ht="20.25" x14ac:dyDescent="0.25">
      <c r="A348" s="30"/>
      <c r="B348" s="31"/>
      <c r="C348" s="31"/>
      <c r="D348" s="31"/>
      <c r="E348" s="31"/>
      <c r="F348" s="31"/>
      <c r="G348" s="31"/>
      <c r="H348" s="31"/>
      <c r="I348" s="24"/>
    </row>
    <row r="349" spans="1:9" ht="20.25" x14ac:dyDescent="0.25">
      <c r="A349" s="30"/>
      <c r="B349" s="31"/>
      <c r="C349" s="31"/>
      <c r="D349" s="31"/>
      <c r="E349" s="31"/>
      <c r="F349" s="31"/>
      <c r="G349" s="31"/>
      <c r="H349" s="31"/>
      <c r="I349" s="24"/>
    </row>
    <row r="350" spans="1:9" ht="20.25" x14ac:dyDescent="0.25">
      <c r="A350" s="30"/>
      <c r="B350" s="31"/>
      <c r="C350" s="31"/>
      <c r="D350" s="31"/>
      <c r="E350" s="31"/>
      <c r="F350" s="31"/>
      <c r="G350" s="31"/>
      <c r="H350" s="31"/>
      <c r="I350" s="24"/>
    </row>
    <row r="351" spans="1:9" ht="20.25" x14ac:dyDescent="0.25">
      <c r="A351" s="30"/>
      <c r="B351" s="31"/>
      <c r="C351" s="31"/>
      <c r="D351" s="31"/>
      <c r="E351" s="31"/>
      <c r="F351" s="31"/>
      <c r="G351" s="31"/>
      <c r="H351" s="31"/>
      <c r="I351" s="24"/>
    </row>
    <row r="352" spans="1:9" ht="20.25" x14ac:dyDescent="0.25">
      <c r="A352" s="30"/>
      <c r="B352" s="31"/>
      <c r="C352" s="31"/>
      <c r="D352" s="31"/>
      <c r="E352" s="31"/>
      <c r="F352" s="31"/>
      <c r="G352" s="31"/>
      <c r="H352" s="31"/>
      <c r="I352" s="24"/>
    </row>
    <row r="353" spans="1:9" ht="20.25" x14ac:dyDescent="0.25">
      <c r="A353" s="30"/>
      <c r="B353" s="31"/>
      <c r="C353" s="31"/>
      <c r="D353" s="31"/>
      <c r="E353" s="31"/>
      <c r="F353" s="31"/>
      <c r="G353" s="31"/>
      <c r="H353" s="31"/>
      <c r="I353" s="24"/>
    </row>
    <row r="354" spans="1:9" ht="20.25" x14ac:dyDescent="0.25">
      <c r="A354" s="30"/>
      <c r="B354" s="31"/>
      <c r="C354" s="31"/>
      <c r="D354" s="31"/>
      <c r="E354" s="31"/>
      <c r="F354" s="31"/>
      <c r="G354" s="31"/>
      <c r="H354" s="31"/>
      <c r="I354" s="24"/>
    </row>
    <row r="355" spans="1:9" ht="20.25" x14ac:dyDescent="0.25">
      <c r="A355" s="85" t="s">
        <v>25</v>
      </c>
      <c r="B355" s="85"/>
      <c r="C355" s="85"/>
      <c r="D355" s="85"/>
      <c r="E355" s="85"/>
      <c r="F355" s="85"/>
      <c r="G355" s="85"/>
      <c r="H355" s="85"/>
      <c r="I355" s="85"/>
    </row>
    <row r="356" spans="1:9" ht="20.25" x14ac:dyDescent="0.25">
      <c r="A356" s="144" t="s">
        <v>77</v>
      </c>
      <c r="B356" s="145"/>
      <c r="C356" s="145"/>
      <c r="D356" s="145"/>
      <c r="E356" s="145"/>
      <c r="F356" s="145"/>
      <c r="G356" s="145"/>
      <c r="H356" s="145"/>
      <c r="I356" s="146"/>
    </row>
    <row r="357" spans="1:9" ht="20.25" x14ac:dyDescent="0.25">
      <c r="A357" s="147" t="s">
        <v>78</v>
      </c>
      <c r="B357" s="148"/>
      <c r="C357" s="148"/>
      <c r="D357" s="148"/>
      <c r="E357" s="148"/>
      <c r="F357" s="148"/>
      <c r="G357" s="148"/>
      <c r="H357" s="148"/>
      <c r="I357" s="149"/>
    </row>
    <row r="358" spans="1:9" ht="45" customHeight="1" x14ac:dyDescent="0.25">
      <c r="A358" s="147" t="s">
        <v>79</v>
      </c>
      <c r="B358" s="148"/>
      <c r="C358" s="148"/>
      <c r="D358" s="148"/>
      <c r="E358" s="148"/>
      <c r="F358" s="148"/>
      <c r="G358" s="148"/>
      <c r="H358" s="148"/>
      <c r="I358" s="149"/>
    </row>
    <row r="359" spans="1:9" ht="42.75" customHeight="1" x14ac:dyDescent="0.25">
      <c r="A359" s="147" t="s">
        <v>80</v>
      </c>
      <c r="B359" s="148"/>
      <c r="C359" s="148"/>
      <c r="D359" s="148"/>
      <c r="E359" s="148"/>
      <c r="F359" s="148"/>
      <c r="G359" s="148"/>
      <c r="H359" s="148"/>
      <c r="I359" s="149"/>
    </row>
    <row r="360" spans="1:9" ht="20.25" x14ac:dyDescent="0.25">
      <c r="A360" s="147" t="s">
        <v>81</v>
      </c>
      <c r="B360" s="148"/>
      <c r="C360" s="148"/>
      <c r="D360" s="148"/>
      <c r="E360" s="148"/>
      <c r="F360" s="148"/>
      <c r="G360" s="148"/>
      <c r="H360" s="148"/>
      <c r="I360" s="149"/>
    </row>
    <row r="361" spans="1:9" ht="20.25" x14ac:dyDescent="0.25">
      <c r="A361" s="147" t="s">
        <v>82</v>
      </c>
      <c r="B361" s="148"/>
      <c r="C361" s="148"/>
      <c r="D361" s="148"/>
      <c r="E361" s="148"/>
      <c r="F361" s="148"/>
      <c r="G361" s="148"/>
      <c r="H361" s="148"/>
      <c r="I361" s="149"/>
    </row>
    <row r="362" spans="1:9" ht="45" customHeight="1" x14ac:dyDescent="0.25">
      <c r="A362" s="147" t="s">
        <v>83</v>
      </c>
      <c r="B362" s="148"/>
      <c r="C362" s="148"/>
      <c r="D362" s="148"/>
      <c r="E362" s="148"/>
      <c r="F362" s="148"/>
      <c r="G362" s="148"/>
      <c r="H362" s="148"/>
      <c r="I362" s="149"/>
    </row>
    <row r="363" spans="1:9" ht="45" customHeight="1" x14ac:dyDescent="0.25">
      <c r="A363" s="147" t="s">
        <v>84</v>
      </c>
      <c r="B363" s="148"/>
      <c r="C363" s="148"/>
      <c r="D363" s="148"/>
      <c r="E363" s="148"/>
      <c r="F363" s="148"/>
      <c r="G363" s="148"/>
      <c r="H363" s="148"/>
      <c r="I363" s="149"/>
    </row>
    <row r="364" spans="1:9" ht="20.25" x14ac:dyDescent="0.25">
      <c r="A364" s="150" t="s">
        <v>85</v>
      </c>
      <c r="B364" s="151"/>
      <c r="C364" s="151"/>
      <c r="D364" s="151"/>
      <c r="E364" s="151"/>
      <c r="F364" s="151"/>
      <c r="G364" s="151"/>
      <c r="H364" s="151"/>
      <c r="I364" s="152"/>
    </row>
    <row r="365" spans="1:9" ht="70.5" customHeight="1" x14ac:dyDescent="0.25">
      <c r="A365" s="142" t="s">
        <v>31</v>
      </c>
      <c r="B365" s="142"/>
      <c r="C365" s="142"/>
      <c r="D365" s="2" t="s">
        <v>4</v>
      </c>
      <c r="E365" s="20" t="s">
        <v>207</v>
      </c>
      <c r="F365" s="12" t="s">
        <v>10</v>
      </c>
      <c r="G365" s="2" t="s">
        <v>4</v>
      </c>
      <c r="H365" s="143"/>
      <c r="I365" s="143"/>
    </row>
  </sheetData>
  <mergeCells count="488">
    <mergeCell ref="H167:I167"/>
    <mergeCell ref="F167:G167"/>
    <mergeCell ref="C167:D167"/>
    <mergeCell ref="A167:B169"/>
    <mergeCell ref="H169:I169"/>
    <mergeCell ref="H170:I170"/>
    <mergeCell ref="A194:I194"/>
    <mergeCell ref="A195:B195"/>
    <mergeCell ref="C195:D195"/>
    <mergeCell ref="C190:D190"/>
    <mergeCell ref="E183:I186"/>
    <mergeCell ref="A187:I187"/>
    <mergeCell ref="F173:G173"/>
    <mergeCell ref="C173:D173"/>
    <mergeCell ref="A173:B173"/>
    <mergeCell ref="C177:D177"/>
    <mergeCell ref="F177:G177"/>
    <mergeCell ref="C178:D178"/>
    <mergeCell ref="F178:G178"/>
    <mergeCell ref="A178:B178"/>
    <mergeCell ref="A182:B182"/>
    <mergeCell ref="A177:B177"/>
    <mergeCell ref="A176:I176"/>
    <mergeCell ref="A179:I179"/>
    <mergeCell ref="A196:B196"/>
    <mergeCell ref="C196:D196"/>
    <mergeCell ref="F196:G196"/>
    <mergeCell ref="A191:B191"/>
    <mergeCell ref="C191:D191"/>
    <mergeCell ref="A192:B192"/>
    <mergeCell ref="C192:D192"/>
    <mergeCell ref="A193:B193"/>
    <mergeCell ref="C193:D193"/>
    <mergeCell ref="E195:I195"/>
    <mergeCell ref="E190:I193"/>
    <mergeCell ref="A208:I208"/>
    <mergeCell ref="A212:B212"/>
    <mergeCell ref="C212:D212"/>
    <mergeCell ref="F212:G212"/>
    <mergeCell ref="E209:I209"/>
    <mergeCell ref="A197:B197"/>
    <mergeCell ref="C197:D197"/>
    <mergeCell ref="E197:I200"/>
    <mergeCell ref="A198:B198"/>
    <mergeCell ref="C198:D198"/>
    <mergeCell ref="A199:B199"/>
    <mergeCell ref="C199:D199"/>
    <mergeCell ref="A200:B200"/>
    <mergeCell ref="C200:D200"/>
    <mergeCell ref="A206:B206"/>
    <mergeCell ref="C206:D206"/>
    <mergeCell ref="F206:G206"/>
    <mergeCell ref="A207:B207"/>
    <mergeCell ref="C207:D207"/>
    <mergeCell ref="F207:G207"/>
    <mergeCell ref="A203:B203"/>
    <mergeCell ref="C203:D203"/>
    <mergeCell ref="F203:G203"/>
    <mergeCell ref="A204:B204"/>
    <mergeCell ref="A155:B155"/>
    <mergeCell ref="C155:D155"/>
    <mergeCell ref="A144:B144"/>
    <mergeCell ref="C144:D144"/>
    <mergeCell ref="F144:G155"/>
    <mergeCell ref="H144:I155"/>
    <mergeCell ref="A145:B145"/>
    <mergeCell ref="C145:D145"/>
    <mergeCell ref="A146:B146"/>
    <mergeCell ref="C146:D146"/>
    <mergeCell ref="A147:B147"/>
    <mergeCell ref="C147:D147"/>
    <mergeCell ref="A148:B148"/>
    <mergeCell ref="C148:D148"/>
    <mergeCell ref="A149:B149"/>
    <mergeCell ref="C149:D149"/>
    <mergeCell ref="A150:B150"/>
    <mergeCell ref="C150:D150"/>
    <mergeCell ref="A151:B151"/>
    <mergeCell ref="C151:D151"/>
    <mergeCell ref="A152:B152"/>
    <mergeCell ref="C152:D152"/>
    <mergeCell ref="A153:B153"/>
    <mergeCell ref="C153:D153"/>
    <mergeCell ref="A154:B154"/>
    <mergeCell ref="C154:D154"/>
    <mergeCell ref="A139:B139"/>
    <mergeCell ref="C139:D139"/>
    <mergeCell ref="A140:I140"/>
    <mergeCell ref="A141:C142"/>
    <mergeCell ref="D141:D142"/>
    <mergeCell ref="F141:G141"/>
    <mergeCell ref="F142:G142"/>
    <mergeCell ref="A143:B143"/>
    <mergeCell ref="C143:D143"/>
    <mergeCell ref="F143:G143"/>
    <mergeCell ref="A128:B128"/>
    <mergeCell ref="C128:D128"/>
    <mergeCell ref="F128:G139"/>
    <mergeCell ref="H128:I139"/>
    <mergeCell ref="A129:B129"/>
    <mergeCell ref="C129:D129"/>
    <mergeCell ref="A130:B130"/>
    <mergeCell ref="C130:D130"/>
    <mergeCell ref="A131:B131"/>
    <mergeCell ref="C131:D131"/>
    <mergeCell ref="A132:B132"/>
    <mergeCell ref="C132:D132"/>
    <mergeCell ref="A133:B133"/>
    <mergeCell ref="C133:D133"/>
    <mergeCell ref="A134:B134"/>
    <mergeCell ref="C134:D134"/>
    <mergeCell ref="A135:B135"/>
    <mergeCell ref="C135:D135"/>
    <mergeCell ref="A136:B136"/>
    <mergeCell ref="C136:D136"/>
    <mergeCell ref="A137:B137"/>
    <mergeCell ref="C137:D137"/>
    <mergeCell ref="A138:B138"/>
    <mergeCell ref="C138:D138"/>
    <mergeCell ref="A123:B123"/>
    <mergeCell ref="C123:D123"/>
    <mergeCell ref="A124:I124"/>
    <mergeCell ref="A125:C126"/>
    <mergeCell ref="D125:D126"/>
    <mergeCell ref="F125:G125"/>
    <mergeCell ref="F126:G126"/>
    <mergeCell ref="A127:B127"/>
    <mergeCell ref="C127:D127"/>
    <mergeCell ref="F127:G127"/>
    <mergeCell ref="A112:B112"/>
    <mergeCell ref="C112:D112"/>
    <mergeCell ref="F112:G123"/>
    <mergeCell ref="H112:I123"/>
    <mergeCell ref="A113:B113"/>
    <mergeCell ref="C113:D113"/>
    <mergeCell ref="A114:B114"/>
    <mergeCell ref="C114:D114"/>
    <mergeCell ref="A115:B115"/>
    <mergeCell ref="C115:D115"/>
    <mergeCell ref="A116:B116"/>
    <mergeCell ref="C116:D116"/>
    <mergeCell ref="A117:B117"/>
    <mergeCell ref="C117:D117"/>
    <mergeCell ref="A118:B118"/>
    <mergeCell ref="C118:D118"/>
    <mergeCell ref="A119:B119"/>
    <mergeCell ref="C119:D119"/>
    <mergeCell ref="A120:B120"/>
    <mergeCell ref="C120:D120"/>
    <mergeCell ref="A121:B121"/>
    <mergeCell ref="C121:D121"/>
    <mergeCell ref="A122:B122"/>
    <mergeCell ref="C122:D122"/>
    <mergeCell ref="A107:B107"/>
    <mergeCell ref="C107:D107"/>
    <mergeCell ref="A108:I108"/>
    <mergeCell ref="A109:C110"/>
    <mergeCell ref="D109:D110"/>
    <mergeCell ref="F109:G109"/>
    <mergeCell ref="F110:G110"/>
    <mergeCell ref="A111:B111"/>
    <mergeCell ref="C111:D111"/>
    <mergeCell ref="F111:G111"/>
    <mergeCell ref="A96:B96"/>
    <mergeCell ref="C96:D96"/>
    <mergeCell ref="F96:G107"/>
    <mergeCell ref="H96:I107"/>
    <mergeCell ref="A97:B97"/>
    <mergeCell ref="C97:D97"/>
    <mergeCell ref="A98:B98"/>
    <mergeCell ref="C98:D98"/>
    <mergeCell ref="A99:B99"/>
    <mergeCell ref="C99:D99"/>
    <mergeCell ref="A100:B100"/>
    <mergeCell ref="C100:D100"/>
    <mergeCell ref="A101:B101"/>
    <mergeCell ref="C101:D101"/>
    <mergeCell ref="A102:B102"/>
    <mergeCell ref="C102:D102"/>
    <mergeCell ref="A103:B103"/>
    <mergeCell ref="C103:D103"/>
    <mergeCell ref="A104:B104"/>
    <mergeCell ref="C104:D104"/>
    <mergeCell ref="A105:B105"/>
    <mergeCell ref="C105:D105"/>
    <mergeCell ref="A106:B106"/>
    <mergeCell ref="C106:D106"/>
    <mergeCell ref="A91:B91"/>
    <mergeCell ref="C91:D91"/>
    <mergeCell ref="A92:I92"/>
    <mergeCell ref="A93:C94"/>
    <mergeCell ref="D93:D94"/>
    <mergeCell ref="F93:G93"/>
    <mergeCell ref="F94:G94"/>
    <mergeCell ref="A95:B95"/>
    <mergeCell ref="C95:D95"/>
    <mergeCell ref="F95:G95"/>
    <mergeCell ref="A80:B80"/>
    <mergeCell ref="C80:D80"/>
    <mergeCell ref="F80:G91"/>
    <mergeCell ref="H80:I91"/>
    <mergeCell ref="A81:B81"/>
    <mergeCell ref="C81:D81"/>
    <mergeCell ref="A82:B82"/>
    <mergeCell ref="C82:D82"/>
    <mergeCell ref="A83:B83"/>
    <mergeCell ref="C83:D83"/>
    <mergeCell ref="A84:B84"/>
    <mergeCell ref="C84:D84"/>
    <mergeCell ref="A85:B85"/>
    <mergeCell ref="C85:D85"/>
    <mergeCell ref="A86:B86"/>
    <mergeCell ref="C86:D86"/>
    <mergeCell ref="A87:B87"/>
    <mergeCell ref="C87:D87"/>
    <mergeCell ref="A88:B88"/>
    <mergeCell ref="C88:D88"/>
    <mergeCell ref="A89:B89"/>
    <mergeCell ref="C89:D89"/>
    <mergeCell ref="A90:B90"/>
    <mergeCell ref="C90:D90"/>
    <mergeCell ref="A70:B70"/>
    <mergeCell ref="A75:B75"/>
    <mergeCell ref="C75:D75"/>
    <mergeCell ref="A76:I76"/>
    <mergeCell ref="A77:C78"/>
    <mergeCell ref="D77:D78"/>
    <mergeCell ref="F77:G77"/>
    <mergeCell ref="F78:G78"/>
    <mergeCell ref="A79:B79"/>
    <mergeCell ref="C79:D79"/>
    <mergeCell ref="F79:G79"/>
    <mergeCell ref="A213:B213"/>
    <mergeCell ref="C213:D213"/>
    <mergeCell ref="F213:G213"/>
    <mergeCell ref="A214:B214"/>
    <mergeCell ref="C214:D214"/>
    <mergeCell ref="F214:G214"/>
    <mergeCell ref="A209:B209"/>
    <mergeCell ref="C209:D209"/>
    <mergeCell ref="A210:B210"/>
    <mergeCell ref="C210:D210"/>
    <mergeCell ref="F210:G210"/>
    <mergeCell ref="A211:B211"/>
    <mergeCell ref="C211:D211"/>
    <mergeCell ref="F211:G211"/>
    <mergeCell ref="C204:D204"/>
    <mergeCell ref="F204:G204"/>
    <mergeCell ref="A205:B205"/>
    <mergeCell ref="C205:D205"/>
    <mergeCell ref="F205:G205"/>
    <mergeCell ref="A201:I201"/>
    <mergeCell ref="A202:B202"/>
    <mergeCell ref="C202:D202"/>
    <mergeCell ref="F182:G182"/>
    <mergeCell ref="A185:B185"/>
    <mergeCell ref="C185:D185"/>
    <mergeCell ref="A188:B188"/>
    <mergeCell ref="C188:D188"/>
    <mergeCell ref="F188:G188"/>
    <mergeCell ref="A183:B183"/>
    <mergeCell ref="A186:B186"/>
    <mergeCell ref="C186:D186"/>
    <mergeCell ref="F202:G202"/>
    <mergeCell ref="A184:B184"/>
    <mergeCell ref="C184:D184"/>
    <mergeCell ref="C183:D183"/>
    <mergeCell ref="A189:B189"/>
    <mergeCell ref="F189:G189"/>
    <mergeCell ref="A190:B190"/>
    <mergeCell ref="A365:C365"/>
    <mergeCell ref="H365:I365"/>
    <mergeCell ref="A217:I217"/>
    <mergeCell ref="E219:I219"/>
    <mergeCell ref="A356:I356"/>
    <mergeCell ref="A362:I362"/>
    <mergeCell ref="A363:I363"/>
    <mergeCell ref="A364:I364"/>
    <mergeCell ref="A357:I357"/>
    <mergeCell ref="A358:I358"/>
    <mergeCell ref="A359:I359"/>
    <mergeCell ref="A360:I360"/>
    <mergeCell ref="A219:C219"/>
    <mergeCell ref="A355:I355"/>
    <mergeCell ref="A361:I361"/>
    <mergeCell ref="A319:I319"/>
    <mergeCell ref="E218:I218"/>
    <mergeCell ref="A220:C220"/>
    <mergeCell ref="E220:I220"/>
    <mergeCell ref="A13:I13"/>
    <mergeCell ref="A1:I1"/>
    <mergeCell ref="A4:C4"/>
    <mergeCell ref="A218:C218"/>
    <mergeCell ref="H27:I27"/>
    <mergeCell ref="H28:I28"/>
    <mergeCell ref="A37:I37"/>
    <mergeCell ref="H55:I55"/>
    <mergeCell ref="A42:I42"/>
    <mergeCell ref="A50:I50"/>
    <mergeCell ref="H163:I163"/>
    <mergeCell ref="A2:C2"/>
    <mergeCell ref="E2:F2"/>
    <mergeCell ref="A41:C41"/>
    <mergeCell ref="H41:I41"/>
    <mergeCell ref="E4:F4"/>
    <mergeCell ref="E12:I12"/>
    <mergeCell ref="A6:C6"/>
    <mergeCell ref="A7:C7"/>
    <mergeCell ref="A8:C8"/>
    <mergeCell ref="H31:I31"/>
    <mergeCell ref="G39:H39"/>
    <mergeCell ref="A162:F162"/>
    <mergeCell ref="E8:I8"/>
    <mergeCell ref="H7:I7"/>
    <mergeCell ref="E9:I9"/>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C28:E28"/>
    <mergeCell ref="C29:E29"/>
    <mergeCell ref="H30:I30"/>
    <mergeCell ref="H29:I29"/>
    <mergeCell ref="C30:E30"/>
    <mergeCell ref="C31:E31"/>
    <mergeCell ref="C26:E26"/>
    <mergeCell ref="C27:E27"/>
    <mergeCell ref="H16:I16"/>
    <mergeCell ref="A215:I215"/>
    <mergeCell ref="A157:I157"/>
    <mergeCell ref="A158:C158"/>
    <mergeCell ref="H158:I158"/>
    <mergeCell ref="H36:I36"/>
    <mergeCell ref="A36:C36"/>
    <mergeCell ref="H35:I35"/>
    <mergeCell ref="C182:D182"/>
    <mergeCell ref="A180:I180"/>
    <mergeCell ref="A181:B181"/>
    <mergeCell ref="C181:D181"/>
    <mergeCell ref="F181:G181"/>
    <mergeCell ref="C74:D74"/>
    <mergeCell ref="C32:I32"/>
    <mergeCell ref="C43:D43"/>
    <mergeCell ref="A45:B45"/>
    <mergeCell ref="A46:B46"/>
    <mergeCell ref="C46:D46"/>
    <mergeCell ref="E46:G46"/>
    <mergeCell ref="H46:I46"/>
    <mergeCell ref="C14:E14"/>
    <mergeCell ref="C15:E15"/>
    <mergeCell ref="C16:E16"/>
    <mergeCell ref="C18:E18"/>
    <mergeCell ref="C19:E19"/>
    <mergeCell ref="C20:E20"/>
    <mergeCell ref="C21:E21"/>
    <mergeCell ref="C22:E22"/>
    <mergeCell ref="C24:I24"/>
    <mergeCell ref="C17:I17"/>
    <mergeCell ref="C23:I23"/>
    <mergeCell ref="H14:I14"/>
    <mergeCell ref="H15:I15"/>
    <mergeCell ref="H18:I18"/>
    <mergeCell ref="H19:I19"/>
    <mergeCell ref="H22:I22"/>
    <mergeCell ref="A68:B68"/>
    <mergeCell ref="C44:D44"/>
    <mergeCell ref="A33:I33"/>
    <mergeCell ref="A35:C35"/>
    <mergeCell ref="A40:C40"/>
    <mergeCell ref="A38:C38"/>
    <mergeCell ref="H44:I44"/>
    <mergeCell ref="A43:B43"/>
    <mergeCell ref="A44:B44"/>
    <mergeCell ref="E44:G44"/>
    <mergeCell ref="E43:G43"/>
    <mergeCell ref="A34:C34"/>
    <mergeCell ref="H34:I34"/>
    <mergeCell ref="G38:H38"/>
    <mergeCell ref="A39:C39"/>
    <mergeCell ref="E45:G45"/>
    <mergeCell ref="H45:I45"/>
    <mergeCell ref="A172:I172"/>
    <mergeCell ref="A47:B47"/>
    <mergeCell ref="C47:D47"/>
    <mergeCell ref="E47:G47"/>
    <mergeCell ref="H47:I47"/>
    <mergeCell ref="A48:B48"/>
    <mergeCell ref="C48:D48"/>
    <mergeCell ref="E48:G48"/>
    <mergeCell ref="H48:I48"/>
    <mergeCell ref="A49:B49"/>
    <mergeCell ref="C49:D49"/>
    <mergeCell ref="E49:G49"/>
    <mergeCell ref="H49:I49"/>
    <mergeCell ref="C55:E55"/>
    <mergeCell ref="A170:B170"/>
    <mergeCell ref="C170:D170"/>
    <mergeCell ref="F169:G169"/>
    <mergeCell ref="C73:D73"/>
    <mergeCell ref="A74:B74"/>
    <mergeCell ref="C54:E54"/>
    <mergeCell ref="H54:I54"/>
    <mergeCell ref="C67:D67"/>
    <mergeCell ref="C68:D68"/>
    <mergeCell ref="J4:K4"/>
    <mergeCell ref="C57:E57"/>
    <mergeCell ref="H57:I57"/>
    <mergeCell ref="C56:E56"/>
    <mergeCell ref="H56:I56"/>
    <mergeCell ref="A270:I270"/>
    <mergeCell ref="A164:F164"/>
    <mergeCell ref="H164:I164"/>
    <mergeCell ref="A163:F163"/>
    <mergeCell ref="H162:I162"/>
    <mergeCell ref="A174:I174"/>
    <mergeCell ref="A175:I175"/>
    <mergeCell ref="F170:G170"/>
    <mergeCell ref="C169:D169"/>
    <mergeCell ref="A269:I269"/>
    <mergeCell ref="C189:D189"/>
    <mergeCell ref="C216:I216"/>
    <mergeCell ref="C52:E52"/>
    <mergeCell ref="H52:I52"/>
    <mergeCell ref="C51:I51"/>
    <mergeCell ref="C53:E53"/>
    <mergeCell ref="E159:I159"/>
    <mergeCell ref="C45:D45"/>
    <mergeCell ref="C69:D69"/>
    <mergeCell ref="H53:I53"/>
    <mergeCell ref="A165:I165"/>
    <mergeCell ref="A166:B166"/>
    <mergeCell ref="C166:D166"/>
    <mergeCell ref="F166:G166"/>
    <mergeCell ref="H166:I166"/>
    <mergeCell ref="H160:I160"/>
    <mergeCell ref="A160:C160"/>
    <mergeCell ref="A156:G156"/>
    <mergeCell ref="H156:I156"/>
    <mergeCell ref="C70:D70"/>
    <mergeCell ref="A71:B71"/>
    <mergeCell ref="C71:D71"/>
    <mergeCell ref="A72:B72"/>
    <mergeCell ref="C72:D72"/>
    <mergeCell ref="A73:B73"/>
    <mergeCell ref="A60:I60"/>
    <mergeCell ref="A61:C62"/>
    <mergeCell ref="D61:D62"/>
    <mergeCell ref="F61:G61"/>
    <mergeCell ref="F62:G62"/>
    <mergeCell ref="A161:I161"/>
    <mergeCell ref="A159:C159"/>
    <mergeCell ref="K2:M2"/>
    <mergeCell ref="A171:B171"/>
    <mergeCell ref="C171:D171"/>
    <mergeCell ref="F171:G171"/>
    <mergeCell ref="H171:I171"/>
    <mergeCell ref="C58:E58"/>
    <mergeCell ref="H58:I58"/>
    <mergeCell ref="C59:I59"/>
    <mergeCell ref="C168:D168"/>
    <mergeCell ref="F168:G168"/>
    <mergeCell ref="H168:I168"/>
    <mergeCell ref="A63:B63"/>
    <mergeCell ref="C63:D63"/>
    <mergeCell ref="F63:G63"/>
    <mergeCell ref="A64:B64"/>
    <mergeCell ref="C64:D64"/>
    <mergeCell ref="F64:G75"/>
    <mergeCell ref="H64:I75"/>
    <mergeCell ref="A65:B65"/>
    <mergeCell ref="C65:D65"/>
    <mergeCell ref="A66:B66"/>
    <mergeCell ref="C66:D66"/>
    <mergeCell ref="A67:B67"/>
    <mergeCell ref="A69:B69"/>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2" fitToHeight="0" orientation="portrait" r:id="rId2"/>
  <headerFooter>
    <oddHeader>&amp;C&amp;25&amp;G</oddHeader>
    <oddFooter>&amp;L&amp;"Times New Roman,Bold"&amp;16Ref No: &amp;F&amp;R&amp;"Times New Roman,Bold"&amp;16&amp;P</oddFooter>
  </headerFooter>
  <rowBreaks count="4" manualBreakCount="4">
    <brk id="24" max="16383" man="1"/>
    <brk id="216" max="8" man="1"/>
    <brk id="269" max="16383" man="1"/>
    <brk id="318"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2025-08-08T06:07:14Z</cp:lastPrinted>
  <dcterms:created xsi:type="dcterms:W3CDTF">2010-11-23T11:42:48Z</dcterms:created>
  <dcterms:modified xsi:type="dcterms:W3CDTF">2025-08-08T06:08:50Z</dcterms:modified>
</cp:coreProperties>
</file>