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HW\OLD\"/>
    </mc:Choice>
  </mc:AlternateContent>
  <xr:revisionPtr revIDLastSave="0" documentId="13_ncr:1_{A8318E7C-2AD7-4E2B-885B-91D76DDF9984}" xr6:coauthVersionLast="36" xr6:coauthVersionMax="47" xr10:uidLastSave="{00000000-0000-0000-0000-000000000000}"/>
  <bookViews>
    <workbookView xWindow="-120" yWindow="-120" windowWidth="20730" windowHeight="11160"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Report!$A$1:$H$500</definedName>
  </definedNames>
  <calcPr calcId="191029"/>
</workbook>
</file>

<file path=xl/calcChain.xml><?xml version="1.0" encoding="utf-8"?>
<calcChain xmlns="http://schemas.openxmlformats.org/spreadsheetml/2006/main">
  <c r="I58" i="3" l="1"/>
  <c r="J3" i="3"/>
  <c r="C66" i="3"/>
  <c r="A76" i="3"/>
  <c r="C17" i="3"/>
  <c r="L65" i="3" l="1"/>
  <c r="A60" i="3"/>
  <c r="F173" i="3" l="1"/>
  <c r="I21" i="3" l="1"/>
  <c r="F351" i="3"/>
  <c r="E351" i="3"/>
  <c r="H351" i="3" s="1"/>
  <c r="F350" i="3"/>
  <c r="E350" i="3"/>
  <c r="F349" i="3"/>
  <c r="E349" i="3"/>
  <c r="H349" i="3" s="1"/>
  <c r="F348" i="3"/>
  <c r="E348" i="3"/>
  <c r="F346" i="3"/>
  <c r="E346" i="3"/>
  <c r="H346" i="3" s="1"/>
  <c r="F344" i="3"/>
  <c r="H344" i="3" s="1"/>
  <c r="E344" i="3"/>
  <c r="F343" i="3"/>
  <c r="E343" i="3"/>
  <c r="E108" i="3" s="1"/>
  <c r="H343" i="3"/>
  <c r="A344" i="3"/>
  <c r="A345" i="3" s="1"/>
  <c r="A346" i="3" s="1"/>
  <c r="F340" i="3"/>
  <c r="E340" i="3"/>
  <c r="F339" i="3"/>
  <c r="E339" i="3"/>
  <c r="F338" i="3"/>
  <c r="E338" i="3"/>
  <c r="F337" i="3"/>
  <c r="E337" i="3"/>
  <c r="F335" i="3"/>
  <c r="E335" i="3"/>
  <c r="F334" i="3"/>
  <c r="E334" i="3"/>
  <c r="F333" i="3"/>
  <c r="E333" i="3"/>
  <c r="F330" i="3"/>
  <c r="E330" i="3"/>
  <c r="F329" i="3"/>
  <c r="E329" i="3"/>
  <c r="F328" i="3"/>
  <c r="E328" i="3"/>
  <c r="F327" i="3"/>
  <c r="E327" i="3"/>
  <c r="F325" i="3"/>
  <c r="E325" i="3"/>
  <c r="F324" i="3"/>
  <c r="E324" i="3"/>
  <c r="F323" i="3"/>
  <c r="E323" i="3"/>
  <c r="F322" i="3"/>
  <c r="E322" i="3"/>
  <c r="F320" i="3"/>
  <c r="E320" i="3"/>
  <c r="F319" i="3"/>
  <c r="E319" i="3"/>
  <c r="F318" i="3"/>
  <c r="E318" i="3"/>
  <c r="F317" i="3"/>
  <c r="E317" i="3"/>
  <c r="F315" i="3"/>
  <c r="E315" i="3"/>
  <c r="F314" i="3"/>
  <c r="E314" i="3"/>
  <c r="F313" i="3"/>
  <c r="E313" i="3"/>
  <c r="F310" i="3"/>
  <c r="E310" i="3"/>
  <c r="F309" i="3"/>
  <c r="E309" i="3"/>
  <c r="F308" i="3"/>
  <c r="E308" i="3"/>
  <c r="F307" i="3"/>
  <c r="E307" i="3"/>
  <c r="F305" i="3"/>
  <c r="E305" i="3"/>
  <c r="F304" i="3"/>
  <c r="E304" i="3"/>
  <c r="F303" i="3"/>
  <c r="E303" i="3"/>
  <c r="F302" i="3"/>
  <c r="E302" i="3"/>
  <c r="F300" i="3"/>
  <c r="E300" i="3"/>
  <c r="F299" i="3"/>
  <c r="E299" i="3"/>
  <c r="F298" i="3"/>
  <c r="E298" i="3"/>
  <c r="F297" i="3"/>
  <c r="E297" i="3"/>
  <c r="F295" i="3"/>
  <c r="E295" i="3"/>
  <c r="F294" i="3"/>
  <c r="E294" i="3"/>
  <c r="F293" i="3"/>
  <c r="E293" i="3"/>
  <c r="F292" i="3"/>
  <c r="E292" i="3"/>
  <c r="F290" i="3"/>
  <c r="E290" i="3"/>
  <c r="E289" i="3"/>
  <c r="E288" i="3"/>
  <c r="E287" i="3"/>
  <c r="F285" i="3"/>
  <c r="E285" i="3"/>
  <c r="E284" i="3"/>
  <c r="E283" i="3"/>
  <c r="F280" i="3"/>
  <c r="E280" i="3"/>
  <c r="E279" i="3"/>
  <c r="E278" i="3"/>
  <c r="E277" i="3"/>
  <c r="F275" i="3"/>
  <c r="E275" i="3"/>
  <c r="E274" i="3"/>
  <c r="E273" i="3"/>
  <c r="E272" i="3"/>
  <c r="F270" i="3"/>
  <c r="E270" i="3"/>
  <c r="E269" i="3"/>
  <c r="E268" i="3"/>
  <c r="F265" i="3"/>
  <c r="E265" i="3"/>
  <c r="E264" i="3"/>
  <c r="E263" i="3"/>
  <c r="E262" i="3"/>
  <c r="F260" i="3"/>
  <c r="E260" i="3"/>
  <c r="E259" i="3"/>
  <c r="E258" i="3"/>
  <c r="E257" i="3"/>
  <c r="F255" i="3"/>
  <c r="E255" i="3"/>
  <c r="E254" i="3"/>
  <c r="E253" i="3"/>
  <c r="E252" i="3"/>
  <c r="F250" i="3"/>
  <c r="E250" i="3"/>
  <c r="E249" i="3"/>
  <c r="E248" i="3"/>
  <c r="E247" i="3"/>
  <c r="F245" i="3"/>
  <c r="E245" i="3"/>
  <c r="E244" i="3"/>
  <c r="E243" i="3"/>
  <c r="F239" i="3"/>
  <c r="E239" i="3"/>
  <c r="E238" i="3"/>
  <c r="E237" i="3"/>
  <c r="E236" i="3"/>
  <c r="F234" i="3"/>
  <c r="E234" i="3"/>
  <c r="E233" i="3"/>
  <c r="E232" i="3"/>
  <c r="E231" i="3"/>
  <c r="F229" i="3"/>
  <c r="E229" i="3"/>
  <c r="E228" i="3"/>
  <c r="E227" i="3"/>
  <c r="E226" i="3"/>
  <c r="F224" i="3"/>
  <c r="E224" i="3"/>
  <c r="E223" i="3"/>
  <c r="E222" i="3"/>
  <c r="E221" i="3"/>
  <c r="F219" i="3"/>
  <c r="E219" i="3"/>
  <c r="E218" i="3"/>
  <c r="E217" i="3"/>
  <c r="E216" i="3"/>
  <c r="F214" i="3"/>
  <c r="E214" i="3"/>
  <c r="E213" i="3"/>
  <c r="E212" i="3"/>
  <c r="F209" i="3"/>
  <c r="E209" i="3"/>
  <c r="E208" i="3"/>
  <c r="E207" i="3"/>
  <c r="E206" i="3"/>
  <c r="F204" i="3"/>
  <c r="E204" i="3"/>
  <c r="E203" i="3"/>
  <c r="E202" i="3"/>
  <c r="E201" i="3"/>
  <c r="F199" i="3"/>
  <c r="E199" i="3"/>
  <c r="F198" i="3"/>
  <c r="E198" i="3"/>
  <c r="F197" i="3"/>
  <c r="E197" i="3"/>
  <c r="F196" i="3"/>
  <c r="E196" i="3"/>
  <c r="F194" i="3"/>
  <c r="E194" i="3"/>
  <c r="F193" i="3"/>
  <c r="E193" i="3"/>
  <c r="F192" i="3"/>
  <c r="E192" i="3"/>
  <c r="F191" i="3"/>
  <c r="E191" i="3"/>
  <c r="F189" i="3"/>
  <c r="E189" i="3"/>
  <c r="F188" i="3"/>
  <c r="E188" i="3"/>
  <c r="F187" i="3"/>
  <c r="E187" i="3"/>
  <c r="F186" i="3"/>
  <c r="E186" i="3"/>
  <c r="F184" i="3"/>
  <c r="E184" i="3"/>
  <c r="F183" i="3"/>
  <c r="E183" i="3"/>
  <c r="F182" i="3"/>
  <c r="E182" i="3"/>
  <c r="F179" i="3"/>
  <c r="E179" i="3"/>
  <c r="F178" i="3"/>
  <c r="E178" i="3"/>
  <c r="F177" i="3"/>
  <c r="E177" i="3"/>
  <c r="F176" i="3"/>
  <c r="E176" i="3"/>
  <c r="F174" i="3"/>
  <c r="E174" i="3"/>
  <c r="E173" i="3"/>
  <c r="F172" i="3"/>
  <c r="E172" i="3"/>
  <c r="F171" i="3"/>
  <c r="E171" i="3"/>
  <c r="F169" i="3"/>
  <c r="E169" i="3"/>
  <c r="F168" i="3"/>
  <c r="E168" i="3"/>
  <c r="F167" i="3"/>
  <c r="E167" i="3"/>
  <c r="F166" i="3"/>
  <c r="E166" i="3"/>
  <c r="E164" i="3"/>
  <c r="E163" i="3"/>
  <c r="E162" i="3"/>
  <c r="E161" i="3"/>
  <c r="E159" i="3"/>
  <c r="E158" i="3"/>
  <c r="E157" i="3"/>
  <c r="E156" i="3"/>
  <c r="E154" i="3"/>
  <c r="E153" i="3"/>
  <c r="E152" i="3"/>
  <c r="E151" i="3"/>
  <c r="E149" i="3"/>
  <c r="E148" i="3"/>
  <c r="E147" i="3"/>
  <c r="E144" i="3"/>
  <c r="E143" i="3"/>
  <c r="E142" i="3"/>
  <c r="E141" i="3"/>
  <c r="E139" i="3"/>
  <c r="E138" i="3"/>
  <c r="E137" i="3"/>
  <c r="E136" i="3"/>
  <c r="E134" i="3"/>
  <c r="E133" i="3"/>
  <c r="E132" i="3"/>
  <c r="E131" i="3"/>
  <c r="E129" i="3"/>
  <c r="E128" i="3"/>
  <c r="E127" i="3"/>
  <c r="E126" i="3"/>
  <c r="E124" i="3"/>
  <c r="E123" i="3"/>
  <c r="E122" i="3"/>
  <c r="V348" i="3"/>
  <c r="H77" i="3"/>
  <c r="U348" i="3"/>
  <c r="H348" i="3" l="1"/>
  <c r="G108" i="3" s="1"/>
  <c r="H350" i="3"/>
  <c r="T348" i="3"/>
  <c r="U349" i="3"/>
  <c r="V349" i="3"/>
  <c r="V350" i="3" s="1"/>
  <c r="V351" i="3" s="1"/>
  <c r="D90" i="3"/>
  <c r="J79" i="3"/>
  <c r="D89" i="3"/>
  <c r="D85" i="3"/>
  <c r="D82" i="3"/>
  <c r="D88" i="3"/>
  <c r="D84" i="3"/>
  <c r="D81" i="3"/>
  <c r="J80" i="3"/>
  <c r="C79" i="3" s="1"/>
  <c r="J78" i="3"/>
  <c r="D87" i="3"/>
  <c r="D83" i="3"/>
  <c r="D86" i="3"/>
  <c r="D77" i="3"/>
  <c r="T349" i="3" l="1"/>
  <c r="U350" i="3"/>
  <c r="D79" i="3"/>
  <c r="J85" i="3"/>
  <c r="J81" i="3"/>
  <c r="C80" i="3" s="1"/>
  <c r="J86" i="3"/>
  <c r="J82" i="3" l="1"/>
  <c r="J87" i="3" s="1"/>
  <c r="T350" i="3"/>
  <c r="U351" i="3"/>
  <c r="T351" i="3" s="1"/>
  <c r="J83" i="3" l="1"/>
  <c r="J84" i="3" s="1"/>
  <c r="J88" i="3" l="1"/>
  <c r="D80" i="3" s="1"/>
  <c r="E79" i="3" l="1"/>
  <c r="I76" i="3" s="1"/>
  <c r="G79" i="3" s="1"/>
  <c r="C67" i="3"/>
  <c r="C68" i="3" s="1"/>
  <c r="G98" i="3" l="1"/>
  <c r="G97" i="3"/>
  <c r="D364" i="3" l="1"/>
  <c r="D362" i="3"/>
  <c r="J121" i="3"/>
  <c r="J120" i="3"/>
  <c r="H335" i="3" l="1"/>
  <c r="H313" i="3"/>
  <c r="A313" i="3"/>
  <c r="A314" i="3" s="1"/>
  <c r="A315" i="3" s="1"/>
  <c r="H314" i="3"/>
  <c r="H315" i="3"/>
  <c r="H340" i="3"/>
  <c r="H339" i="3"/>
  <c r="H338" i="3"/>
  <c r="H337" i="3"/>
  <c r="H334" i="3"/>
  <c r="H333" i="3"/>
  <c r="A333" i="3"/>
  <c r="A334" i="3" s="1"/>
  <c r="A335" i="3" s="1"/>
  <c r="V337" i="3"/>
  <c r="U337" i="3"/>
  <c r="V338" i="3" l="1"/>
  <c r="V339" i="3" s="1"/>
  <c r="V340" i="3" s="1"/>
  <c r="T337" i="3"/>
  <c r="U338" i="3"/>
  <c r="H320" i="3"/>
  <c r="H319" i="3"/>
  <c r="H318" i="3"/>
  <c r="H317" i="3"/>
  <c r="H330" i="3"/>
  <c r="H329" i="3"/>
  <c r="H328" i="3"/>
  <c r="H327" i="3"/>
  <c r="H325" i="3"/>
  <c r="H324" i="3"/>
  <c r="H323" i="3"/>
  <c r="H322" i="3"/>
  <c r="H310" i="3"/>
  <c r="H309" i="3"/>
  <c r="H308" i="3"/>
  <c r="H307" i="3"/>
  <c r="H305" i="3"/>
  <c r="H304" i="3"/>
  <c r="H303" i="3"/>
  <c r="H302" i="3"/>
  <c r="V317" i="3"/>
  <c r="V302" i="3"/>
  <c r="U302" i="3"/>
  <c r="U322" i="3"/>
  <c r="V307" i="3"/>
  <c r="U327" i="3"/>
  <c r="V322" i="3"/>
  <c r="U317" i="3"/>
  <c r="V327" i="3"/>
  <c r="U307" i="3"/>
  <c r="T338" i="3" l="1"/>
  <c r="U339" i="3"/>
  <c r="T317" i="3"/>
  <c r="U318" i="3"/>
  <c r="V318" i="3"/>
  <c r="V319" i="3" s="1"/>
  <c r="V320" i="3" s="1"/>
  <c r="T322" i="3"/>
  <c r="U323" i="3"/>
  <c r="V323" i="3"/>
  <c r="V324" i="3" s="1"/>
  <c r="V325" i="3" s="1"/>
  <c r="V328" i="3"/>
  <c r="V329" i="3" s="1"/>
  <c r="V330" i="3" s="1"/>
  <c r="T327" i="3"/>
  <c r="U328" i="3"/>
  <c r="V308" i="3"/>
  <c r="V309" i="3" s="1"/>
  <c r="V310" i="3" s="1"/>
  <c r="V303" i="3"/>
  <c r="V304" i="3" s="1"/>
  <c r="V305" i="3" s="1"/>
  <c r="T302" i="3"/>
  <c r="U303" i="3"/>
  <c r="T307" i="3"/>
  <c r="U308" i="3"/>
  <c r="H300" i="3"/>
  <c r="H299" i="3"/>
  <c r="H298" i="3"/>
  <c r="H297" i="3"/>
  <c r="H295" i="3"/>
  <c r="H294" i="3"/>
  <c r="H293" i="3"/>
  <c r="H292" i="3"/>
  <c r="H285" i="3"/>
  <c r="H284" i="3"/>
  <c r="H283" i="3"/>
  <c r="A283" i="3"/>
  <c r="A284" i="3" s="1"/>
  <c r="A285" i="3" s="1"/>
  <c r="H290" i="3"/>
  <c r="H289" i="3"/>
  <c r="H288" i="3"/>
  <c r="H287" i="3"/>
  <c r="H280" i="3"/>
  <c r="H279" i="3"/>
  <c r="H278" i="3"/>
  <c r="H277" i="3"/>
  <c r="H270" i="3"/>
  <c r="H269" i="3"/>
  <c r="H268" i="3"/>
  <c r="A268" i="3"/>
  <c r="A269" i="3" s="1"/>
  <c r="A270" i="3" s="1"/>
  <c r="H275" i="3"/>
  <c r="H274" i="3"/>
  <c r="H273" i="3"/>
  <c r="H272" i="3"/>
  <c r="H265" i="3"/>
  <c r="H264" i="3"/>
  <c r="H263" i="3"/>
  <c r="H262" i="3"/>
  <c r="U277" i="3"/>
  <c r="V272" i="3"/>
  <c r="V297" i="3"/>
  <c r="U292" i="3"/>
  <c r="U262" i="3"/>
  <c r="V262" i="3"/>
  <c r="U297" i="3"/>
  <c r="V287" i="3"/>
  <c r="V277" i="3"/>
  <c r="V292" i="3"/>
  <c r="U272" i="3"/>
  <c r="U287" i="3"/>
  <c r="U340" i="3" l="1"/>
  <c r="T340" i="3" s="1"/>
  <c r="T339" i="3"/>
  <c r="U319" i="3"/>
  <c r="T318" i="3"/>
  <c r="T328" i="3"/>
  <c r="U329" i="3"/>
  <c r="U324" i="3"/>
  <c r="T323" i="3"/>
  <c r="T308" i="3"/>
  <c r="U309" i="3"/>
  <c r="T303" i="3"/>
  <c r="U304" i="3"/>
  <c r="V293" i="3"/>
  <c r="V294" i="3" s="1"/>
  <c r="V295" i="3" s="1"/>
  <c r="T292" i="3"/>
  <c r="U293" i="3"/>
  <c r="V298" i="3"/>
  <c r="V299" i="3" s="1"/>
  <c r="V300" i="3" s="1"/>
  <c r="T297" i="3"/>
  <c r="U298" i="3"/>
  <c r="T287" i="3"/>
  <c r="U288" i="3"/>
  <c r="V288" i="3"/>
  <c r="V289" i="3" s="1"/>
  <c r="V290" i="3" s="1"/>
  <c r="T277" i="3"/>
  <c r="U278" i="3"/>
  <c r="V278" i="3"/>
  <c r="V279" i="3" s="1"/>
  <c r="V280" i="3" s="1"/>
  <c r="T262" i="3"/>
  <c r="U263" i="3"/>
  <c r="V263" i="3"/>
  <c r="V264" i="3" s="1"/>
  <c r="V265" i="3" s="1"/>
  <c r="T272" i="3"/>
  <c r="U273" i="3"/>
  <c r="V273" i="3"/>
  <c r="V274" i="3" s="1"/>
  <c r="V275" i="3" s="1"/>
  <c r="H260" i="3"/>
  <c r="H259" i="3"/>
  <c r="H258" i="3"/>
  <c r="H257" i="3"/>
  <c r="U257" i="3"/>
  <c r="V257" i="3"/>
  <c r="U320" i="3" l="1"/>
  <c r="T320" i="3" s="1"/>
  <c r="T319" i="3"/>
  <c r="U325" i="3"/>
  <c r="T325" i="3" s="1"/>
  <c r="T324" i="3"/>
  <c r="U330" i="3"/>
  <c r="T330" i="3" s="1"/>
  <c r="T329" i="3"/>
  <c r="U310" i="3"/>
  <c r="T310" i="3" s="1"/>
  <c r="T309" i="3"/>
  <c r="U305" i="3"/>
  <c r="T305" i="3" s="1"/>
  <c r="T304" i="3"/>
  <c r="T293" i="3"/>
  <c r="U294" i="3"/>
  <c r="T298" i="3"/>
  <c r="U299" i="3"/>
  <c r="U289" i="3"/>
  <c r="T288" i="3"/>
  <c r="U279" i="3"/>
  <c r="T278" i="3"/>
  <c r="U264" i="3"/>
  <c r="T263" i="3"/>
  <c r="U274" i="3"/>
  <c r="T273" i="3"/>
  <c r="V258" i="3"/>
  <c r="V259" i="3" s="1"/>
  <c r="V260" i="3" s="1"/>
  <c r="T257" i="3"/>
  <c r="U258" i="3"/>
  <c r="H250" i="3"/>
  <c r="H249" i="3"/>
  <c r="H248" i="3"/>
  <c r="H247" i="3"/>
  <c r="H245" i="3"/>
  <c r="H244" i="3"/>
  <c r="H243" i="3"/>
  <c r="A243" i="3"/>
  <c r="A244" i="3" s="1"/>
  <c r="A245" i="3" s="1"/>
  <c r="U247" i="3"/>
  <c r="V247" i="3"/>
  <c r="U300" i="3" l="1"/>
  <c r="T300" i="3" s="1"/>
  <c r="T299" i="3"/>
  <c r="U295" i="3"/>
  <c r="T295" i="3" s="1"/>
  <c r="T294" i="3"/>
  <c r="U290" i="3"/>
  <c r="T290" i="3" s="1"/>
  <c r="T289" i="3"/>
  <c r="U280" i="3"/>
  <c r="T280" i="3" s="1"/>
  <c r="T279" i="3"/>
  <c r="U275" i="3"/>
  <c r="T275" i="3" s="1"/>
  <c r="T274" i="3"/>
  <c r="U265" i="3"/>
  <c r="T265" i="3" s="1"/>
  <c r="T264" i="3"/>
  <c r="U259" i="3"/>
  <c r="T258" i="3"/>
  <c r="T247" i="3"/>
  <c r="U248" i="3"/>
  <c r="V248" i="3"/>
  <c r="V249" i="3" s="1"/>
  <c r="V250" i="3" s="1"/>
  <c r="H198" i="3"/>
  <c r="H193" i="3"/>
  <c r="H188" i="3"/>
  <c r="H178" i="3"/>
  <c r="H238" i="3"/>
  <c r="H233" i="3"/>
  <c r="H223" i="3"/>
  <c r="H213" i="3"/>
  <c r="H203" i="3"/>
  <c r="H191" i="3"/>
  <c r="H221" i="3"/>
  <c r="H231" i="3"/>
  <c r="H236" i="3"/>
  <c r="H226" i="3"/>
  <c r="H216" i="3"/>
  <c r="H206" i="3"/>
  <c r="H201" i="3"/>
  <c r="H202" i="3"/>
  <c r="H207" i="3"/>
  <c r="H217" i="3"/>
  <c r="H222" i="3"/>
  <c r="H227" i="3"/>
  <c r="H232" i="3"/>
  <c r="H237" i="3"/>
  <c r="H255" i="3"/>
  <c r="H239" i="3"/>
  <c r="H234" i="3"/>
  <c r="H229" i="3"/>
  <c r="H224" i="3"/>
  <c r="H219" i="3"/>
  <c r="H214" i="3"/>
  <c r="H209" i="3"/>
  <c r="H204" i="3"/>
  <c r="H199" i="3"/>
  <c r="H189" i="3"/>
  <c r="H184" i="3"/>
  <c r="H179" i="3"/>
  <c r="H254" i="3"/>
  <c r="H253" i="3"/>
  <c r="H252" i="3"/>
  <c r="H228" i="3"/>
  <c r="H218" i="3"/>
  <c r="H212" i="3"/>
  <c r="A212" i="3"/>
  <c r="A213" i="3" s="1"/>
  <c r="A214" i="3" s="1"/>
  <c r="H208" i="3"/>
  <c r="J196" i="3"/>
  <c r="H197" i="3"/>
  <c r="H196" i="3"/>
  <c r="H183" i="3"/>
  <c r="H182" i="3"/>
  <c r="A182" i="3"/>
  <c r="A183" i="3" s="1"/>
  <c r="A184" i="3" s="1"/>
  <c r="H194" i="3"/>
  <c r="H192" i="3"/>
  <c r="H187" i="3"/>
  <c r="H186" i="3"/>
  <c r="H177" i="3"/>
  <c r="H176" i="3"/>
  <c r="H171" i="3"/>
  <c r="H174" i="3"/>
  <c r="H173" i="3"/>
  <c r="H172" i="3"/>
  <c r="H169" i="3"/>
  <c r="H168" i="3"/>
  <c r="H166" i="3"/>
  <c r="H167" i="3"/>
  <c r="H164" i="3"/>
  <c r="H163" i="3"/>
  <c r="H162" i="3"/>
  <c r="H161" i="3"/>
  <c r="H159" i="3"/>
  <c r="H158" i="3"/>
  <c r="H157" i="3"/>
  <c r="H156" i="3"/>
  <c r="H154" i="3"/>
  <c r="H153" i="3"/>
  <c r="H152" i="3"/>
  <c r="H151" i="3"/>
  <c r="H149" i="3"/>
  <c r="H148" i="3"/>
  <c r="H147" i="3"/>
  <c r="A147" i="3"/>
  <c r="A148" i="3" s="1"/>
  <c r="A149" i="3" s="1"/>
  <c r="H144" i="3"/>
  <c r="H143" i="3"/>
  <c r="H142" i="3"/>
  <c r="H141" i="3"/>
  <c r="H139" i="3"/>
  <c r="H138" i="3"/>
  <c r="H137" i="3"/>
  <c r="H136" i="3"/>
  <c r="H134" i="3"/>
  <c r="H133" i="3"/>
  <c r="H132" i="3"/>
  <c r="H131" i="3"/>
  <c r="U171" i="3"/>
  <c r="U231" i="3"/>
  <c r="V186" i="3"/>
  <c r="U191" i="3"/>
  <c r="U131" i="3"/>
  <c r="V131" i="3"/>
  <c r="U226" i="3"/>
  <c r="U206" i="3"/>
  <c r="U151" i="3"/>
  <c r="V161" i="3"/>
  <c r="U141" i="3"/>
  <c r="U156" i="3"/>
  <c r="U136" i="3"/>
  <c r="U186" i="3"/>
  <c r="V226" i="3"/>
  <c r="V201" i="3"/>
  <c r="V166" i="3"/>
  <c r="V141" i="3"/>
  <c r="V216" i="3"/>
  <c r="V236" i="3"/>
  <c r="V136" i="3"/>
  <c r="V231" i="3"/>
  <c r="V156" i="3"/>
  <c r="U236" i="3"/>
  <c r="V206" i="3"/>
  <c r="V221" i="3"/>
  <c r="V252" i="3"/>
  <c r="U221" i="3"/>
  <c r="V151" i="3"/>
  <c r="U201" i="3"/>
  <c r="V196" i="3"/>
  <c r="V176" i="3"/>
  <c r="U196" i="3"/>
  <c r="V171" i="3"/>
  <c r="V191" i="3"/>
  <c r="U176" i="3"/>
  <c r="U166" i="3"/>
  <c r="U252" i="3"/>
  <c r="U161" i="3"/>
  <c r="U216" i="3"/>
  <c r="U260" i="3" l="1"/>
  <c r="T260" i="3" s="1"/>
  <c r="T259" i="3"/>
  <c r="U249" i="3"/>
  <c r="T248" i="3"/>
  <c r="V253" i="3"/>
  <c r="V254" i="3" s="1"/>
  <c r="V255" i="3" s="1"/>
  <c r="T236" i="3"/>
  <c r="U237" i="3"/>
  <c r="V237" i="3"/>
  <c r="V238" i="3" s="1"/>
  <c r="V239" i="3" s="1"/>
  <c r="T252" i="3"/>
  <c r="U253" i="3"/>
  <c r="V232" i="3"/>
  <c r="V233" i="3" s="1"/>
  <c r="V234" i="3" s="1"/>
  <c r="T226" i="3"/>
  <c r="U227" i="3"/>
  <c r="V227" i="3"/>
  <c r="V228" i="3" s="1"/>
  <c r="V229" i="3" s="1"/>
  <c r="T231" i="3"/>
  <c r="U232" i="3"/>
  <c r="V217" i="3"/>
  <c r="V218" i="3" s="1"/>
  <c r="V219" i="3" s="1"/>
  <c r="V222" i="3"/>
  <c r="V223" i="3" s="1"/>
  <c r="V224" i="3" s="1"/>
  <c r="U217" i="3"/>
  <c r="T216" i="3"/>
  <c r="U222" i="3"/>
  <c r="T221" i="3"/>
  <c r="V207" i="3"/>
  <c r="V208" i="3" s="1"/>
  <c r="V209" i="3" s="1"/>
  <c r="T206" i="3"/>
  <c r="U207" i="3"/>
  <c r="V202" i="3"/>
  <c r="V203" i="3" s="1"/>
  <c r="V204" i="3" s="1"/>
  <c r="T196" i="3"/>
  <c r="U197" i="3"/>
  <c r="V197" i="3"/>
  <c r="V198" i="3" s="1"/>
  <c r="V199" i="3" s="1"/>
  <c r="T201" i="3"/>
  <c r="U202" i="3"/>
  <c r="T186" i="3"/>
  <c r="U187" i="3"/>
  <c r="V177" i="3"/>
  <c r="V178" i="3" s="1"/>
  <c r="V179" i="3" s="1"/>
  <c r="V187" i="3"/>
  <c r="V188" i="3" s="1"/>
  <c r="V189" i="3" s="1"/>
  <c r="V192" i="3"/>
  <c r="V193" i="3" s="1"/>
  <c r="V194" i="3" s="1"/>
  <c r="T176" i="3"/>
  <c r="U177" i="3"/>
  <c r="T191" i="3"/>
  <c r="U192" i="3"/>
  <c r="V172" i="3"/>
  <c r="V173" i="3" s="1"/>
  <c r="V174" i="3" s="1"/>
  <c r="T171" i="3"/>
  <c r="U172" i="3"/>
  <c r="T156" i="3"/>
  <c r="U157" i="3"/>
  <c r="V157" i="3"/>
  <c r="V158" i="3" s="1"/>
  <c r="V159" i="3" s="1"/>
  <c r="V162" i="3"/>
  <c r="V163" i="3" s="1"/>
  <c r="V164" i="3" s="1"/>
  <c r="T151" i="3"/>
  <c r="U152" i="3"/>
  <c r="T161" i="3"/>
  <c r="U162" i="3"/>
  <c r="V152" i="3"/>
  <c r="V153" i="3" s="1"/>
  <c r="V154" i="3" s="1"/>
  <c r="V167" i="3"/>
  <c r="V168" i="3" s="1"/>
  <c r="V169" i="3" s="1"/>
  <c r="T166" i="3"/>
  <c r="U167" i="3"/>
  <c r="V142" i="3"/>
  <c r="V143" i="3" s="1"/>
  <c r="V144" i="3" s="1"/>
  <c r="T141" i="3"/>
  <c r="U142" i="3"/>
  <c r="V137" i="3"/>
  <c r="V138" i="3" s="1"/>
  <c r="V139" i="3" s="1"/>
  <c r="T136" i="3"/>
  <c r="U137" i="3"/>
  <c r="V132" i="3"/>
  <c r="V133" i="3" s="1"/>
  <c r="V134" i="3" s="1"/>
  <c r="T131" i="3"/>
  <c r="U132" i="3"/>
  <c r="C51" i="3"/>
  <c r="H51" i="3"/>
  <c r="U250" i="3" l="1"/>
  <c r="T250" i="3" s="1"/>
  <c r="T249" i="3"/>
  <c r="T253" i="3"/>
  <c r="U254" i="3"/>
  <c r="T237" i="3"/>
  <c r="U238" i="3"/>
  <c r="T227" i="3"/>
  <c r="U228" i="3"/>
  <c r="T232" i="3"/>
  <c r="U233" i="3"/>
  <c r="T217" i="3"/>
  <c r="U218" i="3"/>
  <c r="T222" i="3"/>
  <c r="U223" i="3"/>
  <c r="T207" i="3"/>
  <c r="U208" i="3"/>
  <c r="T202" i="3"/>
  <c r="U203" i="3"/>
  <c r="U198" i="3"/>
  <c r="T197" i="3"/>
  <c r="T177" i="3"/>
  <c r="U178" i="3"/>
  <c r="U188" i="3"/>
  <c r="T187" i="3"/>
  <c r="T192" i="3"/>
  <c r="U193" i="3"/>
  <c r="T172" i="3"/>
  <c r="U173" i="3"/>
  <c r="T152" i="3"/>
  <c r="U153" i="3"/>
  <c r="U158" i="3"/>
  <c r="T157" i="3"/>
  <c r="T167" i="3"/>
  <c r="U168" i="3"/>
  <c r="T162" i="3"/>
  <c r="U163" i="3"/>
  <c r="T142" i="3"/>
  <c r="U143" i="3"/>
  <c r="T137" i="3"/>
  <c r="U138" i="3"/>
  <c r="T132" i="3"/>
  <c r="U133" i="3"/>
  <c r="U239" i="3" l="1"/>
  <c r="T239" i="3" s="1"/>
  <c r="T238" i="3"/>
  <c r="U255" i="3"/>
  <c r="T255" i="3" s="1"/>
  <c r="T254" i="3"/>
  <c r="U229" i="3"/>
  <c r="T229" i="3" s="1"/>
  <c r="T228" i="3"/>
  <c r="U234" i="3"/>
  <c r="T234" i="3" s="1"/>
  <c r="T233" i="3"/>
  <c r="T218" i="3"/>
  <c r="U219" i="3"/>
  <c r="T219" i="3" s="1"/>
  <c r="T223" i="3"/>
  <c r="U224" i="3"/>
  <c r="T224" i="3" s="1"/>
  <c r="U209" i="3"/>
  <c r="T209" i="3" s="1"/>
  <c r="T208" i="3"/>
  <c r="U199" i="3"/>
  <c r="T199" i="3" s="1"/>
  <c r="T198" i="3"/>
  <c r="U204" i="3"/>
  <c r="T204" i="3" s="1"/>
  <c r="T203" i="3"/>
  <c r="U189" i="3"/>
  <c r="T189" i="3" s="1"/>
  <c r="T188" i="3"/>
  <c r="U194" i="3"/>
  <c r="T194" i="3" s="1"/>
  <c r="T193" i="3"/>
  <c r="U179" i="3"/>
  <c r="T179" i="3" s="1"/>
  <c r="T178" i="3"/>
  <c r="U174" i="3"/>
  <c r="T174" i="3" s="1"/>
  <c r="T173" i="3"/>
  <c r="U159" i="3"/>
  <c r="T159" i="3" s="1"/>
  <c r="T158" i="3"/>
  <c r="U169" i="3"/>
  <c r="T169" i="3" s="1"/>
  <c r="T168" i="3"/>
  <c r="U154" i="3"/>
  <c r="T154" i="3" s="1"/>
  <c r="T153" i="3"/>
  <c r="U164" i="3"/>
  <c r="T164" i="3" s="1"/>
  <c r="T163" i="3"/>
  <c r="U144" i="3"/>
  <c r="T144" i="3" s="1"/>
  <c r="T143" i="3"/>
  <c r="U139" i="3"/>
  <c r="T139" i="3" s="1"/>
  <c r="T138" i="3"/>
  <c r="U134" i="3"/>
  <c r="T134" i="3" s="1"/>
  <c r="T133" i="3"/>
  <c r="D61" i="3" l="1"/>
  <c r="I55" i="3"/>
  <c r="H61" i="3"/>
  <c r="J69" i="3" l="1"/>
  <c r="D74" i="3"/>
  <c r="D68" i="3"/>
  <c r="D71" i="3"/>
  <c r="D67" i="3"/>
  <c r="J63" i="3"/>
  <c r="D70" i="3"/>
  <c r="D66" i="3"/>
  <c r="D73" i="3"/>
  <c r="D69" i="3"/>
  <c r="D65" i="3"/>
  <c r="J64" i="3"/>
  <c r="C63" i="3" s="1"/>
  <c r="D63" i="3" s="1"/>
  <c r="J62" i="3"/>
  <c r="D72" i="3"/>
  <c r="J70" i="3"/>
  <c r="J65" i="3"/>
  <c r="J66" i="3" s="1"/>
  <c r="J71" i="3" s="1"/>
  <c r="J67" i="3" l="1"/>
  <c r="J68" i="3" s="1"/>
  <c r="J72" i="3" l="1"/>
  <c r="C64" i="3" s="1"/>
  <c r="D64" i="3" s="1"/>
  <c r="E63" i="3" l="1"/>
  <c r="G91" i="3" s="1"/>
  <c r="I60" i="3" l="1"/>
  <c r="G63" i="3" s="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I42" i="6" l="1"/>
  <c r="H42" i="6" s="1"/>
  <c r="L42" i="6"/>
  <c r="K42" i="6" s="1"/>
  <c r="E42" i="6"/>
  <c r="E44" i="6" s="1"/>
  <c r="D42" i="6" l="1"/>
  <c r="D44" i="6" s="1"/>
  <c r="C26" i="3"/>
  <c r="C18" i="3"/>
  <c r="H129" i="3"/>
  <c r="H128" i="3"/>
  <c r="H127" i="3"/>
  <c r="H126" i="3"/>
  <c r="E110" i="3"/>
  <c r="H109" i="3"/>
  <c r="H122" i="3"/>
  <c r="H123" i="3"/>
  <c r="H124" i="3"/>
  <c r="G107" i="3" l="1"/>
  <c r="G109" i="3" s="1"/>
  <c r="J122" i="3"/>
  <c r="E107" i="3"/>
  <c r="E109" i="3" s="1"/>
  <c r="G104" i="3"/>
  <c r="E104" i="3"/>
  <c r="C38" i="4" l="1"/>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I5" i="4"/>
  <c r="F38" i="4" l="1"/>
  <c r="E18" i="4"/>
  <c r="E15" i="4"/>
  <c r="E17" i="4"/>
  <c r="E11" i="4"/>
  <c r="K6" i="4"/>
  <c r="E9" i="4"/>
  <c r="K8" i="4"/>
  <c r="C7" i="4" s="1"/>
  <c r="E14" i="4"/>
  <c r="E12" i="4"/>
  <c r="E16" i="4"/>
  <c r="E10" i="4"/>
  <c r="K9" i="4"/>
  <c r="K10" i="4" s="1"/>
  <c r="K11" i="4" s="1"/>
  <c r="E13" i="4"/>
  <c r="K7" i="4"/>
  <c r="K12" i="4" l="1"/>
  <c r="K16" i="4" s="1"/>
  <c r="C8" i="4" s="1"/>
  <c r="E8" i="4" s="1"/>
  <c r="E7" i="4"/>
  <c r="A122" i="3"/>
  <c r="A123" i="3" s="1"/>
  <c r="A124" i="3" s="1"/>
  <c r="F7" i="4" l="1"/>
  <c r="J4" i="4" s="1"/>
  <c r="H7" i="4" s="1"/>
  <c r="G4" i="3" l="1"/>
  <c r="H104" i="3" l="1"/>
  <c r="G110" i="3" s="1"/>
  <c r="D363" i="3" l="1"/>
  <c r="G99" i="3"/>
  <c r="U126" i="3"/>
  <c r="V126" i="3"/>
  <c r="V127" i="3" l="1"/>
  <c r="V128" i="3" s="1"/>
  <c r="V129" i="3" s="1"/>
  <c r="U127" i="3"/>
  <c r="T126" i="3"/>
  <c r="U128" i="3" l="1"/>
  <c r="T127" i="3"/>
  <c r="U129" i="3" l="1"/>
  <c r="T128" i="3"/>
  <c r="T12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97" authorId="0" shapeId="0" xr:uid="{00000000-0006-0000-0000-000007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<sst xmlns="http://schemas.openxmlformats.org/spreadsheetml/2006/main" count="948" uniqueCount="410">
  <si>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</si>
  <si>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</si>
  <si>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</si>
  <si>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</si>
  <si>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</si>
  <si>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</si>
  <si>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</si>
  <si>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</si>
  <si>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</si>
  <si>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</si>
  <si>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</si>
  <si>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</si>
  <si>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</si>
  <si>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</si>
  <si>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</si>
  <si>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</si>
  <si>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</si>
  <si>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</si>
  <si>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</si>
  <si>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</si>
  <si>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</si>
  <si>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</si>
  <si>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</si>
  <si>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</si>
  <si>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</si>
  <si>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</si>
  <si>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</si>
  <si>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</si>
  <si>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</si>
  <si>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</si>
  <si>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</si>
  <si>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</si>
  <si>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</si>
  <si>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</si>
  <si>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</si>
  <si>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</si>
  <si>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</si>
  <si>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</si>
  <si>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</si>
  <si>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</si>
  <si>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</si>
  <si>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</si>
  <si>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</si>
  <si>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</si>
  <si>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</si>
  <si>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</si>
  <si>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</si>
  <si>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</si>
  <si>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</si>
  <si>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</si>
  <si>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</si>
  <si>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</si>
  <si>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</si>
  <si>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</si>
  <si>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</si>
  <si>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</si>
  <si>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</si>
  <si>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</si>
  <si>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</si>
  <si>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</si>
  <si>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</si>
  <si>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</si>
  <si>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</si>
  <si>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</si>
  <si>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</si>
  <si>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</si>
  <si>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</si>
  <si>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</si>
  <si>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</si>
  <si>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</si>
  <si>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</si>
  <si>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</si>
  <si>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</si>
  <si>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</si>
  <si>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</si>
  <si>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</si>
  <si>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</si>
  <si>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</si>
  <si>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</si>
  <si>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</si>
  <si>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</si>
  <si>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</si>
  <si>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</si>
  <si>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</si>
  <si>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</si>
  <si>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</si>
  <si>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</si>
  <si>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</si>
  <si>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</si>
  <si>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</si>
  <si>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</si>
  <si>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</si>
  <si>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</si>
  <si>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</si>
  <si>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</si>
  <si>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</si>
  <si>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</si>
  <si>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</si>
  <si>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</si>
  <si>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</si>
  <si>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</si>
  <si>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</si>
  <si>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</si>
  <si>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</si>
  <si>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</si>
  <si>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</si>
  <si>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</si>
  <si>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</si>
  <si>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</si>
  <si>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</si>
  <si>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</si>
  <si>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</si>
  <si>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</si>
  <si>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</si>
  <si>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</si>
  <si>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</si>
  <si>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</si>
  <si>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</si>
  <si>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</si>
  <si>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</si>
  <si>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</si>
  <si>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</si>
  <si>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</si>
  <si>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</si>
  <si>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</si>
  <si>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</si>
  <si>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</si>
  <si>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</si>
  <si>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</si>
  <si>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</si>
  <si>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</si>
  <si>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</si>
  <si>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</si>
  <si>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</si>
  <si>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</si>
  <si>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</si>
  <si>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</si>
  <si>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</si>
  <si>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</si>
  <si>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</si>
  <si>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</si>
  <si>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</si>
  <si>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</si>
  <si>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</si>
  <si>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</si>
  <si>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</si>
  <si>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</si>
  <si>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</si>
  <si>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</si>
  <si>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</si>
  <si>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</si>
  <si>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</si>
  <si>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</si>
  <si>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</si>
  <si>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</si>
  <si>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</si>
  <si>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</si>
  <si>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</si>
  <si>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</si>
  <si>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 xml:space="preserve">Layout </t>
  </si>
  <si>
    <t>Latitude, Longitude</t>
  </si>
  <si>
    <t>Landmark</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</si>
  <si>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</si>
  <si>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</si>
  <si>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</si>
  <si>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</si>
  <si>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</si>
  <si>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</si>
  <si>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</si>
  <si>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</si>
  <si>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</si>
  <si>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</si>
  <si>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</si>
  <si>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</si>
  <si>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</si>
  <si>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</si>
  <si>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</si>
  <si>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</si>
  <si>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</si>
  <si>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</si>
  <si>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</si>
  <si>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</si>
  <si>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</si>
  <si>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</si>
  <si>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</si>
  <si>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</si>
  <si>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</si>
  <si>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</si>
  <si>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</si>
  <si>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</si>
  <si>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</si>
  <si>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</si>
  <si>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</si>
  <si>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</si>
  <si>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</si>
  <si>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</si>
  <si>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</si>
  <si>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</si>
  <si>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</si>
  <si>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</si>
  <si>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</si>
  <si>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</si>
  <si>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</si>
  <si>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</si>
  <si>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</si>
  <si>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</si>
  <si>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</si>
  <si>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</si>
  <si>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</si>
  <si>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</si>
  <si>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</si>
  <si>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</si>
  <si>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</si>
  <si>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</si>
  <si>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</si>
  <si>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</si>
  <si>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</si>
  <si>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</si>
  <si>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</si>
  <si>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</si>
  <si>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</si>
  <si>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</si>
  <si>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</si>
  <si>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</si>
  <si>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</si>
  <si>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</si>
  <si>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</si>
  <si>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</si>
  <si>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</si>
  <si>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</si>
  <si>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</si>
  <si>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</si>
  <si>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</si>
  <si>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</si>
  <si>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</si>
  <si>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</si>
  <si>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</si>
  <si>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</si>
  <si>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</si>
  <si>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</si>
  <si>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</si>
  <si>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</si>
  <si>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</si>
  <si>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</si>
  <si>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</si>
  <si>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</si>
  <si>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</si>
  <si>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</si>
  <si>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</si>
  <si>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</si>
  <si>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</si>
  <si>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</si>
  <si>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</si>
  <si>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</si>
  <si>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</si>
  <si>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</si>
  <si>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</si>
  <si>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</si>
  <si>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</si>
  <si>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</si>
  <si>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</si>
  <si>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</si>
  <si>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</si>
  <si>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</si>
  <si>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</si>
  <si>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</si>
  <si>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</si>
  <si>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</si>
  <si>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</si>
  <si>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</si>
  <si>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</si>
  <si>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</si>
  <si>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</si>
  <si>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</si>
  <si>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</si>
  <si>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</si>
  <si>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</si>
  <si>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</si>
  <si>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</si>
  <si>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</si>
  <si>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</si>
  <si>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</si>
  <si>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</si>
  <si>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</si>
  <si>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</si>
  <si>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</si>
  <si>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</si>
  <si>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</si>
  <si>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</si>
  <si>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</si>
  <si>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</si>
  <si>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</si>
  <si>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</si>
  <si>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</si>
  <si>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</si>
  <si>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</si>
  <si>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</si>
  <si>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</si>
  <si>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</si>
  <si>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</si>
  <si>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</si>
  <si>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Godrej Residency Pvt Ltd</t>
  </si>
  <si>
    <t xml:space="preserve">5th floor, Building Name - Godrej One,Eastern Express Highway, Locality - Piojshanagar, Vikhroli East, Mumbai Suburban, Kurla,Vikhroli - 400079
</t>
  </si>
  <si>
    <t>Municipal Corporation of Greater Mumbai</t>
  </si>
  <si>
    <t>Godrej Residency Private Limited</t>
  </si>
  <si>
    <t>Raheja Vivarea</t>
  </si>
  <si>
    <t>Upper</t>
  </si>
  <si>
    <t>Concrete</t>
  </si>
  <si>
    <t>Pathway/Jogging Loop, Yoga Lawn, Pets Park, Party Lawn, BBQ Counter, Pool Deck, Olympic length pool, Kids Pool, Mini Golf Lawn, Seniors zone with Reflexology path, Kids Play Area, Skating Rink, Tennis &amp; Multiplay court.</t>
  </si>
  <si>
    <t>Maulana Azad Road</t>
  </si>
  <si>
    <t>Vivarea Tower wing D</t>
  </si>
  <si>
    <t>Raheja Vivarea Tower C</t>
  </si>
  <si>
    <t>Vivarea Tower Wing E</t>
  </si>
  <si>
    <t>27.43 M.W. Maulana Aazad Road</t>
  </si>
  <si>
    <t>Other Plot</t>
  </si>
  <si>
    <t>Tower A</t>
  </si>
  <si>
    <t>3B + Gr/Stilt + 1st to 6th Podium Floor + 7th Podium Floor + 8th Service Floor + 9th to 68th Floor</t>
  </si>
  <si>
    <t>This CC is re-endorsed for Tower 'A' &amp;'B' (for Sale building) and extend the same up to top of 64th floor for Tower'A' only as per the last  amended approval dated 04/03/2024.</t>
  </si>
  <si>
    <t>EB/2701/E/A/FCC/2/Amend</t>
  </si>
  <si>
    <t>EB/2701/E/A/337/3/Amend</t>
  </si>
  <si>
    <t>Fire NOC Details</t>
  </si>
  <si>
    <t>3rd to 1st Basement floor for Pump Room &amp; Parking Area</t>
  </si>
  <si>
    <t xml:space="preserve">Ground Floor for Parking &amp; Entrance Lobby </t>
  </si>
  <si>
    <t>1st to 6th Podium Floor for Parking</t>
  </si>
  <si>
    <t>8th Service Floor</t>
  </si>
  <si>
    <t>9th Floor for Residential (Part Refuge Area)</t>
  </si>
  <si>
    <t>Refuge Area</t>
  </si>
  <si>
    <t>4BHK</t>
  </si>
  <si>
    <t>10th Floor</t>
  </si>
  <si>
    <t>11th to 13th Floor</t>
  </si>
  <si>
    <t>14th Floor</t>
  </si>
  <si>
    <t>15th Floor</t>
  </si>
  <si>
    <t>16th Floor for Residential (Part Refuge Area)</t>
  </si>
  <si>
    <t>17th Floor</t>
  </si>
  <si>
    <t>18th Floor</t>
  </si>
  <si>
    <t>19th Floor</t>
  </si>
  <si>
    <t>20th Floor</t>
  </si>
  <si>
    <t>21st Floor</t>
  </si>
  <si>
    <t>22nd &amp; 26th Floor</t>
  </si>
  <si>
    <t>23rd Floor for Residential (Part Refuge Area)</t>
  </si>
  <si>
    <t>24th Floor</t>
  </si>
  <si>
    <t>25th Floor</t>
  </si>
  <si>
    <t>27th Floor</t>
  </si>
  <si>
    <t>28th Floor</t>
  </si>
  <si>
    <t>29th Floor</t>
  </si>
  <si>
    <t>30th Floor for Residential (Part Refuge Area)</t>
  </si>
  <si>
    <t>31st Floor</t>
  </si>
  <si>
    <t>32nd Floor</t>
  </si>
  <si>
    <t>33rd Floor</t>
  </si>
  <si>
    <t>34th Floor</t>
  </si>
  <si>
    <t>35th &amp; 36th Floor</t>
  </si>
  <si>
    <t>37th Floor for Residential (Part Refuge Area)</t>
  </si>
  <si>
    <t>38th Floor</t>
  </si>
  <si>
    <t>39th &amp; 40th Floor</t>
  </si>
  <si>
    <t>41st, 42nd, 46th, 47th, 49th, 50th Floor</t>
  </si>
  <si>
    <t>43rd Floor</t>
  </si>
  <si>
    <t>44th Floor for Residential (Part Refuge Area)</t>
  </si>
  <si>
    <t>45th Floor</t>
  </si>
  <si>
    <t>48th Floor</t>
  </si>
  <si>
    <t>52nd Floor</t>
  </si>
  <si>
    <t>51st Floor for Residential (Part Refuge Area)</t>
  </si>
  <si>
    <t>53rd Floor</t>
  </si>
  <si>
    <t>54th Floor</t>
  </si>
  <si>
    <t>55th &amp; 56th Floor</t>
  </si>
  <si>
    <t>57th Floor</t>
  </si>
  <si>
    <t>58th Floor for Residential (Part Refuge Area)</t>
  </si>
  <si>
    <t>61st Floor</t>
  </si>
  <si>
    <t>59th, 60th, 63rd, 64th, 67th, 68th Floor</t>
  </si>
  <si>
    <t>62nd Floor</t>
  </si>
  <si>
    <t>65th Floor for Residential (Part Refuge Area)</t>
  </si>
  <si>
    <t>66th Floor</t>
  </si>
  <si>
    <t>55000 to 57000</t>
  </si>
  <si>
    <t xml:space="preserve">Godrej Avenue Eleven Tower A &amp; B
</t>
  </si>
  <si>
    <t>Godrej Avenue Eleven, CTS No.1906 &amp; Redevelopment of building "Orchid Heights", near Raheja Vivarea Tower C, M.A.Road, Agripada, Byculla, Mahalaxmi, Ward E, Mumbai - 400011.</t>
  </si>
  <si>
    <t>Tower A = P51900005216     
Tower B = P51900006299</t>
  </si>
  <si>
    <t>18.978001,72.826047</t>
  </si>
  <si>
    <t>https://maps.app.goo.gl/HJ6TjJTtyMZ3JPBn8</t>
  </si>
  <si>
    <t>Hindustan Mill</t>
  </si>
  <si>
    <t>2B + Gr/Stilt + 1st to 6th Podium Floor + 7th Amenity Floor + 8th Service Floor + 9th to 12th Floor</t>
  </si>
  <si>
    <t>SNCR/WEST/B/061522/677736</t>
  </si>
  <si>
    <t xml:space="preserve">Airport Authority Clearance Details
Valid Up to: </t>
  </si>
  <si>
    <t>Tower A = 312.13 M (AMSL)
Tower B = 230.63 M (AMSL)</t>
  </si>
  <si>
    <t xml:space="preserve">Valid Upto 
Date
</t>
  </si>
  <si>
    <t>8 Years From date of Issue</t>
  </si>
  <si>
    <t>Tower B</t>
  </si>
  <si>
    <t>Tower A + B</t>
  </si>
  <si>
    <t>Rera Carpet area</t>
  </si>
  <si>
    <t>Service Floor Between 36th and 37th Floor</t>
  </si>
  <si>
    <t>3BHK</t>
  </si>
  <si>
    <t>10th to 12th Floor</t>
  </si>
  <si>
    <t xml:space="preserve">We considered Gross carpet area = Net carpet + Balcony.
</t>
  </si>
  <si>
    <t>Please check for Environment Clearance.</t>
  </si>
  <si>
    <t>Mr. Karan Misal</t>
  </si>
  <si>
    <t>7th Floor for Fitness Centre, Badminton Court, Squash, Swimming Pool, etc</t>
  </si>
  <si>
    <t>Flats = 246</t>
  </si>
  <si>
    <t>As per RERA Tower A + B Site Flats =  374</t>
  </si>
  <si>
    <t>Tower A = 10/07/2017
Tower B = 14/08/2017</t>
  </si>
  <si>
    <t>30M</t>
  </si>
  <si>
    <t>1.40KM from Mumbai Central S.T Depot</t>
  </si>
  <si>
    <t>About 2.5KM form JJ Hospital Mumbai</t>
  </si>
  <si>
    <t>1. Approx. 2.00KM from Byculla Vegetable Market.
2. Approx. 3.00KM from Phoenix Palladium.</t>
  </si>
  <si>
    <t>About 2.00KM from St. Agnes' High School</t>
  </si>
  <si>
    <t>1.00KM from Mahalaxmi Railway Station</t>
  </si>
  <si>
    <t>EB/2701/E/A-CFO
Tower A = 3B + Gr/Stilt + 1st to 7th Podium Floor + 8th (Stilt) Floor + 9th Service Floor + 10th to 68th Floor (Height 251.30 Mtrs)
Tower B = 3B + Gr/Stilt + 1st to 7th Podium Floor + 8th (Stilt) Floor + 9th Service Floor + 10th to 53rd Floor (Height 197.30 Mtrs)</t>
  </si>
  <si>
    <t>3B + Gr/Stilt + 1st to 7th Podium Floor + 8th (Stilt) Floor + 9th Service Floor + 10th to 68th Floor</t>
  </si>
  <si>
    <t>Mr. Suraj Khare</t>
  </si>
  <si>
    <t xml:space="preserve">Tower A &amp; B = 31/12/2028
</t>
  </si>
  <si>
    <t xml:space="preserve">Tower B </t>
  </si>
  <si>
    <t>07/08/2025 at 02:41PM</t>
  </si>
  <si>
    <t>Tower A &amp; B = Construction work is in process at the time of Visit (Internal visit not allowed) (Slow speed).
Tower B = Construction work is same as last visit dtd. 15/05/2025 but work is in process at the time of Visit (Internal visit not allowed)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</si>
</sst>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
      <b/>
      <sz val="18"/>
      <color indexed="8"/>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7">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xf numFmtId="1" fontId="6" fillId="4" borderId="1"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xf>
    <xf numFmtId="17" fontId="4" fillId="4" borderId="1" xfId="0" applyNumberFormat="1" applyFont="1" applyFill="1" applyBorder="1" applyAlignment="1">
      <alignment horizontal="left" vertical="top" wrapText="1"/>
    </xf>
    <xf numFmtId="14" fontId="4" fillId="4" borderId="2" xfId="0" applyNumberFormat="1"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2" borderId="1"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0" applyFont="1" applyFill="1" applyBorder="1" applyAlignment="1">
      <alignment horizontal="left"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28" fillId="4" borderId="12" xfId="1" applyNumberFormat="1" applyFont="1" applyFill="1" applyBorder="1" applyAlignment="1">
      <alignment horizontal="center" vertical="center" wrapText="1"/>
    </xf>
    <xf numFmtId="1" fontId="28" fillId="4" borderId="8" xfId="1" applyNumberFormat="1" applyFont="1" applyFill="1" applyBorder="1" applyAlignment="1">
      <alignment horizontal="center" vertical="center" wrapText="1"/>
    </xf>
    <xf numFmtId="1" fontId="28" fillId="4" borderId="13"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582871</xdr:colOff>
      <xdr:row>474</xdr:row>
      <xdr:rowOff>216112</xdr:rowOff>
    </xdr:from>
    <xdr:to>
      <xdr:col>5</xdr:col>
      <xdr:colOff>1096043</xdr:colOff>
      <xdr:row>487</xdr:row>
      <xdr:rowOff>112432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759489" y="93605936"/>
          <a:ext cx="5219642" cy="3246879"/>
        </a:xfrm>
        <a:prstGeom prst="rect">
          <a:avLst/>
        </a:prstGeom>
        <a:ln>
          <a:solidFill>
            <a:schemeClr val="tx1"/>
          </a:solidFill>
        </a:ln>
      </xdr:spPr>
    </xdr:pic>
    <xdr:clientData/>
  </xdr:twoCellAnchor>
  <xdr:twoCellAnchor editAs="oneCell">
    <xdr:from>
      <xdr:col>1</xdr:col>
      <xdr:colOff>642138</xdr:colOff>
      <xdr:row>459</xdr:row>
      <xdr:rowOff>217088</xdr:rowOff>
    </xdr:from>
    <xdr:to>
      <xdr:col>5</xdr:col>
      <xdr:colOff>1036777</xdr:colOff>
      <xdr:row>474</xdr:row>
      <xdr:rowOff>118489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18756" y="89740882"/>
          <a:ext cx="5101109" cy="3767430"/>
        </a:xfrm>
        <a:prstGeom prst="rect">
          <a:avLst/>
        </a:prstGeom>
        <a:ln>
          <a:solidFill>
            <a:schemeClr val="tx1"/>
          </a:solidFill>
        </a:ln>
      </xdr:spPr>
    </xdr:pic>
    <xdr:clientData/>
  </xdr:twoCellAnchor>
  <xdr:oneCellAnchor>
    <xdr:from>
      <xdr:col>3</xdr:col>
      <xdr:colOff>690753</xdr:colOff>
      <xdr:row>476</xdr:row>
      <xdr:rowOff>133719</xdr:rowOff>
    </xdr:from>
    <xdr:ext cx="791563" cy="311496"/>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220606" y="94039013"/>
          <a:ext cx="791563" cy="311496"/>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400" b="0" cap="none" spc="0">
              <a:ln w="0"/>
              <a:solidFill>
                <a:schemeClr val="tx1"/>
              </a:solidFill>
              <a:effectLst>
                <a:outerShdw blurRad="38100" dist="19050" dir="2700000" algn="tl" rotWithShape="0">
                  <a:schemeClr val="dk1">
                    <a:alpha val="40000"/>
                  </a:schemeClr>
                </a:outerShdw>
              </a:effectLst>
            </a:rPr>
            <a:t>Tower A</a:t>
          </a:r>
        </a:p>
      </xdr:txBody>
    </xdr:sp>
    <xdr:clientData/>
  </xdr:oneCellAnchor>
  <xdr:twoCellAnchor>
    <xdr:from>
      <xdr:col>3</xdr:col>
      <xdr:colOff>717398</xdr:colOff>
      <xdr:row>477</xdr:row>
      <xdr:rowOff>151010</xdr:rowOff>
    </xdr:from>
    <xdr:to>
      <xdr:col>3</xdr:col>
      <xdr:colOff>1084651</xdr:colOff>
      <xdr:row>480</xdr:row>
      <xdr:rowOff>249753</xdr:rowOff>
    </xdr:to>
    <xdr:cxnSp macro="">
      <xdr:nvCxnSpPr>
        <xdr:cNvPr id="5" name="Straight Arrow Connector 4">
          <a:extLst>
            <a:ext uri="{FF2B5EF4-FFF2-40B4-BE49-F238E27FC236}">
              <a16:creationId xmlns:a16="http://schemas.microsoft.com/office/drawing/2014/main" id="{00000000-0008-0000-0000-000005000000}"/>
            </a:ext>
          </a:extLst>
        </xdr:cNvPr>
        <xdr:cNvCxnSpPr>
          <a:stCxn id="4" idx="2"/>
        </xdr:cNvCxnSpPr>
      </xdr:nvCxnSpPr>
      <xdr:spPr>
        <a:xfrm flipH="1">
          <a:off x="4247251" y="94314039"/>
          <a:ext cx="367253" cy="871949"/>
        </a:xfrm>
        <a:prstGeom prst="straightConnector1">
          <a:avLst/>
        </a:prstGeom>
        <a:ln w="3810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822524</xdr:colOff>
      <xdr:row>480</xdr:row>
      <xdr:rowOff>249292</xdr:rowOff>
    </xdr:from>
    <xdr:ext cx="785343" cy="311496"/>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8995" y="95185527"/>
          <a:ext cx="785343" cy="311496"/>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400" b="0" cap="none" spc="0">
              <a:ln w="0"/>
              <a:solidFill>
                <a:schemeClr val="tx1"/>
              </a:solidFill>
              <a:effectLst>
                <a:outerShdw blurRad="38100" dist="19050" dir="2700000" algn="tl" rotWithShape="0">
                  <a:schemeClr val="dk1">
                    <a:alpha val="40000"/>
                  </a:schemeClr>
                </a:outerShdw>
              </a:effectLst>
            </a:rPr>
            <a:t>Tower B</a:t>
          </a:r>
        </a:p>
      </xdr:txBody>
    </xdr:sp>
    <xdr:clientData/>
  </xdr:oneCellAnchor>
  <xdr:twoCellAnchor>
    <xdr:from>
      <xdr:col>4</xdr:col>
      <xdr:colOff>693307</xdr:colOff>
      <xdr:row>481</xdr:row>
      <xdr:rowOff>235797</xdr:rowOff>
    </xdr:from>
    <xdr:to>
      <xdr:col>5</xdr:col>
      <xdr:colOff>72197</xdr:colOff>
      <xdr:row>484</xdr:row>
      <xdr:rowOff>155908</xdr:rowOff>
    </xdr:to>
    <xdr:cxnSp macro="">
      <xdr:nvCxnSpPr>
        <xdr:cNvPr id="7" name="Straight Arrow Connector 6">
          <a:extLst>
            <a:ext uri="{FF2B5EF4-FFF2-40B4-BE49-F238E27FC236}">
              <a16:creationId xmlns:a16="http://schemas.microsoft.com/office/drawing/2014/main" id="{00000000-0008-0000-0000-000007000000}"/>
            </a:ext>
          </a:extLst>
        </xdr:cNvPr>
        <xdr:cNvCxnSpPr>
          <a:stCxn id="6" idx="2"/>
        </xdr:cNvCxnSpPr>
      </xdr:nvCxnSpPr>
      <xdr:spPr>
        <a:xfrm flipH="1">
          <a:off x="5399778" y="95429768"/>
          <a:ext cx="555507" cy="693316"/>
        </a:xfrm>
        <a:prstGeom prst="straightConnector1">
          <a:avLst/>
        </a:prstGeom>
        <a:ln w="3810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664367</xdr:colOff>
      <xdr:row>410</xdr:row>
      <xdr:rowOff>195644</xdr:rowOff>
    </xdr:from>
    <xdr:to>
      <xdr:col>6</xdr:col>
      <xdr:colOff>185455</xdr:colOff>
      <xdr:row>425</xdr:row>
      <xdr:rowOff>239008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840985" y="111089056"/>
          <a:ext cx="5404176" cy="3909393"/>
        </a:xfrm>
        <a:prstGeom prst="rect">
          <a:avLst/>
        </a:prstGeom>
        <a:ln>
          <a:solidFill>
            <a:schemeClr val="tx1"/>
          </a:solidFill>
        </a:ln>
      </xdr:spPr>
    </xdr:pic>
    <xdr:clientData/>
  </xdr:twoCellAnchor>
  <xdr:twoCellAnchor editAs="oneCell">
    <xdr:from>
      <xdr:col>2</xdr:col>
      <xdr:colOff>62844</xdr:colOff>
      <xdr:row>427</xdr:row>
      <xdr:rowOff>4197</xdr:rowOff>
    </xdr:from>
    <xdr:to>
      <xdr:col>5</xdr:col>
      <xdr:colOff>450805</xdr:colOff>
      <xdr:row>438</xdr:row>
      <xdr:rowOff>128858</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416079" y="115279109"/>
          <a:ext cx="3917814" cy="2959749"/>
        </a:xfrm>
        <a:prstGeom prst="rect">
          <a:avLst/>
        </a:prstGeom>
        <a:ln>
          <a:solidFill>
            <a:schemeClr val="tx1"/>
          </a:solidFill>
        </a:ln>
      </xdr:spPr>
    </xdr:pic>
    <xdr:clientData/>
  </xdr:twoCellAnchor>
  <xdr:twoCellAnchor>
    <xdr:from>
      <xdr:col>2</xdr:col>
      <xdr:colOff>347987</xdr:colOff>
      <xdr:row>411</xdr:row>
      <xdr:rowOff>20280</xdr:rowOff>
    </xdr:from>
    <xdr:to>
      <xdr:col>3</xdr:col>
      <xdr:colOff>342786</xdr:colOff>
      <xdr:row>418</xdr:row>
      <xdr:rowOff>121809</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rot="2755945">
          <a:off x="2334093" y="111538556"/>
          <a:ext cx="1905676" cy="117141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941436</xdr:colOff>
      <xdr:row>415</xdr:row>
      <xdr:rowOff>11286</xdr:rowOff>
    </xdr:from>
    <xdr:to>
      <xdr:col>5</xdr:col>
      <xdr:colOff>20515</xdr:colOff>
      <xdr:row>422</xdr:row>
      <xdr:rowOff>147092</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rot="2755945">
          <a:off x="4217469" y="112447194"/>
          <a:ext cx="1939953" cy="143231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3</xdr:col>
      <xdr:colOff>273671</xdr:colOff>
      <xdr:row>410</xdr:row>
      <xdr:rowOff>58279</xdr:rowOff>
    </xdr:from>
    <xdr:ext cx="791563" cy="311496"/>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3803524" y="110951691"/>
          <a:ext cx="791563" cy="311496"/>
        </a:xfrm>
        <a:prstGeom prst="rect">
          <a:avLst/>
        </a:prstGeom>
        <a:solidFill>
          <a:srgbClr val="FFFF00"/>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IN" sz="1400" b="0" cap="none" spc="0">
              <a:ln w="0"/>
              <a:solidFill>
                <a:schemeClr val="tx1"/>
              </a:solidFill>
              <a:effectLst>
                <a:outerShdw blurRad="38100" dist="19050" dir="2700000" algn="tl" rotWithShape="0">
                  <a:schemeClr val="dk1">
                    <a:alpha val="40000"/>
                  </a:schemeClr>
                </a:outerShdw>
              </a:effectLst>
            </a:rPr>
            <a:t>Tower A</a:t>
          </a:r>
        </a:p>
      </xdr:txBody>
    </xdr:sp>
    <xdr:clientData/>
  </xdr:oneCellAnchor>
  <xdr:twoCellAnchor>
    <xdr:from>
      <xdr:col>3</xdr:col>
      <xdr:colOff>140651</xdr:colOff>
      <xdr:row>411</xdr:row>
      <xdr:rowOff>89322</xdr:rowOff>
    </xdr:from>
    <xdr:to>
      <xdr:col>3</xdr:col>
      <xdr:colOff>670472</xdr:colOff>
      <xdr:row>414</xdr:row>
      <xdr:rowOff>93876</xdr:rowOff>
    </xdr:to>
    <xdr:cxnSp macro="">
      <xdr:nvCxnSpPr>
        <xdr:cNvPr id="13" name="Straight Arrow Connector 12">
          <a:extLst>
            <a:ext uri="{FF2B5EF4-FFF2-40B4-BE49-F238E27FC236}">
              <a16:creationId xmlns:a16="http://schemas.microsoft.com/office/drawing/2014/main" id="{00000000-0008-0000-0000-00000D000000}"/>
            </a:ext>
          </a:extLst>
        </xdr:cNvPr>
        <xdr:cNvCxnSpPr>
          <a:stCxn id="12" idx="2"/>
        </xdr:cNvCxnSpPr>
      </xdr:nvCxnSpPr>
      <xdr:spPr>
        <a:xfrm flipH="1">
          <a:off x="3670504" y="111240469"/>
          <a:ext cx="529821" cy="777760"/>
        </a:xfrm>
        <a:prstGeom prst="straightConnector1">
          <a:avLst/>
        </a:prstGeom>
        <a:ln w="3810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847400</xdr:colOff>
      <xdr:row>412</xdr:row>
      <xdr:rowOff>168269</xdr:rowOff>
    </xdr:from>
    <xdr:ext cx="785343" cy="311496"/>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53871" y="111577151"/>
          <a:ext cx="785343" cy="311496"/>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400" b="0" cap="none" spc="0">
              <a:ln w="0"/>
              <a:solidFill>
                <a:schemeClr val="tx1"/>
              </a:solidFill>
              <a:effectLst>
                <a:outerShdw blurRad="38100" dist="19050" dir="2700000" algn="tl" rotWithShape="0">
                  <a:schemeClr val="dk1">
                    <a:alpha val="40000"/>
                  </a:schemeClr>
                </a:outerShdw>
              </a:effectLst>
            </a:rPr>
            <a:t>Tower B</a:t>
          </a:r>
        </a:p>
      </xdr:txBody>
    </xdr:sp>
    <xdr:clientData/>
  </xdr:oneCellAnchor>
  <xdr:twoCellAnchor>
    <xdr:from>
      <xdr:col>4</xdr:col>
      <xdr:colOff>1085510</xdr:colOff>
      <xdr:row>413</xdr:row>
      <xdr:rowOff>176901</xdr:rowOff>
    </xdr:from>
    <xdr:to>
      <xdr:col>5</xdr:col>
      <xdr:colOff>62437</xdr:colOff>
      <xdr:row>417</xdr:row>
      <xdr:rowOff>71872</xdr:rowOff>
    </xdr:to>
    <xdr:cxnSp macro="">
      <xdr:nvCxnSpPr>
        <xdr:cNvPr id="15" name="Straight Arrow Connector 14">
          <a:extLst>
            <a:ext uri="{FF2B5EF4-FFF2-40B4-BE49-F238E27FC236}">
              <a16:creationId xmlns:a16="http://schemas.microsoft.com/office/drawing/2014/main" id="{00000000-0008-0000-0000-00000F000000}"/>
            </a:ext>
          </a:extLst>
        </xdr:cNvPr>
        <xdr:cNvCxnSpPr>
          <a:stCxn id="14" idx="2"/>
        </xdr:cNvCxnSpPr>
      </xdr:nvCxnSpPr>
      <xdr:spPr>
        <a:xfrm flipH="1">
          <a:off x="5791981" y="111843519"/>
          <a:ext cx="153544" cy="925912"/>
        </a:xfrm>
        <a:prstGeom prst="straightConnector1">
          <a:avLst/>
        </a:prstGeom>
        <a:ln w="3810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526677</xdr:colOff>
      <xdr:row>91</xdr:row>
      <xdr:rowOff>123264</xdr:rowOff>
    </xdr:from>
    <xdr:to>
      <xdr:col>25</xdr:col>
      <xdr:colOff>402067</xdr:colOff>
      <xdr:row>112</xdr:row>
      <xdr:rowOff>279212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stretch>
          <a:fillRect/>
        </a:stretch>
      </xdr:blipFill>
      <xdr:spPr>
        <a:xfrm>
          <a:off x="9939618" y="32239323"/>
          <a:ext cx="10431331" cy="5344271"/>
        </a:xfrm>
        <a:prstGeom prst="rect">
          <a:avLst/>
        </a:prstGeom>
      </xdr:spPr>
    </xdr:pic>
    <xdr:clientData/>
  </xdr:twoCellAnchor>
  <xdr:twoCellAnchor>
    <xdr:from>
      <xdr:col>9</xdr:col>
      <xdr:colOff>168086</xdr:colOff>
      <xdr:row>363</xdr:row>
      <xdr:rowOff>67235</xdr:rowOff>
    </xdr:from>
    <xdr:to>
      <xdr:col>10</xdr:col>
      <xdr:colOff>308320</xdr:colOff>
      <xdr:row>364</xdr:row>
      <xdr:rowOff>247723</xdr:rowOff>
    </xdr:to>
    <xdr:sp macro="" textlink="">
      <xdr:nvSpPr>
        <xdr:cNvPr id="39" name="TextBox 11">
          <a:extLst>
            <a:ext uri="{FF2B5EF4-FFF2-40B4-BE49-F238E27FC236}">
              <a16:creationId xmlns:a16="http://schemas.microsoft.com/office/drawing/2014/main" id="{00000000-0008-0000-0000-000027000000}"/>
            </a:ext>
          </a:extLst>
        </xdr:cNvPr>
        <xdr:cNvSpPr txBox="1"/>
      </xdr:nvSpPr>
      <xdr:spPr>
        <a:xfrm>
          <a:off x="11833410" y="112103647"/>
          <a:ext cx="1182381" cy="43822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clientData/>
  </xdr:twoCellAnchor>
  <xdr:twoCellAnchor>
    <xdr:from>
      <xdr:col>8</xdr:col>
      <xdr:colOff>1154207</xdr:colOff>
      <xdr:row>364</xdr:row>
      <xdr:rowOff>89646</xdr:rowOff>
    </xdr:from>
    <xdr:to>
      <xdr:col>23</xdr:col>
      <xdr:colOff>448238</xdr:colOff>
      <xdr:row>403</xdr:row>
      <xdr:rowOff>235324</xdr:rowOff>
    </xdr:to>
    <xdr:grpSp>
      <xdr:nvGrpSpPr>
        <xdr:cNvPr id="40" name="Group 39">
          <a:extLst>
            <a:ext uri="{FF2B5EF4-FFF2-40B4-BE49-F238E27FC236}">
              <a16:creationId xmlns:a16="http://schemas.microsoft.com/office/drawing/2014/main" id="{55D1DDBD-6B20-4866-8F51-B95FBAA617C4}"/>
            </a:ext>
          </a:extLst>
        </xdr:cNvPr>
        <xdr:cNvGrpSpPr/>
      </xdr:nvGrpSpPr>
      <xdr:grpSpPr>
        <a:xfrm>
          <a:off x="10567148" y="112663940"/>
          <a:ext cx="8639737" cy="10197355"/>
          <a:chOff x="469331" y="179294"/>
          <a:chExt cx="5466810" cy="6017307"/>
        </a:xfrm>
      </xdr:grpSpPr>
      <xdr:grpSp>
        <xdr:nvGrpSpPr>
          <xdr:cNvPr id="41" name="Group 40">
            <a:extLst>
              <a:ext uri="{FF2B5EF4-FFF2-40B4-BE49-F238E27FC236}">
                <a16:creationId xmlns:a16="http://schemas.microsoft.com/office/drawing/2014/main" id="{EEC2568E-32C5-4402-AEC7-AE55C3302737}"/>
              </a:ext>
            </a:extLst>
          </xdr:cNvPr>
          <xdr:cNvGrpSpPr/>
        </xdr:nvGrpSpPr>
        <xdr:grpSpPr>
          <a:xfrm>
            <a:off x="469331" y="179294"/>
            <a:ext cx="5466810" cy="6017307"/>
            <a:chOff x="469331" y="179294"/>
            <a:chExt cx="5466810" cy="6017307"/>
          </a:xfrm>
        </xdr:grpSpPr>
        <xdr:pic>
          <xdr:nvPicPr>
            <xdr:cNvPr id="44" name="Picture 43">
              <a:extLst>
                <a:ext uri="{FF2B5EF4-FFF2-40B4-BE49-F238E27FC236}">
                  <a16:creationId xmlns:a16="http://schemas.microsoft.com/office/drawing/2014/main" id="{838C8CF9-BA53-42DF-B4AA-48268B12B083}"/>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69331" y="179294"/>
              <a:ext cx="2697187" cy="3600000"/>
            </a:xfrm>
            <a:prstGeom prst="rect">
              <a:avLst/>
            </a:prstGeom>
            <a:ln>
              <a:solidFill>
                <a:schemeClr val="tx1"/>
              </a:solidFill>
            </a:ln>
          </xdr:spPr>
        </xdr:pic>
        <xdr:pic>
          <xdr:nvPicPr>
            <xdr:cNvPr id="45" name="Picture 44">
              <a:extLst>
                <a:ext uri="{FF2B5EF4-FFF2-40B4-BE49-F238E27FC236}">
                  <a16:creationId xmlns:a16="http://schemas.microsoft.com/office/drawing/2014/main" id="{A7F74609-EC2E-4874-AF88-937825FF7FE2}"/>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238954" y="179294"/>
              <a:ext cx="2697187" cy="3600000"/>
            </a:xfrm>
            <a:prstGeom prst="rect">
              <a:avLst/>
            </a:prstGeom>
            <a:ln>
              <a:solidFill>
                <a:schemeClr val="tx1"/>
              </a:solidFill>
            </a:ln>
          </xdr:spPr>
        </xdr:pic>
        <xdr:pic>
          <xdr:nvPicPr>
            <xdr:cNvPr id="46" name="Picture 45">
              <a:extLst>
                <a:ext uri="{FF2B5EF4-FFF2-40B4-BE49-F238E27FC236}">
                  <a16:creationId xmlns:a16="http://schemas.microsoft.com/office/drawing/2014/main" id="{1E76BDA9-479A-41D2-B573-945972480EF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406257" y="3856601"/>
              <a:ext cx="1753172" cy="2340000"/>
            </a:xfrm>
            <a:prstGeom prst="rect">
              <a:avLst/>
            </a:prstGeom>
            <a:ln>
              <a:solidFill>
                <a:schemeClr val="tx1"/>
              </a:solidFill>
            </a:ln>
          </xdr:spPr>
        </xdr:pic>
        <xdr:pic>
          <xdr:nvPicPr>
            <xdr:cNvPr id="47" name="Picture 46">
              <a:extLst>
                <a:ext uri="{FF2B5EF4-FFF2-40B4-BE49-F238E27FC236}">
                  <a16:creationId xmlns:a16="http://schemas.microsoft.com/office/drawing/2014/main" id="{4D7707D4-8127-4BA0-99C1-9C478C04143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231864" y="3856601"/>
              <a:ext cx="1753172" cy="2340000"/>
            </a:xfrm>
            <a:prstGeom prst="rect">
              <a:avLst/>
            </a:prstGeom>
            <a:ln>
              <a:solidFill>
                <a:schemeClr val="tx1"/>
              </a:solidFill>
            </a:ln>
          </xdr:spPr>
        </xdr:pic>
      </xdr:grpSp>
      <xdr:sp macro="" textlink="">
        <xdr:nvSpPr>
          <xdr:cNvPr id="42" name="TextBox 10">
            <a:extLst>
              <a:ext uri="{FF2B5EF4-FFF2-40B4-BE49-F238E27FC236}">
                <a16:creationId xmlns:a16="http://schemas.microsoft.com/office/drawing/2014/main" id="{B50132D9-1083-4DC8-966F-2249EBBC9C65}"/>
              </a:ext>
            </a:extLst>
          </xdr:cNvPr>
          <xdr:cNvSpPr txBox="1"/>
        </xdr:nvSpPr>
        <xdr:spPr>
          <a:xfrm>
            <a:off x="2170290" y="179294"/>
            <a:ext cx="96077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A</a:t>
            </a:r>
            <a:endParaRPr lang="en-IN" b="1">
              <a:solidFill>
                <a:srgbClr val="FF0000"/>
              </a:solidFill>
            </a:endParaRPr>
          </a:p>
        </xdr:txBody>
      </xdr:sp>
      <xdr:sp macro="" textlink="">
        <xdr:nvSpPr>
          <xdr:cNvPr id="43" name="TextBox 11">
            <a:extLst>
              <a:ext uri="{FF2B5EF4-FFF2-40B4-BE49-F238E27FC236}">
                <a16:creationId xmlns:a16="http://schemas.microsoft.com/office/drawing/2014/main" id="{16C9054F-18AB-4F0C-883B-34136713A410}"/>
              </a:ext>
            </a:extLst>
          </xdr:cNvPr>
          <xdr:cNvSpPr txBox="1"/>
        </xdr:nvSpPr>
        <xdr:spPr>
          <a:xfrm>
            <a:off x="3705532" y="1795110"/>
            <a:ext cx="95115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B</a:t>
            </a:r>
            <a:endParaRPr lang="en-IN" b="1">
              <a:solidFill>
                <a:srgbClr val="FF0000"/>
              </a:solidFill>
            </a:endParaRPr>
          </a:p>
        </xdr:txBody>
      </xdr:sp>
    </xdr:grpSp>
    <xdr:clientData/>
  </xdr:twoCellAnchor>
  <xdr:twoCellAnchor>
    <xdr:from>
      <xdr:col>0</xdr:col>
      <xdr:colOff>1041407</xdr:colOff>
      <xdr:row>365</xdr:row>
      <xdr:rowOff>67236</xdr:rowOff>
    </xdr:from>
    <xdr:to>
      <xdr:col>7</xdr:col>
      <xdr:colOff>211997</xdr:colOff>
      <xdr:row>405</xdr:row>
      <xdr:rowOff>11206</xdr:rowOff>
    </xdr:to>
    <xdr:grpSp>
      <xdr:nvGrpSpPr>
        <xdr:cNvPr id="17" name="Group 16">
          <a:extLst>
            <a:ext uri="{FF2B5EF4-FFF2-40B4-BE49-F238E27FC236}">
              <a16:creationId xmlns:a16="http://schemas.microsoft.com/office/drawing/2014/main" id="{1BD01B34-AA01-441F-8E5B-F0BD0154B3E8}"/>
            </a:ext>
          </a:extLst>
        </xdr:cNvPr>
        <xdr:cNvGrpSpPr/>
      </xdr:nvGrpSpPr>
      <xdr:grpSpPr>
        <a:xfrm>
          <a:off x="1041407" y="112899265"/>
          <a:ext cx="7406914" cy="10253382"/>
          <a:chOff x="1041407" y="113381118"/>
          <a:chExt cx="7406914" cy="10253382"/>
        </a:xfrm>
      </xdr:grpSpPr>
      <xdr:pic>
        <xdr:nvPicPr>
          <xdr:cNvPr id="27" name="Picture 26">
            <a:extLst>
              <a:ext uri="{FF2B5EF4-FFF2-40B4-BE49-F238E27FC236}">
                <a16:creationId xmlns:a16="http://schemas.microsoft.com/office/drawing/2014/main" id="{F64AEBDA-7C05-42A0-8FB2-4C5486E6CD6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882588" y="113381118"/>
            <a:ext cx="5569324" cy="6432713"/>
          </a:xfrm>
          <a:prstGeom prst="rect">
            <a:avLst/>
          </a:prstGeom>
          <a:ln>
            <a:solidFill>
              <a:schemeClr val="tx1"/>
            </a:solidFill>
          </a:ln>
        </xdr:spPr>
      </xdr:pic>
      <xdr:pic>
        <xdr:nvPicPr>
          <xdr:cNvPr id="29" name="Picture 28">
            <a:extLst>
              <a:ext uri="{FF2B5EF4-FFF2-40B4-BE49-F238E27FC236}">
                <a16:creationId xmlns:a16="http://schemas.microsoft.com/office/drawing/2014/main" id="{8613BA3E-FE89-4338-80C8-B98EFC96971C}"/>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41407" y="120019869"/>
            <a:ext cx="2305715" cy="3614631"/>
          </a:xfrm>
          <a:prstGeom prst="rect">
            <a:avLst/>
          </a:prstGeom>
          <a:ln>
            <a:solidFill>
              <a:schemeClr val="tx1"/>
            </a:solidFill>
          </a:ln>
        </xdr:spPr>
      </xdr:pic>
      <xdr:pic>
        <xdr:nvPicPr>
          <xdr:cNvPr id="30" name="Picture 29">
            <a:extLst>
              <a:ext uri="{FF2B5EF4-FFF2-40B4-BE49-F238E27FC236}">
                <a16:creationId xmlns:a16="http://schemas.microsoft.com/office/drawing/2014/main" id="{76647C65-FE15-4889-B3E3-CC3440247073}"/>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592007" y="120019869"/>
            <a:ext cx="2305715" cy="3614631"/>
          </a:xfrm>
          <a:prstGeom prst="rect">
            <a:avLst/>
          </a:prstGeom>
          <a:ln>
            <a:solidFill>
              <a:schemeClr val="tx1"/>
            </a:solidFill>
          </a:ln>
        </xdr:spPr>
      </xdr:pic>
      <xdr:pic>
        <xdr:nvPicPr>
          <xdr:cNvPr id="31" name="Picture 30">
            <a:extLst>
              <a:ext uri="{FF2B5EF4-FFF2-40B4-BE49-F238E27FC236}">
                <a16:creationId xmlns:a16="http://schemas.microsoft.com/office/drawing/2014/main" id="{A3DA391C-E85F-4532-88F7-B7A07BA2C843}"/>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142606" y="120019869"/>
            <a:ext cx="2305715" cy="3614631"/>
          </a:xfrm>
          <a:prstGeom prst="rect">
            <a:avLst/>
          </a:prstGeom>
          <a:ln>
            <a:solidFill>
              <a:schemeClr val="tx1"/>
            </a:solidFill>
          </a:ln>
        </xdr:spPr>
      </xdr:pic>
      <xdr:sp macro="" textlink="">
        <xdr:nvSpPr>
          <xdr:cNvPr id="32" name="TextBox 10">
            <a:extLst>
              <a:ext uri="{FF2B5EF4-FFF2-40B4-BE49-F238E27FC236}">
                <a16:creationId xmlns:a16="http://schemas.microsoft.com/office/drawing/2014/main" id="{22CC43C4-4749-466F-84D5-3932639FDB2C}"/>
              </a:ext>
            </a:extLst>
          </xdr:cNvPr>
          <xdr:cNvSpPr txBox="1"/>
        </xdr:nvSpPr>
        <xdr:spPr>
          <a:xfrm>
            <a:off x="3653119" y="113470764"/>
            <a:ext cx="1518409" cy="6258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A</a:t>
            </a:r>
            <a:endParaRPr lang="en-IN"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176893</xdr:colOff>
      <xdr:row>12</xdr:row>
      <xdr:rowOff>721179</xdr:rowOff>
    </xdr:from>
    <xdr:to>
      <xdr:col>10</xdr:col>
      <xdr:colOff>41917</xdr:colOff>
      <xdr:row>38</xdr:row>
      <xdr:rowOff>61679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14500" y="3755572"/>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J6TjJTtyMZ3JPBn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500"/>
  <sheetViews>
    <sheetView tabSelected="1" view="pageBreakPreview" zoomScale="85" zoomScaleNormal="85" zoomScaleSheetLayoutView="85" zoomScalePageLayoutView="70" workbookViewId="0">
      <selection activeCell="I357" sqref="I35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5.5703125"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58" t="s">
        <v>38</v>
      </c>
      <c r="B1" s="159"/>
      <c r="C1" s="159"/>
      <c r="D1" s="159"/>
      <c r="E1" s="159"/>
      <c r="F1" s="159"/>
      <c r="G1" s="159"/>
      <c r="H1" s="160"/>
    </row>
    <row r="2" spans="1:11" ht="42" customHeight="1" x14ac:dyDescent="0.25">
      <c r="A2" s="120" t="s">
        <v>10</v>
      </c>
      <c r="B2" s="120"/>
      <c r="C2" s="119" t="s">
        <v>85</v>
      </c>
      <c r="D2" s="119"/>
      <c r="E2" s="120" t="s">
        <v>12</v>
      </c>
      <c r="F2" s="120"/>
      <c r="G2" s="123">
        <v>45874</v>
      </c>
      <c r="H2" s="119"/>
      <c r="I2" s="99">
        <v>45792</v>
      </c>
      <c r="J2" s="126">
        <v>45875</v>
      </c>
      <c r="K2" s="127"/>
    </row>
    <row r="3" spans="1:11" ht="42.75" customHeight="1" x14ac:dyDescent="0.25">
      <c r="A3" s="120" t="s">
        <v>39</v>
      </c>
      <c r="B3" s="120"/>
      <c r="C3" s="128" t="s">
        <v>372</v>
      </c>
      <c r="D3" s="128"/>
      <c r="E3" s="120" t="s">
        <v>155</v>
      </c>
      <c r="F3" s="120"/>
      <c r="G3" s="119" t="s">
        <v>408</v>
      </c>
      <c r="H3" s="119"/>
      <c r="J3" s="1">
        <f>J2-I2</f>
        <v>83</v>
      </c>
    </row>
    <row r="4" spans="1:11" ht="43.5" customHeight="1" x14ac:dyDescent="0.25">
      <c r="A4" s="120" t="s">
        <v>36</v>
      </c>
      <c r="B4" s="120"/>
      <c r="C4" s="119" t="s">
        <v>144</v>
      </c>
      <c r="D4" s="119"/>
      <c r="E4" s="120" t="s">
        <v>33</v>
      </c>
      <c r="F4" s="120"/>
      <c r="G4" s="119" t="str">
        <f ca="1">TEXT(TODAY(),"DD/MM/YYYY")</f>
        <v>08/08/2025</v>
      </c>
      <c r="H4" s="119"/>
    </row>
    <row r="5" spans="1:11" ht="20.25" x14ac:dyDescent="0.25">
      <c r="A5" s="124" t="s">
        <v>40</v>
      </c>
      <c r="B5" s="124"/>
      <c r="C5" s="124"/>
      <c r="D5" s="124"/>
      <c r="E5" s="124"/>
      <c r="F5" s="124"/>
      <c r="G5" s="124"/>
      <c r="H5" s="124"/>
    </row>
    <row r="6" spans="1:11" ht="43.5" customHeight="1" x14ac:dyDescent="0.25">
      <c r="A6" s="120" t="s">
        <v>29</v>
      </c>
      <c r="B6" s="120"/>
      <c r="C6" s="119" t="s">
        <v>91</v>
      </c>
      <c r="D6" s="119"/>
      <c r="E6" s="120" t="s">
        <v>35</v>
      </c>
      <c r="F6" s="120"/>
      <c r="G6" s="119" t="s">
        <v>405</v>
      </c>
      <c r="H6" s="119"/>
    </row>
    <row r="7" spans="1:11" ht="42" customHeight="1" x14ac:dyDescent="0.25">
      <c r="A7" s="120" t="s">
        <v>42</v>
      </c>
      <c r="B7" s="120"/>
      <c r="C7" s="119" t="s">
        <v>304</v>
      </c>
      <c r="D7" s="119"/>
      <c r="E7" s="120" t="s">
        <v>43</v>
      </c>
      <c r="F7" s="120"/>
      <c r="G7" s="119" t="s">
        <v>301</v>
      </c>
      <c r="H7" s="119"/>
    </row>
    <row r="8" spans="1:11" ht="48.75" customHeight="1" x14ac:dyDescent="0.25">
      <c r="A8" s="120" t="s">
        <v>44</v>
      </c>
      <c r="B8" s="120"/>
      <c r="C8" s="119" t="s">
        <v>302</v>
      </c>
      <c r="D8" s="119"/>
      <c r="E8" s="119"/>
      <c r="F8" s="119"/>
      <c r="G8" s="119"/>
      <c r="H8" s="119"/>
    </row>
    <row r="9" spans="1:11" ht="63.75" customHeight="1" x14ac:dyDescent="0.25">
      <c r="A9" s="118" t="s">
        <v>146</v>
      </c>
      <c r="B9" s="36" t="s">
        <v>41</v>
      </c>
      <c r="C9" s="119" t="s">
        <v>373</v>
      </c>
      <c r="D9" s="119"/>
      <c r="E9" s="119"/>
      <c r="F9" s="119"/>
      <c r="G9" s="119"/>
      <c r="H9" s="119"/>
    </row>
    <row r="10" spans="1:11" ht="66" customHeight="1" x14ac:dyDescent="0.25">
      <c r="A10" s="118"/>
      <c r="B10" s="36" t="s">
        <v>11</v>
      </c>
      <c r="C10" s="119" t="s">
        <v>373</v>
      </c>
      <c r="D10" s="119"/>
      <c r="E10" s="119"/>
      <c r="F10" s="119"/>
      <c r="G10" s="119"/>
      <c r="H10" s="119"/>
    </row>
    <row r="11" spans="1:11" ht="65.25" customHeight="1" x14ac:dyDescent="0.25">
      <c r="A11" s="118"/>
      <c r="B11" s="36" t="s">
        <v>5</v>
      </c>
      <c r="C11" s="119" t="s">
        <v>373</v>
      </c>
      <c r="D11" s="119"/>
      <c r="E11" s="119"/>
      <c r="F11" s="119"/>
      <c r="G11" s="119"/>
      <c r="H11" s="119"/>
    </row>
    <row r="12" spans="1:11" ht="40.5" customHeight="1" x14ac:dyDescent="0.25">
      <c r="A12" s="120" t="s">
        <v>34</v>
      </c>
      <c r="B12" s="120"/>
      <c r="C12" s="119" t="s">
        <v>156</v>
      </c>
      <c r="D12" s="119"/>
      <c r="E12" s="119"/>
      <c r="F12" s="119"/>
      <c r="G12" s="119"/>
      <c r="H12" s="119"/>
    </row>
    <row r="13" spans="1:11" ht="20.100000000000001" customHeight="1" x14ac:dyDescent="0.25">
      <c r="A13" s="124" t="s">
        <v>45</v>
      </c>
      <c r="B13" s="124"/>
      <c r="C13" s="124"/>
      <c r="D13" s="124"/>
      <c r="E13" s="124"/>
      <c r="F13" s="124"/>
      <c r="G13" s="124"/>
      <c r="H13" s="124"/>
    </row>
    <row r="14" spans="1:11" ht="41.25" customHeight="1" x14ac:dyDescent="0.25">
      <c r="A14" s="120" t="s">
        <v>27</v>
      </c>
      <c r="B14" s="120" t="s">
        <v>4</v>
      </c>
      <c r="C14" s="119" t="s">
        <v>86</v>
      </c>
      <c r="D14" s="119"/>
      <c r="E14" s="120" t="s">
        <v>46</v>
      </c>
      <c r="F14" s="120" t="s">
        <v>4</v>
      </c>
      <c r="G14" s="119" t="s">
        <v>303</v>
      </c>
      <c r="H14" s="119"/>
    </row>
    <row r="15" spans="1:11" ht="41.25" customHeight="1" x14ac:dyDescent="0.25">
      <c r="A15" s="120" t="s">
        <v>47</v>
      </c>
      <c r="B15" s="120" t="s">
        <v>4</v>
      </c>
      <c r="C15" s="119" t="s">
        <v>374</v>
      </c>
      <c r="D15" s="119"/>
      <c r="E15" s="120" t="s">
        <v>48</v>
      </c>
      <c r="F15" s="120" t="s">
        <v>4</v>
      </c>
      <c r="G15" s="123" t="s">
        <v>406</v>
      </c>
      <c r="H15" s="119"/>
    </row>
    <row r="16" spans="1:11" ht="41.25" customHeight="1" x14ac:dyDescent="0.25">
      <c r="A16" s="120" t="s">
        <v>49</v>
      </c>
      <c r="B16" s="120" t="s">
        <v>4</v>
      </c>
      <c r="C16" s="123" t="s">
        <v>396</v>
      </c>
      <c r="D16" s="119"/>
      <c r="E16" s="120" t="s">
        <v>50</v>
      </c>
      <c r="F16" s="120" t="s">
        <v>4</v>
      </c>
      <c r="G16" s="125">
        <v>42957</v>
      </c>
      <c r="H16" s="119"/>
    </row>
    <row r="17" spans="1:9" ht="41.25" customHeight="1" x14ac:dyDescent="0.25">
      <c r="A17" s="120" t="s">
        <v>51</v>
      </c>
      <c r="B17" s="120" t="s">
        <v>4</v>
      </c>
      <c r="C17" s="123" t="str">
        <f>G15</f>
        <v xml:space="preserve">Tower A &amp; B = 31/12/2028
</v>
      </c>
      <c r="D17" s="119"/>
      <c r="E17" s="120" t="s">
        <v>52</v>
      </c>
      <c r="F17" s="120" t="s">
        <v>4</v>
      </c>
      <c r="G17" s="119" t="s">
        <v>144</v>
      </c>
      <c r="H17" s="119"/>
    </row>
    <row r="18" spans="1:9" ht="41.25" customHeight="1" x14ac:dyDescent="0.25">
      <c r="A18" s="120" t="s">
        <v>53</v>
      </c>
      <c r="B18" s="120" t="s">
        <v>4</v>
      </c>
      <c r="C18" s="11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19"/>
      <c r="E18" s="120" t="s">
        <v>94</v>
      </c>
      <c r="F18" s="120" t="s">
        <v>4</v>
      </c>
      <c r="G18" s="119">
        <v>19434.099999999999</v>
      </c>
      <c r="H18" s="119"/>
    </row>
    <row r="19" spans="1:9" ht="41.25" customHeight="1" x14ac:dyDescent="0.25">
      <c r="A19" s="120" t="s">
        <v>54</v>
      </c>
      <c r="B19" s="120" t="s">
        <v>4</v>
      </c>
      <c r="C19" s="119">
        <v>3</v>
      </c>
      <c r="D19" s="119"/>
      <c r="E19" s="120" t="s">
        <v>239</v>
      </c>
      <c r="F19" s="120" t="s">
        <v>4</v>
      </c>
      <c r="G19" s="119">
        <v>18605.64</v>
      </c>
      <c r="H19" s="119"/>
    </row>
    <row r="20" spans="1:9" ht="41.25" customHeight="1" x14ac:dyDescent="0.25">
      <c r="A20" s="120" t="s">
        <v>92</v>
      </c>
      <c r="B20" s="120" t="s">
        <v>4</v>
      </c>
      <c r="C20" s="119">
        <v>72005.77</v>
      </c>
      <c r="D20" s="119"/>
      <c r="E20" s="120" t="s">
        <v>93</v>
      </c>
      <c r="F20" s="120" t="s">
        <v>4</v>
      </c>
      <c r="G20" s="119">
        <v>74210.070000000007</v>
      </c>
      <c r="H20" s="119"/>
    </row>
    <row r="21" spans="1:9" ht="41.25" customHeight="1" x14ac:dyDescent="0.25">
      <c r="A21" s="120" t="s">
        <v>56</v>
      </c>
      <c r="B21" s="120" t="s">
        <v>4</v>
      </c>
      <c r="C21" s="119" t="s">
        <v>394</v>
      </c>
      <c r="D21" s="119"/>
      <c r="E21" s="120" t="s">
        <v>55</v>
      </c>
      <c r="F21" s="120" t="s">
        <v>4</v>
      </c>
      <c r="G21" s="119" t="s">
        <v>395</v>
      </c>
      <c r="H21" s="119"/>
      <c r="I21" s="1">
        <f>223+151</f>
        <v>374</v>
      </c>
    </row>
    <row r="22" spans="1:9" ht="41.25" customHeight="1" x14ac:dyDescent="0.25">
      <c r="A22" s="120" t="s">
        <v>160</v>
      </c>
      <c r="B22" s="120" t="s">
        <v>4</v>
      </c>
      <c r="C22" s="119" t="s">
        <v>375</v>
      </c>
      <c r="D22" s="119"/>
      <c r="E22" s="120" t="s">
        <v>161</v>
      </c>
      <c r="F22" s="120" t="s">
        <v>4</v>
      </c>
      <c r="G22" s="119" t="s">
        <v>305</v>
      </c>
      <c r="H22" s="119"/>
    </row>
    <row r="23" spans="1:9" ht="38.25" customHeight="1" x14ac:dyDescent="0.25">
      <c r="A23" s="120" t="s">
        <v>158</v>
      </c>
      <c r="B23" s="120" t="s">
        <v>4</v>
      </c>
      <c r="C23" s="121" t="s">
        <v>376</v>
      </c>
      <c r="D23" s="122"/>
      <c r="E23" s="122"/>
      <c r="F23" s="122"/>
      <c r="G23" s="122"/>
      <c r="H23" s="122"/>
    </row>
    <row r="24" spans="1:9" ht="68.25" customHeight="1" x14ac:dyDescent="0.25">
      <c r="A24" s="120" t="s">
        <v>25</v>
      </c>
      <c r="B24" s="120" t="s">
        <v>4</v>
      </c>
      <c r="C24" s="119" t="s">
        <v>308</v>
      </c>
      <c r="D24" s="119"/>
      <c r="E24" s="119"/>
      <c r="F24" s="119"/>
      <c r="G24" s="119"/>
      <c r="H24" s="119"/>
    </row>
    <row r="25" spans="1:9" ht="24" customHeight="1" x14ac:dyDescent="0.25">
      <c r="A25" s="124" t="s">
        <v>20</v>
      </c>
      <c r="B25" s="124"/>
      <c r="C25" s="124"/>
      <c r="D25" s="124"/>
      <c r="E25" s="124"/>
      <c r="F25" s="124"/>
      <c r="G25" s="124"/>
      <c r="H25" s="124"/>
    </row>
    <row r="26" spans="1:9" ht="43.5" customHeight="1" x14ac:dyDescent="0.25">
      <c r="A26" s="120" t="s">
        <v>26</v>
      </c>
      <c r="B26" s="120" t="s">
        <v>4</v>
      </c>
      <c r="C26" s="119" t="str">
        <f>IF(AND(G26="Upper"),"Developed","Developing")</f>
        <v>Developed</v>
      </c>
      <c r="D26" s="119"/>
      <c r="E26" s="120" t="s">
        <v>13</v>
      </c>
      <c r="F26" s="120" t="s">
        <v>4</v>
      </c>
      <c r="G26" s="119" t="s">
        <v>306</v>
      </c>
      <c r="H26" s="119"/>
    </row>
    <row r="27" spans="1:9" ht="43.5" customHeight="1" x14ac:dyDescent="0.25">
      <c r="A27" s="120" t="s">
        <v>14</v>
      </c>
      <c r="B27" s="120" t="s">
        <v>4</v>
      </c>
      <c r="C27" s="119" t="s">
        <v>307</v>
      </c>
      <c r="D27" s="119"/>
      <c r="E27" s="120" t="s">
        <v>147</v>
      </c>
      <c r="F27" s="120" t="s">
        <v>4</v>
      </c>
      <c r="G27" s="119" t="s">
        <v>397</v>
      </c>
      <c r="H27" s="119"/>
    </row>
    <row r="28" spans="1:9" ht="43.5" customHeight="1" x14ac:dyDescent="0.25">
      <c r="A28" s="120" t="s">
        <v>23</v>
      </c>
      <c r="B28" s="120" t="s">
        <v>4</v>
      </c>
      <c r="C28" s="119" t="s">
        <v>96</v>
      </c>
      <c r="D28" s="119"/>
      <c r="E28" s="120" t="s">
        <v>16</v>
      </c>
      <c r="F28" s="120" t="s">
        <v>4</v>
      </c>
      <c r="G28" s="119" t="s">
        <v>398</v>
      </c>
      <c r="H28" s="119"/>
    </row>
    <row r="29" spans="1:9" ht="43.5" customHeight="1" x14ac:dyDescent="0.25">
      <c r="A29" s="120" t="s">
        <v>105</v>
      </c>
      <c r="B29" s="120" t="s">
        <v>4</v>
      </c>
      <c r="C29" s="119" t="s">
        <v>401</v>
      </c>
      <c r="D29" s="119"/>
      <c r="E29" s="120" t="s">
        <v>106</v>
      </c>
      <c r="F29" s="120" t="s">
        <v>4</v>
      </c>
      <c r="G29" s="119" t="s">
        <v>399</v>
      </c>
      <c r="H29" s="119"/>
    </row>
    <row r="30" spans="1:9" ht="84" customHeight="1" x14ac:dyDescent="0.25">
      <c r="A30" s="120" t="s">
        <v>17</v>
      </c>
      <c r="B30" s="120" t="s">
        <v>4</v>
      </c>
      <c r="C30" s="119" t="s">
        <v>400</v>
      </c>
      <c r="D30" s="119"/>
      <c r="E30" s="120" t="s">
        <v>15</v>
      </c>
      <c r="F30" s="120" t="s">
        <v>4</v>
      </c>
      <c r="G30" s="119" t="s">
        <v>402</v>
      </c>
      <c r="H30" s="119"/>
    </row>
    <row r="31" spans="1:9" ht="20.25" x14ac:dyDescent="0.25">
      <c r="A31" s="120" t="s">
        <v>111</v>
      </c>
      <c r="B31" s="120" t="s">
        <v>4</v>
      </c>
      <c r="C31" s="119" t="s">
        <v>112</v>
      </c>
      <c r="D31" s="119"/>
      <c r="E31" s="120" t="s">
        <v>113</v>
      </c>
      <c r="F31" s="120" t="s">
        <v>4</v>
      </c>
      <c r="G31" s="119" t="s">
        <v>112</v>
      </c>
      <c r="H31" s="119"/>
    </row>
    <row r="32" spans="1:9" ht="21.75" customHeight="1" x14ac:dyDescent="0.25">
      <c r="A32" s="120" t="s">
        <v>114</v>
      </c>
      <c r="B32" s="120" t="s">
        <v>4</v>
      </c>
      <c r="C32" s="119" t="s">
        <v>112</v>
      </c>
      <c r="D32" s="119"/>
      <c r="E32" s="119"/>
      <c r="F32" s="119"/>
      <c r="G32" s="119"/>
      <c r="H32" s="119"/>
    </row>
    <row r="33" spans="1:15" ht="20.25" x14ac:dyDescent="0.25">
      <c r="A33" s="129" t="s">
        <v>37</v>
      </c>
      <c r="B33" s="129"/>
      <c r="C33" s="129"/>
      <c r="D33" s="129"/>
      <c r="E33" s="129"/>
      <c r="F33" s="129"/>
      <c r="G33" s="129"/>
      <c r="H33" s="129"/>
    </row>
    <row r="34" spans="1:15" ht="43.5" customHeight="1" x14ac:dyDescent="0.25">
      <c r="A34" s="120" t="s">
        <v>18</v>
      </c>
      <c r="B34" s="120"/>
      <c r="C34" s="119" t="s">
        <v>97</v>
      </c>
      <c r="D34" s="119"/>
      <c r="E34" s="120" t="s">
        <v>19</v>
      </c>
      <c r="F34" s="120" t="s">
        <v>4</v>
      </c>
      <c r="G34" s="119" t="s">
        <v>98</v>
      </c>
      <c r="H34" s="119"/>
    </row>
    <row r="35" spans="1:15" ht="43.5" customHeight="1" x14ac:dyDescent="0.25">
      <c r="A35" s="120" t="s">
        <v>22</v>
      </c>
      <c r="B35" s="120"/>
      <c r="C35" s="119" t="s">
        <v>98</v>
      </c>
      <c r="D35" s="119"/>
      <c r="E35" s="120" t="s">
        <v>32</v>
      </c>
      <c r="F35" s="120" t="s">
        <v>4</v>
      </c>
      <c r="G35" s="119" t="s">
        <v>98</v>
      </c>
      <c r="H35" s="119"/>
    </row>
    <row r="36" spans="1:15" ht="20.25" x14ac:dyDescent="0.25">
      <c r="A36" s="120" t="s">
        <v>31</v>
      </c>
      <c r="B36" s="120"/>
      <c r="C36" s="119" t="s">
        <v>99</v>
      </c>
      <c r="D36" s="119"/>
      <c r="E36" s="120" t="s">
        <v>21</v>
      </c>
      <c r="F36" s="120" t="s">
        <v>4</v>
      </c>
      <c r="G36" s="119" t="s">
        <v>100</v>
      </c>
      <c r="H36" s="119"/>
    </row>
    <row r="37" spans="1:15" ht="20.25" x14ac:dyDescent="0.25">
      <c r="A37" s="124" t="s">
        <v>0</v>
      </c>
      <c r="B37" s="124"/>
      <c r="C37" s="124"/>
      <c r="D37" s="124"/>
      <c r="E37" s="124"/>
      <c r="F37" s="124"/>
      <c r="G37" s="124"/>
      <c r="H37" s="124"/>
    </row>
    <row r="38" spans="1:15" ht="20.25" x14ac:dyDescent="0.25">
      <c r="A38" s="116" t="s">
        <v>0</v>
      </c>
      <c r="B38" s="116"/>
      <c r="C38" s="116" t="s">
        <v>225</v>
      </c>
      <c r="D38" s="116"/>
      <c r="E38" s="116"/>
      <c r="F38" s="116" t="s">
        <v>7</v>
      </c>
      <c r="G38" s="116"/>
      <c r="H38" s="116"/>
      <c r="J38" s="114" t="s">
        <v>1</v>
      </c>
      <c r="K38" s="115"/>
      <c r="L38" s="37" t="s">
        <v>6</v>
      </c>
      <c r="M38" s="114" t="s">
        <v>2</v>
      </c>
      <c r="N38" s="115"/>
      <c r="O38" s="37" t="s">
        <v>3</v>
      </c>
    </row>
    <row r="39" spans="1:15" ht="20.25" x14ac:dyDescent="0.25">
      <c r="A39" s="118" t="s">
        <v>2</v>
      </c>
      <c r="B39" s="118"/>
      <c r="C39" s="117" t="s">
        <v>313</v>
      </c>
      <c r="D39" s="117"/>
      <c r="E39" s="117"/>
      <c r="F39" s="117" t="s">
        <v>309</v>
      </c>
      <c r="G39" s="117"/>
      <c r="H39" s="117"/>
    </row>
    <row r="40" spans="1:15" ht="20.25" x14ac:dyDescent="0.25">
      <c r="A40" s="118" t="s">
        <v>3</v>
      </c>
      <c r="B40" s="118"/>
      <c r="C40" s="117" t="s">
        <v>314</v>
      </c>
      <c r="D40" s="117"/>
      <c r="E40" s="117"/>
      <c r="F40" s="117" t="s">
        <v>310</v>
      </c>
      <c r="G40" s="117"/>
      <c r="H40" s="117"/>
    </row>
    <row r="41" spans="1:15" ht="20.25" x14ac:dyDescent="0.25">
      <c r="A41" s="118" t="s">
        <v>1</v>
      </c>
      <c r="B41" s="118"/>
      <c r="C41" s="117" t="s">
        <v>377</v>
      </c>
      <c r="D41" s="117"/>
      <c r="E41" s="117"/>
      <c r="F41" s="117" t="s">
        <v>311</v>
      </c>
      <c r="G41" s="117"/>
      <c r="H41" s="117"/>
    </row>
    <row r="42" spans="1:15" ht="20.25" x14ac:dyDescent="0.25">
      <c r="A42" s="118" t="s">
        <v>6</v>
      </c>
      <c r="B42" s="118"/>
      <c r="C42" s="117" t="s">
        <v>314</v>
      </c>
      <c r="D42" s="117"/>
      <c r="E42" s="117"/>
      <c r="F42" s="117" t="s">
        <v>312</v>
      </c>
      <c r="G42" s="117"/>
      <c r="H42" s="117"/>
    </row>
    <row r="43" spans="1:15" ht="51" customHeight="1" x14ac:dyDescent="0.25">
      <c r="A43" s="120" t="s">
        <v>226</v>
      </c>
      <c r="B43" s="120"/>
      <c r="C43" s="119" t="s">
        <v>96</v>
      </c>
      <c r="D43" s="119"/>
      <c r="E43" s="119"/>
      <c r="F43" s="119"/>
      <c r="G43" s="119"/>
      <c r="H43" s="119"/>
    </row>
    <row r="44" spans="1:15" ht="20.25" x14ac:dyDescent="0.25">
      <c r="A44" s="124" t="s">
        <v>57</v>
      </c>
      <c r="B44" s="124"/>
      <c r="C44" s="124"/>
      <c r="D44" s="124"/>
      <c r="E44" s="124"/>
      <c r="F44" s="124"/>
      <c r="G44" s="124"/>
      <c r="H44" s="124"/>
    </row>
    <row r="45" spans="1:15" ht="21" customHeight="1" x14ac:dyDescent="0.25">
      <c r="A45" s="116" t="s">
        <v>58</v>
      </c>
      <c r="B45" s="116"/>
      <c r="C45" s="37" t="s">
        <v>59</v>
      </c>
      <c r="D45" s="116" t="s">
        <v>145</v>
      </c>
      <c r="E45" s="116"/>
      <c r="F45" s="116"/>
      <c r="G45" s="116" t="s">
        <v>60</v>
      </c>
      <c r="H45" s="116"/>
    </row>
    <row r="46" spans="1:15" ht="84" customHeight="1" x14ac:dyDescent="0.25">
      <c r="A46" s="131" t="s">
        <v>315</v>
      </c>
      <c r="B46" s="131"/>
      <c r="C46" s="35" t="s">
        <v>87</v>
      </c>
      <c r="D46" s="119" t="s">
        <v>404</v>
      </c>
      <c r="E46" s="119"/>
      <c r="F46" s="119"/>
      <c r="G46" s="119" t="s">
        <v>316</v>
      </c>
      <c r="H46" s="119"/>
    </row>
    <row r="47" spans="1:15" ht="80.25" customHeight="1" x14ac:dyDescent="0.25">
      <c r="A47" s="131" t="s">
        <v>407</v>
      </c>
      <c r="B47" s="131"/>
      <c r="C47" s="95" t="s">
        <v>87</v>
      </c>
      <c r="D47" s="119" t="s">
        <v>404</v>
      </c>
      <c r="E47" s="119"/>
      <c r="F47" s="119"/>
      <c r="G47" s="119" t="s">
        <v>378</v>
      </c>
      <c r="H47" s="119"/>
    </row>
    <row r="48" spans="1:15" ht="20.25" x14ac:dyDescent="0.25">
      <c r="A48" s="124" t="s">
        <v>61</v>
      </c>
      <c r="B48" s="124"/>
      <c r="C48" s="124"/>
      <c r="D48" s="124"/>
      <c r="E48" s="124"/>
      <c r="F48" s="124"/>
      <c r="G48" s="124"/>
      <c r="H48" s="124"/>
    </row>
    <row r="49" spans="1:10" ht="42.75" customHeight="1" x14ac:dyDescent="0.25">
      <c r="A49" s="120" t="s">
        <v>62</v>
      </c>
      <c r="B49" s="120" t="s">
        <v>4</v>
      </c>
      <c r="C49" s="119" t="s">
        <v>96</v>
      </c>
      <c r="D49" s="119"/>
      <c r="E49" s="119"/>
      <c r="F49" s="119"/>
      <c r="G49" s="119"/>
      <c r="H49" s="119"/>
    </row>
    <row r="50" spans="1:10" ht="44.25" customHeight="1" x14ac:dyDescent="0.25">
      <c r="A50" s="120" t="s">
        <v>63</v>
      </c>
      <c r="B50" s="120" t="s">
        <v>4</v>
      </c>
      <c r="C50" s="119" t="s">
        <v>319</v>
      </c>
      <c r="D50" s="119"/>
      <c r="E50" s="119"/>
      <c r="F50" s="119"/>
      <c r="G50" s="52" t="s">
        <v>227</v>
      </c>
      <c r="H50" s="91">
        <v>45355</v>
      </c>
    </row>
    <row r="51" spans="1:10" ht="44.25" customHeight="1" x14ac:dyDescent="0.25">
      <c r="A51" s="120" t="s">
        <v>64</v>
      </c>
      <c r="B51" s="120" t="s">
        <v>4</v>
      </c>
      <c r="C51" s="119" t="str">
        <f>C50</f>
        <v>EB/2701/E/A/337/3/Amend</v>
      </c>
      <c r="D51" s="119"/>
      <c r="E51" s="119"/>
      <c r="F51" s="119"/>
      <c r="G51" s="52" t="s">
        <v>227</v>
      </c>
      <c r="H51" s="91">
        <f>H50</f>
        <v>45355</v>
      </c>
    </row>
    <row r="52" spans="1:10" ht="44.25" customHeight="1" x14ac:dyDescent="0.25">
      <c r="A52" s="120" t="s">
        <v>240</v>
      </c>
      <c r="B52" s="120"/>
      <c r="C52" s="119" t="s">
        <v>318</v>
      </c>
      <c r="D52" s="119"/>
      <c r="E52" s="119"/>
      <c r="F52" s="119"/>
      <c r="G52" s="52" t="s">
        <v>227</v>
      </c>
      <c r="H52" s="91">
        <v>45534</v>
      </c>
    </row>
    <row r="53" spans="1:10" ht="89.25" customHeight="1" x14ac:dyDescent="0.25">
      <c r="A53" s="120"/>
      <c r="B53" s="120"/>
      <c r="C53" s="119" t="s">
        <v>317</v>
      </c>
      <c r="D53" s="119"/>
      <c r="E53" s="119"/>
      <c r="F53" s="119"/>
      <c r="G53" s="52" t="s">
        <v>241</v>
      </c>
      <c r="H53" s="91">
        <v>45884</v>
      </c>
    </row>
    <row r="54" spans="1:10" ht="46.5" hidden="1" customHeight="1" x14ac:dyDescent="0.25">
      <c r="A54" s="120" t="s">
        <v>65</v>
      </c>
      <c r="B54" s="120" t="s">
        <v>4</v>
      </c>
      <c r="C54" s="119"/>
      <c r="D54" s="119"/>
      <c r="E54" s="119"/>
      <c r="F54" s="119"/>
      <c r="G54" s="52" t="s">
        <v>228</v>
      </c>
      <c r="H54" s="90"/>
    </row>
    <row r="55" spans="1:10" ht="45" hidden="1" customHeight="1" x14ac:dyDescent="0.25">
      <c r="A55" s="120" t="s">
        <v>66</v>
      </c>
      <c r="B55" s="120" t="s">
        <v>4</v>
      </c>
      <c r="C55" s="119"/>
      <c r="D55" s="119"/>
      <c r="E55" s="119"/>
      <c r="F55" s="119"/>
      <c r="G55" s="52" t="s">
        <v>228</v>
      </c>
      <c r="H55" s="90"/>
      <c r="I55" s="1" t="str">
        <f>CONCATENATE((IF(OR(A46="",A46="NA"),"",A46)),"= ",(IF(OR(D46="",D46="NA"),"",D46)),".")</f>
        <v>Tower A= 3B + Gr/Stilt + 1st to 7th Podium Floor + 8th (Stilt) Floor + 9th Service Floor + 10th to 68th Floor.</v>
      </c>
    </row>
    <row r="56" spans="1:10" ht="41.25" customHeight="1" x14ac:dyDescent="0.25">
      <c r="A56" s="165" t="s">
        <v>380</v>
      </c>
      <c r="B56" s="167"/>
      <c r="C56" s="119" t="s">
        <v>379</v>
      </c>
      <c r="D56" s="119"/>
      <c r="E56" s="119"/>
      <c r="F56" s="119"/>
      <c r="G56" s="52" t="s">
        <v>228</v>
      </c>
      <c r="H56" s="91">
        <v>45344</v>
      </c>
    </row>
    <row r="57" spans="1:10" ht="58.5" customHeight="1" x14ac:dyDescent="0.25">
      <c r="A57" s="171"/>
      <c r="B57" s="173"/>
      <c r="C57" s="119" t="s">
        <v>381</v>
      </c>
      <c r="D57" s="119"/>
      <c r="E57" s="119"/>
      <c r="F57" s="119"/>
      <c r="G57" s="52" t="s">
        <v>382</v>
      </c>
      <c r="H57" s="90" t="s">
        <v>383</v>
      </c>
    </row>
    <row r="58" spans="1:10" ht="148.5" customHeight="1" x14ac:dyDescent="0.25">
      <c r="A58" s="120" t="s">
        <v>320</v>
      </c>
      <c r="B58" s="120" t="s">
        <v>4</v>
      </c>
      <c r="C58" s="119" t="s">
        <v>403</v>
      </c>
      <c r="D58" s="119"/>
      <c r="E58" s="119"/>
      <c r="F58" s="119"/>
      <c r="G58" s="52" t="s">
        <v>228</v>
      </c>
      <c r="H58" s="91">
        <v>45272</v>
      </c>
      <c r="I58" s="1">
        <f>68*0.58</f>
        <v>39.44</v>
      </c>
    </row>
    <row r="59" spans="1:10" ht="21" thickBot="1" x14ac:dyDescent="0.3">
      <c r="A59" s="124" t="s">
        <v>67</v>
      </c>
      <c r="B59" s="124"/>
      <c r="C59" s="124"/>
      <c r="D59" s="124"/>
      <c r="E59" s="124"/>
      <c r="F59" s="124"/>
      <c r="G59" s="124"/>
      <c r="H59" s="124"/>
    </row>
    <row r="60" spans="1:10" ht="30" customHeight="1" x14ac:dyDescent="0.3">
      <c r="A60" s="136" t="str">
        <f>CONCATENATE((IF(OR(A46="",A46="NA"),"",A46)),"= ",(IF(OR(D46="",D46="NA"),"",D46)),".")</f>
        <v>Tower A= 3B + Gr/Stilt + 1st to 7th Podium Floor + 8th (Stilt) Floor + 9th Service Floor + 10th to 68th Floor.</v>
      </c>
      <c r="B60" s="136"/>
      <c r="C60" s="136"/>
      <c r="D60" s="79" t="s">
        <v>115</v>
      </c>
      <c r="E60" s="135" t="s">
        <v>102</v>
      </c>
      <c r="F60" s="135"/>
      <c r="G60" s="79" t="s">
        <v>116</v>
      </c>
      <c r="H60" s="79" t="s">
        <v>117</v>
      </c>
      <c r="I60" s="14" t="str">
        <f ca="1">(IF(E63&gt;99%,"All work completed. Please provide OC.",IF(E63&gt;89.8%,"Plinth, RCC, Brick, Plaster, Flooring, Wooden, Plumbing, Electrification, etc.,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completed","0")))))))))))&amp;(IF(C65=(E61+G61+H61),", RCC Slab",IF(C65&gt;0,", RCC upto "&amp;C65&amp;" Slab",""))&amp;(IF(C66=H61,", Brickwork",IF(C66&gt;0,", Brickwork upto "&amp;C66&amp;" Floor",""))&amp;(IF(C67=H61,", Internal Plaster",IF(C67&gt;0,", Internal Plaster upto "&amp;C67&amp;" Floor",""))&amp;(IF(C68=H61,", External Plaster",IF(C68&gt;0,", External Plaster upto "&amp;C68&amp;" Floor",""))&amp;(IF(C69=H61,", External Plumbing, Elevation and Waterproofing",IF(C69&gt;0,", External Plumbing, Elevation and Waterproofing upto "&amp;C69&amp;" Floor",""))&amp;(IF(C70=H61,", Flooring &amp; Fitting",IF(C70&gt;0,", Flooring &amp; Fitting upto "&amp;C70&amp;" Floor",""))&amp;(IF(C71=H61,", Wooden Work",IF(C71&gt;0,", Wooden Work upto "&amp;C71&amp;" Floor",""))&amp;(IF(C72=H61,", Electrical &amp; Sanitary fittings",IF(C72&gt;0,", Electrical &amp; Sanitary fittings upto "&amp;C72&amp;" Floor",""))&amp;(IF(C73&gt;0,", Finishing upto "&amp;C73&amp;" Floor","")&amp;(IF(C65&gt;0.5," Completed",""))))))))))))))))</f>
        <v>Excavation work Completed. Plinth work completed, RCC upto 44 Slab, Brickwork upto 43 Floor, Internal Plaster upto 34.4 Floor, External Plaster upto 34.4 Floor, External Plumbing, Elevation and Waterproofing upto 18 Floor, Flooring &amp; Fitting upto 9 Floor Completed</v>
      </c>
      <c r="J60" s="16"/>
    </row>
    <row r="61" spans="1:10" ht="39" customHeight="1" x14ac:dyDescent="0.3">
      <c r="A61" s="136"/>
      <c r="B61" s="136"/>
      <c r="C61" s="136"/>
      <c r="D61" s="81">
        <f>IF(AND(ISNUMBER(SEARCH("1B",A60))),1,IF(AND(ISNUMBER(SEARCH("2B",A60))),2,IF(AND(ISNUMBER(SEARCH("3B",A60))),3,IF(AND(ISNUMBER(SEARCH("4B",A60))),4,IF(ISNUMBER(SEARCH("5B",A60)),5,0)))))</f>
        <v>3</v>
      </c>
      <c r="E61" s="135">
        <v>1</v>
      </c>
      <c r="F61" s="135"/>
      <c r="G61" s="81">
        <v>0</v>
      </c>
      <c r="H61" s="81">
        <f ca="1">--TRIM(RIGHT(SUBSTITUTE(LEFT(A60,_xlfn.AGGREGATE(16,6,FIND({0,1,2,3,4,5,6,7,8,9},A60,ROW(INDIRECT("1:"&amp;LEN(A60)))),1))," ",REPT(" ",LEN(A60))),LEN(A60)))</f>
        <v>68</v>
      </c>
      <c r="I61" s="15" t="s">
        <v>121</v>
      </c>
      <c r="J61" s="16"/>
    </row>
    <row r="62" spans="1:10" ht="20.25" customHeight="1" x14ac:dyDescent="0.3">
      <c r="A62" s="134" t="s">
        <v>119</v>
      </c>
      <c r="B62" s="134"/>
      <c r="C62" s="80" t="s">
        <v>129</v>
      </c>
      <c r="D62" s="80" t="s">
        <v>130</v>
      </c>
      <c r="E62" s="134" t="s">
        <v>120</v>
      </c>
      <c r="F62" s="134"/>
      <c r="G62" s="26" t="s">
        <v>118</v>
      </c>
      <c r="H62" s="26"/>
      <c r="I62" s="18" t="s">
        <v>131</v>
      </c>
      <c r="J62" s="17">
        <f ca="1">H61*25%</f>
        <v>17</v>
      </c>
    </row>
    <row r="63" spans="1:10" ht="20.25" customHeight="1" x14ac:dyDescent="0.3">
      <c r="A63" s="130" t="s">
        <v>132</v>
      </c>
      <c r="B63" s="130"/>
      <c r="C63" s="86">
        <f ca="1">J64</f>
        <v>68</v>
      </c>
      <c r="D63" s="78">
        <f ca="1">((100/H61)*C63)/100</f>
        <v>1</v>
      </c>
      <c r="E63" s="139">
        <f ca="1">(((C63/H61*10)+(C64/H61*15)+(25/(E61+G61+H61)*C65)+(5/(H61)*C66)+(2.5/(H61)*C67)+(2.5/(H61)*C68)+(5/H61*C69)+(10/H61*C70)+(2.5/H61*C71)+(2.5/H61*C72)+(10/H61*C73)+(10/H61*C74))/100)</f>
        <v>0.49280264279624897</v>
      </c>
      <c r="F63" s="140"/>
      <c r="G63" s="130" t="str">
        <f ca="1">I60</f>
        <v>Excavation work Completed. Plinth work completed, RCC upto 44 Slab, Brickwork upto 43 Floor, Internal Plaster upto 34.4 Floor, External Plaster upto 34.4 Floor, External Plumbing, Elevation and Waterproofing upto 18 Floor, Flooring &amp; Fitting upto 9 Floor Completed</v>
      </c>
      <c r="H63" s="130"/>
      <c r="I63" s="18" t="s">
        <v>122</v>
      </c>
      <c r="J63" s="22">
        <f ca="1">H61*50%</f>
        <v>34</v>
      </c>
    </row>
    <row r="64" spans="1:10" ht="20.25" x14ac:dyDescent="0.3">
      <c r="A64" s="130" t="s">
        <v>103</v>
      </c>
      <c r="B64" s="130"/>
      <c r="C64" s="87">
        <f ca="1">J72</f>
        <v>68</v>
      </c>
      <c r="D64" s="78">
        <f ca="1">((100/H61)*C64)/100</f>
        <v>1</v>
      </c>
      <c r="E64" s="141"/>
      <c r="F64" s="142"/>
      <c r="G64" s="130"/>
      <c r="H64" s="130"/>
      <c r="I64" s="18" t="s">
        <v>123</v>
      </c>
      <c r="J64" s="22">
        <f ca="1">H61</f>
        <v>68</v>
      </c>
    </row>
    <row r="65" spans="1:12" ht="21" customHeight="1" x14ac:dyDescent="0.35">
      <c r="A65" s="130" t="s">
        <v>133</v>
      </c>
      <c r="B65" s="130"/>
      <c r="C65" s="86">
        <v>44</v>
      </c>
      <c r="D65" s="78">
        <f ca="1">((100/(E61+G61+H61))*C65)/100</f>
        <v>0.6376811594202898</v>
      </c>
      <c r="E65" s="141"/>
      <c r="F65" s="142"/>
      <c r="G65" s="130"/>
      <c r="H65" s="130"/>
      <c r="I65" s="18" t="s">
        <v>124</v>
      </c>
      <c r="J65" s="23">
        <f ca="1">(IF(D61&gt;1,(H61/(D61+2)),H61*0.2))</f>
        <v>13.6</v>
      </c>
      <c r="L65" s="1">
        <f>8+29</f>
        <v>37</v>
      </c>
    </row>
    <row r="66" spans="1:12" ht="21" customHeight="1" x14ac:dyDescent="0.35">
      <c r="A66" s="130" t="s">
        <v>134</v>
      </c>
      <c r="B66" s="130"/>
      <c r="C66" s="86">
        <f>C65-E61</f>
        <v>43</v>
      </c>
      <c r="D66" s="78">
        <f ca="1">((100/H61)*C66)/100</f>
        <v>0.63235294117647067</v>
      </c>
      <c r="E66" s="141"/>
      <c r="F66" s="142"/>
      <c r="G66" s="130"/>
      <c r="H66" s="130"/>
      <c r="I66" s="18" t="s">
        <v>125</v>
      </c>
      <c r="J66" s="23">
        <f ca="1">(IF(D61&gt;1,(H61/(D61+2)+J65),H61*0.2+J65))</f>
        <v>27.2</v>
      </c>
    </row>
    <row r="67" spans="1:12" ht="21" customHeight="1" x14ac:dyDescent="0.35">
      <c r="A67" s="137" t="s">
        <v>135</v>
      </c>
      <c r="B67" s="138"/>
      <c r="C67" s="87">
        <f>C66*0.8</f>
        <v>34.4</v>
      </c>
      <c r="D67" s="78">
        <f ca="1">((100/H61)*C67)/100</f>
        <v>0.50588235294117656</v>
      </c>
      <c r="E67" s="141"/>
      <c r="F67" s="142"/>
      <c r="G67" s="130"/>
      <c r="H67" s="130"/>
      <c r="I67" s="18" t="s">
        <v>136</v>
      </c>
      <c r="J67" s="23">
        <f ca="1">(IF(D61&gt;1,(H61/(D61+2)+J66),0))</f>
        <v>40.799999999999997</v>
      </c>
    </row>
    <row r="68" spans="1:12" ht="21" customHeight="1" x14ac:dyDescent="0.35">
      <c r="A68" s="137" t="s">
        <v>166</v>
      </c>
      <c r="B68" s="138"/>
      <c r="C68" s="87">
        <f>C67</f>
        <v>34.4</v>
      </c>
      <c r="D68" s="78">
        <f ca="1">((100/H61)*C68)/100</f>
        <v>0.50588235294117656</v>
      </c>
      <c r="E68" s="141"/>
      <c r="F68" s="142"/>
      <c r="G68" s="130"/>
      <c r="H68" s="130"/>
      <c r="I68" s="18" t="s">
        <v>137</v>
      </c>
      <c r="J68" s="23">
        <f ca="1">(IF(D61&gt;2,(H61/(D61+2)+J67),0))</f>
        <v>54.4</v>
      </c>
    </row>
    <row r="69" spans="1:12" ht="63.75" customHeight="1" x14ac:dyDescent="0.35">
      <c r="A69" s="137" t="s">
        <v>163</v>
      </c>
      <c r="B69" s="138"/>
      <c r="C69" s="86">
        <v>18</v>
      </c>
      <c r="D69" s="78">
        <f ca="1">((100/(H61))*C69)/100</f>
        <v>0.26470588235294118</v>
      </c>
      <c r="E69" s="141"/>
      <c r="F69" s="142"/>
      <c r="G69" s="130"/>
      <c r="H69" s="130"/>
      <c r="I69" s="18" t="s">
        <v>139</v>
      </c>
      <c r="J69" s="24">
        <f>(IF(D61&gt;3,(H61/(D61+2)+J68),0))</f>
        <v>0</v>
      </c>
    </row>
    <row r="70" spans="1:12" ht="21" customHeight="1" x14ac:dyDescent="0.35">
      <c r="A70" s="130" t="s">
        <v>138</v>
      </c>
      <c r="B70" s="130"/>
      <c r="C70" s="86">
        <v>9</v>
      </c>
      <c r="D70" s="78">
        <f ca="1">((100/(H61))*C70)/100</f>
        <v>0.13235294117647059</v>
      </c>
      <c r="E70" s="141"/>
      <c r="F70" s="142"/>
      <c r="G70" s="130"/>
      <c r="H70" s="130"/>
      <c r="I70" s="18" t="s">
        <v>140</v>
      </c>
      <c r="J70" s="23">
        <f>(IF(D61&gt;4,(H61/(D61+2)+J69),0))</f>
        <v>0</v>
      </c>
    </row>
    <row r="71" spans="1:12" ht="21" customHeight="1" x14ac:dyDescent="0.35">
      <c r="A71" s="130" t="s">
        <v>165</v>
      </c>
      <c r="B71" s="130"/>
      <c r="C71" s="79">
        <v>0</v>
      </c>
      <c r="D71" s="78">
        <f ca="1">((100/H61)*C71)/100</f>
        <v>0</v>
      </c>
      <c r="E71" s="141"/>
      <c r="F71" s="142"/>
      <c r="G71" s="130"/>
      <c r="H71" s="130"/>
      <c r="I71" s="18" t="s">
        <v>126</v>
      </c>
      <c r="J71" s="23">
        <f>(IF(D61=1,(H61/(D61+3)+J66),IF(D61=0,(H61*0.3+J66),IF(D61&gt;1,0))))</f>
        <v>0</v>
      </c>
    </row>
    <row r="72" spans="1:12" ht="21.75" customHeight="1" thickBot="1" x14ac:dyDescent="0.4">
      <c r="A72" s="130" t="s">
        <v>164</v>
      </c>
      <c r="B72" s="130"/>
      <c r="C72" s="79">
        <v>0</v>
      </c>
      <c r="D72" s="78">
        <f ca="1">((100/H61)*C72)/100</f>
        <v>0</v>
      </c>
      <c r="E72" s="141"/>
      <c r="F72" s="142"/>
      <c r="G72" s="130"/>
      <c r="H72" s="130"/>
      <c r="I72" s="20" t="s">
        <v>127</v>
      </c>
      <c r="J72" s="25">
        <f ca="1">(IF(D61&gt;1.5,(H61/(D61+2)+J66+MAX(0,J67-J66)+MAX(0,J68-J67)+MAX(0,J69-J68)+MAX(0,J70-J69)+MAX(0,J71-J70)),IF(D61=1,(H61/(D61+3)+J71),IF(D61=0,H61*0.3+J71))))</f>
        <v>68</v>
      </c>
    </row>
    <row r="73" spans="1:12" ht="20.25" customHeight="1" x14ac:dyDescent="0.25">
      <c r="A73" s="130" t="s">
        <v>141</v>
      </c>
      <c r="B73" s="130"/>
      <c r="C73" s="79">
        <v>0</v>
      </c>
      <c r="D73" s="78">
        <f ca="1">((100/(H61))*C73)/100</f>
        <v>0</v>
      </c>
      <c r="E73" s="141"/>
      <c r="F73" s="142"/>
      <c r="G73" s="130"/>
      <c r="H73" s="130"/>
    </row>
    <row r="74" spans="1:12" ht="20.25" x14ac:dyDescent="0.25">
      <c r="A74" s="130" t="s">
        <v>142</v>
      </c>
      <c r="B74" s="130"/>
      <c r="C74" s="79">
        <v>0</v>
      </c>
      <c r="D74" s="78">
        <f ca="1">((100/(H61))*C74)/100</f>
        <v>0</v>
      </c>
      <c r="E74" s="143"/>
      <c r="F74" s="144"/>
      <c r="G74" s="130"/>
      <c r="H74" s="130"/>
    </row>
    <row r="75" spans="1:12" ht="21" thickBot="1" x14ac:dyDescent="0.3">
      <c r="A75" s="124" t="s">
        <v>67</v>
      </c>
      <c r="B75" s="124"/>
      <c r="C75" s="124"/>
      <c r="D75" s="124"/>
      <c r="E75" s="124"/>
      <c r="F75" s="124"/>
      <c r="G75" s="124"/>
      <c r="H75" s="124"/>
    </row>
    <row r="76" spans="1:12" ht="30" customHeight="1" x14ac:dyDescent="0.3">
      <c r="A76" s="136" t="str">
        <f>CONCATENATE((IF(OR(A47="",A47="NA"),"",A47)),"= ",(IF(OR(D47="",D47="NA"),"",D47)),".")</f>
        <v>Tower B = 3B + Gr/Stilt + 1st to 7th Podium Floor + 8th (Stilt) Floor + 9th Service Floor + 10th to 68th Floor.</v>
      </c>
      <c r="B76" s="136"/>
      <c r="C76" s="136"/>
      <c r="D76" s="94" t="s">
        <v>115</v>
      </c>
      <c r="E76" s="135" t="s">
        <v>102</v>
      </c>
      <c r="F76" s="135"/>
      <c r="G76" s="94" t="s">
        <v>116</v>
      </c>
      <c r="H76" s="94" t="s">
        <v>117</v>
      </c>
      <c r="I76" s="14" t="str">
        <f ca="1">(IF(E79&gt;99%,"All work completed. Please provide OC.",IF(E79&gt;89.8%,"Plinth, RCC, Brick, Plaster, Flooring, Wooden, Plumbing, Electrification, etc.,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completed","0")))))))))))&amp;(IF(C81=(E77+G77+H77),", RCC Slab",IF(C81&gt;0,", RCC upto "&amp;C81&amp;" Slab",""))&amp;(IF(C82=H77,", Brickwork",IF(C82&gt;0,", Brickwork upto "&amp;C82&amp;" Floor",""))&amp;(IF(C83=H77,", Internal Plaster",IF(C83&gt;0,", Internal Plaster upto "&amp;C83&amp;" Floor",""))&amp;(IF(C84=H77,", External Plaster",IF(C84&gt;0,", External Plaster upto "&amp;C84&amp;" Floor",""))&amp;(IF(C85=H77,", External Plumbing, Elevation and Waterproofing",IF(C85&gt;0,", External Plumbing, Elevation and Waterproofing upto "&amp;C85&amp;" Floor",""))&amp;(IF(C86=H77,", Flooring &amp; Fitting",IF(C86&gt;0,", Flooring &amp; Fitting upto "&amp;C86&amp;" Floor",""))&amp;(IF(C87=H77,", Wooden Work",IF(C87&gt;0,", Wooden Work upto "&amp;C87&amp;" Floor",""))&amp;(IF(C88=H77,", Electrical &amp; Sanitary fittings",IF(C88&gt;0,", Electrical &amp; Sanitary fittings upto "&amp;C88&amp;" Floor",""))&amp;(IF(C89&gt;0,", Finishing upto "&amp;C89&amp;" Floor","")&amp;(IF(C81&gt;0.5," Completed",""))))))))))))))))</f>
        <v>Excavation work Completed. Footing work is process</v>
      </c>
      <c r="J76" s="16"/>
    </row>
    <row r="77" spans="1:12" ht="39" customHeight="1" x14ac:dyDescent="0.3">
      <c r="A77" s="136"/>
      <c r="B77" s="136"/>
      <c r="C77" s="136"/>
      <c r="D77" s="94">
        <f>IF(AND(ISNUMBER(SEARCH("1B",A76))),1,IF(AND(ISNUMBER(SEARCH("2B",A76))),2,IF(AND(ISNUMBER(SEARCH("3B",A76))),3,IF(AND(ISNUMBER(SEARCH("4B",A76))),4,IF(ISNUMBER(SEARCH("5B",A76)),5,0)))))</f>
        <v>3</v>
      </c>
      <c r="E77" s="135">
        <v>1</v>
      </c>
      <c r="F77" s="135"/>
      <c r="G77" s="94">
        <v>0</v>
      </c>
      <c r="H77" s="94">
        <f ca="1">--TRIM(RIGHT(SUBSTITUTE(LEFT(A76,_xlfn.AGGREGATE(16,6,FIND({0,1,2,3,4,5,6,7,8,9},A76,ROW(INDIRECT("1:"&amp;LEN(A76)))),1))," ",REPT(" ",LEN(A76))),LEN(A76)))</f>
        <v>68</v>
      </c>
      <c r="I77" s="15" t="s">
        <v>121</v>
      </c>
      <c r="J77" s="16"/>
    </row>
    <row r="78" spans="1:12" ht="20.25" customHeight="1" x14ac:dyDescent="0.3">
      <c r="A78" s="134" t="s">
        <v>119</v>
      </c>
      <c r="B78" s="134"/>
      <c r="C78" s="93" t="s">
        <v>129</v>
      </c>
      <c r="D78" s="93" t="s">
        <v>130</v>
      </c>
      <c r="E78" s="134" t="s">
        <v>120</v>
      </c>
      <c r="F78" s="134"/>
      <c r="G78" s="26" t="s">
        <v>118</v>
      </c>
      <c r="H78" s="26"/>
      <c r="I78" s="18" t="s">
        <v>131</v>
      </c>
      <c r="J78" s="17">
        <f ca="1">H77*25%</f>
        <v>17</v>
      </c>
    </row>
    <row r="79" spans="1:12" ht="20.25" customHeight="1" x14ac:dyDescent="0.3">
      <c r="A79" s="130" t="s">
        <v>132</v>
      </c>
      <c r="B79" s="130"/>
      <c r="C79" s="98">
        <f ca="1">J80</f>
        <v>68</v>
      </c>
      <c r="D79" s="92">
        <f ca="1">((100/H77)*C79)/100</f>
        <v>1</v>
      </c>
      <c r="E79" s="139">
        <f ca="1">(((C79/H77*10)+(C80/H77*15)+(25/(E77+G77+H77)*C81)+(5/(H77)*C82)+(2.5/(H77)*C83)+(2.5/(H77)*C84)+(5/H77*C85)+(10/H77*C86)+(2.5/H77*C87)+(2.5/H77*C88)+(10/H77*C89)+(10/H77*C90))/100)</f>
        <v>0.13</v>
      </c>
      <c r="F79" s="140"/>
      <c r="G79" s="130" t="str">
        <f ca="1">I76</f>
        <v>Excavation work Completed. Footing work is process</v>
      </c>
      <c r="H79" s="130"/>
      <c r="I79" s="18" t="s">
        <v>122</v>
      </c>
      <c r="J79" s="22">
        <f ca="1">H77*50%</f>
        <v>34</v>
      </c>
    </row>
    <row r="80" spans="1:12" ht="20.25" x14ac:dyDescent="0.3">
      <c r="A80" s="130" t="s">
        <v>103</v>
      </c>
      <c r="B80" s="130"/>
      <c r="C80" s="96">
        <f ca="1">J81</f>
        <v>13.6</v>
      </c>
      <c r="D80" s="92">
        <f ca="1">((100/H77)*C80)/100</f>
        <v>0.2</v>
      </c>
      <c r="E80" s="141"/>
      <c r="F80" s="142"/>
      <c r="G80" s="130"/>
      <c r="H80" s="130"/>
      <c r="I80" s="18" t="s">
        <v>123</v>
      </c>
      <c r="J80" s="22">
        <f ca="1">H77</f>
        <v>68</v>
      </c>
    </row>
    <row r="81" spans="1:11" ht="21" customHeight="1" x14ac:dyDescent="0.35">
      <c r="A81" s="130" t="s">
        <v>133</v>
      </c>
      <c r="B81" s="130"/>
      <c r="C81" s="94">
        <v>0</v>
      </c>
      <c r="D81" s="92">
        <f ca="1">((100/(E77+G77+H77))*C81)/100</f>
        <v>0</v>
      </c>
      <c r="E81" s="141"/>
      <c r="F81" s="142"/>
      <c r="G81" s="130"/>
      <c r="H81" s="130"/>
      <c r="I81" s="18" t="s">
        <v>124</v>
      </c>
      <c r="J81" s="23">
        <f ca="1">(IF(D77&gt;1,(H77/(D77+2)),H77*0.2))</f>
        <v>13.6</v>
      </c>
    </row>
    <row r="82" spans="1:11" ht="21" customHeight="1" x14ac:dyDescent="0.35">
      <c r="A82" s="130" t="s">
        <v>134</v>
      </c>
      <c r="B82" s="130"/>
      <c r="C82" s="94">
        <v>0</v>
      </c>
      <c r="D82" s="92">
        <f ca="1">((100/H77)*C82)/100</f>
        <v>0</v>
      </c>
      <c r="E82" s="141"/>
      <c r="F82" s="142"/>
      <c r="G82" s="130"/>
      <c r="H82" s="130"/>
      <c r="I82" s="18" t="s">
        <v>125</v>
      </c>
      <c r="J82" s="23">
        <f ca="1">(IF(D77&gt;1,(H77/(D77+2)+J81),H77*0.2+J81))</f>
        <v>27.2</v>
      </c>
    </row>
    <row r="83" spans="1:11" ht="21" customHeight="1" x14ac:dyDescent="0.35">
      <c r="A83" s="137" t="s">
        <v>135</v>
      </c>
      <c r="B83" s="138"/>
      <c r="C83" s="96">
        <v>0</v>
      </c>
      <c r="D83" s="92">
        <f ca="1">((100/H77)*C83)/100</f>
        <v>0</v>
      </c>
      <c r="E83" s="141"/>
      <c r="F83" s="142"/>
      <c r="G83" s="130"/>
      <c r="H83" s="130"/>
      <c r="I83" s="18" t="s">
        <v>136</v>
      </c>
      <c r="J83" s="23">
        <f ca="1">(IF(D77&gt;1,(H77/(D77+2)+J82),0))</f>
        <v>40.799999999999997</v>
      </c>
    </row>
    <row r="84" spans="1:11" ht="21" customHeight="1" x14ac:dyDescent="0.35">
      <c r="A84" s="137" t="s">
        <v>166</v>
      </c>
      <c r="B84" s="138"/>
      <c r="C84" s="96">
        <v>0</v>
      </c>
      <c r="D84" s="92">
        <f ca="1">((100/H77)*C84)/100</f>
        <v>0</v>
      </c>
      <c r="E84" s="141"/>
      <c r="F84" s="142"/>
      <c r="G84" s="130"/>
      <c r="H84" s="130"/>
      <c r="I84" s="18" t="s">
        <v>137</v>
      </c>
      <c r="J84" s="23">
        <f ca="1">(IF(D77&gt;2,(H77/(D77+2)+J83),0))</f>
        <v>54.4</v>
      </c>
    </row>
    <row r="85" spans="1:11" ht="63.75" customHeight="1" x14ac:dyDescent="0.35">
      <c r="A85" s="137" t="s">
        <v>163</v>
      </c>
      <c r="B85" s="138"/>
      <c r="C85" s="94">
        <v>0</v>
      </c>
      <c r="D85" s="92">
        <f ca="1">((100/(H77))*C85)/100</f>
        <v>0</v>
      </c>
      <c r="E85" s="141"/>
      <c r="F85" s="142"/>
      <c r="G85" s="130"/>
      <c r="H85" s="130"/>
      <c r="I85" s="18" t="s">
        <v>139</v>
      </c>
      <c r="J85" s="24">
        <f>(IF(D77&gt;3,(H77/(D77+2)+J84),0))</f>
        <v>0</v>
      </c>
    </row>
    <row r="86" spans="1:11" ht="21" customHeight="1" x14ac:dyDescent="0.35">
      <c r="A86" s="130" t="s">
        <v>138</v>
      </c>
      <c r="B86" s="130"/>
      <c r="C86" s="94">
        <v>0</v>
      </c>
      <c r="D86" s="92">
        <f ca="1">((100/(H77))*C86)/100</f>
        <v>0</v>
      </c>
      <c r="E86" s="141"/>
      <c r="F86" s="142"/>
      <c r="G86" s="130"/>
      <c r="H86" s="130"/>
      <c r="I86" s="18" t="s">
        <v>140</v>
      </c>
      <c r="J86" s="23">
        <f>(IF(D77&gt;4,(H77/(D77+2)+J85),0))</f>
        <v>0</v>
      </c>
    </row>
    <row r="87" spans="1:11" ht="21" customHeight="1" x14ac:dyDescent="0.35">
      <c r="A87" s="130" t="s">
        <v>165</v>
      </c>
      <c r="B87" s="130"/>
      <c r="C87" s="94"/>
      <c r="D87" s="92">
        <f ca="1">((100/H77)*C87)/100</f>
        <v>0</v>
      </c>
      <c r="E87" s="141"/>
      <c r="F87" s="142"/>
      <c r="G87" s="130"/>
      <c r="H87" s="130"/>
      <c r="I87" s="18" t="s">
        <v>126</v>
      </c>
      <c r="J87" s="23">
        <f>(IF(D77=1,(H77/(D77+3)+J82),IF(D77=0,(H77*0.3+J82),IF(D77&gt;1,0))))</f>
        <v>0</v>
      </c>
    </row>
    <row r="88" spans="1:11" ht="21.75" customHeight="1" thickBot="1" x14ac:dyDescent="0.4">
      <c r="A88" s="130" t="s">
        <v>164</v>
      </c>
      <c r="B88" s="130"/>
      <c r="C88" s="94">
        <v>0</v>
      </c>
      <c r="D88" s="92">
        <f ca="1">((100/H77)*C88)/100</f>
        <v>0</v>
      </c>
      <c r="E88" s="141"/>
      <c r="F88" s="142"/>
      <c r="G88" s="130"/>
      <c r="H88" s="130"/>
      <c r="I88" s="20" t="s">
        <v>127</v>
      </c>
      <c r="J88" s="25">
        <f ca="1">(IF(D77&gt;1.5,(H77/(D77+2)+J82+MAX(0,J83-J82)+MAX(0,J84-J83)+MAX(0,J85-J84)+MAX(0,J86-J85)+MAX(0,J87-J86)),IF(D77=1,(H77/(D77+3)+J87),IF(D77=0,H77*0.3+J87))))</f>
        <v>68</v>
      </c>
    </row>
    <row r="89" spans="1:11" ht="20.25" customHeight="1" x14ac:dyDescent="0.25">
      <c r="A89" s="130" t="s">
        <v>141</v>
      </c>
      <c r="B89" s="130"/>
      <c r="C89" s="94">
        <v>0</v>
      </c>
      <c r="D89" s="92">
        <f ca="1">((100/(H77))*C89)/100</f>
        <v>0</v>
      </c>
      <c r="E89" s="141"/>
      <c r="F89" s="142"/>
      <c r="G89" s="130"/>
      <c r="H89" s="130"/>
    </row>
    <row r="90" spans="1:11" ht="20.25" x14ac:dyDescent="0.25">
      <c r="A90" s="130" t="s">
        <v>142</v>
      </c>
      <c r="B90" s="130"/>
      <c r="C90" s="94">
        <v>0</v>
      </c>
      <c r="D90" s="92">
        <f ca="1">((100/(H77))*C90)/100</f>
        <v>0</v>
      </c>
      <c r="E90" s="143"/>
      <c r="F90" s="144"/>
      <c r="G90" s="130"/>
      <c r="H90" s="130"/>
    </row>
    <row r="91" spans="1:11" ht="36.75" customHeight="1" x14ac:dyDescent="0.3">
      <c r="A91" s="182" t="s">
        <v>128</v>
      </c>
      <c r="B91" s="183"/>
      <c r="C91" s="183"/>
      <c r="D91" s="183"/>
      <c r="E91" s="183"/>
      <c r="F91" s="183"/>
      <c r="G91" s="132">
        <f ca="1">AVERAGE(E63,E79)</f>
        <v>0.31140132139812449</v>
      </c>
      <c r="H91" s="133"/>
      <c r="I91" s="18"/>
      <c r="J91" s="19"/>
      <c r="K91" s="19"/>
    </row>
    <row r="92" spans="1:11" ht="20.25" x14ac:dyDescent="0.25">
      <c r="A92" s="158" t="s">
        <v>71</v>
      </c>
      <c r="B92" s="159"/>
      <c r="C92" s="159"/>
      <c r="D92" s="159"/>
      <c r="E92" s="159"/>
      <c r="F92" s="159"/>
      <c r="G92" s="159"/>
      <c r="H92" s="160"/>
    </row>
    <row r="93" spans="1:11" ht="54.75" customHeight="1" x14ac:dyDescent="0.25">
      <c r="A93" s="145" t="s">
        <v>72</v>
      </c>
      <c r="B93" s="146"/>
      <c r="C93" s="155" t="s">
        <v>107</v>
      </c>
      <c r="D93" s="156"/>
      <c r="E93" s="145" t="s">
        <v>143</v>
      </c>
      <c r="F93" s="146" t="s">
        <v>4</v>
      </c>
      <c r="G93" s="181" t="s">
        <v>157</v>
      </c>
      <c r="H93" s="181"/>
    </row>
    <row r="94" spans="1:11" ht="44.25" customHeight="1" x14ac:dyDescent="0.25">
      <c r="A94" s="145" t="s">
        <v>153</v>
      </c>
      <c r="B94" s="146"/>
      <c r="C94" s="155" t="s">
        <v>371</v>
      </c>
      <c r="D94" s="156"/>
      <c r="E94" s="145" t="s">
        <v>154</v>
      </c>
      <c r="F94" s="146" t="s">
        <v>4</v>
      </c>
      <c r="G94" s="119" t="s">
        <v>144</v>
      </c>
      <c r="H94" s="119"/>
    </row>
    <row r="95" spans="1:11" ht="20.25" x14ac:dyDescent="0.25">
      <c r="A95" s="145" t="s">
        <v>73</v>
      </c>
      <c r="B95" s="146"/>
      <c r="C95" s="152">
        <v>1200000</v>
      </c>
      <c r="D95" s="153"/>
      <c r="E95" s="145" t="s">
        <v>101</v>
      </c>
      <c r="F95" s="146" t="s">
        <v>4</v>
      </c>
      <c r="G95" s="155" t="s">
        <v>108</v>
      </c>
      <c r="H95" s="156"/>
    </row>
    <row r="96" spans="1:11" ht="20.25" x14ac:dyDescent="0.25">
      <c r="A96" s="158" t="s">
        <v>70</v>
      </c>
      <c r="B96" s="159"/>
      <c r="C96" s="159"/>
      <c r="D96" s="159"/>
      <c r="E96" s="159"/>
      <c r="F96" s="159"/>
      <c r="G96" s="159"/>
      <c r="H96" s="160"/>
    </row>
    <row r="97" spans="1:150 16226:16383" ht="20.25" customHeight="1" x14ac:dyDescent="0.25">
      <c r="A97" s="145" t="s">
        <v>8</v>
      </c>
      <c r="B97" s="154"/>
      <c r="C97" s="154"/>
      <c r="D97" s="154"/>
      <c r="E97" s="154"/>
      <c r="F97" s="146"/>
      <c r="G97" s="179">
        <f>97830/10.764</f>
        <v>9088.6287625418063</v>
      </c>
      <c r="H97" s="180"/>
    </row>
    <row r="98" spans="1:150 16226:16383" ht="20.25" customHeight="1" x14ac:dyDescent="0.25">
      <c r="A98" s="145" t="s">
        <v>28</v>
      </c>
      <c r="B98" s="154"/>
      <c r="C98" s="154"/>
      <c r="D98" s="154"/>
      <c r="E98" s="154"/>
      <c r="F98" s="146" t="s">
        <v>4</v>
      </c>
      <c r="G98" s="157">
        <f>228230/10.764</f>
        <v>21203.08435525827</v>
      </c>
      <c r="H98" s="157"/>
    </row>
    <row r="99" spans="1:150 16226:16383" ht="20.25" customHeight="1" x14ac:dyDescent="0.25">
      <c r="A99" s="145" t="s">
        <v>109</v>
      </c>
      <c r="B99" s="154"/>
      <c r="C99" s="154"/>
      <c r="D99" s="154"/>
      <c r="E99" s="154"/>
      <c r="F99" s="146" t="s">
        <v>4</v>
      </c>
      <c r="G99" s="157">
        <f>G97*0.8</f>
        <v>7270.9030100334458</v>
      </c>
      <c r="H99" s="157"/>
    </row>
    <row r="100" spans="1:150 16226:16383" ht="20.25" hidden="1" x14ac:dyDescent="0.25">
      <c r="A100" s="147" t="s">
        <v>242</v>
      </c>
      <c r="B100" s="148"/>
      <c r="C100" s="148"/>
      <c r="D100" s="148"/>
      <c r="E100" s="148"/>
      <c r="F100" s="148"/>
      <c r="G100" s="148"/>
      <c r="H100" s="149"/>
    </row>
    <row r="101" spans="1:150 16226:16383" s="3" customFormat="1" ht="20.25" hidden="1" x14ac:dyDescent="0.25">
      <c r="A101" s="110" t="s">
        <v>150</v>
      </c>
      <c r="B101" s="111"/>
      <c r="C101" s="110" t="s">
        <v>151</v>
      </c>
      <c r="D101" s="111"/>
      <c r="E101" s="110" t="s">
        <v>149</v>
      </c>
      <c r="F101" s="111"/>
      <c r="G101" s="110" t="s">
        <v>162</v>
      </c>
      <c r="H101" s="11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hidden="1" x14ac:dyDescent="0.25">
      <c r="A102" s="112"/>
      <c r="B102" s="113"/>
      <c r="C102" s="112"/>
      <c r="D102" s="113"/>
      <c r="E102" s="112"/>
      <c r="F102" s="113"/>
      <c r="G102" s="112"/>
      <c r="H102" s="113"/>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hidden="1" x14ac:dyDescent="0.25">
      <c r="A103" s="112"/>
      <c r="B103" s="113"/>
      <c r="C103" s="112"/>
      <c r="D103" s="113"/>
      <c r="E103" s="112"/>
      <c r="F103" s="113"/>
      <c r="G103" s="112"/>
      <c r="H103" s="113"/>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hidden="1" x14ac:dyDescent="0.25">
      <c r="A104" s="110" t="s">
        <v>152</v>
      </c>
      <c r="B104" s="111"/>
      <c r="C104" s="110" t="s">
        <v>95</v>
      </c>
      <c r="D104" s="111"/>
      <c r="E104" s="110">
        <f>SUM(F102:F103)</f>
        <v>0</v>
      </c>
      <c r="F104" s="111"/>
      <c r="G104" s="110">
        <f>SUM(H102:H103)</f>
        <v>0</v>
      </c>
      <c r="H104" s="111">
        <f>SUM(H102:H103)</f>
        <v>0</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ht="20.25" x14ac:dyDescent="0.25">
      <c r="A105" s="147" t="s">
        <v>229</v>
      </c>
      <c r="B105" s="148"/>
      <c r="C105" s="148"/>
      <c r="D105" s="148"/>
      <c r="E105" s="148"/>
      <c r="F105" s="148"/>
      <c r="G105" s="148"/>
      <c r="H105" s="149"/>
    </row>
    <row r="106" spans="1:150 16226:16383" s="3" customFormat="1" ht="20.25" x14ac:dyDescent="0.25">
      <c r="A106" s="110" t="s">
        <v>150</v>
      </c>
      <c r="B106" s="111"/>
      <c r="C106" s="110" t="s">
        <v>151</v>
      </c>
      <c r="D106" s="111"/>
      <c r="E106" s="110" t="s">
        <v>149</v>
      </c>
      <c r="F106" s="111"/>
      <c r="G106" s="110" t="s">
        <v>162</v>
      </c>
      <c r="H106" s="11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112" t="s">
        <v>315</v>
      </c>
      <c r="B107" s="113"/>
      <c r="C107" s="112" t="s">
        <v>95</v>
      </c>
      <c r="D107" s="113"/>
      <c r="E107" s="112">
        <f>COUNT(H122:H124)+COUNT(H126:H129)+COUNT(H131:H134)*3+COUNT(H136:H139)+COUNT(H141:H144,H147:H149,H151:H154,H156:H159,H161:H164,H166:H169,H171:H174)+COUNT(H176:H179)*2+COUNT(H182:H184,H186:H189,H191:H194,H196:H199,H201:H204,H206:H209,H212:H214,H216:H219,H221:H224,H226:H229,H231:H234)+COUNT(H236:H239)*2+COUNT(H243:H245,H247:H250)+COUNT(H252:H255)*2+COUNT(H257:H260)*6+COUNT(H262:H265,H268:H270,H272:H275,H277:H280,H283:H285,H287:H290,H292:H295,H297:H300)+COUNT(H302:H305)*2+COUNT(H307:H310)+COUNT(H313:H315)+COUNT(H317:H320)*6+COUNT(H322:H325,H327:H330,H333:H335,H337:H340)</f>
        <v>231</v>
      </c>
      <c r="F107" s="113"/>
      <c r="G107" s="112">
        <f>SUM(H122:H124)+SUM(H126:H129)+SUM(H131:H134)*3+SUM(H136:H139)+SUM(H141:H144,H147:H149,H151:H154,H156:H159,H161:H164,H166:H169,H171:H174)+SUM(H176:H179)*2+SUM(H182:H184,H186:H189,H191:H194,H196:H199,H201:H204,H206:H209,H212:H214,H216:H219,H221:H224,H226:H229,H231:H234)+SUM(H236:H239)*2+SUM(H243:H245,H247:H250)+SUM(H252:H255)*2+SUM(H257:H260)*6+SUM(H262:H265,H268:H270,H272:H275,H277:H280,H283:H285,H287:H290,H292:H295,H297:H300)+SUM(H302:H305)*2+SUM(H307:H310)+SUM(H313:H315)+SUM(H317:H320)*6+SUM(H322:H325,H327:H330,H333:H335,H337:H340)</f>
        <v>529693.05472200003</v>
      </c>
      <c r="H107" s="113"/>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112" t="s">
        <v>384</v>
      </c>
      <c r="B108" s="113"/>
      <c r="C108" s="112" t="s">
        <v>95</v>
      </c>
      <c r="D108" s="113"/>
      <c r="E108" s="112">
        <f>COUNT(E343:E344,E346)+COUNT(E348:E351)*3</f>
        <v>15</v>
      </c>
      <c r="F108" s="113"/>
      <c r="G108" s="112">
        <f>SUM(H343:H344,H346)+SUM(H348:H351)*3</f>
        <v>31557.128803199994</v>
      </c>
      <c r="H108" s="113"/>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10" t="s">
        <v>152</v>
      </c>
      <c r="B109" s="111"/>
      <c r="C109" s="150" t="s">
        <v>95</v>
      </c>
      <c r="D109" s="151"/>
      <c r="E109" s="110">
        <f>SUM(E107:F108)</f>
        <v>246</v>
      </c>
      <c r="F109" s="111"/>
      <c r="G109" s="110">
        <f>SUM(G107:H108)</f>
        <v>561250.1835252</v>
      </c>
      <c r="H109" s="111">
        <f>SUM(H107:H108)</f>
        <v>0</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hidden="1" x14ac:dyDescent="0.25">
      <c r="A110" s="110" t="s">
        <v>243</v>
      </c>
      <c r="B110" s="111"/>
      <c r="C110" s="110" t="s">
        <v>95</v>
      </c>
      <c r="D110" s="111"/>
      <c r="E110" s="110">
        <f>SUM(F104,F109)</f>
        <v>0</v>
      </c>
      <c r="F110" s="111"/>
      <c r="G110" s="110">
        <f>SUM(H104)</f>
        <v>0</v>
      </c>
      <c r="H110" s="11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ht="20.25" x14ac:dyDescent="0.25">
      <c r="A111" s="184" t="s">
        <v>148</v>
      </c>
      <c r="B111" s="185"/>
      <c r="C111" s="185"/>
      <c r="D111" s="185"/>
      <c r="E111" s="185"/>
      <c r="F111" s="185"/>
      <c r="G111" s="185"/>
      <c r="H111" s="149"/>
    </row>
    <row r="112" spans="1:150 16226:16383" ht="66" customHeight="1" x14ac:dyDescent="0.25">
      <c r="A112" s="53" t="s">
        <v>230</v>
      </c>
      <c r="B112" s="34" t="s">
        <v>231</v>
      </c>
      <c r="C112" s="33" t="s">
        <v>232</v>
      </c>
      <c r="D112" s="27" t="s">
        <v>88</v>
      </c>
      <c r="E112" s="34" t="s">
        <v>386</v>
      </c>
      <c r="F112" s="33" t="s">
        <v>233</v>
      </c>
      <c r="G112" s="27" t="s">
        <v>90</v>
      </c>
      <c r="H112" s="27" t="s">
        <v>89</v>
      </c>
    </row>
    <row r="113" spans="1:150 16226:16383" s="3" customFormat="1" ht="27" customHeight="1" x14ac:dyDescent="0.25">
      <c r="A113" s="186" t="s">
        <v>385</v>
      </c>
      <c r="B113" s="187"/>
      <c r="C113" s="187"/>
      <c r="D113" s="187"/>
      <c r="E113" s="187"/>
      <c r="F113" s="187"/>
      <c r="G113" s="187"/>
      <c r="H113" s="188"/>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x14ac:dyDescent="0.25">
      <c r="A114" s="101" t="s">
        <v>321</v>
      </c>
      <c r="B114" s="102"/>
      <c r="C114" s="102"/>
      <c r="D114" s="102"/>
      <c r="E114" s="102"/>
      <c r="F114" s="102"/>
      <c r="G114" s="102"/>
      <c r="H114" s="103"/>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x14ac:dyDescent="0.25">
      <c r="A115" s="101" t="s">
        <v>322</v>
      </c>
      <c r="B115" s="102"/>
      <c r="C115" s="102"/>
      <c r="D115" s="102"/>
      <c r="E115" s="102"/>
      <c r="F115" s="102"/>
      <c r="G115" s="102"/>
      <c r="H115" s="103"/>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x14ac:dyDescent="0.25">
      <c r="A116" s="101" t="s">
        <v>323</v>
      </c>
      <c r="B116" s="102"/>
      <c r="C116" s="102"/>
      <c r="D116" s="102"/>
      <c r="E116" s="102"/>
      <c r="F116" s="102"/>
      <c r="G116" s="102"/>
      <c r="H116" s="103"/>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101" t="s">
        <v>393</v>
      </c>
      <c r="B117" s="102"/>
      <c r="C117" s="102"/>
      <c r="D117" s="102"/>
      <c r="E117" s="102"/>
      <c r="F117" s="102"/>
      <c r="G117" s="102"/>
      <c r="H117" s="103"/>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101" t="s">
        <v>324</v>
      </c>
      <c r="B118" s="102"/>
      <c r="C118" s="102"/>
      <c r="D118" s="102"/>
      <c r="E118" s="102"/>
      <c r="F118" s="102"/>
      <c r="G118" s="102"/>
      <c r="H118" s="103"/>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9.25" customHeight="1" x14ac:dyDescent="0.25">
      <c r="A119" s="186" t="s">
        <v>315</v>
      </c>
      <c r="B119" s="187"/>
      <c r="C119" s="187"/>
      <c r="D119" s="187"/>
      <c r="E119" s="187"/>
      <c r="F119" s="187"/>
      <c r="G119" s="187"/>
      <c r="H119" s="188"/>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01" t="s">
        <v>325</v>
      </c>
      <c r="B120" s="102"/>
      <c r="C120" s="102"/>
      <c r="D120" s="102"/>
      <c r="E120" s="102"/>
      <c r="F120" s="102"/>
      <c r="G120" s="102"/>
      <c r="H120" s="103"/>
      <c r="I120" s="1"/>
      <c r="J120" s="1">
        <f>68-8</f>
        <v>60</v>
      </c>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100">
        <v>1</v>
      </c>
      <c r="B121" s="100"/>
      <c r="C121" s="104" t="s">
        <v>326</v>
      </c>
      <c r="D121" s="105"/>
      <c r="E121" s="105"/>
      <c r="F121" s="105"/>
      <c r="G121" s="105"/>
      <c r="H121" s="106"/>
      <c r="I121" s="1"/>
      <c r="J121" s="1">
        <f>60*4-9</f>
        <v>231</v>
      </c>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104">
        <f>A121+1</f>
        <v>2</v>
      </c>
      <c r="B122" s="106"/>
      <c r="C122" s="54" t="s">
        <v>95</v>
      </c>
      <c r="D122" s="54" t="s">
        <v>327</v>
      </c>
      <c r="E122" s="32">
        <f>195.92*10.764</f>
        <v>2108.8828799999997</v>
      </c>
      <c r="F122" s="31">
        <v>0</v>
      </c>
      <c r="G122" s="31">
        <v>0</v>
      </c>
      <c r="H122" s="31">
        <f t="shared" ref="H122:H124" si="0">E122+F122+(IF(G122&lt;101,G122,IF(G122&lt;201,G122/2,IF(G122&lt;=301,G122/3,G122/4))))</f>
        <v>2108.8828799999997</v>
      </c>
      <c r="I122" s="1"/>
      <c r="J122" s="1">
        <f>115000000/H122</f>
        <v>54531.240729689081</v>
      </c>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x14ac:dyDescent="0.25">
      <c r="A123" s="104">
        <f t="shared" ref="A123:A124" si="1">A122+1</f>
        <v>3</v>
      </c>
      <c r="B123" s="106"/>
      <c r="C123" s="54" t="s">
        <v>95</v>
      </c>
      <c r="D123" s="54" t="s">
        <v>327</v>
      </c>
      <c r="E123" s="32">
        <f>207.51*10.764</f>
        <v>2233.6376399999999</v>
      </c>
      <c r="F123" s="31">
        <v>0</v>
      </c>
      <c r="G123" s="31">
        <v>0</v>
      </c>
      <c r="H123" s="31">
        <f t="shared" si="0"/>
        <v>2233.6376399999999</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104">
        <f t="shared" si="1"/>
        <v>4</v>
      </c>
      <c r="B124" s="106"/>
      <c r="C124" s="54" t="s">
        <v>95</v>
      </c>
      <c r="D124" s="54" t="s">
        <v>327</v>
      </c>
      <c r="E124" s="32">
        <f>201.2*10.764</f>
        <v>2165.7167999999997</v>
      </c>
      <c r="F124" s="31">
        <v>0</v>
      </c>
      <c r="G124" s="31">
        <v>0</v>
      </c>
      <c r="H124" s="31">
        <f t="shared" si="0"/>
        <v>2165.7167999999997</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07" t="s">
        <v>328</v>
      </c>
      <c r="B125" s="108"/>
      <c r="C125" s="108"/>
      <c r="D125" s="108"/>
      <c r="E125" s="108"/>
      <c r="F125" s="108"/>
      <c r="G125" s="108"/>
      <c r="H125" s="10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100">
        <v>1</v>
      </c>
      <c r="B126" s="100"/>
      <c r="C126" s="54" t="s">
        <v>95</v>
      </c>
      <c r="D126" s="54" t="s">
        <v>327</v>
      </c>
      <c r="E126" s="32">
        <f>208.43*10.764</f>
        <v>2243.54052</v>
      </c>
      <c r="F126" s="31">
        <v>0</v>
      </c>
      <c r="G126" s="31">
        <v>0</v>
      </c>
      <c r="H126" s="31">
        <f>E126+F126+(IF(G126&lt;101,G126,IF(G126&lt;201,G126/2,IF(G126&lt;=301,G126/3,G126/4))))</f>
        <v>2243.54052</v>
      </c>
      <c r="I126" s="1"/>
      <c r="J126" s="1"/>
      <c r="K126" s="1"/>
      <c r="L126" s="1"/>
      <c r="M126" s="1"/>
      <c r="N126" s="1"/>
      <c r="O126" s="1"/>
      <c r="P126" s="1"/>
      <c r="Q126" s="1"/>
      <c r="R126" s="1"/>
      <c r="S126" s="1"/>
      <c r="T126" s="21" t="str">
        <f t="shared" ref="T126:T129" ca="1" si="2">U126&amp;""&amp;",..,"&amp;""&amp;V126</f>
        <v>1001,..,1001</v>
      </c>
      <c r="U126" s="21">
        <f ca="1">(SUMPRODUCT(MID(0&amp;(LEFT(A125,SUM(LEN(A125)-LEN(SUBSTITUTE(A125,{"0","1","2","3"},""))))), LARGE(INDEX(ISNUMBER(--MID((LEFT(A125,SUM(LEN(A125)-LEN(SUBSTITUTE(A125,{"0","1","2","3"},""))))), ROW(INDIRECT("1:"&amp;LEN((LEFT(A125,SUM(LEN(A125)-LEN(SUBSTITUTE(A125,{"0","1","2","3"},"")))))))), 1)) * ROW(INDIRECT("1:"&amp;LEN((LEFT(A125,SUM(LEN(A125)-LEN(SUBSTITUTE(A125,{"0","1","2","3"},"")))))))), 0), ROW(INDIRECT("1:"&amp;LEN((LEFT(A125,SUM(LEN(A125)-LEN(SUBSTITUTE(A125,{"0","1","2","3"},"")))))))))+1, 1) * 10^ROW(INDIRECT("1:"&amp;LEN((LEFT(A125,SUM(LEN(A125)-LEN(SUBSTITUTE(A125,{"0","1","2","3"},""))))))))/10))*100+1</f>
        <v>1001</v>
      </c>
      <c r="V126" s="21">
        <f ca="1">(SUMPRODUCT(MID(0&amp;(--TRIM(RIGHT(SUBSTITUTE(LEFT(A125,_xlfn.AGGREGATE(16,6,FIND({0,1,2,3,4,5,6,7,8,9},A125,ROW(INDIRECT("1:"&amp;LEN(A125)))),1))," ",REPT(" ",LEN(A125))),LEN(A125)))), LARGE(INDEX(ISNUMBER(--MID((--TRIM(RIGHT(SUBSTITUTE(LEFT(A125,_xlfn.AGGREGATE(16,6,FIND({0,1,2,3,4,5,6,7,8,9},A125,ROW(INDIRECT("1:"&amp;LEN(A125)))),1))," ",REPT(" ",LEN(A125))),LEN(A125)))), ROW(INDIRECT("1:"&amp;LEN((--TRIM(RIGHT(SUBSTITUTE(LEFT(A125,_xlfn.AGGREGATE(16,6,FIND({0,1,2,3,4,5,6,7,8,9},A125,ROW(INDIRECT("1:"&amp;LEN(A125)))),1))," ",REPT(" ",LEN(A125))),LEN(A125))))))), 1)) * ROW(INDIRECT("1:"&amp;LEN((--TRIM(RIGHT(SUBSTITUTE(LEFT(A125,_xlfn.AGGREGATE(16,6,FIND({0,1,2,3,4,5,6,7,8,9},A125,ROW(INDIRECT("1:"&amp;LEN(A125)))),1))," ",REPT(" ",LEN(A125))),LEN(A125))))))), 0), ROW(INDIRECT("1:"&amp;LEN((--TRIM(RIGHT(SUBSTITUTE(LEFT(A125,_xlfn.AGGREGATE(16,6,FIND({0,1,2,3,4,5,6,7,8,9},A125,ROW(INDIRECT("1:"&amp;LEN(A125)))),1))," ",REPT(" ",LEN(A125))),LEN(A125))))))))+1, 1) * 10^ROW(INDIRECT("1:"&amp;LEN((--TRIM(RIGHT(SUBSTITUTE(LEFT(A125,_xlfn.AGGREGATE(16,6,FIND({0,1,2,3,4,5,6,7,8,9},A125,ROW(INDIRECT("1:"&amp;LEN(A125)))),1))," ",REPT(" ",LEN(A125))),LEN(A125)))))))/10))*100+1</f>
        <v>1001</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100">
        <v>2</v>
      </c>
      <c r="B127" s="100"/>
      <c r="C127" s="54" t="s">
        <v>95</v>
      </c>
      <c r="D127" s="54" t="s">
        <v>327</v>
      </c>
      <c r="E127" s="82">
        <f>195.92*10.764</f>
        <v>2108.8828799999997</v>
      </c>
      <c r="F127" s="83">
        <v>0</v>
      </c>
      <c r="G127" s="31">
        <v>0</v>
      </c>
      <c r="H127" s="31">
        <f t="shared" ref="H127:H129" si="3">E127+F127+(IF(G127&lt;101,G127,IF(G127&lt;201,G127/2,IF(G127&lt;=301,G127/3,G127/4))))</f>
        <v>2108.8828799999997</v>
      </c>
      <c r="I127" s="1"/>
      <c r="J127" s="1"/>
      <c r="K127" s="1"/>
      <c r="L127" s="1"/>
      <c r="M127" s="1"/>
      <c r="N127" s="1"/>
      <c r="O127" s="1"/>
      <c r="P127" s="1"/>
      <c r="Q127" s="1"/>
      <c r="R127" s="1"/>
      <c r="S127" s="1"/>
      <c r="T127" s="21" t="str">
        <f t="shared" ca="1" si="2"/>
        <v>1002,..,1002</v>
      </c>
      <c r="U127" s="21">
        <f ca="1">U126+1</f>
        <v>1002</v>
      </c>
      <c r="V127" s="21">
        <f ca="1">V126+1</f>
        <v>1002</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100">
        <v>3</v>
      </c>
      <c r="B128" s="100"/>
      <c r="C128" s="54" t="s">
        <v>95</v>
      </c>
      <c r="D128" s="54" t="s">
        <v>327</v>
      </c>
      <c r="E128" s="82">
        <f>207.51*10.764</f>
        <v>2233.6376399999999</v>
      </c>
      <c r="F128" s="83">
        <v>0</v>
      </c>
      <c r="G128" s="31">
        <v>0</v>
      </c>
      <c r="H128" s="31">
        <f t="shared" si="3"/>
        <v>2233.6376399999999</v>
      </c>
      <c r="I128" s="1"/>
      <c r="J128" s="1"/>
      <c r="K128" s="1"/>
      <c r="L128" s="1"/>
      <c r="M128" s="1"/>
      <c r="N128" s="1"/>
      <c r="O128" s="1"/>
      <c r="P128" s="1"/>
      <c r="Q128" s="1"/>
      <c r="R128" s="1"/>
      <c r="S128" s="1"/>
      <c r="T128" s="21" t="str">
        <f t="shared" ca="1" si="2"/>
        <v>1003,..,1003</v>
      </c>
      <c r="U128" s="21">
        <f t="shared" ref="U128:U129" ca="1" si="4">U127+1</f>
        <v>1003</v>
      </c>
      <c r="V128" s="21">
        <f t="shared" ref="V128:V129" ca="1" si="5">V127+1</f>
        <v>1003</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100">
        <v>4</v>
      </c>
      <c r="B129" s="100"/>
      <c r="C129" s="54" t="s">
        <v>95</v>
      </c>
      <c r="D129" s="54" t="s">
        <v>327</v>
      </c>
      <c r="E129" s="82">
        <f>201.2*10.764</f>
        <v>2165.7167999999997</v>
      </c>
      <c r="F129" s="83">
        <v>0</v>
      </c>
      <c r="G129" s="31">
        <v>0</v>
      </c>
      <c r="H129" s="31">
        <f t="shared" si="3"/>
        <v>2165.7167999999997</v>
      </c>
      <c r="I129" s="1"/>
      <c r="J129" s="1"/>
      <c r="K129" s="1"/>
      <c r="L129" s="1"/>
      <c r="M129" s="1"/>
      <c r="N129" s="1"/>
      <c r="O129" s="1"/>
      <c r="P129" s="1"/>
      <c r="Q129" s="1"/>
      <c r="R129" s="1"/>
      <c r="S129" s="1"/>
      <c r="T129" s="21" t="str">
        <f t="shared" ca="1" si="2"/>
        <v>1004,..,1004</v>
      </c>
      <c r="U129" s="21">
        <f t="shared" ca="1" si="4"/>
        <v>1004</v>
      </c>
      <c r="V129" s="21">
        <f t="shared" ca="1" si="5"/>
        <v>1004</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107" t="s">
        <v>329</v>
      </c>
      <c r="B130" s="108"/>
      <c r="C130" s="108"/>
      <c r="D130" s="108"/>
      <c r="E130" s="108"/>
      <c r="F130" s="108"/>
      <c r="G130" s="108"/>
      <c r="H130" s="10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100">
        <v>1</v>
      </c>
      <c r="B131" s="100"/>
      <c r="C131" s="54" t="s">
        <v>95</v>
      </c>
      <c r="D131" s="54" t="s">
        <v>327</v>
      </c>
      <c r="E131" s="82">
        <f>208.43*10.764</f>
        <v>2243.54052</v>
      </c>
      <c r="F131" s="83">
        <v>0</v>
      </c>
      <c r="G131" s="83">
        <v>0</v>
      </c>
      <c r="H131" s="83">
        <f>E131+F131+(IF(G131&lt;101,G131,IF(G131&lt;201,G131/2,IF(G131&lt;=301,G131/3,G131/4))))</f>
        <v>2243.54052</v>
      </c>
      <c r="I131" s="1"/>
      <c r="J131" s="1"/>
      <c r="K131" s="1"/>
      <c r="L131" s="1"/>
      <c r="M131" s="1"/>
      <c r="N131" s="1"/>
      <c r="O131" s="1"/>
      <c r="P131" s="1"/>
      <c r="Q131" s="1"/>
      <c r="R131" s="1"/>
      <c r="S131" s="1"/>
      <c r="T131" s="21" t="str">
        <f t="shared" ref="T131:T134" ca="1" si="6">U131&amp;""&amp;",..,"&amp;""&amp;V131</f>
        <v>1101,..,1301</v>
      </c>
      <c r="U131" s="21">
        <f ca="1">(SUMPRODUCT(MID(0&amp;(LEFT(A130,SUM(LEN(A130)-LEN(SUBSTITUTE(A130,{"0","1","2","3"},""))))), LARGE(INDEX(ISNUMBER(--MID((LEFT(A130,SUM(LEN(A130)-LEN(SUBSTITUTE(A130,{"0","1","2","3"},""))))), ROW(INDIRECT("1:"&amp;LEN((LEFT(A130,SUM(LEN(A130)-LEN(SUBSTITUTE(A130,{"0","1","2","3"},"")))))))), 1)) * ROW(INDIRECT("1:"&amp;LEN((LEFT(A130,SUM(LEN(A130)-LEN(SUBSTITUTE(A130,{"0","1","2","3"},"")))))))), 0), ROW(INDIRECT("1:"&amp;LEN((LEFT(A130,SUM(LEN(A130)-LEN(SUBSTITUTE(A130,{"0","1","2","3"},"")))))))))+1, 1) * 10^ROW(INDIRECT("1:"&amp;LEN((LEFT(A130,SUM(LEN(A130)-LEN(SUBSTITUTE(A130,{"0","1","2","3"},""))))))))/10))*100+1</f>
        <v>1101</v>
      </c>
      <c r="V131" s="21">
        <f ca="1">(SUMPRODUCT(MID(0&amp;(--TRIM(RIGHT(SUBSTITUTE(LEFT(A130,_xlfn.AGGREGATE(16,6,FIND({0,1,2,3,4,5,6,7,8,9},A130,ROW(INDIRECT("1:"&amp;LEN(A130)))),1))," ",REPT(" ",LEN(A130))),LEN(A130)))), LARGE(INDEX(ISNUMBER(--MID((--TRIM(RIGHT(SUBSTITUTE(LEFT(A130,_xlfn.AGGREGATE(16,6,FIND({0,1,2,3,4,5,6,7,8,9},A130,ROW(INDIRECT("1:"&amp;LEN(A130)))),1))," ",REPT(" ",LEN(A130))),LEN(A130)))), ROW(INDIRECT("1:"&amp;LEN((--TRIM(RIGHT(SUBSTITUTE(LEFT(A130,_xlfn.AGGREGATE(16,6,FIND({0,1,2,3,4,5,6,7,8,9},A130,ROW(INDIRECT("1:"&amp;LEN(A130)))),1))," ",REPT(" ",LEN(A130))),LEN(A130))))))), 1)) * ROW(INDIRECT("1:"&amp;LEN((--TRIM(RIGHT(SUBSTITUTE(LEFT(A130,_xlfn.AGGREGATE(16,6,FIND({0,1,2,3,4,5,6,7,8,9},A130,ROW(INDIRECT("1:"&amp;LEN(A130)))),1))," ",REPT(" ",LEN(A130))),LEN(A130))))))), 0), ROW(INDIRECT("1:"&amp;LEN((--TRIM(RIGHT(SUBSTITUTE(LEFT(A130,_xlfn.AGGREGATE(16,6,FIND({0,1,2,3,4,5,6,7,8,9},A130,ROW(INDIRECT("1:"&amp;LEN(A130)))),1))," ",REPT(" ",LEN(A130))),LEN(A130))))))))+1, 1) * 10^ROW(INDIRECT("1:"&amp;LEN((--TRIM(RIGHT(SUBSTITUTE(LEFT(A130,_xlfn.AGGREGATE(16,6,FIND({0,1,2,3,4,5,6,7,8,9},A130,ROW(INDIRECT("1:"&amp;LEN(A130)))),1))," ",REPT(" ",LEN(A130))),LEN(A130)))))))/10))*100+1</f>
        <v>1301</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100">
        <v>2</v>
      </c>
      <c r="B132" s="100"/>
      <c r="C132" s="54" t="s">
        <v>95</v>
      </c>
      <c r="D132" s="54" t="s">
        <v>327</v>
      </c>
      <c r="E132" s="82">
        <f>195.92*10.764</f>
        <v>2108.8828799999997</v>
      </c>
      <c r="F132" s="83">
        <v>0</v>
      </c>
      <c r="G132" s="83">
        <v>0</v>
      </c>
      <c r="H132" s="83">
        <f t="shared" ref="H132:H134" si="7">E132+F132+(IF(G132&lt;101,G132,IF(G132&lt;201,G132/2,IF(G132&lt;=301,G132/3,G132/4))))</f>
        <v>2108.8828799999997</v>
      </c>
      <c r="I132" s="1"/>
      <c r="J132" s="1"/>
      <c r="K132" s="1"/>
      <c r="L132" s="1"/>
      <c r="M132" s="1"/>
      <c r="N132" s="1"/>
      <c r="O132" s="1"/>
      <c r="P132" s="1"/>
      <c r="Q132" s="1"/>
      <c r="R132" s="1"/>
      <c r="S132" s="1"/>
      <c r="T132" s="21" t="str">
        <f t="shared" ca="1" si="6"/>
        <v>1102,..,1302</v>
      </c>
      <c r="U132" s="21">
        <f ca="1">U131+1</f>
        <v>1102</v>
      </c>
      <c r="V132" s="21">
        <f ca="1">V131+1</f>
        <v>1302</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100">
        <v>3</v>
      </c>
      <c r="B133" s="100"/>
      <c r="C133" s="54" t="s">
        <v>95</v>
      </c>
      <c r="D133" s="54" t="s">
        <v>327</v>
      </c>
      <c r="E133" s="82">
        <f>207.51*10.764</f>
        <v>2233.6376399999999</v>
      </c>
      <c r="F133" s="83">
        <v>0</v>
      </c>
      <c r="G133" s="83">
        <v>0</v>
      </c>
      <c r="H133" s="83">
        <f t="shared" si="7"/>
        <v>2233.6376399999999</v>
      </c>
      <c r="I133" s="1"/>
      <c r="J133" s="1"/>
      <c r="K133" s="1"/>
      <c r="L133" s="1"/>
      <c r="M133" s="1"/>
      <c r="N133" s="1"/>
      <c r="O133" s="1"/>
      <c r="P133" s="1"/>
      <c r="Q133" s="1"/>
      <c r="R133" s="1"/>
      <c r="S133" s="1"/>
      <c r="T133" s="21" t="str">
        <f t="shared" ca="1" si="6"/>
        <v>1103,..,1303</v>
      </c>
      <c r="U133" s="21">
        <f t="shared" ref="U133:V134" ca="1" si="8">U132+1</f>
        <v>1103</v>
      </c>
      <c r="V133" s="21">
        <f t="shared" ca="1" si="8"/>
        <v>1303</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100">
        <v>4</v>
      </c>
      <c r="B134" s="100"/>
      <c r="C134" s="54" t="s">
        <v>95</v>
      </c>
      <c r="D134" s="54" t="s">
        <v>327</v>
      </c>
      <c r="E134" s="82">
        <f>201.2*10.764</f>
        <v>2165.7167999999997</v>
      </c>
      <c r="F134" s="83">
        <v>0</v>
      </c>
      <c r="G134" s="83">
        <v>0</v>
      </c>
      <c r="H134" s="83">
        <f t="shared" si="7"/>
        <v>2165.7167999999997</v>
      </c>
      <c r="I134" s="1"/>
      <c r="J134" s="1"/>
      <c r="K134" s="1"/>
      <c r="L134" s="1"/>
      <c r="M134" s="1"/>
      <c r="N134" s="1"/>
      <c r="O134" s="1"/>
      <c r="P134" s="1"/>
      <c r="Q134" s="1"/>
      <c r="R134" s="1"/>
      <c r="S134" s="1"/>
      <c r="T134" s="21" t="str">
        <f t="shared" ca="1" si="6"/>
        <v>1104,..,1304</v>
      </c>
      <c r="U134" s="21">
        <f t="shared" ca="1" si="8"/>
        <v>1104</v>
      </c>
      <c r="V134" s="21">
        <f t="shared" ca="1" si="8"/>
        <v>1304</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07" t="s">
        <v>330</v>
      </c>
      <c r="B135" s="108"/>
      <c r="C135" s="108"/>
      <c r="D135" s="108"/>
      <c r="E135" s="108"/>
      <c r="F135" s="108"/>
      <c r="G135" s="108"/>
      <c r="H135" s="10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100">
        <v>1</v>
      </c>
      <c r="B136" s="100"/>
      <c r="C136" s="54" t="s">
        <v>95</v>
      </c>
      <c r="D136" s="54" t="s">
        <v>327</v>
      </c>
      <c r="E136" s="82">
        <f>208.43*10.764</f>
        <v>2243.54052</v>
      </c>
      <c r="F136" s="83">
        <v>0</v>
      </c>
      <c r="G136" s="83">
        <v>0</v>
      </c>
      <c r="H136" s="83">
        <f>E136+F136+(IF(G136&lt;101,G136,IF(G136&lt;201,G136/2,IF(G136&lt;=301,G136/3,G136/4))))</f>
        <v>2243.54052</v>
      </c>
      <c r="I136" s="1"/>
      <c r="J136" s="1"/>
      <c r="K136" s="1"/>
      <c r="L136" s="1"/>
      <c r="M136" s="1"/>
      <c r="N136" s="1"/>
      <c r="O136" s="1"/>
      <c r="P136" s="1"/>
      <c r="Q136" s="1"/>
      <c r="R136" s="1"/>
      <c r="S136" s="1"/>
      <c r="T136" s="21" t="str">
        <f t="shared" ref="T136:T139" ca="1" si="9">U136&amp;""&amp;",..,"&amp;""&amp;V136</f>
        <v>101,..,1401</v>
      </c>
      <c r="U136" s="21">
        <f ca="1">(SUMPRODUCT(MID(0&amp;(LEFT(A135,SUM(LEN(A135)-LEN(SUBSTITUTE(A135,{"0","1","2","3"},""))))), LARGE(INDEX(ISNUMBER(--MID((LEFT(A135,SUM(LEN(A135)-LEN(SUBSTITUTE(A135,{"0","1","2","3"},""))))), ROW(INDIRECT("1:"&amp;LEN((LEFT(A135,SUM(LEN(A135)-LEN(SUBSTITUTE(A135,{"0","1","2","3"},"")))))))), 1)) * ROW(INDIRECT("1:"&amp;LEN((LEFT(A135,SUM(LEN(A135)-LEN(SUBSTITUTE(A135,{"0","1","2","3"},"")))))))), 0), ROW(INDIRECT("1:"&amp;LEN((LEFT(A135,SUM(LEN(A135)-LEN(SUBSTITUTE(A135,{"0","1","2","3"},"")))))))))+1, 1) * 10^ROW(INDIRECT("1:"&amp;LEN((LEFT(A135,SUM(LEN(A135)-LEN(SUBSTITUTE(A135,{"0","1","2","3"},""))))))))/10))*100+1</f>
        <v>101</v>
      </c>
      <c r="V136" s="21">
        <f ca="1">(SUMPRODUCT(MID(0&amp;(--TRIM(RIGHT(SUBSTITUTE(LEFT(A135,_xlfn.AGGREGATE(16,6,FIND({0,1,2,3,4,5,6,7,8,9},A135,ROW(INDIRECT("1:"&amp;LEN(A135)))),1))," ",REPT(" ",LEN(A135))),LEN(A135)))), LARGE(INDEX(ISNUMBER(--MID((--TRIM(RIGHT(SUBSTITUTE(LEFT(A135,_xlfn.AGGREGATE(16,6,FIND({0,1,2,3,4,5,6,7,8,9},A135,ROW(INDIRECT("1:"&amp;LEN(A135)))),1))," ",REPT(" ",LEN(A135))),LEN(A135)))), ROW(INDIRECT("1:"&amp;LEN((--TRIM(RIGHT(SUBSTITUTE(LEFT(A135,_xlfn.AGGREGATE(16,6,FIND({0,1,2,3,4,5,6,7,8,9},A135,ROW(INDIRECT("1:"&amp;LEN(A135)))),1))," ",REPT(" ",LEN(A135))),LEN(A135))))))), 1)) * ROW(INDIRECT("1:"&amp;LEN((--TRIM(RIGHT(SUBSTITUTE(LEFT(A135,_xlfn.AGGREGATE(16,6,FIND({0,1,2,3,4,5,6,7,8,9},A135,ROW(INDIRECT("1:"&amp;LEN(A135)))),1))," ",REPT(" ",LEN(A135))),LEN(A135))))))), 0), ROW(INDIRECT("1:"&amp;LEN((--TRIM(RIGHT(SUBSTITUTE(LEFT(A135,_xlfn.AGGREGATE(16,6,FIND({0,1,2,3,4,5,6,7,8,9},A135,ROW(INDIRECT("1:"&amp;LEN(A135)))),1))," ",REPT(" ",LEN(A135))),LEN(A135))))))))+1, 1) * 10^ROW(INDIRECT("1:"&amp;LEN((--TRIM(RIGHT(SUBSTITUTE(LEFT(A135,_xlfn.AGGREGATE(16,6,FIND({0,1,2,3,4,5,6,7,8,9},A135,ROW(INDIRECT("1:"&amp;LEN(A135)))),1))," ",REPT(" ",LEN(A135))),LEN(A135)))))))/10))*100+1</f>
        <v>1401</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100">
        <v>2</v>
      </c>
      <c r="B137" s="100"/>
      <c r="C137" s="54" t="s">
        <v>95</v>
      </c>
      <c r="D137" s="54" t="s">
        <v>327</v>
      </c>
      <c r="E137" s="82">
        <f>195.92*10.764</f>
        <v>2108.8828799999997</v>
      </c>
      <c r="F137" s="83">
        <v>0</v>
      </c>
      <c r="G137" s="83">
        <v>0</v>
      </c>
      <c r="H137" s="83">
        <f t="shared" ref="H137:H139" si="10">E137+F137+(IF(G137&lt;101,G137,IF(G137&lt;201,G137/2,IF(G137&lt;=301,G137/3,G137/4))))</f>
        <v>2108.8828799999997</v>
      </c>
      <c r="I137" s="1"/>
      <c r="J137" s="1"/>
      <c r="K137" s="1"/>
      <c r="L137" s="1"/>
      <c r="M137" s="1"/>
      <c r="N137" s="1"/>
      <c r="O137" s="1"/>
      <c r="P137" s="1"/>
      <c r="Q137" s="1"/>
      <c r="R137" s="1"/>
      <c r="S137" s="1"/>
      <c r="T137" s="21" t="str">
        <f t="shared" ca="1" si="9"/>
        <v>102,..,1402</v>
      </c>
      <c r="U137" s="21">
        <f ca="1">U136+1</f>
        <v>102</v>
      </c>
      <c r="V137" s="21">
        <f ca="1">V136+1</f>
        <v>1402</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100">
        <v>3</v>
      </c>
      <c r="B138" s="100"/>
      <c r="C138" s="54" t="s">
        <v>95</v>
      </c>
      <c r="D138" s="54" t="s">
        <v>327</v>
      </c>
      <c r="E138" s="82">
        <f>207.51*10.764</f>
        <v>2233.6376399999999</v>
      </c>
      <c r="F138" s="83">
        <v>0</v>
      </c>
      <c r="G138" s="83">
        <v>0</v>
      </c>
      <c r="H138" s="83">
        <f t="shared" si="10"/>
        <v>2233.6376399999999</v>
      </c>
      <c r="I138" s="1"/>
      <c r="J138" s="1"/>
      <c r="K138" s="1"/>
      <c r="L138" s="1"/>
      <c r="M138" s="1"/>
      <c r="N138" s="1"/>
      <c r="O138" s="1"/>
      <c r="P138" s="1"/>
      <c r="Q138" s="1"/>
      <c r="R138" s="1"/>
      <c r="S138" s="1"/>
      <c r="T138" s="21" t="str">
        <f t="shared" ca="1" si="9"/>
        <v>103,..,1403</v>
      </c>
      <c r="U138" s="21">
        <f t="shared" ref="U138:V138" ca="1" si="11">U137+1</f>
        <v>103</v>
      </c>
      <c r="V138" s="21">
        <f t="shared" ca="1" si="11"/>
        <v>1403</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100">
        <v>4</v>
      </c>
      <c r="B139" s="100"/>
      <c r="C139" s="54" t="s">
        <v>95</v>
      </c>
      <c r="D139" s="54" t="s">
        <v>327</v>
      </c>
      <c r="E139" s="82">
        <f>201.2*10.764</f>
        <v>2165.7167999999997</v>
      </c>
      <c r="F139" s="83">
        <v>0</v>
      </c>
      <c r="G139" s="83">
        <v>0</v>
      </c>
      <c r="H139" s="83">
        <f t="shared" si="10"/>
        <v>2165.7167999999997</v>
      </c>
      <c r="I139" s="1"/>
      <c r="J139" s="1"/>
      <c r="K139" s="1"/>
      <c r="L139" s="1"/>
      <c r="M139" s="1"/>
      <c r="N139" s="1"/>
      <c r="O139" s="1"/>
      <c r="P139" s="1"/>
      <c r="Q139" s="1"/>
      <c r="R139" s="1"/>
      <c r="S139" s="1"/>
      <c r="T139" s="21" t="str">
        <f t="shared" ca="1" si="9"/>
        <v>104,..,1404</v>
      </c>
      <c r="U139" s="21">
        <f t="shared" ref="U139:V139" ca="1" si="12">U138+1</f>
        <v>104</v>
      </c>
      <c r="V139" s="21">
        <f t="shared" ca="1" si="12"/>
        <v>1404</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07" t="s">
        <v>331</v>
      </c>
      <c r="B140" s="108"/>
      <c r="C140" s="108"/>
      <c r="D140" s="108"/>
      <c r="E140" s="108"/>
      <c r="F140" s="108"/>
      <c r="G140" s="108"/>
      <c r="H140" s="10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00">
        <v>1</v>
      </c>
      <c r="B141" s="100"/>
      <c r="C141" s="54" t="s">
        <v>95</v>
      </c>
      <c r="D141" s="54" t="s">
        <v>327</v>
      </c>
      <c r="E141" s="82">
        <f>208.43*10.764</f>
        <v>2243.54052</v>
      </c>
      <c r="F141" s="83">
        <v>0</v>
      </c>
      <c r="G141" s="83">
        <v>0</v>
      </c>
      <c r="H141" s="83">
        <f>E141+F141+(IF(G141&lt;101,G141,IF(G141&lt;201,G141/2,IF(G141&lt;=301,G141/3,G141/4))))</f>
        <v>2243.54052</v>
      </c>
      <c r="I141" s="1"/>
      <c r="J141" s="1"/>
      <c r="K141" s="1"/>
      <c r="L141" s="1"/>
      <c r="M141" s="1"/>
      <c r="N141" s="1"/>
      <c r="O141" s="1"/>
      <c r="P141" s="1"/>
      <c r="Q141" s="1"/>
      <c r="R141" s="1"/>
      <c r="S141" s="1"/>
      <c r="T141" s="21" t="str">
        <f t="shared" ref="T141:T144" ca="1" si="13">U141&amp;""&amp;",..,"&amp;""&amp;V141</f>
        <v>101,..,1501</v>
      </c>
      <c r="U141" s="21">
        <f ca="1">(SUMPRODUCT(MID(0&amp;(LEFT(A140,SUM(LEN(A140)-LEN(SUBSTITUTE(A140,{"0","1","2","3"},""))))), LARGE(INDEX(ISNUMBER(--MID((LEFT(A140,SUM(LEN(A140)-LEN(SUBSTITUTE(A140,{"0","1","2","3"},""))))), ROW(INDIRECT("1:"&amp;LEN((LEFT(A140,SUM(LEN(A140)-LEN(SUBSTITUTE(A140,{"0","1","2","3"},"")))))))), 1)) * ROW(INDIRECT("1:"&amp;LEN((LEFT(A140,SUM(LEN(A140)-LEN(SUBSTITUTE(A140,{"0","1","2","3"},"")))))))), 0), ROW(INDIRECT("1:"&amp;LEN((LEFT(A140,SUM(LEN(A140)-LEN(SUBSTITUTE(A140,{"0","1","2","3"},"")))))))))+1, 1) * 10^ROW(INDIRECT("1:"&amp;LEN((LEFT(A140,SUM(LEN(A140)-LEN(SUBSTITUTE(A140,{"0","1","2","3"},""))))))))/10))*100+1</f>
        <v>101</v>
      </c>
      <c r="V141" s="21">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1501</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00">
        <v>2</v>
      </c>
      <c r="B142" s="100"/>
      <c r="C142" s="54" t="s">
        <v>95</v>
      </c>
      <c r="D142" s="54" t="s">
        <v>327</v>
      </c>
      <c r="E142" s="82">
        <f>195.92*10.764</f>
        <v>2108.8828799999997</v>
      </c>
      <c r="F142" s="83">
        <v>0</v>
      </c>
      <c r="G142" s="83">
        <v>0</v>
      </c>
      <c r="H142" s="83">
        <f t="shared" ref="H142:H144" si="14">E142+F142+(IF(G142&lt;101,G142,IF(G142&lt;201,G142/2,IF(G142&lt;=301,G142/3,G142/4))))</f>
        <v>2108.8828799999997</v>
      </c>
      <c r="I142" s="1"/>
      <c r="J142" s="1"/>
      <c r="K142" s="1"/>
      <c r="L142" s="1"/>
      <c r="M142" s="1"/>
      <c r="N142" s="1"/>
      <c r="O142" s="1"/>
      <c r="P142" s="1"/>
      <c r="Q142" s="1"/>
      <c r="R142" s="1"/>
      <c r="S142" s="1"/>
      <c r="T142" s="21" t="str">
        <f t="shared" ca="1" si="13"/>
        <v>102,..,1502</v>
      </c>
      <c r="U142" s="21">
        <f ca="1">U141+1</f>
        <v>102</v>
      </c>
      <c r="V142" s="21">
        <f ca="1">V141+1</f>
        <v>1502</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00">
        <v>3</v>
      </c>
      <c r="B143" s="100"/>
      <c r="C143" s="54" t="s">
        <v>95</v>
      </c>
      <c r="D143" s="54" t="s">
        <v>327</v>
      </c>
      <c r="E143" s="82">
        <f>207.51*10.764</f>
        <v>2233.6376399999999</v>
      </c>
      <c r="F143" s="83">
        <v>0</v>
      </c>
      <c r="G143" s="83">
        <v>0</v>
      </c>
      <c r="H143" s="83">
        <f t="shared" si="14"/>
        <v>2233.6376399999999</v>
      </c>
      <c r="I143" s="1"/>
      <c r="J143" s="1"/>
      <c r="K143" s="1"/>
      <c r="L143" s="1"/>
      <c r="M143" s="1"/>
      <c r="N143" s="1"/>
      <c r="O143" s="1"/>
      <c r="P143" s="1"/>
      <c r="Q143" s="1"/>
      <c r="R143" s="1"/>
      <c r="S143" s="1"/>
      <c r="T143" s="21" t="str">
        <f t="shared" ca="1" si="13"/>
        <v>103,..,1503</v>
      </c>
      <c r="U143" s="21">
        <f t="shared" ref="U143:V143" ca="1" si="15">U142+1</f>
        <v>103</v>
      </c>
      <c r="V143" s="21">
        <f t="shared" ca="1" si="15"/>
        <v>1503</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00">
        <v>4</v>
      </c>
      <c r="B144" s="100"/>
      <c r="C144" s="54" t="s">
        <v>95</v>
      </c>
      <c r="D144" s="54" t="s">
        <v>327</v>
      </c>
      <c r="E144" s="82">
        <f>201.2*10.764</f>
        <v>2165.7167999999997</v>
      </c>
      <c r="F144" s="83">
        <v>0</v>
      </c>
      <c r="G144" s="83">
        <v>0</v>
      </c>
      <c r="H144" s="83">
        <f t="shared" si="14"/>
        <v>2165.7167999999997</v>
      </c>
      <c r="I144" s="1"/>
      <c r="J144" s="1"/>
      <c r="K144" s="1"/>
      <c r="L144" s="1"/>
      <c r="M144" s="1"/>
      <c r="N144" s="1"/>
      <c r="O144" s="1"/>
      <c r="P144" s="1"/>
      <c r="Q144" s="1"/>
      <c r="R144" s="1"/>
      <c r="S144" s="1"/>
      <c r="T144" s="21" t="str">
        <f t="shared" ca="1" si="13"/>
        <v>104,..,1504</v>
      </c>
      <c r="U144" s="21">
        <f t="shared" ref="U144:V144" ca="1" si="16">U143+1</f>
        <v>104</v>
      </c>
      <c r="V144" s="21">
        <f t="shared" ca="1" si="16"/>
        <v>1504</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101" t="s">
        <v>332</v>
      </c>
      <c r="B145" s="102"/>
      <c r="C145" s="102"/>
      <c r="D145" s="102"/>
      <c r="E145" s="102"/>
      <c r="F145" s="102"/>
      <c r="G145" s="102"/>
      <c r="H145" s="103"/>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00">
        <v>1</v>
      </c>
      <c r="B146" s="100"/>
      <c r="C146" s="104" t="s">
        <v>326</v>
      </c>
      <c r="D146" s="105"/>
      <c r="E146" s="105"/>
      <c r="F146" s="105"/>
      <c r="G146" s="105"/>
      <c r="H146" s="106"/>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04">
        <f>A146+1</f>
        <v>2</v>
      </c>
      <c r="B147" s="106"/>
      <c r="C147" s="54" t="s">
        <v>95</v>
      </c>
      <c r="D147" s="54" t="s">
        <v>327</v>
      </c>
      <c r="E147" s="82">
        <f>195.92*10.764</f>
        <v>2108.8828799999997</v>
      </c>
      <c r="F147" s="83">
        <v>0</v>
      </c>
      <c r="G147" s="83">
        <v>0</v>
      </c>
      <c r="H147" s="83">
        <f t="shared" ref="H147:H149" si="17">E147+F147+(IF(G147&lt;101,G147,IF(G147&lt;201,G147/2,IF(G147&lt;=301,G147/3,G147/4))))</f>
        <v>2108.8828799999997</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104">
        <f t="shared" ref="A148:A149" si="18">A147+1</f>
        <v>3</v>
      </c>
      <c r="B148" s="106"/>
      <c r="C148" s="54" t="s">
        <v>95</v>
      </c>
      <c r="D148" s="54" t="s">
        <v>327</v>
      </c>
      <c r="E148" s="82">
        <f>207.51*10.764</f>
        <v>2233.6376399999999</v>
      </c>
      <c r="F148" s="83">
        <v>0</v>
      </c>
      <c r="G148" s="83">
        <v>0</v>
      </c>
      <c r="H148" s="83">
        <f t="shared" si="17"/>
        <v>2233.6376399999999</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104">
        <f t="shared" si="18"/>
        <v>4</v>
      </c>
      <c r="B149" s="106"/>
      <c r="C149" s="54" t="s">
        <v>95</v>
      </c>
      <c r="D149" s="54" t="s">
        <v>327</v>
      </c>
      <c r="E149" s="82">
        <f>201.2*10.764</f>
        <v>2165.7167999999997</v>
      </c>
      <c r="F149" s="83">
        <v>0</v>
      </c>
      <c r="G149" s="83">
        <v>0</v>
      </c>
      <c r="H149" s="83">
        <f t="shared" si="17"/>
        <v>2165.7167999999997</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07" t="s">
        <v>333</v>
      </c>
      <c r="B150" s="108"/>
      <c r="C150" s="108"/>
      <c r="D150" s="108"/>
      <c r="E150" s="108"/>
      <c r="F150" s="108"/>
      <c r="G150" s="108"/>
      <c r="H150" s="10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00">
        <v>1</v>
      </c>
      <c r="B151" s="100"/>
      <c r="C151" s="54" t="s">
        <v>95</v>
      </c>
      <c r="D151" s="54" t="s">
        <v>327</v>
      </c>
      <c r="E151" s="82">
        <f>208.43*10.764</f>
        <v>2243.54052</v>
      </c>
      <c r="F151" s="83">
        <v>0</v>
      </c>
      <c r="G151" s="83">
        <v>0</v>
      </c>
      <c r="H151" s="83">
        <f>E151+F151+(IF(G151&lt;101,G151,IF(G151&lt;201,G151/2,IF(G151&lt;=301,G151/3,G151/4))))</f>
        <v>2243.54052</v>
      </c>
      <c r="I151" s="1"/>
      <c r="J151" s="1"/>
      <c r="K151" s="1"/>
      <c r="L151" s="1"/>
      <c r="M151" s="1"/>
      <c r="N151" s="1"/>
      <c r="O151" s="1"/>
      <c r="P151" s="1"/>
      <c r="Q151" s="1"/>
      <c r="R151" s="1"/>
      <c r="S151" s="1"/>
      <c r="T151" s="21" t="str">
        <f t="shared" ref="T151:T154" ca="1" si="19">U151&amp;""&amp;",..,"&amp;""&amp;V151</f>
        <v>101,..,1701</v>
      </c>
      <c r="U151" s="21">
        <f ca="1">(SUMPRODUCT(MID(0&amp;(LEFT(A150,SUM(LEN(A150)-LEN(SUBSTITUTE(A150,{"0","1","2","3"},""))))), LARGE(INDEX(ISNUMBER(--MID((LEFT(A150,SUM(LEN(A150)-LEN(SUBSTITUTE(A150,{"0","1","2","3"},""))))), ROW(INDIRECT("1:"&amp;LEN((LEFT(A150,SUM(LEN(A150)-LEN(SUBSTITUTE(A150,{"0","1","2","3"},"")))))))), 1)) * ROW(INDIRECT("1:"&amp;LEN((LEFT(A150,SUM(LEN(A150)-LEN(SUBSTITUTE(A150,{"0","1","2","3"},"")))))))), 0), ROW(INDIRECT("1:"&amp;LEN((LEFT(A150,SUM(LEN(A150)-LEN(SUBSTITUTE(A150,{"0","1","2","3"},"")))))))))+1, 1) * 10^ROW(INDIRECT("1:"&amp;LEN((LEFT(A150,SUM(LEN(A150)-LEN(SUBSTITUTE(A150,{"0","1","2","3"},""))))))))/10))*100+1</f>
        <v>101</v>
      </c>
      <c r="V151" s="21">
        <f ca="1">(SUMPRODUCT(MID(0&amp;(--TRIM(RIGHT(SUBSTITUTE(LEFT(A150,_xlfn.AGGREGATE(16,6,FIND({0,1,2,3,4,5,6,7,8,9},A150,ROW(INDIRECT("1:"&amp;LEN(A150)))),1)),"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1701</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00">
        <v>2</v>
      </c>
      <c r="B152" s="100"/>
      <c r="C152" s="54" t="s">
        <v>95</v>
      </c>
      <c r="D152" s="54" t="s">
        <v>327</v>
      </c>
      <c r="E152" s="82">
        <f>195.92*10.764</f>
        <v>2108.8828799999997</v>
      </c>
      <c r="F152" s="83">
        <v>0</v>
      </c>
      <c r="G152" s="83">
        <v>0</v>
      </c>
      <c r="H152" s="83">
        <f t="shared" ref="H152:H154" si="20">E152+F152+(IF(G152&lt;101,G152,IF(G152&lt;201,G152/2,IF(G152&lt;=301,G152/3,G152/4))))</f>
        <v>2108.8828799999997</v>
      </c>
      <c r="I152" s="1"/>
      <c r="J152" s="1"/>
      <c r="K152" s="1"/>
      <c r="L152" s="1"/>
      <c r="M152" s="1"/>
      <c r="N152" s="1"/>
      <c r="O152" s="1"/>
      <c r="P152" s="1"/>
      <c r="Q152" s="1"/>
      <c r="R152" s="1"/>
      <c r="S152" s="1"/>
      <c r="T152" s="21" t="str">
        <f t="shared" ca="1" si="19"/>
        <v>102,..,1702</v>
      </c>
      <c r="U152" s="21">
        <f ca="1">U151+1</f>
        <v>102</v>
      </c>
      <c r="V152" s="21">
        <f ca="1">V151+1</f>
        <v>1702</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00">
        <v>3</v>
      </c>
      <c r="B153" s="100"/>
      <c r="C153" s="54" t="s">
        <v>95</v>
      </c>
      <c r="D153" s="54" t="s">
        <v>327</v>
      </c>
      <c r="E153" s="82">
        <f>207.51*10.764</f>
        <v>2233.6376399999999</v>
      </c>
      <c r="F153" s="83">
        <v>0</v>
      </c>
      <c r="G153" s="83">
        <v>0</v>
      </c>
      <c r="H153" s="83">
        <f t="shared" si="20"/>
        <v>2233.6376399999999</v>
      </c>
      <c r="I153" s="1"/>
      <c r="J153" s="1"/>
      <c r="K153" s="1"/>
      <c r="L153" s="1"/>
      <c r="M153" s="1"/>
      <c r="N153" s="1"/>
      <c r="O153" s="1"/>
      <c r="P153" s="1"/>
      <c r="Q153" s="1"/>
      <c r="R153" s="1"/>
      <c r="S153" s="1"/>
      <c r="T153" s="21" t="str">
        <f t="shared" ca="1" si="19"/>
        <v>103,..,1703</v>
      </c>
      <c r="U153" s="21">
        <f t="shared" ref="U153:V154" ca="1" si="21">U152+1</f>
        <v>103</v>
      </c>
      <c r="V153" s="21">
        <f t="shared" ca="1" si="21"/>
        <v>1703</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00">
        <v>4</v>
      </c>
      <c r="B154" s="100"/>
      <c r="C154" s="54" t="s">
        <v>95</v>
      </c>
      <c r="D154" s="54" t="s">
        <v>327</v>
      </c>
      <c r="E154" s="82">
        <f>201.2*10.764</f>
        <v>2165.7167999999997</v>
      </c>
      <c r="F154" s="83">
        <v>0</v>
      </c>
      <c r="G154" s="83">
        <v>0</v>
      </c>
      <c r="H154" s="83">
        <f t="shared" si="20"/>
        <v>2165.7167999999997</v>
      </c>
      <c r="I154" s="1"/>
      <c r="J154" s="1"/>
      <c r="K154" s="1"/>
      <c r="L154" s="1"/>
      <c r="M154" s="1"/>
      <c r="N154" s="1"/>
      <c r="O154" s="1"/>
      <c r="P154" s="1"/>
      <c r="Q154" s="1"/>
      <c r="R154" s="1"/>
      <c r="S154" s="1"/>
      <c r="T154" s="21" t="str">
        <f t="shared" ca="1" si="19"/>
        <v>104,..,1704</v>
      </c>
      <c r="U154" s="21">
        <f t="shared" ca="1" si="21"/>
        <v>104</v>
      </c>
      <c r="V154" s="21">
        <f t="shared" ca="1" si="21"/>
        <v>1704</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07" t="s">
        <v>334</v>
      </c>
      <c r="B155" s="108"/>
      <c r="C155" s="108"/>
      <c r="D155" s="108"/>
      <c r="E155" s="108"/>
      <c r="F155" s="108"/>
      <c r="G155" s="108"/>
      <c r="H155" s="10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00">
        <v>1</v>
      </c>
      <c r="B156" s="100"/>
      <c r="C156" s="54" t="s">
        <v>95</v>
      </c>
      <c r="D156" s="54" t="s">
        <v>327</v>
      </c>
      <c r="E156" s="82">
        <f>208.43*10.764</f>
        <v>2243.54052</v>
      </c>
      <c r="F156" s="83">
        <v>0</v>
      </c>
      <c r="G156" s="83">
        <v>0</v>
      </c>
      <c r="H156" s="83">
        <f>E156+F156+(IF(G156&lt;101,G156,IF(G156&lt;201,G156/2,IF(G156&lt;=301,G156/3,G156/4))))</f>
        <v>2243.54052</v>
      </c>
      <c r="I156" s="1"/>
      <c r="J156" s="1"/>
      <c r="K156" s="1"/>
      <c r="L156" s="1"/>
      <c r="M156" s="1"/>
      <c r="N156" s="1"/>
      <c r="O156" s="1"/>
      <c r="P156" s="1"/>
      <c r="Q156" s="1"/>
      <c r="R156" s="1"/>
      <c r="S156" s="1"/>
      <c r="T156" s="21" t="str">
        <f t="shared" ref="T156:T159" ca="1" si="22">U156&amp;""&amp;",..,"&amp;""&amp;V156</f>
        <v>101,..,1801</v>
      </c>
      <c r="U156" s="21">
        <f ca="1">(SUMPRODUCT(MID(0&amp;(LEFT(A155,SUM(LEN(A155)-LEN(SUBSTITUTE(A155,{"0","1","2","3"},""))))), LARGE(INDEX(ISNUMBER(--MID((LEFT(A155,SUM(LEN(A155)-LEN(SUBSTITUTE(A155,{"0","1","2","3"},""))))), ROW(INDIRECT("1:"&amp;LEN((LEFT(A155,SUM(LEN(A155)-LEN(SUBSTITUTE(A155,{"0","1","2","3"},"")))))))), 1)) * ROW(INDIRECT("1:"&amp;LEN((LEFT(A155,SUM(LEN(A155)-LEN(SUBSTITUTE(A155,{"0","1","2","3"},"")))))))), 0), ROW(INDIRECT("1:"&amp;LEN((LEFT(A155,SUM(LEN(A155)-LEN(SUBSTITUTE(A155,{"0","1","2","3"},"")))))))))+1, 1) * 10^ROW(INDIRECT("1:"&amp;LEN((LEFT(A155,SUM(LEN(A155)-LEN(SUBSTITUTE(A155,{"0","1","2","3"},""))))))))/10))*100+1</f>
        <v>101</v>
      </c>
      <c r="V156" s="21">
        <f ca="1">(SUMPRODUCT(MID(0&amp;(--TRIM(RIGHT(SUBSTITUTE(LEFT(A155,_xlfn.AGGREGATE(16,6,FIND({0,1,2,3,4,5,6,7,8,9},A155,ROW(INDIRECT("1:"&amp;LEN(A155)))),1)),"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1801</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00">
        <v>2</v>
      </c>
      <c r="B157" s="100"/>
      <c r="C157" s="54" t="s">
        <v>95</v>
      </c>
      <c r="D157" s="54" t="s">
        <v>327</v>
      </c>
      <c r="E157" s="82">
        <f>195.92*10.764</f>
        <v>2108.8828799999997</v>
      </c>
      <c r="F157" s="83">
        <v>0</v>
      </c>
      <c r="G157" s="83">
        <v>0</v>
      </c>
      <c r="H157" s="83">
        <f t="shared" ref="H157:H159" si="23">E157+F157+(IF(G157&lt;101,G157,IF(G157&lt;201,G157/2,IF(G157&lt;=301,G157/3,G157/4))))</f>
        <v>2108.8828799999997</v>
      </c>
      <c r="I157" s="1"/>
      <c r="J157" s="1"/>
      <c r="K157" s="1"/>
      <c r="L157" s="1"/>
      <c r="M157" s="1"/>
      <c r="N157" s="1"/>
      <c r="O157" s="1"/>
      <c r="P157" s="1"/>
      <c r="Q157" s="1"/>
      <c r="R157" s="1"/>
      <c r="S157" s="1"/>
      <c r="T157" s="21" t="str">
        <f t="shared" ca="1" si="22"/>
        <v>102,..,1802</v>
      </c>
      <c r="U157" s="21">
        <f ca="1">U156+1</f>
        <v>102</v>
      </c>
      <c r="V157" s="21">
        <f ca="1">V156+1</f>
        <v>1802</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00">
        <v>3</v>
      </c>
      <c r="B158" s="100"/>
      <c r="C158" s="54" t="s">
        <v>95</v>
      </c>
      <c r="D158" s="54" t="s">
        <v>327</v>
      </c>
      <c r="E158" s="82">
        <f>207.51*10.764</f>
        <v>2233.6376399999999</v>
      </c>
      <c r="F158" s="83">
        <v>0</v>
      </c>
      <c r="G158" s="83">
        <v>0</v>
      </c>
      <c r="H158" s="83">
        <f t="shared" si="23"/>
        <v>2233.6376399999999</v>
      </c>
      <c r="I158" s="1"/>
      <c r="J158" s="1"/>
      <c r="K158" s="1"/>
      <c r="L158" s="1"/>
      <c r="M158" s="1"/>
      <c r="N158" s="1"/>
      <c r="O158" s="1"/>
      <c r="P158" s="1"/>
      <c r="Q158" s="1"/>
      <c r="R158" s="1"/>
      <c r="S158" s="1"/>
      <c r="T158" s="21" t="str">
        <f t="shared" ca="1" si="22"/>
        <v>103,..,1803</v>
      </c>
      <c r="U158" s="21">
        <f t="shared" ref="U158:V158" ca="1" si="24">U157+1</f>
        <v>103</v>
      </c>
      <c r="V158" s="21">
        <f t="shared" ca="1" si="24"/>
        <v>1803</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00">
        <v>4</v>
      </c>
      <c r="B159" s="100"/>
      <c r="C159" s="54" t="s">
        <v>95</v>
      </c>
      <c r="D159" s="54" t="s">
        <v>327</v>
      </c>
      <c r="E159" s="82">
        <f>201.2*10.764</f>
        <v>2165.7167999999997</v>
      </c>
      <c r="F159" s="83">
        <v>0</v>
      </c>
      <c r="G159" s="83">
        <v>0</v>
      </c>
      <c r="H159" s="83">
        <f t="shared" si="23"/>
        <v>2165.7167999999997</v>
      </c>
      <c r="I159" s="1"/>
      <c r="J159" s="1"/>
      <c r="K159" s="1"/>
      <c r="L159" s="1"/>
      <c r="M159" s="1"/>
      <c r="N159" s="1"/>
      <c r="O159" s="1"/>
      <c r="P159" s="1"/>
      <c r="Q159" s="1"/>
      <c r="R159" s="1"/>
      <c r="S159" s="1"/>
      <c r="T159" s="21" t="str">
        <f t="shared" ca="1" si="22"/>
        <v>104,..,1804</v>
      </c>
      <c r="U159" s="21">
        <f t="shared" ref="U159:V159" ca="1" si="25">U158+1</f>
        <v>104</v>
      </c>
      <c r="V159" s="21">
        <f t="shared" ca="1" si="25"/>
        <v>1804</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107" t="s">
        <v>335</v>
      </c>
      <c r="B160" s="108"/>
      <c r="C160" s="108"/>
      <c r="D160" s="108"/>
      <c r="E160" s="108"/>
      <c r="F160" s="108"/>
      <c r="G160" s="108"/>
      <c r="H160" s="10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00">
        <v>1</v>
      </c>
      <c r="B161" s="100"/>
      <c r="C161" s="54" t="s">
        <v>95</v>
      </c>
      <c r="D161" s="54" t="s">
        <v>327</v>
      </c>
      <c r="E161" s="82">
        <f>208.43*10.764</f>
        <v>2243.54052</v>
      </c>
      <c r="F161" s="83">
        <v>0</v>
      </c>
      <c r="G161" s="83">
        <v>0</v>
      </c>
      <c r="H161" s="83">
        <f>E161+F161+(IF(G161&lt;101,G161,IF(G161&lt;201,G161/2,IF(G161&lt;=301,G161/3,G161/4))))</f>
        <v>2243.54052</v>
      </c>
      <c r="I161" s="1"/>
      <c r="J161" s="1"/>
      <c r="K161" s="1"/>
      <c r="L161" s="1"/>
      <c r="M161" s="1"/>
      <c r="N161" s="1"/>
      <c r="O161" s="1"/>
      <c r="P161" s="1"/>
      <c r="Q161" s="1"/>
      <c r="R161" s="1"/>
      <c r="S161" s="1"/>
      <c r="T161" s="21" t="str">
        <f t="shared" ref="T161:T164" ca="1" si="26">U161&amp;""&amp;",..,"&amp;""&amp;V161</f>
        <v>101,..,1901</v>
      </c>
      <c r="U161" s="21">
        <f ca="1">(SUMPRODUCT(MID(0&amp;(LEFT(A160,SUM(LEN(A160)-LEN(SUBSTITUTE(A160,{"0","1","2","3"},""))))), LARGE(INDEX(ISNUMBER(--MID((LEFT(A160,SUM(LEN(A160)-LEN(SUBSTITUTE(A160,{"0","1","2","3"},""))))), ROW(INDIRECT("1:"&amp;LEN((LEFT(A160,SUM(LEN(A160)-LEN(SUBSTITUTE(A160,{"0","1","2","3"},"")))))))), 1)) * ROW(INDIRECT("1:"&amp;LEN((LEFT(A160,SUM(LEN(A160)-LEN(SUBSTITUTE(A160,{"0","1","2","3"},"")))))))), 0), ROW(INDIRECT("1:"&amp;LEN((LEFT(A160,SUM(LEN(A160)-LEN(SUBSTITUTE(A160,{"0","1","2","3"},"")))))))))+1, 1) * 10^ROW(INDIRECT("1:"&amp;LEN((LEFT(A160,SUM(LEN(A160)-LEN(SUBSTITUTE(A160,{"0","1","2","3"},""))))))))/10))*100+1</f>
        <v>101</v>
      </c>
      <c r="V161" s="21">
        <f ca="1">(SUMPRODUCT(MID(0&amp;(--TRIM(RIGHT(SUBSTITUTE(LEFT(A160,_xlfn.AGGREGATE(16,6,FIND({0,1,2,3,4,5,6,7,8,9},A160,ROW(INDIRECT("1:"&amp;LEN(A160)))),1)),"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",LEN(A160))),LEN(A160)))))))/10))*100+1</f>
        <v>1901</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00">
        <v>2</v>
      </c>
      <c r="B162" s="100"/>
      <c r="C162" s="54" t="s">
        <v>95</v>
      </c>
      <c r="D162" s="54" t="s">
        <v>327</v>
      </c>
      <c r="E162" s="82">
        <f>(195.92)*10.764</f>
        <v>2108.8828799999997</v>
      </c>
      <c r="F162" s="83">
        <v>0</v>
      </c>
      <c r="G162" s="83">
        <v>0</v>
      </c>
      <c r="H162" s="83">
        <f t="shared" ref="H162:H164" si="27">E162+F162+(IF(G162&lt;101,G162,IF(G162&lt;201,G162/2,IF(G162&lt;=301,G162/3,G162/4))))</f>
        <v>2108.8828799999997</v>
      </c>
      <c r="I162" s="1"/>
      <c r="J162" s="1"/>
      <c r="K162" s="1"/>
      <c r="L162" s="1"/>
      <c r="M162" s="1"/>
      <c r="N162" s="1"/>
      <c r="O162" s="1"/>
      <c r="P162" s="1"/>
      <c r="Q162" s="1"/>
      <c r="R162" s="1"/>
      <c r="S162" s="1"/>
      <c r="T162" s="21" t="str">
        <f t="shared" ca="1" si="26"/>
        <v>102,..,1902</v>
      </c>
      <c r="U162" s="21">
        <f ca="1">U161+1</f>
        <v>102</v>
      </c>
      <c r="V162" s="21">
        <f ca="1">V161+1</f>
        <v>1902</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00">
        <v>3</v>
      </c>
      <c r="B163" s="100"/>
      <c r="C163" s="54" t="s">
        <v>95</v>
      </c>
      <c r="D163" s="54" t="s">
        <v>327</v>
      </c>
      <c r="E163" s="82">
        <f>207.51*10.764</f>
        <v>2233.6376399999999</v>
      </c>
      <c r="F163" s="83">
        <v>0</v>
      </c>
      <c r="G163" s="83">
        <v>0</v>
      </c>
      <c r="H163" s="83">
        <f t="shared" si="27"/>
        <v>2233.6376399999999</v>
      </c>
      <c r="I163" s="1"/>
      <c r="J163" s="1"/>
      <c r="K163" s="1"/>
      <c r="L163" s="1"/>
      <c r="M163" s="1"/>
      <c r="N163" s="1"/>
      <c r="O163" s="1"/>
      <c r="P163" s="1"/>
      <c r="Q163" s="1"/>
      <c r="R163" s="1"/>
      <c r="S163" s="1"/>
      <c r="T163" s="21" t="str">
        <f t="shared" ca="1" si="26"/>
        <v>103,..,1903</v>
      </c>
      <c r="U163" s="21">
        <f t="shared" ref="U163:V163" ca="1" si="28">U162+1</f>
        <v>103</v>
      </c>
      <c r="V163" s="21">
        <f t="shared" ca="1" si="28"/>
        <v>1903</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00">
        <v>4</v>
      </c>
      <c r="B164" s="100"/>
      <c r="C164" s="54" t="s">
        <v>95</v>
      </c>
      <c r="D164" s="54" t="s">
        <v>327</v>
      </c>
      <c r="E164" s="82">
        <f>201.2*10.764</f>
        <v>2165.7167999999997</v>
      </c>
      <c r="F164" s="83">
        <v>0</v>
      </c>
      <c r="G164" s="83">
        <v>0</v>
      </c>
      <c r="H164" s="83">
        <f t="shared" si="27"/>
        <v>2165.7167999999997</v>
      </c>
      <c r="I164" s="1"/>
      <c r="J164" s="1"/>
      <c r="K164" s="1"/>
      <c r="L164" s="1"/>
      <c r="M164" s="1"/>
      <c r="N164" s="1"/>
      <c r="O164" s="1"/>
      <c r="P164" s="1"/>
      <c r="Q164" s="1"/>
      <c r="R164" s="1"/>
      <c r="S164" s="1"/>
      <c r="T164" s="21" t="str">
        <f t="shared" ca="1" si="26"/>
        <v>104,..,1904</v>
      </c>
      <c r="U164" s="21">
        <f t="shared" ref="U164:V164" ca="1" si="29">U163+1</f>
        <v>104</v>
      </c>
      <c r="V164" s="21">
        <f t="shared" ca="1" si="29"/>
        <v>1904</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107" t="s">
        <v>336</v>
      </c>
      <c r="B165" s="108"/>
      <c r="C165" s="108"/>
      <c r="D165" s="108"/>
      <c r="E165" s="108"/>
      <c r="F165" s="108"/>
      <c r="G165" s="108"/>
      <c r="H165" s="10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00">
        <v>1</v>
      </c>
      <c r="B166" s="100"/>
      <c r="C166" s="54" t="s">
        <v>95</v>
      </c>
      <c r="D166" s="54" t="s">
        <v>327</v>
      </c>
      <c r="E166" s="82">
        <f>(209.74)*10.764</f>
        <v>2257.6413600000001</v>
      </c>
      <c r="F166" s="83">
        <f>(8.75*1.83)*10.764</f>
        <v>172.35854999999998</v>
      </c>
      <c r="G166" s="83">
        <v>0</v>
      </c>
      <c r="H166" s="83">
        <f>E166+F166+(IF(G166&lt;101,G166,IF(G166&lt;201,G166/2,IF(G166&lt;=301,G166/3,G166/4))))</f>
        <v>2429.99991</v>
      </c>
      <c r="I166" s="1"/>
      <c r="J166" s="1"/>
      <c r="K166" s="1"/>
      <c r="L166" s="1"/>
      <c r="M166" s="1"/>
      <c r="N166" s="1"/>
      <c r="O166" s="1"/>
      <c r="P166" s="1"/>
      <c r="Q166" s="1"/>
      <c r="R166" s="1"/>
      <c r="S166" s="1"/>
      <c r="T166" s="21" t="str">
        <f t="shared" ref="T166:T169" ca="1" si="30">U166&amp;""&amp;",..,"&amp;""&amp;V166</f>
        <v>2001,..,2001</v>
      </c>
      <c r="U166" s="21">
        <f ca="1">(SUMPRODUCT(MID(0&amp;(LEFT(A165,SUM(LEN(A165)-LEN(SUBSTITUTE(A165,{"0","1","2","3"},""))))), LARGE(INDEX(ISNUMBER(--MID((LEFT(A165,SUM(LEN(A165)-LEN(SUBSTITUTE(A165,{"0","1","2","3"},""))))), ROW(INDIRECT("1:"&amp;LEN((LEFT(A165,SUM(LEN(A165)-LEN(SUBSTITUTE(A165,{"0","1","2","3"},"")))))))), 1)) * ROW(INDIRECT("1:"&amp;LEN((LEFT(A165,SUM(LEN(A165)-LEN(SUBSTITUTE(A165,{"0","1","2","3"},"")))))))), 0), ROW(INDIRECT("1:"&amp;LEN((LEFT(A165,SUM(LEN(A165)-LEN(SUBSTITUTE(A165,{"0","1","2","3"},"")))))))))+1, 1) * 10^ROW(INDIRECT("1:"&amp;LEN((LEFT(A165,SUM(LEN(A165)-LEN(SUBSTITUTE(A165,{"0","1","2","3"},""))))))))/10))*100+1</f>
        <v>2001</v>
      </c>
      <c r="V166" s="21">
        <f ca="1">(SUMPRODUCT(MID(0&amp;(--TRIM(RIGHT(SUBSTITUTE(LEFT(A165,_xlfn.AGGREGATE(16,6,FIND({0,1,2,3,4,5,6,7,8,9},A165,ROW(INDIRECT("1:"&amp;LEN(A165)))),1)),"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2001</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100">
        <v>2</v>
      </c>
      <c r="B167" s="100"/>
      <c r="C167" s="54" t="s">
        <v>95</v>
      </c>
      <c r="D167" s="54" t="s">
        <v>327</v>
      </c>
      <c r="E167" s="82">
        <f>(195.92)*10.764</f>
        <v>2108.8828799999997</v>
      </c>
      <c r="F167" s="83">
        <f>(5.3*1.83)*10.764</f>
        <v>104.40003599999999</v>
      </c>
      <c r="G167" s="83">
        <v>0</v>
      </c>
      <c r="H167" s="83">
        <f t="shared" ref="H167:H169" si="31">E167+F167+(IF(G167&lt;101,G167,IF(G167&lt;201,G167/2,IF(G167&lt;=301,G167/3,G167/4))))</f>
        <v>2213.2829159999997</v>
      </c>
      <c r="I167" s="1"/>
      <c r="J167" s="1"/>
      <c r="K167" s="1"/>
      <c r="L167" s="1"/>
      <c r="M167" s="1"/>
      <c r="N167" s="1"/>
      <c r="O167" s="1"/>
      <c r="P167" s="1"/>
      <c r="Q167" s="1"/>
      <c r="R167" s="1"/>
      <c r="S167" s="1"/>
      <c r="T167" s="21" t="str">
        <f t="shared" ca="1" si="30"/>
        <v>2002,..,2002</v>
      </c>
      <c r="U167" s="21">
        <f ca="1">U166+1</f>
        <v>2002</v>
      </c>
      <c r="V167" s="21">
        <f ca="1">V166+1</f>
        <v>2002</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100">
        <v>3</v>
      </c>
      <c r="B168" s="100"/>
      <c r="C168" s="54" t="s">
        <v>95</v>
      </c>
      <c r="D168" s="54" t="s">
        <v>327</v>
      </c>
      <c r="E168" s="82">
        <f>(208.84)*10.764</f>
        <v>2247.9537599999999</v>
      </c>
      <c r="F168" s="83">
        <f>(8.75*1.83)*10.764</f>
        <v>172.35854999999998</v>
      </c>
      <c r="G168" s="83">
        <v>0</v>
      </c>
      <c r="H168" s="83">
        <f t="shared" si="31"/>
        <v>2420.3123099999998</v>
      </c>
      <c r="I168" s="1"/>
      <c r="J168" s="1"/>
      <c r="K168" s="1"/>
      <c r="L168" s="1"/>
      <c r="M168" s="1"/>
      <c r="N168" s="1"/>
      <c r="O168" s="1"/>
      <c r="P168" s="1"/>
      <c r="Q168" s="1"/>
      <c r="R168" s="1"/>
      <c r="S168" s="1"/>
      <c r="T168" s="21" t="str">
        <f t="shared" ca="1" si="30"/>
        <v>2003,..,2003</v>
      </c>
      <c r="U168" s="21">
        <f t="shared" ref="U168:V168" ca="1" si="32">U167+1</f>
        <v>2003</v>
      </c>
      <c r="V168" s="21">
        <f t="shared" ca="1" si="32"/>
        <v>2003</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00">
        <v>4</v>
      </c>
      <c r="B169" s="100"/>
      <c r="C169" s="54" t="s">
        <v>95</v>
      </c>
      <c r="D169" s="54" t="s">
        <v>327</v>
      </c>
      <c r="E169" s="82">
        <f>(202.51)*10.764</f>
        <v>2179.8176399999998</v>
      </c>
      <c r="F169" s="83">
        <f>(5.3*1.83)*10.764</f>
        <v>104.40003599999999</v>
      </c>
      <c r="G169" s="83">
        <v>0</v>
      </c>
      <c r="H169" s="83">
        <f t="shared" si="31"/>
        <v>2284.2176759999998</v>
      </c>
      <c r="I169" s="1"/>
      <c r="J169" s="1"/>
      <c r="K169" s="1"/>
      <c r="L169" s="1"/>
      <c r="M169" s="1"/>
      <c r="N169" s="1"/>
      <c r="O169" s="1"/>
      <c r="P169" s="1"/>
      <c r="Q169" s="1"/>
      <c r="R169" s="1"/>
      <c r="S169" s="1"/>
      <c r="T169" s="21" t="str">
        <f t="shared" ca="1" si="30"/>
        <v>2004,..,2004</v>
      </c>
      <c r="U169" s="21">
        <f t="shared" ref="U169:V169" ca="1" si="33">U168+1</f>
        <v>2004</v>
      </c>
      <c r="V169" s="21">
        <f t="shared" ca="1" si="33"/>
        <v>2004</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107" t="s">
        <v>337</v>
      </c>
      <c r="B170" s="108"/>
      <c r="C170" s="108"/>
      <c r="D170" s="108"/>
      <c r="E170" s="108"/>
      <c r="F170" s="108"/>
      <c r="G170" s="108"/>
      <c r="H170" s="10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00">
        <v>1</v>
      </c>
      <c r="B171" s="100"/>
      <c r="C171" s="54" t="s">
        <v>95</v>
      </c>
      <c r="D171" s="54" t="s">
        <v>327</v>
      </c>
      <c r="E171" s="82">
        <f>(219.53)*10.764</f>
        <v>2363.0209199999999</v>
      </c>
      <c r="F171" s="83">
        <f>(1.83*8.75)*10.764</f>
        <v>172.35854999999998</v>
      </c>
      <c r="G171" s="83">
        <v>0</v>
      </c>
      <c r="H171" s="83">
        <f>E171+F171+(IF(G171&lt;101,G171,IF(G171&lt;201,G171/2,IF(G171&lt;=301,G171/3,G171/4))))</f>
        <v>2535.3794699999999</v>
      </c>
      <c r="I171" s="1"/>
      <c r="J171" s="1"/>
      <c r="K171" s="1"/>
      <c r="L171" s="1"/>
      <c r="M171" s="1"/>
      <c r="N171" s="1"/>
      <c r="O171" s="1"/>
      <c r="P171" s="1"/>
      <c r="Q171" s="1"/>
      <c r="R171" s="1"/>
      <c r="S171" s="1"/>
      <c r="T171" s="21" t="str">
        <f t="shared" ref="T171:T174" ca="1" si="34">U171&amp;""&amp;",..,"&amp;""&amp;V171</f>
        <v>2101,..,2101</v>
      </c>
      <c r="U171" s="21">
        <f ca="1">(SUMPRODUCT(MID(0&amp;(LEFT(A170,SUM(LEN(A170)-LEN(SUBSTITUTE(A170,{"0","1","2","3"},""))))), LARGE(INDEX(ISNUMBER(--MID((LEFT(A170,SUM(LEN(A170)-LEN(SUBSTITUTE(A170,{"0","1","2","3"},""))))), ROW(INDIRECT("1:"&amp;LEN((LEFT(A170,SUM(LEN(A170)-LEN(SUBSTITUTE(A170,{"0","1","2","3"},"")))))))), 1)) * ROW(INDIRECT("1:"&amp;LEN((LEFT(A170,SUM(LEN(A170)-LEN(SUBSTITUTE(A170,{"0","1","2","3"},"")))))))), 0), ROW(INDIRECT("1:"&amp;LEN((LEFT(A170,SUM(LEN(A170)-LEN(SUBSTITUTE(A170,{"0","1","2","3"},"")))))))))+1, 1) * 10^ROW(INDIRECT("1:"&amp;LEN((LEFT(A170,SUM(LEN(A170)-LEN(SUBSTITUTE(A170,{"0","1","2","3"},""))))))))/10))*100+1</f>
        <v>2101</v>
      </c>
      <c r="V171" s="21">
        <f ca="1">(SUMPRODUCT(MID(0&amp;(--TRIM(RIGHT(SUBSTITUTE(LEFT(A170,_xlfn.AGGREGATE(16,6,FIND({0,1,2,3,4,5,6,7,8,9},A170,ROW(INDIRECT("1:"&amp;LEN(A170)))),1)),"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2101</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00">
        <v>2</v>
      </c>
      <c r="B172" s="100"/>
      <c r="C172" s="54" t="s">
        <v>95</v>
      </c>
      <c r="D172" s="54" t="s">
        <v>327</v>
      </c>
      <c r="E172" s="82">
        <f>(195.92)*10.764</f>
        <v>2108.8828799999997</v>
      </c>
      <c r="F172" s="83">
        <f>(5.3*1.83)*10.764</f>
        <v>104.40003599999999</v>
      </c>
      <c r="G172" s="83">
        <v>0</v>
      </c>
      <c r="H172" s="83">
        <f t="shared" ref="H172:H174" si="35">E172+F172+(IF(G172&lt;101,G172,IF(G172&lt;201,G172/2,IF(G172&lt;=301,G172/3,G172/4))))</f>
        <v>2213.2829159999997</v>
      </c>
      <c r="I172" s="1"/>
      <c r="J172" s="1"/>
      <c r="K172" s="1"/>
      <c r="L172" s="1"/>
      <c r="M172" s="1"/>
      <c r="N172" s="1"/>
      <c r="O172" s="1"/>
      <c r="P172" s="1"/>
      <c r="Q172" s="1"/>
      <c r="R172" s="1"/>
      <c r="S172" s="1"/>
      <c r="T172" s="21" t="str">
        <f t="shared" ca="1" si="34"/>
        <v>2102,..,2102</v>
      </c>
      <c r="U172" s="21">
        <f ca="1">U171+1</f>
        <v>2102</v>
      </c>
      <c r="V172" s="21">
        <f ca="1">V171+1</f>
        <v>2102</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00">
        <v>3</v>
      </c>
      <c r="B173" s="100"/>
      <c r="C173" s="54" t="s">
        <v>95</v>
      </c>
      <c r="D173" s="54" t="s">
        <v>327</v>
      </c>
      <c r="E173" s="82">
        <f>208.84*10.764</f>
        <v>2247.9537599999999</v>
      </c>
      <c r="F173" s="97">
        <f>(8.75*1.83)*10.764</f>
        <v>172.35854999999998</v>
      </c>
      <c r="G173" s="83">
        <v>0</v>
      </c>
      <c r="H173" s="83">
        <f t="shared" si="35"/>
        <v>2420.3123099999998</v>
      </c>
      <c r="I173" s="1"/>
      <c r="J173" s="1"/>
      <c r="K173" s="1"/>
      <c r="L173" s="1"/>
      <c r="M173" s="1"/>
      <c r="N173" s="1"/>
      <c r="O173" s="1"/>
      <c r="P173" s="1"/>
      <c r="Q173" s="1"/>
      <c r="R173" s="1"/>
      <c r="S173" s="1"/>
      <c r="T173" s="21" t="str">
        <f t="shared" ca="1" si="34"/>
        <v>2103,..,2103</v>
      </c>
      <c r="U173" s="21">
        <f t="shared" ref="U173:V173" ca="1" si="36">U172+1</f>
        <v>2103</v>
      </c>
      <c r="V173" s="21">
        <f t="shared" ca="1" si="36"/>
        <v>2103</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00">
        <v>4</v>
      </c>
      <c r="B174" s="100"/>
      <c r="C174" s="54" t="s">
        <v>95</v>
      </c>
      <c r="D174" s="54" t="s">
        <v>327</v>
      </c>
      <c r="E174" s="82">
        <f>(202.51)*10.764</f>
        <v>2179.8176399999998</v>
      </c>
      <c r="F174" s="83">
        <f>(5.3*1.83)*10.764</f>
        <v>104.40003599999999</v>
      </c>
      <c r="G174" s="83">
        <v>0</v>
      </c>
      <c r="H174" s="83">
        <f t="shared" si="35"/>
        <v>2284.2176759999998</v>
      </c>
      <c r="I174" s="1"/>
      <c r="J174" s="1"/>
      <c r="K174" s="1"/>
      <c r="L174" s="1"/>
      <c r="M174" s="1"/>
      <c r="N174" s="1"/>
      <c r="O174" s="1"/>
      <c r="P174" s="1"/>
      <c r="Q174" s="1"/>
      <c r="R174" s="1"/>
      <c r="S174" s="1"/>
      <c r="T174" s="21" t="str">
        <f t="shared" ca="1" si="34"/>
        <v>2104,..,2104</v>
      </c>
      <c r="U174" s="21">
        <f t="shared" ref="U174:V174" ca="1" si="37">U173+1</f>
        <v>2104</v>
      </c>
      <c r="V174" s="21">
        <f t="shared" ca="1" si="37"/>
        <v>2104</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107" t="s">
        <v>338</v>
      </c>
      <c r="B175" s="108"/>
      <c r="C175" s="108"/>
      <c r="D175" s="108"/>
      <c r="E175" s="108"/>
      <c r="F175" s="108"/>
      <c r="G175" s="108"/>
      <c r="H175" s="10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100">
        <v>1</v>
      </c>
      <c r="B176" s="100"/>
      <c r="C176" s="54" t="s">
        <v>95</v>
      </c>
      <c r="D176" s="54" t="s">
        <v>327</v>
      </c>
      <c r="E176" s="82">
        <f>(210.3)*10.764</f>
        <v>2263.6691999999998</v>
      </c>
      <c r="F176" s="83">
        <f>(8.75*1.83)*10.764</f>
        <v>172.35854999999998</v>
      </c>
      <c r="G176" s="83">
        <v>0</v>
      </c>
      <c r="H176" s="83">
        <f>E176+F176+(IF(G176&lt;101,G176,IF(G176&lt;201,G176/2,IF(G176&lt;=301,G176/3,G176/4))))</f>
        <v>2436.0277499999997</v>
      </c>
      <c r="I176" s="1"/>
      <c r="J176" s="1"/>
      <c r="K176" s="1"/>
      <c r="L176" s="1"/>
      <c r="M176" s="1"/>
      <c r="N176" s="1"/>
      <c r="O176" s="1"/>
      <c r="P176" s="1"/>
      <c r="Q176" s="1"/>
      <c r="R176" s="1"/>
      <c r="S176" s="1"/>
      <c r="T176" s="21" t="str">
        <f t="shared" ref="T176:T179" ca="1" si="38">U176&amp;""&amp;",..,"&amp;""&amp;V176</f>
        <v>2201,..,2601</v>
      </c>
      <c r="U176" s="21">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2201</v>
      </c>
      <c r="V176" s="21">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2601</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100">
        <v>2</v>
      </c>
      <c r="B177" s="100"/>
      <c r="C177" s="54" t="s">
        <v>95</v>
      </c>
      <c r="D177" s="54" t="s">
        <v>327</v>
      </c>
      <c r="E177" s="82">
        <f>(195.92)*10.764</f>
        <v>2108.8828799999997</v>
      </c>
      <c r="F177" s="83">
        <f>(5.3*1.83)*10.764</f>
        <v>104.40003599999999</v>
      </c>
      <c r="G177" s="83">
        <v>0</v>
      </c>
      <c r="H177" s="83">
        <f t="shared" ref="H177:H179" si="39">E177+F177+(IF(G177&lt;101,G177,IF(G177&lt;201,G177/2,IF(G177&lt;=301,G177/3,G177/4))))</f>
        <v>2213.2829159999997</v>
      </c>
      <c r="I177" s="1"/>
      <c r="J177" s="1"/>
      <c r="K177" s="1"/>
      <c r="L177" s="1"/>
      <c r="M177" s="1"/>
      <c r="N177" s="1"/>
      <c r="O177" s="1"/>
      <c r="P177" s="1"/>
      <c r="Q177" s="1"/>
      <c r="R177" s="1"/>
      <c r="S177" s="1"/>
      <c r="T177" s="21" t="str">
        <f t="shared" ca="1" si="38"/>
        <v>2202,..,2602</v>
      </c>
      <c r="U177" s="21">
        <f ca="1">U176+1</f>
        <v>2202</v>
      </c>
      <c r="V177" s="21">
        <f ca="1">V176+1</f>
        <v>2602</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100">
        <v>3</v>
      </c>
      <c r="B178" s="100"/>
      <c r="C178" s="54" t="s">
        <v>95</v>
      </c>
      <c r="D178" s="54" t="s">
        <v>327</v>
      </c>
      <c r="E178" s="82">
        <f>(209.85)*10.764</f>
        <v>2258.8253999999997</v>
      </c>
      <c r="F178" s="83">
        <f>(8.75*1.83)*10.764</f>
        <v>172.35854999999998</v>
      </c>
      <c r="G178" s="83">
        <v>0</v>
      </c>
      <c r="H178" s="83">
        <f t="shared" si="39"/>
        <v>2431.1839499999996</v>
      </c>
      <c r="I178" s="1"/>
      <c r="J178" s="1"/>
      <c r="K178" s="1"/>
      <c r="L178" s="1"/>
      <c r="M178" s="1"/>
      <c r="N178" s="1"/>
      <c r="O178" s="1"/>
      <c r="P178" s="1"/>
      <c r="Q178" s="1"/>
      <c r="R178" s="1"/>
      <c r="S178" s="1"/>
      <c r="T178" s="21" t="str">
        <f t="shared" ca="1" si="38"/>
        <v>2203,..,2603</v>
      </c>
      <c r="U178" s="21">
        <f t="shared" ref="U178:V178" ca="1" si="40">U177+1</f>
        <v>2203</v>
      </c>
      <c r="V178" s="21">
        <f t="shared" ca="1" si="40"/>
        <v>2603</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100">
        <v>4</v>
      </c>
      <c r="B179" s="100"/>
      <c r="C179" s="54" t="s">
        <v>95</v>
      </c>
      <c r="D179" s="54" t="s">
        <v>327</v>
      </c>
      <c r="E179" s="82">
        <f>(202.81)*10.764</f>
        <v>2183.04684</v>
      </c>
      <c r="F179" s="83">
        <f>(5.3*1.83)*10.764</f>
        <v>104.40003599999999</v>
      </c>
      <c r="G179" s="83">
        <v>0</v>
      </c>
      <c r="H179" s="83">
        <f t="shared" si="39"/>
        <v>2287.446876</v>
      </c>
      <c r="I179" s="1"/>
      <c r="J179" s="1"/>
      <c r="K179" s="1"/>
      <c r="L179" s="1"/>
      <c r="M179" s="1"/>
      <c r="N179" s="1"/>
      <c r="O179" s="1"/>
      <c r="P179" s="1"/>
      <c r="Q179" s="1"/>
      <c r="R179" s="1"/>
      <c r="S179" s="1"/>
      <c r="T179" s="21" t="str">
        <f t="shared" ca="1" si="38"/>
        <v>2204,..,2604</v>
      </c>
      <c r="U179" s="21">
        <f t="shared" ref="U179:V179" ca="1" si="41">U178+1</f>
        <v>2204</v>
      </c>
      <c r="V179" s="21">
        <f t="shared" ca="1" si="41"/>
        <v>2604</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101" t="s">
        <v>339</v>
      </c>
      <c r="B180" s="102"/>
      <c r="C180" s="102"/>
      <c r="D180" s="102"/>
      <c r="E180" s="102"/>
      <c r="F180" s="102"/>
      <c r="G180" s="102"/>
      <c r="H180" s="103"/>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100">
        <v>1</v>
      </c>
      <c r="B181" s="100"/>
      <c r="C181" s="104" t="s">
        <v>326</v>
      </c>
      <c r="D181" s="105"/>
      <c r="E181" s="105"/>
      <c r="F181" s="105"/>
      <c r="G181" s="105"/>
      <c r="H181" s="106"/>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104">
        <f>A181+1</f>
        <v>2</v>
      </c>
      <c r="B182" s="106"/>
      <c r="C182" s="54" t="s">
        <v>95</v>
      </c>
      <c r="D182" s="54" t="s">
        <v>327</v>
      </c>
      <c r="E182" s="82">
        <f>(195.92)*10.764</f>
        <v>2108.8828799999997</v>
      </c>
      <c r="F182" s="83">
        <f>(5.3*1.83)*10.764</f>
        <v>104.40003599999999</v>
      </c>
      <c r="G182" s="83">
        <v>0</v>
      </c>
      <c r="H182" s="83">
        <f t="shared" ref="H182:H184" si="42">E182+F182+(IF(G182&lt;101,G182,IF(G182&lt;201,G182/2,IF(G182&lt;=301,G182/3,G182/4))))</f>
        <v>2213.2829159999997</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104">
        <f t="shared" ref="A183:A184" si="43">A182+1</f>
        <v>3</v>
      </c>
      <c r="B183" s="106"/>
      <c r="C183" s="54" t="s">
        <v>95</v>
      </c>
      <c r="D183" s="54" t="s">
        <v>327</v>
      </c>
      <c r="E183" s="82">
        <f>(209.85)*10.764</f>
        <v>2258.8253999999997</v>
      </c>
      <c r="F183" s="83">
        <f>(8.75*1.83)*10.764</f>
        <v>172.35854999999998</v>
      </c>
      <c r="G183" s="83">
        <v>0</v>
      </c>
      <c r="H183" s="83">
        <f t="shared" si="42"/>
        <v>2431.1839499999996</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04">
        <f t="shared" si="43"/>
        <v>4</v>
      </c>
      <c r="B184" s="106"/>
      <c r="C184" s="54" t="s">
        <v>95</v>
      </c>
      <c r="D184" s="54" t="s">
        <v>327</v>
      </c>
      <c r="E184" s="82">
        <f>(202.81)*10.764</f>
        <v>2183.04684</v>
      </c>
      <c r="F184" s="83">
        <f>(5.3*1.83)*10.764</f>
        <v>104.40003599999999</v>
      </c>
      <c r="G184" s="83">
        <v>0</v>
      </c>
      <c r="H184" s="83">
        <f t="shared" si="42"/>
        <v>2287.446876</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07" t="s">
        <v>340</v>
      </c>
      <c r="B185" s="108"/>
      <c r="C185" s="108"/>
      <c r="D185" s="108"/>
      <c r="E185" s="108"/>
      <c r="F185" s="108"/>
      <c r="G185" s="108"/>
      <c r="H185" s="10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100">
        <v>1</v>
      </c>
      <c r="B186" s="100"/>
      <c r="C186" s="54" t="s">
        <v>95</v>
      </c>
      <c r="D186" s="54" t="s">
        <v>327</v>
      </c>
      <c r="E186" s="82">
        <f>(210.3)*10.764</f>
        <v>2263.6691999999998</v>
      </c>
      <c r="F186" s="83">
        <f>(8.75*1.83)*10.764</f>
        <v>172.35854999999998</v>
      </c>
      <c r="G186" s="83">
        <v>0</v>
      </c>
      <c r="H186" s="83">
        <f>E186+F186+(IF(G186&lt;101,G186,IF(G186&lt;201,G186/2,IF(G186&lt;=301,G186/3,G186/4))))</f>
        <v>2436.0277499999997</v>
      </c>
      <c r="I186" s="1"/>
      <c r="J186" s="1"/>
      <c r="K186" s="1"/>
      <c r="L186" s="1"/>
      <c r="M186" s="1"/>
      <c r="N186" s="1"/>
      <c r="O186" s="1"/>
      <c r="P186" s="1"/>
      <c r="Q186" s="1"/>
      <c r="R186" s="1"/>
      <c r="S186" s="1"/>
      <c r="T186" s="21" t="str">
        <f t="shared" ref="T186:T189" ca="1" si="44">U186&amp;""&amp;",..,"&amp;""&amp;V186</f>
        <v>201,..,2401</v>
      </c>
      <c r="U186" s="21">
        <f ca="1">(SUMPRODUCT(MID(0&amp;(LEFT(A185,SUM(LEN(A185)-LEN(SUBSTITUTE(A185,{"0","1","2","3"},""))))), LARGE(INDEX(ISNUMBER(--MID((LEFT(A185,SUM(LEN(A185)-LEN(SUBSTITUTE(A185,{"0","1","2","3"},""))))), ROW(INDIRECT("1:"&amp;LEN((LEFT(A185,SUM(LEN(A185)-LEN(SUBSTITUTE(A185,{"0","1","2","3"},"")))))))), 1)) * ROW(INDIRECT("1:"&amp;LEN((LEFT(A185,SUM(LEN(A185)-LEN(SUBSTITUTE(A185,{"0","1","2","3"},"")))))))), 0), ROW(INDIRECT("1:"&amp;LEN((LEFT(A185,SUM(LEN(A185)-LEN(SUBSTITUTE(A185,{"0","1","2","3"},"")))))))))+1, 1) * 10^ROW(INDIRECT("1:"&amp;LEN((LEFT(A185,SUM(LEN(A185)-LEN(SUBSTITUTE(A185,{"0","1","2","3"},""))))))))/10))*100+1</f>
        <v>201</v>
      </c>
      <c r="V186" s="21">
        <f ca="1">(SUMPRODUCT(MID(0&amp;(--TRIM(RIGHT(SUBSTITUTE(LEFT(A185,_xlfn.AGGREGATE(16,6,FIND({0,1,2,3,4,5,6,7,8,9},A185,ROW(INDIRECT("1:"&amp;LEN(A185)))),1)),"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",LEN(A185))),LEN(A185)))))))/10))*100+1</f>
        <v>2401</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100">
        <v>2</v>
      </c>
      <c r="B187" s="100"/>
      <c r="C187" s="54" t="s">
        <v>95</v>
      </c>
      <c r="D187" s="54" t="s">
        <v>327</v>
      </c>
      <c r="E187" s="82">
        <f>(195.92)*10.764</f>
        <v>2108.8828799999997</v>
      </c>
      <c r="F187" s="83">
        <f>(5.3*1.83)*10.764</f>
        <v>104.40003599999999</v>
      </c>
      <c r="G187" s="83">
        <v>0</v>
      </c>
      <c r="H187" s="83">
        <f t="shared" ref="H187:H189" si="45">E187+F187+(IF(G187&lt;101,G187,IF(G187&lt;201,G187/2,IF(G187&lt;=301,G187/3,G187/4))))</f>
        <v>2213.2829159999997</v>
      </c>
      <c r="I187" s="1"/>
      <c r="J187" s="1"/>
      <c r="K187" s="1"/>
      <c r="L187" s="1"/>
      <c r="M187" s="1"/>
      <c r="N187" s="1"/>
      <c r="O187" s="1"/>
      <c r="P187" s="1"/>
      <c r="Q187" s="1"/>
      <c r="R187" s="1"/>
      <c r="S187" s="1"/>
      <c r="T187" s="21" t="str">
        <f t="shared" ca="1" si="44"/>
        <v>202,..,2402</v>
      </c>
      <c r="U187" s="21">
        <f ca="1">U186+1</f>
        <v>202</v>
      </c>
      <c r="V187" s="21">
        <f ca="1">V186+1</f>
        <v>2402</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100">
        <v>3</v>
      </c>
      <c r="B188" s="100"/>
      <c r="C188" s="54" t="s">
        <v>95</v>
      </c>
      <c r="D188" s="54" t="s">
        <v>327</v>
      </c>
      <c r="E188" s="82">
        <f>(209.85)*10.764</f>
        <v>2258.8253999999997</v>
      </c>
      <c r="F188" s="83">
        <f>(8.75*1.83)*10.764</f>
        <v>172.35854999999998</v>
      </c>
      <c r="G188" s="83">
        <v>0</v>
      </c>
      <c r="H188" s="83">
        <f t="shared" si="45"/>
        <v>2431.1839499999996</v>
      </c>
      <c r="I188" s="1"/>
      <c r="J188" s="1"/>
      <c r="K188" s="1"/>
      <c r="L188" s="1"/>
      <c r="M188" s="1"/>
      <c r="N188" s="1"/>
      <c r="O188" s="1"/>
      <c r="P188" s="1"/>
      <c r="Q188" s="1"/>
      <c r="R188" s="1"/>
      <c r="S188" s="1"/>
      <c r="T188" s="21" t="str">
        <f t="shared" ca="1" si="44"/>
        <v>203,..,2403</v>
      </c>
      <c r="U188" s="21">
        <f t="shared" ref="U188:V188" ca="1" si="46">U187+1</f>
        <v>203</v>
      </c>
      <c r="V188" s="21">
        <f t="shared" ca="1" si="46"/>
        <v>2403</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100">
        <v>4</v>
      </c>
      <c r="B189" s="100"/>
      <c r="C189" s="54" t="s">
        <v>95</v>
      </c>
      <c r="D189" s="54" t="s">
        <v>327</v>
      </c>
      <c r="E189" s="82">
        <f>(202.81)*10.764</f>
        <v>2183.04684</v>
      </c>
      <c r="F189" s="83">
        <f>(5.3*1.83)*10.764</f>
        <v>104.40003599999999</v>
      </c>
      <c r="G189" s="83">
        <v>0</v>
      </c>
      <c r="H189" s="83">
        <f t="shared" si="45"/>
        <v>2287.446876</v>
      </c>
      <c r="I189" s="1"/>
      <c r="J189" s="1"/>
      <c r="K189" s="1"/>
      <c r="L189" s="1"/>
      <c r="M189" s="1"/>
      <c r="N189" s="1"/>
      <c r="O189" s="1"/>
      <c r="P189" s="1"/>
      <c r="Q189" s="1"/>
      <c r="R189" s="1"/>
      <c r="S189" s="1"/>
      <c r="T189" s="21" t="str">
        <f t="shared" ca="1" si="44"/>
        <v>204,..,2404</v>
      </c>
      <c r="U189" s="21">
        <f t="shared" ref="U189:V189" ca="1" si="47">U188+1</f>
        <v>204</v>
      </c>
      <c r="V189" s="21">
        <f t="shared" ca="1" si="47"/>
        <v>2404</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107" t="s">
        <v>341</v>
      </c>
      <c r="B190" s="108"/>
      <c r="C190" s="108"/>
      <c r="D190" s="108"/>
      <c r="E190" s="108"/>
      <c r="F190" s="108"/>
      <c r="G190" s="108"/>
      <c r="H190" s="10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100">
        <v>1</v>
      </c>
      <c r="B191" s="100"/>
      <c r="C191" s="54" t="s">
        <v>95</v>
      </c>
      <c r="D191" s="54" t="s">
        <v>327</v>
      </c>
      <c r="E191" s="82">
        <f>(220.08)*10.764</f>
        <v>2368.94112</v>
      </c>
      <c r="F191" s="83">
        <f>( 8.75*1.83)*10.764</f>
        <v>172.35854999999998</v>
      </c>
      <c r="G191" s="83">
        <v>0</v>
      </c>
      <c r="H191" s="83">
        <f>E191+F191+(IF(G191&lt;101,G191,IF(G191&lt;201,G191/2,IF(G191&lt;=301,G191/3,G191/4))))</f>
        <v>2541.2996699999999</v>
      </c>
      <c r="I191" s="1"/>
      <c r="J191" s="1"/>
      <c r="K191" s="1"/>
      <c r="L191" s="1"/>
      <c r="M191" s="1"/>
      <c r="N191" s="1"/>
      <c r="O191" s="1"/>
      <c r="P191" s="1"/>
      <c r="Q191" s="1"/>
      <c r="R191" s="1"/>
      <c r="S191" s="1"/>
      <c r="T191" s="21" t="str">
        <f t="shared" ref="T191:T194" ca="1" si="48">U191&amp;""&amp;",..,"&amp;""&amp;V191</f>
        <v>201,..,2501</v>
      </c>
      <c r="U191" s="21">
        <f ca="1">(SUMPRODUCT(MID(0&amp;(LEFT(A190,SUM(LEN(A190)-LEN(SUBSTITUTE(A190,{"0","1","2","3"},""))))), LARGE(INDEX(ISNUMBER(--MID((LEFT(A190,SUM(LEN(A190)-LEN(SUBSTITUTE(A190,{"0","1","2","3"},""))))), ROW(INDIRECT("1:"&amp;LEN((LEFT(A190,SUM(LEN(A190)-LEN(SUBSTITUTE(A190,{"0","1","2","3"},"")))))))), 1)) * ROW(INDIRECT("1:"&amp;LEN((LEFT(A190,SUM(LEN(A190)-LEN(SUBSTITUTE(A190,{"0","1","2","3"},"")))))))), 0), ROW(INDIRECT("1:"&amp;LEN((LEFT(A190,SUM(LEN(A190)-LEN(SUBSTITUTE(A190,{"0","1","2","3"},"")))))))))+1, 1) * 10^ROW(INDIRECT("1:"&amp;LEN((LEFT(A190,SUM(LEN(A190)-LEN(SUBSTITUTE(A190,{"0","1","2","3"},""))))))))/10))*100+1</f>
        <v>201</v>
      </c>
      <c r="V191" s="21">
        <f ca="1">(SUMPRODUCT(MID(0&amp;(--TRIM(RIGHT(SUBSTITUTE(LEFT(A190,_xlfn.AGGREGATE(16,6,FIND({0,1,2,3,4,5,6,7,8,9},A190,ROW(INDIRECT("1:"&amp;LEN(A190)))),1)),"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",LEN(A190))),LEN(A190)))))))/10))*100+1</f>
        <v>2501</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100">
        <v>2</v>
      </c>
      <c r="B192" s="100"/>
      <c r="C192" s="54" t="s">
        <v>95</v>
      </c>
      <c r="D192" s="54" t="s">
        <v>327</v>
      </c>
      <c r="E192" s="82">
        <f>(195.92)*10.764</f>
        <v>2108.8828799999997</v>
      </c>
      <c r="F192" s="83">
        <f>(5.3*1.83)*10.764</f>
        <v>104.40003599999999</v>
      </c>
      <c r="G192" s="83">
        <v>0</v>
      </c>
      <c r="H192" s="83">
        <f t="shared" ref="H192:H194" si="49">E192+F192+(IF(G192&lt;101,G192,IF(G192&lt;201,G192/2,IF(G192&lt;=301,G192/3,G192/4))))</f>
        <v>2213.2829159999997</v>
      </c>
      <c r="I192" s="1"/>
      <c r="J192" s="1"/>
      <c r="K192" s="1"/>
      <c r="L192" s="1"/>
      <c r="M192" s="1"/>
      <c r="N192" s="1"/>
      <c r="O192" s="1"/>
      <c r="P192" s="1"/>
      <c r="Q192" s="1"/>
      <c r="R192" s="1"/>
      <c r="S192" s="1"/>
      <c r="T192" s="21" t="str">
        <f t="shared" ca="1" si="48"/>
        <v>202,..,2502</v>
      </c>
      <c r="U192" s="21">
        <f ca="1">U191+1</f>
        <v>202</v>
      </c>
      <c r="V192" s="21">
        <f ca="1">V191+1</f>
        <v>2502</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100">
        <v>3</v>
      </c>
      <c r="B193" s="100"/>
      <c r="C193" s="54" t="s">
        <v>95</v>
      </c>
      <c r="D193" s="54" t="s">
        <v>327</v>
      </c>
      <c r="E193" s="82">
        <f>(209.85)*10.764</f>
        <v>2258.8253999999997</v>
      </c>
      <c r="F193" s="83">
        <f>(8.75*1.83)*10.764</f>
        <v>172.35854999999998</v>
      </c>
      <c r="G193" s="83">
        <v>0</v>
      </c>
      <c r="H193" s="83">
        <f t="shared" si="49"/>
        <v>2431.1839499999996</v>
      </c>
      <c r="I193" s="1"/>
      <c r="J193" s="1"/>
      <c r="K193" s="1"/>
      <c r="L193" s="1"/>
      <c r="M193" s="1"/>
      <c r="N193" s="1"/>
      <c r="O193" s="1"/>
      <c r="P193" s="1"/>
      <c r="Q193" s="1"/>
      <c r="R193" s="1"/>
      <c r="S193" s="1"/>
      <c r="T193" s="21" t="str">
        <f t="shared" ca="1" si="48"/>
        <v>203,..,2503</v>
      </c>
      <c r="U193" s="21">
        <f t="shared" ref="U193:V193" ca="1" si="50">U192+1</f>
        <v>203</v>
      </c>
      <c r="V193" s="21">
        <f t="shared" ca="1" si="50"/>
        <v>2503</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100">
        <v>4</v>
      </c>
      <c r="B194" s="100"/>
      <c r="C194" s="54" t="s">
        <v>95</v>
      </c>
      <c r="D194" s="54" t="s">
        <v>327</v>
      </c>
      <c r="E194" s="82">
        <f>(202.81)*10.764</f>
        <v>2183.04684</v>
      </c>
      <c r="F194" s="83">
        <f>(5.3*1.83)*10.764</f>
        <v>104.40003599999999</v>
      </c>
      <c r="G194" s="83">
        <v>0</v>
      </c>
      <c r="H194" s="83">
        <f t="shared" si="49"/>
        <v>2287.446876</v>
      </c>
      <c r="I194" s="1"/>
      <c r="J194" s="1"/>
      <c r="K194" s="1"/>
      <c r="L194" s="1"/>
      <c r="M194" s="1"/>
      <c r="N194" s="1"/>
      <c r="O194" s="1"/>
      <c r="P194" s="1"/>
      <c r="Q194" s="1"/>
      <c r="R194" s="1"/>
      <c r="S194" s="1"/>
      <c r="T194" s="21" t="str">
        <f t="shared" ca="1" si="48"/>
        <v>204,..,2504</v>
      </c>
      <c r="U194" s="21">
        <f t="shared" ref="U194:V194" ca="1" si="51">U193+1</f>
        <v>204</v>
      </c>
      <c r="V194" s="21">
        <f t="shared" ca="1" si="51"/>
        <v>2504</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107" t="s">
        <v>342</v>
      </c>
      <c r="B195" s="108"/>
      <c r="C195" s="108"/>
      <c r="D195" s="108"/>
      <c r="E195" s="108"/>
      <c r="F195" s="108"/>
      <c r="G195" s="108"/>
      <c r="H195" s="10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100">
        <v>1</v>
      </c>
      <c r="B196" s="100"/>
      <c r="C196" s="54" t="s">
        <v>95</v>
      </c>
      <c r="D196" s="54" t="s">
        <v>327</v>
      </c>
      <c r="E196" s="82">
        <f>(210.3)*10.764</f>
        <v>2263.6691999999998</v>
      </c>
      <c r="F196" s="83">
        <f>(8.75*1.83)*10.764</f>
        <v>172.35854999999998</v>
      </c>
      <c r="G196" s="83">
        <v>0</v>
      </c>
      <c r="H196" s="83">
        <f>E196+F196+(IF(G196&lt;101,G196,IF(G196&lt;201,G196/2,IF(G196&lt;=301,G196/3,G196/4))))</f>
        <v>2436.0277499999997</v>
      </c>
      <c r="I196" s="1"/>
      <c r="J196" s="1">
        <f>8.75*5.85+6.6*2.15+4.05*3.5+3.45*4.4+3.63*4.55+3.95*4.5+3.53*4.75+2.75*3.73+1.45*2.41+1.36*2.41+0.8*1.38+2.1*3.08+1.67*1.05+1.26*1.62+1.75*1.52+2.44*1.52+1.52*2.44+1.45*1.22+1.45*1.22+3.35*1.83+8.75*1.83</f>
        <v>209.94639999999998</v>
      </c>
      <c r="K196" s="1"/>
      <c r="L196" s="1"/>
      <c r="M196" s="1"/>
      <c r="N196" s="1"/>
      <c r="O196" s="1"/>
      <c r="P196" s="1"/>
      <c r="Q196" s="1"/>
      <c r="R196" s="1"/>
      <c r="S196" s="1"/>
      <c r="T196" s="21" t="str">
        <f t="shared" ref="T196:T199" ca="1" si="52">U196&amp;""&amp;",..,"&amp;""&amp;V196</f>
        <v>201,..,2701</v>
      </c>
      <c r="U196" s="21">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201</v>
      </c>
      <c r="V196" s="21">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2701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100">
        <v>2</v>
      </c>
      <c r="B197" s="100"/>
      <c r="C197" s="54" t="s">
        <v>95</v>
      </c>
      <c r="D197" s="54" t="s">
        <v>327</v>
      </c>
      <c r="E197" s="82">
        <f>(195.92)*10.764</f>
        <v>2108.8828799999997</v>
      </c>
      <c r="F197" s="83">
        <f>(5.3*1.83)*10.764</f>
        <v>104.40003599999999</v>
      </c>
      <c r="G197" s="83">
        <v>0</v>
      </c>
      <c r="H197" s="83">
        <f t="shared" ref="H197:H199" si="53">E197+F197+(IF(G197&lt;101,G197,IF(G197&lt;201,G197/2,IF(G197&lt;=301,G197/3,G197/4))))</f>
        <v>2213.2829159999997</v>
      </c>
      <c r="I197" s="1"/>
      <c r="J197" s="1"/>
      <c r="K197" s="1"/>
      <c r="L197" s="1"/>
      <c r="M197" s="1"/>
      <c r="N197" s="1"/>
      <c r="O197" s="1"/>
      <c r="P197" s="1"/>
      <c r="Q197" s="1"/>
      <c r="R197" s="1"/>
      <c r="S197" s="1"/>
      <c r="T197" s="21" t="str">
        <f t="shared" ca="1" si="52"/>
        <v>202,..,2702</v>
      </c>
      <c r="U197" s="21">
        <f ca="1">U196+1</f>
        <v>202</v>
      </c>
      <c r="V197" s="21">
        <f ca="1">V196+1</f>
        <v>2702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100">
        <v>3</v>
      </c>
      <c r="B198" s="100"/>
      <c r="C198" s="54" t="s">
        <v>95</v>
      </c>
      <c r="D198" s="54" t="s">
        <v>327</v>
      </c>
      <c r="E198" s="82">
        <f>(220.38)*10.764</f>
        <v>2372.1703199999997</v>
      </c>
      <c r="F198" s="83">
        <f>(8.75*1.83)*10.764</f>
        <v>172.35854999999998</v>
      </c>
      <c r="G198" s="83">
        <v>0</v>
      </c>
      <c r="H198" s="83">
        <f t="shared" si="53"/>
        <v>2544.5288699999996</v>
      </c>
      <c r="I198" s="1"/>
      <c r="J198" s="1"/>
      <c r="K198" s="1"/>
      <c r="L198" s="1"/>
      <c r="M198" s="1"/>
      <c r="N198" s="1"/>
      <c r="O198" s="1"/>
      <c r="P198" s="1"/>
      <c r="Q198" s="1"/>
      <c r="R198" s="1"/>
      <c r="S198" s="1"/>
      <c r="T198" s="21" t="str">
        <f t="shared" ca="1" si="52"/>
        <v>203,..,2703</v>
      </c>
      <c r="U198" s="21">
        <f t="shared" ref="U198:V198" ca="1" si="54">U197+1</f>
        <v>203</v>
      </c>
      <c r="V198" s="21">
        <f t="shared" ca="1" si="54"/>
        <v>2703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100">
        <v>4</v>
      </c>
      <c r="B199" s="100"/>
      <c r="C199" s="54" t="s">
        <v>95</v>
      </c>
      <c r="D199" s="54" t="s">
        <v>327</v>
      </c>
      <c r="E199" s="82">
        <f>(202.81)*10.764</f>
        <v>2183.04684</v>
      </c>
      <c r="F199" s="83">
        <f>(5.3*1.83)*10.764</f>
        <v>104.40003599999999</v>
      </c>
      <c r="G199" s="83">
        <v>0</v>
      </c>
      <c r="H199" s="83">
        <f t="shared" si="53"/>
        <v>2287.446876</v>
      </c>
      <c r="I199" s="1"/>
      <c r="J199" s="1"/>
      <c r="K199" s="1"/>
      <c r="L199" s="1"/>
      <c r="M199" s="1"/>
      <c r="N199" s="1"/>
      <c r="O199" s="1"/>
      <c r="P199" s="1"/>
      <c r="Q199" s="1"/>
      <c r="R199" s="1"/>
      <c r="S199" s="1"/>
      <c r="T199" s="21" t="str">
        <f t="shared" ca="1" si="52"/>
        <v>204,..,2704</v>
      </c>
      <c r="U199" s="21">
        <f t="shared" ref="U199:V199" ca="1" si="55">U198+1</f>
        <v>204</v>
      </c>
      <c r="V199" s="21">
        <f t="shared" ca="1" si="55"/>
        <v>2704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07" t="s">
        <v>343</v>
      </c>
      <c r="B200" s="108"/>
      <c r="C200" s="108"/>
      <c r="D200" s="108"/>
      <c r="E200" s="108"/>
      <c r="F200" s="108"/>
      <c r="G200" s="108"/>
      <c r="H200" s="10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100">
        <v>1</v>
      </c>
      <c r="B201" s="100"/>
      <c r="C201" s="54" t="s">
        <v>95</v>
      </c>
      <c r="D201" s="54" t="s">
        <v>327</v>
      </c>
      <c r="E201" s="82">
        <f>218.77*10.764</f>
        <v>2354.8402799999999</v>
      </c>
      <c r="F201" s="83">
        <v>0</v>
      </c>
      <c r="G201" s="83">
        <v>0</v>
      </c>
      <c r="H201" s="83">
        <f>E201+F201+(IF(G201&lt;101,G201,IF(G201&lt;201,G201/2,IF(G201&lt;=301,G201/3,G201/4))))</f>
        <v>2354.8402799999999</v>
      </c>
      <c r="I201" s="1"/>
      <c r="J201" s="1"/>
      <c r="K201" s="1"/>
      <c r="L201" s="1"/>
      <c r="M201" s="1"/>
      <c r="N201" s="1"/>
      <c r="O201" s="1"/>
      <c r="P201" s="1"/>
      <c r="Q201" s="1"/>
      <c r="R201" s="1"/>
      <c r="S201" s="1"/>
      <c r="T201" s="21" t="str">
        <f t="shared" ref="T201:T204" ca="1" si="56">U201&amp;""&amp;",..,"&amp;""&amp;V201</f>
        <v>201,..,2801</v>
      </c>
      <c r="U201" s="21">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201</v>
      </c>
      <c r="V201" s="21">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2801</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100">
        <v>2</v>
      </c>
      <c r="B202" s="100"/>
      <c r="C202" s="54" t="s">
        <v>95</v>
      </c>
      <c r="D202" s="54" t="s">
        <v>327</v>
      </c>
      <c r="E202" s="82">
        <f>194.64*10.764</f>
        <v>2095.1049599999997</v>
      </c>
      <c r="F202" s="83">
        <v>0</v>
      </c>
      <c r="G202" s="83">
        <v>0</v>
      </c>
      <c r="H202" s="83">
        <f t="shared" ref="H202:H204" si="57">E202+F202+(IF(G202&lt;101,G202,IF(G202&lt;201,G202/2,IF(G202&lt;=301,G202/3,G202/4))))</f>
        <v>2095.1049599999997</v>
      </c>
      <c r="I202" s="1"/>
      <c r="J202" s="1"/>
      <c r="K202" s="1"/>
      <c r="L202" s="1"/>
      <c r="M202" s="1"/>
      <c r="N202" s="1"/>
      <c r="O202" s="1"/>
      <c r="P202" s="1"/>
      <c r="Q202" s="1"/>
      <c r="R202" s="1"/>
      <c r="S202" s="1"/>
      <c r="T202" s="21" t="str">
        <f t="shared" ca="1" si="56"/>
        <v>202,..,2802</v>
      </c>
      <c r="U202" s="21">
        <f ca="1">U201+1</f>
        <v>202</v>
      </c>
      <c r="V202" s="21">
        <f ca="1">V201+1</f>
        <v>2802</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100">
        <v>3</v>
      </c>
      <c r="B203" s="100"/>
      <c r="C203" s="54" t="s">
        <v>95</v>
      </c>
      <c r="D203" s="54" t="s">
        <v>327</v>
      </c>
      <c r="E203" s="82">
        <f>219.07*10.764</f>
        <v>2358.0694799999997</v>
      </c>
      <c r="F203" s="83">
        <v>0</v>
      </c>
      <c r="G203" s="83">
        <v>0</v>
      </c>
      <c r="H203" s="83">
        <f t="shared" si="57"/>
        <v>2358.0694799999997</v>
      </c>
      <c r="I203" s="1"/>
      <c r="J203" s="1"/>
      <c r="K203" s="1"/>
      <c r="L203" s="1"/>
      <c r="M203" s="1"/>
      <c r="N203" s="1"/>
      <c r="O203" s="1"/>
      <c r="P203" s="1"/>
      <c r="Q203" s="1"/>
      <c r="R203" s="1"/>
      <c r="S203" s="1"/>
      <c r="T203" s="21" t="str">
        <f t="shared" ca="1" si="56"/>
        <v>203,..,2803</v>
      </c>
      <c r="U203" s="21">
        <f t="shared" ref="U203:V203" ca="1" si="58">U202+1</f>
        <v>203</v>
      </c>
      <c r="V203" s="21">
        <f t="shared" ca="1" si="58"/>
        <v>2803</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100">
        <v>4</v>
      </c>
      <c r="B204" s="100"/>
      <c r="C204" s="54" t="s">
        <v>95</v>
      </c>
      <c r="D204" s="54" t="s">
        <v>327</v>
      </c>
      <c r="E204" s="82">
        <f>(202.81)*10.764</f>
        <v>2183.04684</v>
      </c>
      <c r="F204" s="83">
        <f>(5.3*1.83)*10.764</f>
        <v>104.40003599999999</v>
      </c>
      <c r="G204" s="83">
        <v>0</v>
      </c>
      <c r="H204" s="83">
        <f t="shared" si="57"/>
        <v>2287.446876</v>
      </c>
      <c r="I204" s="1"/>
      <c r="J204" s="1"/>
      <c r="K204" s="1"/>
      <c r="L204" s="1"/>
      <c r="M204" s="1"/>
      <c r="N204" s="1"/>
      <c r="O204" s="1"/>
      <c r="P204" s="1"/>
      <c r="Q204" s="1"/>
      <c r="R204" s="1"/>
      <c r="S204" s="1"/>
      <c r="T204" s="21" t="str">
        <f t="shared" ca="1" si="56"/>
        <v>204,..,2804</v>
      </c>
      <c r="U204" s="21">
        <f t="shared" ref="U204:V204" ca="1" si="59">U203+1</f>
        <v>204</v>
      </c>
      <c r="V204" s="21">
        <f t="shared" ca="1" si="59"/>
        <v>2804</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07" t="s">
        <v>344</v>
      </c>
      <c r="B205" s="108"/>
      <c r="C205" s="108"/>
      <c r="D205" s="108"/>
      <c r="E205" s="108"/>
      <c r="F205" s="108"/>
      <c r="G205" s="108"/>
      <c r="H205" s="10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100">
        <v>1</v>
      </c>
      <c r="B206" s="100"/>
      <c r="C206" s="54" t="s">
        <v>95</v>
      </c>
      <c r="D206" s="54" t="s">
        <v>327</v>
      </c>
      <c r="E206" s="82">
        <f>218.77*10.764</f>
        <v>2354.8402799999999</v>
      </c>
      <c r="F206" s="83">
        <v>0</v>
      </c>
      <c r="G206" s="83">
        <v>0</v>
      </c>
      <c r="H206" s="83">
        <f>E206+F206+(IF(G206&lt;101,G206,IF(G206&lt;201,G206/2,IF(G206&lt;=301,G206/3,G206/4))))</f>
        <v>2354.8402799999999</v>
      </c>
      <c r="I206" s="1"/>
      <c r="J206" s="1"/>
      <c r="K206" s="1"/>
      <c r="L206" s="1"/>
      <c r="M206" s="1"/>
      <c r="N206" s="1"/>
      <c r="O206" s="1"/>
      <c r="P206" s="1"/>
      <c r="Q206" s="1"/>
      <c r="R206" s="1"/>
      <c r="S206" s="1"/>
      <c r="T206" s="21" t="str">
        <f t="shared" ref="T206:T209" ca="1" si="60">U206&amp;""&amp;",..,"&amp;""&amp;V206</f>
        <v>201,..,2901</v>
      </c>
      <c r="U206" s="21">
        <f ca="1">(SUMPRODUCT(MID(0&amp;(LEFT(A205,SUM(LEN(A205)-LEN(SUBSTITUTE(A205,{"0","1","2","3"},""))))), LARGE(INDEX(ISNUMBER(--MID((LEFT(A205,SUM(LEN(A205)-LEN(SUBSTITUTE(A205,{"0","1","2","3"},""))))), ROW(INDIRECT("1:"&amp;LEN((LEFT(A205,SUM(LEN(A205)-LEN(SUBSTITUTE(A205,{"0","1","2","3"},"")))))))), 1)) * ROW(INDIRECT("1:"&amp;LEN((LEFT(A205,SUM(LEN(A205)-LEN(SUBSTITUTE(A205,{"0","1","2","3"},"")))))))), 0), ROW(INDIRECT("1:"&amp;LEN((LEFT(A205,SUM(LEN(A205)-LEN(SUBSTITUTE(A205,{"0","1","2","3"},"")))))))))+1, 1) * 10^ROW(INDIRECT("1:"&amp;LEN((LEFT(A205,SUM(LEN(A205)-LEN(SUBSTITUTE(A205,{"0","1","2","3"},""))))))))/10))*100+1</f>
        <v>201</v>
      </c>
      <c r="V206" s="21">
        <f ca="1">(SUMPRODUCT(MID(0&amp;(--TRIM(RIGHT(SUBSTITUTE(LEFT(A205,_xlfn.AGGREGATE(16,6,FIND({0,1,2,3,4,5,6,7,8,9},A205,ROW(INDIRECT("1:"&amp;LEN(A205)))),1)),"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2901</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100">
        <v>2</v>
      </c>
      <c r="B207" s="100"/>
      <c r="C207" s="54" t="s">
        <v>95</v>
      </c>
      <c r="D207" s="54" t="s">
        <v>327</v>
      </c>
      <c r="E207" s="82">
        <f>194.64*10.764</f>
        <v>2095.1049599999997</v>
      </c>
      <c r="F207" s="83">
        <v>0</v>
      </c>
      <c r="G207" s="83">
        <v>0</v>
      </c>
      <c r="H207" s="83">
        <f t="shared" ref="H207:H209" si="61">E207+F207+(IF(G207&lt;101,G207,IF(G207&lt;201,G207/2,IF(G207&lt;=301,G207/3,G207/4))))</f>
        <v>2095.1049599999997</v>
      </c>
      <c r="I207" s="1"/>
      <c r="J207" s="1"/>
      <c r="K207" s="1"/>
      <c r="L207" s="1"/>
      <c r="M207" s="1"/>
      <c r="N207" s="1"/>
      <c r="O207" s="1"/>
      <c r="P207" s="1"/>
      <c r="Q207" s="1"/>
      <c r="R207" s="1"/>
      <c r="S207" s="1"/>
      <c r="T207" s="21" t="str">
        <f t="shared" ca="1" si="60"/>
        <v>202,..,2902</v>
      </c>
      <c r="U207" s="21">
        <f ca="1">U206+1</f>
        <v>202</v>
      </c>
      <c r="V207" s="21">
        <f ca="1">V206+1</f>
        <v>2902</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00">
        <v>3</v>
      </c>
      <c r="B208" s="100"/>
      <c r="C208" s="54" t="s">
        <v>95</v>
      </c>
      <c r="D208" s="54" t="s">
        <v>327</v>
      </c>
      <c r="E208" s="82">
        <f>(208.54)*10.764</f>
        <v>2244.7245599999997</v>
      </c>
      <c r="F208" s="83">
        <v>0</v>
      </c>
      <c r="G208" s="83">
        <v>0</v>
      </c>
      <c r="H208" s="83">
        <f t="shared" si="61"/>
        <v>2244.7245599999997</v>
      </c>
      <c r="I208" s="1"/>
      <c r="J208" s="1"/>
      <c r="K208" s="1"/>
      <c r="L208" s="1"/>
      <c r="M208" s="1"/>
      <c r="N208" s="1"/>
      <c r="O208" s="1"/>
      <c r="P208" s="1"/>
      <c r="Q208" s="1"/>
      <c r="R208" s="1"/>
      <c r="S208" s="1"/>
      <c r="T208" s="21" t="str">
        <f t="shared" ca="1" si="60"/>
        <v>203,..,2903</v>
      </c>
      <c r="U208" s="21">
        <f t="shared" ref="U208:V208" ca="1" si="62">U207+1</f>
        <v>203</v>
      </c>
      <c r="V208" s="21">
        <f t="shared" ca="1" si="62"/>
        <v>2903</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100">
        <v>4</v>
      </c>
      <c r="B209" s="100"/>
      <c r="C209" s="54" t="s">
        <v>95</v>
      </c>
      <c r="D209" s="54" t="s">
        <v>327</v>
      </c>
      <c r="E209" s="82">
        <f>(202.81)*10.764</f>
        <v>2183.04684</v>
      </c>
      <c r="F209" s="83">
        <f>(5.3*1.83)*10.764</f>
        <v>104.40003599999999</v>
      </c>
      <c r="G209" s="83">
        <v>0</v>
      </c>
      <c r="H209" s="83">
        <f t="shared" si="61"/>
        <v>2287.446876</v>
      </c>
      <c r="I209" s="1"/>
      <c r="J209" s="1"/>
      <c r="K209" s="1"/>
      <c r="L209" s="1"/>
      <c r="M209" s="1"/>
      <c r="N209" s="1"/>
      <c r="O209" s="1"/>
      <c r="P209" s="1"/>
      <c r="Q209" s="1"/>
      <c r="R209" s="1"/>
      <c r="S209" s="1"/>
      <c r="T209" s="21" t="str">
        <f t="shared" ca="1" si="60"/>
        <v>204,..,2904</v>
      </c>
      <c r="U209" s="21">
        <f t="shared" ref="U209:V209" ca="1" si="63">U208+1</f>
        <v>204</v>
      </c>
      <c r="V209" s="21">
        <f t="shared" ca="1" si="63"/>
        <v>2904</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x14ac:dyDescent="0.25">
      <c r="A210" s="101" t="s">
        <v>345</v>
      </c>
      <c r="B210" s="102"/>
      <c r="C210" s="102"/>
      <c r="D210" s="102"/>
      <c r="E210" s="102"/>
      <c r="F210" s="102"/>
      <c r="G210" s="102"/>
      <c r="H210" s="103"/>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00">
        <v>1</v>
      </c>
      <c r="B211" s="100"/>
      <c r="C211" s="104" t="s">
        <v>326</v>
      </c>
      <c r="D211" s="105"/>
      <c r="E211" s="105"/>
      <c r="F211" s="105"/>
      <c r="G211" s="105"/>
      <c r="H211" s="106"/>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04">
        <f>A211+1</f>
        <v>2</v>
      </c>
      <c r="B212" s="106"/>
      <c r="C212" s="54" t="s">
        <v>95</v>
      </c>
      <c r="D212" s="54" t="s">
        <v>327</v>
      </c>
      <c r="E212" s="82">
        <f>194.64*10.764</f>
        <v>2095.1049599999997</v>
      </c>
      <c r="F212" s="83">
        <v>0</v>
      </c>
      <c r="G212" s="83">
        <v>0</v>
      </c>
      <c r="H212" s="83">
        <f t="shared" ref="H212:H214" si="64">E212+F212+(IF(G212&lt;101,G212,IF(G212&lt;201,G212/2,IF(G212&lt;=301,G212/3,G212/4))))</f>
        <v>2095.1049599999997</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04">
        <f t="shared" ref="A213:A214" si="65">A212+1</f>
        <v>3</v>
      </c>
      <c r="B213" s="106"/>
      <c r="C213" s="54" t="s">
        <v>95</v>
      </c>
      <c r="D213" s="54" t="s">
        <v>327</v>
      </c>
      <c r="E213" s="82">
        <f>219.07*10.764</f>
        <v>2358.0694799999997</v>
      </c>
      <c r="F213" s="83">
        <v>0</v>
      </c>
      <c r="G213" s="83">
        <v>0</v>
      </c>
      <c r="H213" s="83">
        <f t="shared" si="64"/>
        <v>2358.0694799999997</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104">
        <f t="shared" si="65"/>
        <v>4</v>
      </c>
      <c r="B214" s="106"/>
      <c r="C214" s="54" t="s">
        <v>95</v>
      </c>
      <c r="D214" s="54" t="s">
        <v>327</v>
      </c>
      <c r="E214" s="82">
        <f>(202.81)*10.764</f>
        <v>2183.04684</v>
      </c>
      <c r="F214" s="83">
        <f>(5.3*1.83)*10.764</f>
        <v>104.40003599999999</v>
      </c>
      <c r="G214" s="83">
        <v>0</v>
      </c>
      <c r="H214" s="83">
        <f t="shared" si="64"/>
        <v>2287.446876</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07" t="s">
        <v>346</v>
      </c>
      <c r="B215" s="108"/>
      <c r="C215" s="108"/>
      <c r="D215" s="108"/>
      <c r="E215" s="108"/>
      <c r="F215" s="108"/>
      <c r="G215" s="108"/>
      <c r="H215" s="10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100">
        <v>1</v>
      </c>
      <c r="B216" s="100"/>
      <c r="C216" s="54" t="s">
        <v>95</v>
      </c>
      <c r="D216" s="54" t="s">
        <v>327</v>
      </c>
      <c r="E216" s="82">
        <f>218.77*10.764</f>
        <v>2354.8402799999999</v>
      </c>
      <c r="F216" s="83">
        <v>0</v>
      </c>
      <c r="G216" s="83">
        <v>0</v>
      </c>
      <c r="H216" s="83">
        <f>E216+F216+(IF(G216&lt;101,G216,IF(G216&lt;201,G216/2,IF(G216&lt;=301,G216/3,G216/4))))</f>
        <v>2354.8402799999999</v>
      </c>
      <c r="I216" s="1"/>
      <c r="J216" s="1"/>
      <c r="K216" s="1"/>
      <c r="L216" s="1"/>
      <c r="M216" s="1"/>
      <c r="N216" s="1"/>
      <c r="O216" s="1"/>
      <c r="P216" s="1"/>
      <c r="Q216" s="1"/>
      <c r="R216" s="1"/>
      <c r="S216" s="1"/>
      <c r="T216" s="21" t="str">
        <f t="shared" ref="T216:T219" ca="1" si="66">U216&amp;""&amp;",..,"&amp;""&amp;V216</f>
        <v>3101,..,3101</v>
      </c>
      <c r="U216" s="21">
        <f ca="1">(SUMPRODUCT(MID(0&amp;(LEFT(A215,SUM(LEN(A215)-LEN(SUBSTITUTE(A215,{"0","1","2","3"},""))))), LARGE(INDEX(ISNUMBER(--MID((LEFT(A215,SUM(LEN(A215)-LEN(SUBSTITUTE(A215,{"0","1","2","3"},""))))), ROW(INDIRECT("1:"&amp;LEN((LEFT(A215,SUM(LEN(A215)-LEN(SUBSTITUTE(A215,{"0","1","2","3"},"")))))))), 1)) * ROW(INDIRECT("1:"&amp;LEN((LEFT(A215,SUM(LEN(A215)-LEN(SUBSTITUTE(A215,{"0","1","2","3"},"")))))))), 0), ROW(INDIRECT("1:"&amp;LEN((LEFT(A215,SUM(LEN(A215)-LEN(SUBSTITUTE(A215,{"0","1","2","3"},"")))))))))+1, 1) * 10^ROW(INDIRECT("1:"&amp;LEN((LEFT(A215,SUM(LEN(A215)-LEN(SUBSTITUTE(A215,{"0","1","2","3"},""))))))))/10))*100+1</f>
        <v>3101</v>
      </c>
      <c r="V216" s="21">
        <f ca="1">(SUMPRODUCT(MID(0&amp;(--TRIM(RIGHT(SUBSTITUTE(LEFT(A215,_xlfn.AGGREGATE(16,6,FIND({0,1,2,3,4,5,6,7,8,9},A215,ROW(INDIRECT("1:"&amp;LEN(A215)))),1)),"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",LEN(A215))),LEN(A215)))))))/10))*100+1</f>
        <v>3101</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100">
        <v>2</v>
      </c>
      <c r="B217" s="100"/>
      <c r="C217" s="54" t="s">
        <v>95</v>
      </c>
      <c r="D217" s="54" t="s">
        <v>327</v>
      </c>
      <c r="E217" s="82">
        <f>194.64*10.764</f>
        <v>2095.1049599999997</v>
      </c>
      <c r="F217" s="83">
        <v>0</v>
      </c>
      <c r="G217" s="83">
        <v>0</v>
      </c>
      <c r="H217" s="83">
        <f t="shared" ref="H217:H219" si="67">E217+F217+(IF(G217&lt;101,G217,IF(G217&lt;201,G217/2,IF(G217&lt;=301,G217/3,G217/4))))</f>
        <v>2095.1049599999997</v>
      </c>
      <c r="I217" s="1"/>
      <c r="J217" s="1"/>
      <c r="K217" s="1"/>
      <c r="L217" s="1"/>
      <c r="M217" s="1"/>
      <c r="N217" s="1"/>
      <c r="O217" s="1"/>
      <c r="P217" s="1"/>
      <c r="Q217" s="1"/>
      <c r="R217" s="1"/>
      <c r="S217" s="1"/>
      <c r="T217" s="21" t="str">
        <f t="shared" ca="1" si="66"/>
        <v>3102,..,3102</v>
      </c>
      <c r="U217" s="21">
        <f ca="1">U216+1</f>
        <v>3102</v>
      </c>
      <c r="V217" s="21">
        <f ca="1">V216+1</f>
        <v>3102</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100">
        <v>3</v>
      </c>
      <c r="B218" s="100"/>
      <c r="C218" s="54" t="s">
        <v>95</v>
      </c>
      <c r="D218" s="54" t="s">
        <v>327</v>
      </c>
      <c r="E218" s="82">
        <f>219.07*10.764</f>
        <v>2358.0694799999997</v>
      </c>
      <c r="F218" s="83">
        <v>0</v>
      </c>
      <c r="G218" s="83">
        <v>0</v>
      </c>
      <c r="H218" s="83">
        <f t="shared" si="67"/>
        <v>2358.0694799999997</v>
      </c>
      <c r="I218" s="1"/>
      <c r="J218" s="1"/>
      <c r="K218" s="1"/>
      <c r="L218" s="1"/>
      <c r="M218" s="1"/>
      <c r="N218" s="1"/>
      <c r="O218" s="1"/>
      <c r="P218" s="1"/>
      <c r="Q218" s="1"/>
      <c r="R218" s="1"/>
      <c r="S218" s="1"/>
      <c r="T218" s="21" t="str">
        <f t="shared" ca="1" si="66"/>
        <v>3103,..,3103</v>
      </c>
      <c r="U218" s="21">
        <f t="shared" ref="U218:V218" ca="1" si="68">U217+1</f>
        <v>3103</v>
      </c>
      <c r="V218" s="21">
        <f t="shared" ca="1" si="68"/>
        <v>3103</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100">
        <v>4</v>
      </c>
      <c r="B219" s="100"/>
      <c r="C219" s="54" t="s">
        <v>95</v>
      </c>
      <c r="D219" s="54" t="s">
        <v>327</v>
      </c>
      <c r="E219" s="82">
        <f>(202.81)*10.764</f>
        <v>2183.04684</v>
      </c>
      <c r="F219" s="83">
        <f>(5.3*1.83)*10.764</f>
        <v>104.40003599999999</v>
      </c>
      <c r="G219" s="83">
        <v>0</v>
      </c>
      <c r="H219" s="83">
        <f t="shared" si="67"/>
        <v>2287.446876</v>
      </c>
      <c r="I219" s="1"/>
      <c r="J219" s="1"/>
      <c r="K219" s="1"/>
      <c r="L219" s="1"/>
      <c r="M219" s="1"/>
      <c r="N219" s="1"/>
      <c r="O219" s="1"/>
      <c r="P219" s="1"/>
      <c r="Q219" s="1"/>
      <c r="R219" s="1"/>
      <c r="S219" s="1"/>
      <c r="T219" s="21" t="str">
        <f t="shared" ca="1" si="66"/>
        <v>3104,..,3104</v>
      </c>
      <c r="U219" s="21">
        <f t="shared" ref="U219:V219" ca="1" si="69">U218+1</f>
        <v>3104</v>
      </c>
      <c r="V219" s="21">
        <f t="shared" ca="1" si="69"/>
        <v>3104</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x14ac:dyDescent="0.25">
      <c r="A220" s="107" t="s">
        <v>347</v>
      </c>
      <c r="B220" s="108"/>
      <c r="C220" s="108"/>
      <c r="D220" s="108"/>
      <c r="E220" s="108"/>
      <c r="F220" s="108"/>
      <c r="G220" s="108"/>
      <c r="H220" s="10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100">
        <v>1</v>
      </c>
      <c r="B221" s="100"/>
      <c r="C221" s="54" t="s">
        <v>95</v>
      </c>
      <c r="D221" s="54" t="s">
        <v>327</v>
      </c>
      <c r="E221" s="82">
        <f>208.99*10.764</f>
        <v>2249.5683599999998</v>
      </c>
      <c r="F221" s="83">
        <v>0</v>
      </c>
      <c r="G221" s="83">
        <v>0</v>
      </c>
      <c r="H221" s="83">
        <f>E221+F221+(IF(G221&lt;101,G221,IF(G221&lt;201,G221/2,IF(G221&lt;=301,G221/3,G221/4))))</f>
        <v>2249.5683599999998</v>
      </c>
      <c r="I221" s="1"/>
      <c r="J221" s="1"/>
      <c r="K221" s="1"/>
      <c r="L221" s="1"/>
      <c r="M221" s="1"/>
      <c r="N221" s="1"/>
      <c r="O221" s="1"/>
      <c r="P221" s="1"/>
      <c r="Q221" s="1"/>
      <c r="R221" s="1"/>
      <c r="S221" s="1"/>
      <c r="T221" s="21" t="str">
        <f t="shared" ref="T221:T224" ca="1" si="70">U221&amp;""&amp;",..,"&amp;""&amp;V221</f>
        <v>3201,..,3201</v>
      </c>
      <c r="U221" s="21">
        <f ca="1">(SUMPRODUCT(MID(0&amp;(LEFT(A220,SUM(LEN(A220)-LEN(SUBSTITUTE(A220,{"0","1","2","3"},""))))), LARGE(INDEX(ISNUMBER(--MID((LEFT(A220,SUM(LEN(A220)-LEN(SUBSTITUTE(A220,{"0","1","2","3"},""))))), ROW(INDIRECT("1:"&amp;LEN((LEFT(A220,SUM(LEN(A220)-LEN(SUBSTITUTE(A220,{"0","1","2","3"},"")))))))), 1)) * ROW(INDIRECT("1:"&amp;LEN((LEFT(A220,SUM(LEN(A220)-LEN(SUBSTITUTE(A220,{"0","1","2","3"},"")))))))), 0), ROW(INDIRECT("1:"&amp;LEN((LEFT(A220,SUM(LEN(A220)-LEN(SUBSTITUTE(A220,{"0","1","2","3"},"")))))))))+1, 1) * 10^ROW(INDIRECT("1:"&amp;LEN((LEFT(A220,SUM(LEN(A220)-LEN(SUBSTITUTE(A220,{"0","1","2","3"},""))))))))/10))*100+1</f>
        <v>3201</v>
      </c>
      <c r="V221" s="21">
        <f ca="1">(SUMPRODUCT(MID(0&amp;(--TRIM(RIGHT(SUBSTITUTE(LEFT(A220,_xlfn.AGGREGATE(16,6,FIND({0,1,2,3,4,5,6,7,8,9},A220,ROW(INDIRECT("1:"&amp;LEN(A220)))),1)),"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",LEN(A220))),LEN(A220)))))))/10))*100+1</f>
        <v>3201</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100">
        <v>2</v>
      </c>
      <c r="B222" s="100"/>
      <c r="C222" s="54" t="s">
        <v>95</v>
      </c>
      <c r="D222" s="54" t="s">
        <v>327</v>
      </c>
      <c r="E222" s="82">
        <f>194.64*10.764</f>
        <v>2095.1049599999997</v>
      </c>
      <c r="F222" s="83">
        <v>0</v>
      </c>
      <c r="G222" s="83">
        <v>0</v>
      </c>
      <c r="H222" s="83">
        <f t="shared" ref="H222:H224" si="71">E222+F222+(IF(G222&lt;101,G222,IF(G222&lt;201,G222/2,IF(G222&lt;=301,G222/3,G222/4))))</f>
        <v>2095.1049599999997</v>
      </c>
      <c r="I222" s="1"/>
      <c r="J222" s="1"/>
      <c r="K222" s="1"/>
      <c r="L222" s="1"/>
      <c r="M222" s="1"/>
      <c r="N222" s="1"/>
      <c r="O222" s="1"/>
      <c r="P222" s="1"/>
      <c r="Q222" s="1"/>
      <c r="R222" s="1"/>
      <c r="S222" s="1"/>
      <c r="T222" s="21" t="str">
        <f t="shared" ca="1" si="70"/>
        <v>3202,..,3202</v>
      </c>
      <c r="U222" s="21">
        <f ca="1">U221+1</f>
        <v>3202</v>
      </c>
      <c r="V222" s="21">
        <f ca="1">V221+1</f>
        <v>3202</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100">
        <v>3</v>
      </c>
      <c r="B223" s="100"/>
      <c r="C223" s="54" t="s">
        <v>95</v>
      </c>
      <c r="D223" s="54" t="s">
        <v>327</v>
      </c>
      <c r="E223" s="82">
        <f>219.07*10.764</f>
        <v>2358.0694799999997</v>
      </c>
      <c r="F223" s="83">
        <v>0</v>
      </c>
      <c r="G223" s="83">
        <v>0</v>
      </c>
      <c r="H223" s="83">
        <f t="shared" si="71"/>
        <v>2358.0694799999997</v>
      </c>
      <c r="I223" s="1"/>
      <c r="J223" s="1"/>
      <c r="K223" s="1"/>
      <c r="L223" s="1"/>
      <c r="M223" s="1"/>
      <c r="N223" s="1"/>
      <c r="O223" s="1"/>
      <c r="P223" s="1"/>
      <c r="Q223" s="1"/>
      <c r="R223" s="1"/>
      <c r="S223" s="1"/>
      <c r="T223" s="21" t="str">
        <f t="shared" ca="1" si="70"/>
        <v>3203,..,3203</v>
      </c>
      <c r="U223" s="21">
        <f t="shared" ref="U223:V223" ca="1" si="72">U222+1</f>
        <v>3203</v>
      </c>
      <c r="V223" s="21">
        <f t="shared" ca="1" si="72"/>
        <v>3203</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100">
        <v>4</v>
      </c>
      <c r="B224" s="100"/>
      <c r="C224" s="54" t="s">
        <v>95</v>
      </c>
      <c r="D224" s="54" t="s">
        <v>327</v>
      </c>
      <c r="E224" s="82">
        <f>(202.81)*10.764</f>
        <v>2183.04684</v>
      </c>
      <c r="F224" s="83">
        <f>(5.3*1.83)*10.764</f>
        <v>104.40003599999999</v>
      </c>
      <c r="G224" s="83">
        <v>0</v>
      </c>
      <c r="H224" s="83">
        <f t="shared" si="71"/>
        <v>2287.446876</v>
      </c>
      <c r="I224" s="1"/>
      <c r="J224" s="1"/>
      <c r="K224" s="1"/>
      <c r="L224" s="1"/>
      <c r="M224" s="1"/>
      <c r="N224" s="1"/>
      <c r="O224" s="1"/>
      <c r="P224" s="1"/>
      <c r="Q224" s="1"/>
      <c r="R224" s="1"/>
      <c r="S224" s="1"/>
      <c r="T224" s="21" t="str">
        <f t="shared" ca="1" si="70"/>
        <v>3204,..,3204</v>
      </c>
      <c r="U224" s="21">
        <f t="shared" ref="U224:V224" ca="1" si="73">U223+1</f>
        <v>3204</v>
      </c>
      <c r="V224" s="21">
        <f t="shared" ca="1" si="73"/>
        <v>3204</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x14ac:dyDescent="0.25">
      <c r="A225" s="107" t="s">
        <v>348</v>
      </c>
      <c r="B225" s="108"/>
      <c r="C225" s="108"/>
      <c r="D225" s="108"/>
      <c r="E225" s="108"/>
      <c r="F225" s="108"/>
      <c r="G225" s="108"/>
      <c r="H225" s="10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100">
        <v>1</v>
      </c>
      <c r="B226" s="100"/>
      <c r="C226" s="54" t="s">
        <v>95</v>
      </c>
      <c r="D226" s="54" t="s">
        <v>327</v>
      </c>
      <c r="E226" s="82">
        <f>218.77*10.764</f>
        <v>2354.8402799999999</v>
      </c>
      <c r="F226" s="83">
        <v>0</v>
      </c>
      <c r="G226" s="83">
        <v>0</v>
      </c>
      <c r="H226" s="83">
        <f>E226+F226+(IF(G226&lt;101,G226,IF(G226&lt;201,G226/2,IF(G226&lt;=301,G226/3,G226/4))))</f>
        <v>2354.8402799999999</v>
      </c>
      <c r="I226" s="1"/>
      <c r="J226" s="1"/>
      <c r="K226" s="1"/>
      <c r="L226" s="1"/>
      <c r="M226" s="1"/>
      <c r="N226" s="1"/>
      <c r="O226" s="1"/>
      <c r="P226" s="1"/>
      <c r="Q226" s="1"/>
      <c r="R226" s="1"/>
      <c r="S226" s="1"/>
      <c r="T226" s="21" t="str">
        <f t="shared" ref="T226:T229" ca="1" si="74">U226&amp;""&amp;",..,"&amp;""&amp;V226</f>
        <v>3301,..,3301</v>
      </c>
      <c r="U226" s="21">
        <f ca="1">(SUMPRODUCT(MID(0&amp;(LEFT(A225,SUM(LEN(A225)-LEN(SUBSTITUTE(A225,{"0","1","2","3"},""))))), LARGE(INDEX(ISNUMBER(--MID((LEFT(A225,SUM(LEN(A225)-LEN(SUBSTITUTE(A225,{"0","1","2","3"},""))))), ROW(INDIRECT("1:"&amp;LEN((LEFT(A225,SUM(LEN(A225)-LEN(SUBSTITUTE(A225,{"0","1","2","3"},"")))))))), 1)) * ROW(INDIRECT("1:"&amp;LEN((LEFT(A225,SUM(LEN(A225)-LEN(SUBSTITUTE(A225,{"0","1","2","3"},"")))))))), 0), ROW(INDIRECT("1:"&amp;LEN((LEFT(A225,SUM(LEN(A225)-LEN(SUBSTITUTE(A225,{"0","1","2","3"},"")))))))))+1, 1) * 10^ROW(INDIRECT("1:"&amp;LEN((LEFT(A225,SUM(LEN(A225)-LEN(SUBSTITUTE(A225,{"0","1","2","3"},""))))))))/10))*100+1</f>
        <v>3301</v>
      </c>
      <c r="V226" s="21">
        <f ca="1">(SUMPRODUCT(MID(0&amp;(--TRIM(RIGHT(SUBSTITUTE(LEFT(A225,_xlfn.AGGREGATE(16,6,FIND({0,1,2,3,4,5,6,7,8,9},A225,ROW(INDIRECT("1:"&amp;LEN(A225)))),1))," ",REPT(" ",LEN(A225))),LEN(A225)))), LARGE(INDEX(ISNUMBER(--MID((--TRIM(RIGHT(SUBSTITUTE(LEFT(A225,_xlfn.AGGREGATE(16,6,FIND({0,1,2,3,4,5,6,7,8,9},A225,ROW(INDIRECT("1:"&amp;LEN(A225)))),1))," ",REPT(" ",LEN(A225))),LEN(A225)))), ROW(INDIRECT("1:"&amp;LEN((--TRIM(RIGHT(SUBSTITUTE(LEFT(A225,_xlfn.AGGREGATE(16,6,FIND({0,1,2,3,4,5,6,7,8,9},A225,ROW(INDIRECT("1:"&amp;LEN(A225)))),1))," ",REPT(" ",LEN(A225))),LEN(A225))))))), 1)) * ROW(INDIRECT("1:"&amp;LEN((--TRIM(RIGHT(SUBSTITUTE(LEFT(A225,_xlfn.AGGREGATE(16,6,FIND({0,1,2,3,4,5,6,7,8,9},A225,ROW(INDIRECT("1:"&amp;LEN(A225)))),1))," ",REPT(" ",LEN(A225))),LEN(A225))))))), 0), ROW(INDIRECT("1:"&amp;LEN((--TRIM(RIGHT(SUBSTITUTE(LEFT(A225,_xlfn.AGGREGATE(16,6,FIND({0,1,2,3,4,5,6,7,8,9},A225,ROW(INDIRECT("1:"&amp;LEN(A225)))),1))," ",REPT(" ",LEN(A225))),LEN(A225))))))))+1, 1) * 10^ROW(INDIRECT("1:"&amp;LEN((--TRIM(RIGHT(SUBSTITUTE(LEFT(A225,_xlfn.AGGREGATE(16,6,FIND({0,1,2,3,4,5,6,7,8,9},A225,ROW(INDIRECT("1:"&amp;LEN(A225)))),1))," ",REPT(" ",LEN(A225))),LEN(A225)))))))/10))*100+1</f>
        <v>3301</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100">
        <v>2</v>
      </c>
      <c r="B227" s="100"/>
      <c r="C227" s="54" t="s">
        <v>95</v>
      </c>
      <c r="D227" s="54" t="s">
        <v>327</v>
      </c>
      <c r="E227" s="82">
        <f>194.64*10.764</f>
        <v>2095.1049599999997</v>
      </c>
      <c r="F227" s="83">
        <v>0</v>
      </c>
      <c r="G227" s="83">
        <v>0</v>
      </c>
      <c r="H227" s="83">
        <f t="shared" ref="H227:H229" si="75">E227+F227+(IF(G227&lt;101,G227,IF(G227&lt;201,G227/2,IF(G227&lt;=301,G227/3,G227/4))))</f>
        <v>2095.1049599999997</v>
      </c>
      <c r="I227" s="1"/>
      <c r="J227" s="1"/>
      <c r="K227" s="1"/>
      <c r="L227" s="1"/>
      <c r="M227" s="1"/>
      <c r="N227" s="1"/>
      <c r="O227" s="1"/>
      <c r="P227" s="1"/>
      <c r="Q227" s="1"/>
      <c r="R227" s="1"/>
      <c r="S227" s="1"/>
      <c r="T227" s="21" t="str">
        <f t="shared" ca="1" si="74"/>
        <v>3302,..,3302</v>
      </c>
      <c r="U227" s="21">
        <f ca="1">U226+1</f>
        <v>3302</v>
      </c>
      <c r="V227" s="21">
        <f ca="1">V226+1</f>
        <v>3302</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100">
        <v>3</v>
      </c>
      <c r="B228" s="100"/>
      <c r="C228" s="54" t="s">
        <v>95</v>
      </c>
      <c r="D228" s="54" t="s">
        <v>327</v>
      </c>
      <c r="E228" s="82">
        <f>219.07*10.764</f>
        <v>2358.0694799999997</v>
      </c>
      <c r="F228" s="83">
        <v>0</v>
      </c>
      <c r="G228" s="83">
        <v>0</v>
      </c>
      <c r="H228" s="83">
        <f t="shared" si="75"/>
        <v>2358.0694799999997</v>
      </c>
      <c r="I228" s="1"/>
      <c r="J228" s="1"/>
      <c r="K228" s="1"/>
      <c r="L228" s="1"/>
      <c r="M228" s="1"/>
      <c r="N228" s="1"/>
      <c r="O228" s="1"/>
      <c r="P228" s="1"/>
      <c r="Q228" s="1"/>
      <c r="R228" s="1"/>
      <c r="S228" s="1"/>
      <c r="T228" s="21" t="str">
        <f t="shared" ca="1" si="74"/>
        <v>3303,..,3303</v>
      </c>
      <c r="U228" s="21">
        <f t="shared" ref="U228:V228" ca="1" si="76">U227+1</f>
        <v>3303</v>
      </c>
      <c r="V228" s="21">
        <f t="shared" ca="1" si="76"/>
        <v>3303</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100">
        <v>4</v>
      </c>
      <c r="B229" s="100"/>
      <c r="C229" s="54" t="s">
        <v>95</v>
      </c>
      <c r="D229" s="54" t="s">
        <v>327</v>
      </c>
      <c r="E229" s="82">
        <f>(202.81)*10.764</f>
        <v>2183.04684</v>
      </c>
      <c r="F229" s="83">
        <f>(5.3*1.83)*10.764</f>
        <v>104.40003599999999</v>
      </c>
      <c r="G229" s="83">
        <v>0</v>
      </c>
      <c r="H229" s="83">
        <f t="shared" si="75"/>
        <v>2287.446876</v>
      </c>
      <c r="I229" s="1"/>
      <c r="J229" s="1"/>
      <c r="K229" s="1"/>
      <c r="L229" s="1"/>
      <c r="M229" s="1"/>
      <c r="N229" s="1"/>
      <c r="O229" s="1"/>
      <c r="P229" s="1"/>
      <c r="Q229" s="1"/>
      <c r="R229" s="1"/>
      <c r="S229" s="1"/>
      <c r="T229" s="21" t="str">
        <f t="shared" ca="1" si="74"/>
        <v>3304,..,3304</v>
      </c>
      <c r="U229" s="21">
        <f t="shared" ref="U229:V229" ca="1" si="77">U228+1</f>
        <v>3304</v>
      </c>
      <c r="V229" s="21">
        <f t="shared" ca="1" si="77"/>
        <v>3304</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x14ac:dyDescent="0.25">
      <c r="A230" s="107" t="s">
        <v>349</v>
      </c>
      <c r="B230" s="108"/>
      <c r="C230" s="108"/>
      <c r="D230" s="108"/>
      <c r="E230" s="108"/>
      <c r="F230" s="108"/>
      <c r="G230" s="108"/>
      <c r="H230" s="10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100">
        <v>1</v>
      </c>
      <c r="B231" s="100"/>
      <c r="C231" s="54" t="s">
        <v>95</v>
      </c>
      <c r="D231" s="54" t="s">
        <v>327</v>
      </c>
      <c r="E231" s="82">
        <f>208.99*10.764</f>
        <v>2249.5683599999998</v>
      </c>
      <c r="F231" s="83">
        <v>0</v>
      </c>
      <c r="G231" s="83">
        <v>0</v>
      </c>
      <c r="H231" s="83">
        <f>E231+F231+(IF(G231&lt;101,G231,IF(G231&lt;201,G231/2,IF(G231&lt;=301,G231/3,G231/4))))</f>
        <v>2249.5683599999998</v>
      </c>
      <c r="I231" s="1"/>
      <c r="J231" s="1"/>
      <c r="K231" s="1"/>
      <c r="L231" s="1"/>
      <c r="M231" s="1"/>
      <c r="N231" s="1"/>
      <c r="O231" s="1"/>
      <c r="P231" s="1"/>
      <c r="Q231" s="1"/>
      <c r="R231" s="1"/>
      <c r="S231" s="1"/>
      <c r="T231" s="21" t="str">
        <f t="shared" ref="T231:T234" ca="1" si="78">U231&amp;""&amp;",..,"&amp;""&amp;V231</f>
        <v>301,..,3401</v>
      </c>
      <c r="U231" s="21">
        <f ca="1">(SUMPRODUCT(MID(0&amp;(LEFT(A230,SUM(LEN(A230)-LEN(SUBSTITUTE(A230,{"0","1","2","3"},""))))), LARGE(INDEX(ISNUMBER(--MID((LEFT(A230,SUM(LEN(A230)-LEN(SUBSTITUTE(A230,{"0","1","2","3"},""))))), ROW(INDIRECT("1:"&amp;LEN((LEFT(A230,SUM(LEN(A230)-LEN(SUBSTITUTE(A230,{"0","1","2","3"},"")))))))), 1)) * ROW(INDIRECT("1:"&amp;LEN((LEFT(A230,SUM(LEN(A230)-LEN(SUBSTITUTE(A230,{"0","1","2","3"},"")))))))), 0), ROW(INDIRECT("1:"&amp;LEN((LEFT(A230,SUM(LEN(A230)-LEN(SUBSTITUTE(A230,{"0","1","2","3"},"")))))))))+1, 1) * 10^ROW(INDIRECT("1:"&amp;LEN((LEFT(A230,SUM(LEN(A230)-LEN(SUBSTITUTE(A230,{"0","1","2","3"},""))))))))/10))*100+1</f>
        <v>301</v>
      </c>
      <c r="V231" s="21">
        <f ca="1">(SUMPRODUCT(MID(0&amp;(--TRIM(RIGHT(SUBSTITUTE(LEFT(A230,_xlfn.AGGREGATE(16,6,FIND({0,1,2,3,4,5,6,7,8,9},A230,ROW(INDIRECT("1:"&amp;LEN(A230)))),1))," ",REPT(" ",LEN(A230))),LEN(A230)))), LARGE(INDEX(ISNUMBER(--MID((--TRIM(RIGHT(SUBSTITUTE(LEFT(A230,_xlfn.AGGREGATE(16,6,FIND({0,1,2,3,4,5,6,7,8,9},A230,ROW(INDIRECT("1:"&amp;LEN(A230)))),1))," ",REPT(" ",LEN(A230))),LEN(A230)))), ROW(INDIRECT("1:"&amp;LEN((--TRIM(RIGHT(SUBSTITUTE(LEFT(A230,_xlfn.AGGREGATE(16,6,FIND({0,1,2,3,4,5,6,7,8,9},A230,ROW(INDIRECT("1:"&amp;LEN(A230)))),1))," ",REPT(" ",LEN(A230))),LEN(A230))))))), 1)) * ROW(INDIRECT("1:"&amp;LEN((--TRIM(RIGHT(SUBSTITUTE(LEFT(A230,_xlfn.AGGREGATE(16,6,FIND({0,1,2,3,4,5,6,7,8,9},A230,ROW(INDIRECT("1:"&amp;LEN(A230)))),1))," ",REPT(" ",LEN(A230))),LEN(A230))))))), 0), ROW(INDIRECT("1:"&amp;LEN((--TRIM(RIGHT(SUBSTITUTE(LEFT(A230,_xlfn.AGGREGATE(16,6,FIND({0,1,2,3,4,5,6,7,8,9},A230,ROW(INDIRECT("1:"&amp;LEN(A230)))),1))," ",REPT(" ",LEN(A230))),LEN(A230))))))))+1, 1) * 10^ROW(INDIRECT("1:"&amp;LEN((--TRIM(RIGHT(SUBSTITUTE(LEFT(A230,_xlfn.AGGREGATE(16,6,FIND({0,1,2,3,4,5,6,7,8,9},A230,ROW(INDIRECT("1:"&amp;LEN(A230)))),1))," ",REPT(" ",LEN(A230))),LEN(A230)))))))/10))*100+1</f>
        <v>3401</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100">
        <v>2</v>
      </c>
      <c r="B232" s="100"/>
      <c r="C232" s="54" t="s">
        <v>95</v>
      </c>
      <c r="D232" s="54" t="s">
        <v>327</v>
      </c>
      <c r="E232" s="82">
        <f>194.64*10.764</f>
        <v>2095.1049599999997</v>
      </c>
      <c r="F232" s="83">
        <v>0</v>
      </c>
      <c r="G232" s="83">
        <v>0</v>
      </c>
      <c r="H232" s="83">
        <f t="shared" ref="H232:H234" si="79">E232+F232+(IF(G232&lt;101,G232,IF(G232&lt;201,G232/2,IF(G232&lt;=301,G232/3,G232/4))))</f>
        <v>2095.1049599999997</v>
      </c>
      <c r="I232" s="1"/>
      <c r="J232" s="1"/>
      <c r="K232" s="1"/>
      <c r="L232" s="1"/>
      <c r="M232" s="1"/>
      <c r="N232" s="1"/>
      <c r="O232" s="1"/>
      <c r="P232" s="1"/>
      <c r="Q232" s="1"/>
      <c r="R232" s="1"/>
      <c r="S232" s="1"/>
      <c r="T232" s="21" t="str">
        <f t="shared" ca="1" si="78"/>
        <v>302,..,3402</v>
      </c>
      <c r="U232" s="21">
        <f ca="1">U231+1</f>
        <v>302</v>
      </c>
      <c r="V232" s="21">
        <f ca="1">V231+1</f>
        <v>3402</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100">
        <v>3</v>
      </c>
      <c r="B233" s="100"/>
      <c r="C233" s="54" t="s">
        <v>95</v>
      </c>
      <c r="D233" s="54" t="s">
        <v>327</v>
      </c>
      <c r="E233" s="82">
        <f>219.07*10.764</f>
        <v>2358.0694799999997</v>
      </c>
      <c r="F233" s="83">
        <v>0</v>
      </c>
      <c r="G233" s="83">
        <v>0</v>
      </c>
      <c r="H233" s="83">
        <f t="shared" si="79"/>
        <v>2358.0694799999997</v>
      </c>
      <c r="I233" s="1"/>
      <c r="J233" s="1"/>
      <c r="K233" s="1"/>
      <c r="L233" s="1"/>
      <c r="M233" s="1"/>
      <c r="N233" s="1"/>
      <c r="O233" s="1"/>
      <c r="P233" s="1"/>
      <c r="Q233" s="1"/>
      <c r="R233" s="1"/>
      <c r="S233" s="1"/>
      <c r="T233" s="21" t="str">
        <f t="shared" ca="1" si="78"/>
        <v>303,..,3403</v>
      </c>
      <c r="U233" s="21">
        <f t="shared" ref="U233:V233" ca="1" si="80">U232+1</f>
        <v>303</v>
      </c>
      <c r="V233" s="21">
        <f t="shared" ca="1" si="80"/>
        <v>3403</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100">
        <v>4</v>
      </c>
      <c r="B234" s="100"/>
      <c r="C234" s="54" t="s">
        <v>95</v>
      </c>
      <c r="D234" s="54" t="s">
        <v>327</v>
      </c>
      <c r="E234" s="82">
        <f>(202.81)*10.764</f>
        <v>2183.04684</v>
      </c>
      <c r="F234" s="83">
        <f>(5.3*1.83)*10.764</f>
        <v>104.40003599999999</v>
      </c>
      <c r="G234" s="83">
        <v>0</v>
      </c>
      <c r="H234" s="83">
        <f t="shared" si="79"/>
        <v>2287.446876</v>
      </c>
      <c r="I234" s="1"/>
      <c r="J234" s="1"/>
      <c r="K234" s="1"/>
      <c r="L234" s="1"/>
      <c r="M234" s="1"/>
      <c r="N234" s="1"/>
      <c r="O234" s="1"/>
      <c r="P234" s="1"/>
      <c r="Q234" s="1"/>
      <c r="R234" s="1"/>
      <c r="S234" s="1"/>
      <c r="T234" s="21" t="str">
        <f t="shared" ca="1" si="78"/>
        <v>304,..,3404</v>
      </c>
      <c r="U234" s="21">
        <f t="shared" ref="U234:V234" ca="1" si="81">U233+1</f>
        <v>304</v>
      </c>
      <c r="V234" s="21">
        <f t="shared" ca="1" si="81"/>
        <v>3404</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x14ac:dyDescent="0.25">
      <c r="A235" s="107" t="s">
        <v>350</v>
      </c>
      <c r="B235" s="108"/>
      <c r="C235" s="108"/>
      <c r="D235" s="108"/>
      <c r="E235" s="108"/>
      <c r="F235" s="108"/>
      <c r="G235" s="108"/>
      <c r="H235" s="10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100">
        <v>1</v>
      </c>
      <c r="B236" s="100"/>
      <c r="C236" s="54" t="s">
        <v>95</v>
      </c>
      <c r="D236" s="54" t="s">
        <v>327</v>
      </c>
      <c r="E236" s="82">
        <f>218.77*10.764</f>
        <v>2354.8402799999999</v>
      </c>
      <c r="F236" s="83">
        <v>0</v>
      </c>
      <c r="G236" s="83">
        <v>0</v>
      </c>
      <c r="H236" s="83">
        <f>E236+F236+(IF(G236&lt;101,G236,IF(G236&lt;201,G236/2,IF(G236&lt;=301,G236/3,G236/4))))</f>
        <v>2354.8402799999999</v>
      </c>
      <c r="I236" s="1"/>
      <c r="J236" s="1"/>
      <c r="K236" s="1"/>
      <c r="L236" s="1"/>
      <c r="M236" s="1"/>
      <c r="N236" s="1"/>
      <c r="O236" s="1"/>
      <c r="P236" s="1"/>
      <c r="Q236" s="1"/>
      <c r="R236" s="1"/>
      <c r="S236" s="1"/>
      <c r="T236" s="21" t="str">
        <f t="shared" ref="T236:T239" ca="1" si="82">U236&amp;""&amp;",..,"&amp;""&amp;V236</f>
        <v>3501,..,3601</v>
      </c>
      <c r="U236" s="21">
        <f ca="1">(SUMPRODUCT(MID(0&amp;(LEFT(A235,SUM(LEN(A235)-LEN(SUBSTITUTE(A235,{"0","1","2","3"},""))))), LARGE(INDEX(ISNUMBER(--MID((LEFT(A235,SUM(LEN(A235)-LEN(SUBSTITUTE(A235,{"0","1","2","3"},""))))), ROW(INDIRECT("1:"&amp;LEN((LEFT(A235,SUM(LEN(A235)-LEN(SUBSTITUTE(A235,{"0","1","2","3"},"")))))))), 1)) * ROW(INDIRECT("1:"&amp;LEN((LEFT(A235,SUM(LEN(A235)-LEN(SUBSTITUTE(A235,{"0","1","2","3"},"")))))))), 0), ROW(INDIRECT("1:"&amp;LEN((LEFT(A235,SUM(LEN(A235)-LEN(SUBSTITUTE(A235,{"0","1","2","3"},"")))))))))+1, 1) * 10^ROW(INDIRECT("1:"&amp;LEN((LEFT(A235,SUM(LEN(A235)-LEN(SUBSTITUTE(A235,{"0","1","2","3"},""))))))))/10))*100+1</f>
        <v>3501</v>
      </c>
      <c r="V236" s="21">
        <f ca="1">(SUMPRODUCT(MID(0&amp;(--TRIM(RIGHT(SUBSTITUTE(LEFT(A235,_xlfn.AGGREGATE(16,6,FIND({0,1,2,3,4,5,6,7,8,9},A235,ROW(INDIRECT("1:"&amp;LEN(A235)))),1)),"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",LEN(A235))),LEN(A235)))))))/10))*100+1</f>
        <v>3601</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100">
        <v>2</v>
      </c>
      <c r="B237" s="100"/>
      <c r="C237" s="54" t="s">
        <v>95</v>
      </c>
      <c r="D237" s="54" t="s">
        <v>327</v>
      </c>
      <c r="E237" s="82">
        <f>194.64*10.764</f>
        <v>2095.1049599999997</v>
      </c>
      <c r="F237" s="83">
        <v>0</v>
      </c>
      <c r="G237" s="83">
        <v>0</v>
      </c>
      <c r="H237" s="83">
        <f t="shared" ref="H237:H239" si="83">E237+F237+(IF(G237&lt;101,G237,IF(G237&lt;201,G237/2,IF(G237&lt;=301,G237/3,G237/4))))</f>
        <v>2095.1049599999997</v>
      </c>
      <c r="I237" s="1"/>
      <c r="J237" s="1"/>
      <c r="K237" s="1"/>
      <c r="L237" s="1"/>
      <c r="M237" s="1"/>
      <c r="N237" s="1"/>
      <c r="O237" s="1"/>
      <c r="P237" s="1"/>
      <c r="Q237" s="1"/>
      <c r="R237" s="1"/>
      <c r="S237" s="1"/>
      <c r="T237" s="21" t="str">
        <f t="shared" ca="1" si="82"/>
        <v>3502,..,3602</v>
      </c>
      <c r="U237" s="21">
        <f ca="1">U236+1</f>
        <v>3502</v>
      </c>
      <c r="V237" s="21">
        <f ca="1">V236+1</f>
        <v>3602</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100">
        <v>3</v>
      </c>
      <c r="B238" s="100"/>
      <c r="C238" s="54" t="s">
        <v>95</v>
      </c>
      <c r="D238" s="54" t="s">
        <v>327</v>
      </c>
      <c r="E238" s="82">
        <f>219.07*10.764</f>
        <v>2358.0694799999997</v>
      </c>
      <c r="F238" s="83">
        <v>0</v>
      </c>
      <c r="G238" s="83">
        <v>0</v>
      </c>
      <c r="H238" s="83">
        <f t="shared" si="83"/>
        <v>2358.0694799999997</v>
      </c>
      <c r="I238" s="1"/>
      <c r="J238" s="1"/>
      <c r="K238" s="1"/>
      <c r="L238" s="1"/>
      <c r="M238" s="1"/>
      <c r="N238" s="1"/>
      <c r="O238" s="1"/>
      <c r="P238" s="1"/>
      <c r="Q238" s="1"/>
      <c r="R238" s="1"/>
      <c r="S238" s="1"/>
      <c r="T238" s="21" t="str">
        <f t="shared" ca="1" si="82"/>
        <v>3503,..,3603</v>
      </c>
      <c r="U238" s="21">
        <f t="shared" ref="U238:V238" ca="1" si="84">U237+1</f>
        <v>3503</v>
      </c>
      <c r="V238" s="21">
        <f t="shared" ca="1" si="84"/>
        <v>3603</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100">
        <v>4</v>
      </c>
      <c r="B239" s="100"/>
      <c r="C239" s="54" t="s">
        <v>95</v>
      </c>
      <c r="D239" s="54" t="s">
        <v>327</v>
      </c>
      <c r="E239" s="82">
        <f>(202.81)*10.764</f>
        <v>2183.04684</v>
      </c>
      <c r="F239" s="83">
        <f>(5.3*1.83)*10.764</f>
        <v>104.40003599999999</v>
      </c>
      <c r="G239" s="83">
        <v>0</v>
      </c>
      <c r="H239" s="83">
        <f t="shared" si="83"/>
        <v>2287.446876</v>
      </c>
      <c r="I239" s="1"/>
      <c r="J239" s="1"/>
      <c r="K239" s="1"/>
      <c r="L239" s="1"/>
      <c r="M239" s="1"/>
      <c r="N239" s="1"/>
      <c r="O239" s="1"/>
      <c r="P239" s="1"/>
      <c r="Q239" s="1"/>
      <c r="R239" s="1"/>
      <c r="S239" s="1"/>
      <c r="T239" s="21" t="str">
        <f t="shared" ca="1" si="82"/>
        <v>3504,..,3604</v>
      </c>
      <c r="U239" s="21">
        <f t="shared" ref="U239:V239" ca="1" si="85">U238+1</f>
        <v>3504</v>
      </c>
      <c r="V239" s="21">
        <f t="shared" ca="1" si="85"/>
        <v>3604</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x14ac:dyDescent="0.25">
      <c r="A240" s="101" t="s">
        <v>387</v>
      </c>
      <c r="B240" s="102"/>
      <c r="C240" s="102"/>
      <c r="D240" s="102"/>
      <c r="E240" s="102"/>
      <c r="F240" s="102"/>
      <c r="G240" s="102"/>
      <c r="H240" s="103"/>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101" t="s">
        <v>351</v>
      </c>
      <c r="B241" s="102"/>
      <c r="C241" s="102"/>
      <c r="D241" s="102"/>
      <c r="E241" s="102"/>
      <c r="F241" s="102"/>
      <c r="G241" s="102"/>
      <c r="H241" s="103"/>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x14ac:dyDescent="0.25">
      <c r="A242" s="100">
        <v>1</v>
      </c>
      <c r="B242" s="100"/>
      <c r="C242" s="104" t="s">
        <v>326</v>
      </c>
      <c r="D242" s="105"/>
      <c r="E242" s="105"/>
      <c r="F242" s="105"/>
      <c r="G242" s="105"/>
      <c r="H242" s="106"/>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104">
        <f>A242+1</f>
        <v>2</v>
      </c>
      <c r="B243" s="106"/>
      <c r="C243" s="54" t="s">
        <v>95</v>
      </c>
      <c r="D243" s="54" t="s">
        <v>327</v>
      </c>
      <c r="E243" s="85">
        <f>195.54*10.764</f>
        <v>2104.7925599999999</v>
      </c>
      <c r="F243" s="84">
        <v>0</v>
      </c>
      <c r="G243" s="84">
        <v>0</v>
      </c>
      <c r="H243" s="84">
        <f t="shared" ref="H243:H245" si="86">E243+F243+(IF(G243&lt;101,G243,IF(G243&lt;201,G243/2,IF(G243&lt;=301,G243/3,G243/4))))</f>
        <v>2104.7925599999999</v>
      </c>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x14ac:dyDescent="0.25">
      <c r="A244" s="104">
        <f t="shared" ref="A244:A245" si="87">A243+1</f>
        <v>3</v>
      </c>
      <c r="B244" s="106"/>
      <c r="C244" s="54" t="s">
        <v>95</v>
      </c>
      <c r="D244" s="54" t="s">
        <v>327</v>
      </c>
      <c r="E244" s="85">
        <f>221.03*10.764</f>
        <v>2379.1669199999997</v>
      </c>
      <c r="F244" s="84">
        <v>0</v>
      </c>
      <c r="G244" s="84">
        <v>0</v>
      </c>
      <c r="H244" s="84">
        <f t="shared" si="86"/>
        <v>2379.1669199999997</v>
      </c>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104">
        <f t="shared" si="87"/>
        <v>4</v>
      </c>
      <c r="B245" s="106"/>
      <c r="C245" s="54" t="s">
        <v>95</v>
      </c>
      <c r="D245" s="54" t="s">
        <v>327</v>
      </c>
      <c r="E245" s="85">
        <f>(204.05)*10.764</f>
        <v>2196.3942000000002</v>
      </c>
      <c r="F245" s="84">
        <f>(5.3*1.83)*10.764</f>
        <v>104.40003599999999</v>
      </c>
      <c r="G245" s="84">
        <v>0</v>
      </c>
      <c r="H245" s="84">
        <f t="shared" si="86"/>
        <v>2300.7942360000002</v>
      </c>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x14ac:dyDescent="0.25">
      <c r="A246" s="107" t="s">
        <v>352</v>
      </c>
      <c r="B246" s="108"/>
      <c r="C246" s="108"/>
      <c r="D246" s="108"/>
      <c r="E246" s="108"/>
      <c r="F246" s="108"/>
      <c r="G246" s="108"/>
      <c r="H246" s="10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100">
        <v>1</v>
      </c>
      <c r="B247" s="100"/>
      <c r="C247" s="54" t="s">
        <v>95</v>
      </c>
      <c r="D247" s="54" t="s">
        <v>327</v>
      </c>
      <c r="E247" s="85">
        <f>220.59*10.764</f>
        <v>2374.4307599999997</v>
      </c>
      <c r="F247" s="84">
        <v>0</v>
      </c>
      <c r="G247" s="84">
        <v>0</v>
      </c>
      <c r="H247" s="84">
        <f>E247+F247+(IF(G247&lt;101,G247,IF(G247&lt;201,G247/2,IF(G247&lt;=301,G247/3,G247/4))))</f>
        <v>2374.4307599999997</v>
      </c>
      <c r="I247" s="1"/>
      <c r="J247" s="1"/>
      <c r="K247" s="1"/>
      <c r="L247" s="1"/>
      <c r="M247" s="1"/>
      <c r="N247" s="1"/>
      <c r="O247" s="1"/>
      <c r="P247" s="1"/>
      <c r="Q247" s="1"/>
      <c r="R247" s="1"/>
      <c r="S247" s="1"/>
      <c r="T247" s="21" t="str">
        <f t="shared" ref="T247:T250" ca="1" si="88">U247&amp;""&amp;",..,"&amp;""&amp;V247</f>
        <v>301,..,3801</v>
      </c>
      <c r="U247" s="21">
        <f ca="1">(SUMPRODUCT(MID(0&amp;(LEFT(A246,SUM(LEN(A246)-LEN(SUBSTITUTE(A246,{"0","1","2","3"},""))))), LARGE(INDEX(ISNUMBER(--MID((LEFT(A246,SUM(LEN(A246)-LEN(SUBSTITUTE(A246,{"0","1","2","3"},""))))), ROW(INDIRECT("1:"&amp;LEN((LEFT(A246,SUM(LEN(A246)-LEN(SUBSTITUTE(A246,{"0","1","2","3"},"")))))))), 1)) * ROW(INDIRECT("1:"&amp;LEN((LEFT(A246,SUM(LEN(A246)-LEN(SUBSTITUTE(A246,{"0","1","2","3"},"")))))))), 0), ROW(INDIRECT("1:"&amp;LEN((LEFT(A246,SUM(LEN(A246)-LEN(SUBSTITUTE(A246,{"0","1","2","3"},"")))))))))+1, 1) * 10^ROW(INDIRECT("1:"&amp;LEN((LEFT(A246,SUM(LEN(A246)-LEN(SUBSTITUTE(A246,{"0","1","2","3"},""))))))))/10))*100+1</f>
        <v>301</v>
      </c>
      <c r="V247" s="21">
        <f ca="1">(SUMPRODUCT(MID(0&amp;(--TRIM(RIGHT(SUBSTITUTE(LEFT(A246,_xlfn.AGGREGATE(16,6,FIND({0,1,2,3,4,5,6,7,8,9},A246,ROW(INDIRECT("1:"&amp;LEN(A246)))),1))," ",REPT(" ",LEN(A246))),LEN(A246)))), LARGE(INDEX(ISNUMBER(--MID((--TRIM(RIGHT(SUBSTITUTE(LEFT(A246,_xlfn.AGGREGATE(16,6,FIND({0,1,2,3,4,5,6,7,8,9},A246,ROW(INDIRECT("1:"&amp;LEN(A246)))),1))," ",REPT(" ",LEN(A246))),LEN(A246)))), ROW(INDIRECT("1:"&amp;LEN((--TRIM(RIGHT(SUBSTITUTE(LEFT(A246,_xlfn.AGGREGATE(16,6,FIND({0,1,2,3,4,5,6,7,8,9},A246,ROW(INDIRECT("1:"&amp;LEN(A246)))),1))," ",REPT(" ",LEN(A246))),LEN(A246))))))), 1)) * ROW(INDIRECT("1:"&amp;LEN((--TRIM(RIGHT(SUBSTITUTE(LEFT(A246,_xlfn.AGGREGATE(16,6,FIND({0,1,2,3,4,5,6,7,8,9},A246,ROW(INDIRECT("1:"&amp;LEN(A246)))),1))," ",REPT(" ",LEN(A246))),LEN(A246))))))), 0), ROW(INDIRECT("1:"&amp;LEN((--TRIM(RIGHT(SUBSTITUTE(LEFT(A246,_xlfn.AGGREGATE(16,6,FIND({0,1,2,3,4,5,6,7,8,9},A246,ROW(INDIRECT("1:"&amp;LEN(A246)))),1))," ",REPT(" ",LEN(A246))),LEN(A246))))))))+1, 1) * 10^ROW(INDIRECT("1:"&amp;LEN((--TRIM(RIGHT(SUBSTITUTE(LEFT(A246,_xlfn.AGGREGATE(16,6,FIND({0,1,2,3,4,5,6,7,8,9},A246,ROW(INDIRECT("1:"&amp;LEN(A246)))),1))," ",REPT(" ",LEN(A246))),LEN(A246)))))))/10))*100+1</f>
        <v>3801</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100">
        <v>2</v>
      </c>
      <c r="B248" s="100"/>
      <c r="C248" s="54" t="s">
        <v>95</v>
      </c>
      <c r="D248" s="54" t="s">
        <v>327</v>
      </c>
      <c r="E248" s="85">
        <f>195.54*10.764</f>
        <v>2104.7925599999999</v>
      </c>
      <c r="F248" s="84">
        <v>0</v>
      </c>
      <c r="G248" s="84">
        <v>0</v>
      </c>
      <c r="H248" s="84">
        <f t="shared" ref="H248:H250" si="89">E248+F248+(IF(G248&lt;101,G248,IF(G248&lt;201,G248/2,IF(G248&lt;=301,G248/3,G248/4))))</f>
        <v>2104.7925599999999</v>
      </c>
      <c r="I248" s="1"/>
      <c r="J248" s="1"/>
      <c r="K248" s="1"/>
      <c r="L248" s="1"/>
      <c r="M248" s="1"/>
      <c r="N248" s="1"/>
      <c r="O248" s="1"/>
      <c r="P248" s="1"/>
      <c r="Q248" s="1"/>
      <c r="R248" s="1"/>
      <c r="S248" s="1"/>
      <c r="T248" s="21" t="str">
        <f t="shared" ca="1" si="88"/>
        <v>302,..,3802</v>
      </c>
      <c r="U248" s="21">
        <f ca="1">U247+1</f>
        <v>302</v>
      </c>
      <c r="V248" s="21">
        <f ca="1">V247+1</f>
        <v>3802</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100">
        <v>3</v>
      </c>
      <c r="B249" s="100"/>
      <c r="C249" s="54" t="s">
        <v>95</v>
      </c>
      <c r="D249" s="54" t="s">
        <v>327</v>
      </c>
      <c r="E249" s="85">
        <f>221.03*10.764</f>
        <v>2379.1669199999997</v>
      </c>
      <c r="F249" s="84">
        <v>0</v>
      </c>
      <c r="G249" s="84">
        <v>0</v>
      </c>
      <c r="H249" s="84">
        <f t="shared" si="89"/>
        <v>2379.1669199999997</v>
      </c>
      <c r="I249" s="1"/>
      <c r="J249" s="1"/>
      <c r="K249" s="1"/>
      <c r="L249" s="1"/>
      <c r="M249" s="1"/>
      <c r="N249" s="1"/>
      <c r="O249" s="1"/>
      <c r="P249" s="1"/>
      <c r="Q249" s="1"/>
      <c r="R249" s="1"/>
      <c r="S249" s="1"/>
      <c r="T249" s="21" t="str">
        <f t="shared" ca="1" si="88"/>
        <v>303,..,3803</v>
      </c>
      <c r="U249" s="21">
        <f t="shared" ref="U249:V249" ca="1" si="90">U248+1</f>
        <v>303</v>
      </c>
      <c r="V249" s="21">
        <f t="shared" ca="1" si="90"/>
        <v>3803</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100">
        <v>4</v>
      </c>
      <c r="B250" s="100"/>
      <c r="C250" s="54" t="s">
        <v>95</v>
      </c>
      <c r="D250" s="54" t="s">
        <v>327</v>
      </c>
      <c r="E250" s="85">
        <f>(204.05)*10.764</f>
        <v>2196.3942000000002</v>
      </c>
      <c r="F250" s="84">
        <f>(5.3*1.83)*10.764</f>
        <v>104.40003599999999</v>
      </c>
      <c r="G250" s="84">
        <v>0</v>
      </c>
      <c r="H250" s="84">
        <f t="shared" si="89"/>
        <v>2300.7942360000002</v>
      </c>
      <c r="I250" s="1"/>
      <c r="J250" s="1"/>
      <c r="K250" s="1"/>
      <c r="L250" s="1"/>
      <c r="M250" s="1"/>
      <c r="N250" s="1"/>
      <c r="O250" s="1"/>
      <c r="P250" s="1"/>
      <c r="Q250" s="1"/>
      <c r="R250" s="1"/>
      <c r="S250" s="1"/>
      <c r="T250" s="21" t="str">
        <f t="shared" ca="1" si="88"/>
        <v>304,..,3804</v>
      </c>
      <c r="U250" s="21">
        <f t="shared" ref="U250:V250" ca="1" si="91">U249+1</f>
        <v>304</v>
      </c>
      <c r="V250" s="21">
        <f t="shared" ca="1" si="91"/>
        <v>3804</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x14ac:dyDescent="0.25">
      <c r="A251" s="107" t="s">
        <v>353</v>
      </c>
      <c r="B251" s="108"/>
      <c r="C251" s="108"/>
      <c r="D251" s="108"/>
      <c r="E251" s="108"/>
      <c r="F251" s="108"/>
      <c r="G251" s="108"/>
      <c r="H251" s="10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100">
        <v>1</v>
      </c>
      <c r="B252" s="100"/>
      <c r="C252" s="54" t="s">
        <v>95</v>
      </c>
      <c r="D252" s="54" t="s">
        <v>327</v>
      </c>
      <c r="E252" s="85">
        <f>210.8*10.764</f>
        <v>2269.0511999999999</v>
      </c>
      <c r="F252" s="83">
        <v>0</v>
      </c>
      <c r="G252" s="83">
        <v>0</v>
      </c>
      <c r="H252" s="83">
        <f>E252+F252+(IF(G252&lt;101,G252,IF(G252&lt;201,G252/2,IF(G252&lt;=301,G252/3,G252/4))))</f>
        <v>2269.0511999999999</v>
      </c>
      <c r="I252" s="1"/>
      <c r="J252" s="1"/>
      <c r="K252" s="1"/>
      <c r="L252" s="1"/>
      <c r="M252" s="1"/>
      <c r="N252" s="1"/>
      <c r="O252" s="1"/>
      <c r="P252" s="1"/>
      <c r="Q252" s="1"/>
      <c r="R252" s="1"/>
      <c r="S252" s="1"/>
      <c r="T252" s="21" t="str">
        <f t="shared" ref="T252:T255" ca="1" si="92">U252&amp;""&amp;",..,"&amp;""&amp;V252</f>
        <v>3901,..,4001</v>
      </c>
      <c r="U252" s="21">
        <f ca="1">(SUMPRODUCT(MID(0&amp;(LEFT(A251,SUM(LEN(A251)-LEN(SUBSTITUTE(A251,{"0","1","2","3"},""))))), LARGE(INDEX(ISNUMBER(--MID((LEFT(A251,SUM(LEN(A251)-LEN(SUBSTITUTE(A251,{"0","1","2","3"},""))))), ROW(INDIRECT("1:"&amp;LEN((LEFT(A251,SUM(LEN(A251)-LEN(SUBSTITUTE(A251,{"0","1","2","3"},"")))))))), 1)) * ROW(INDIRECT("1:"&amp;LEN((LEFT(A251,SUM(LEN(A251)-LEN(SUBSTITUTE(A251,{"0","1","2","3"},"")))))))), 0), ROW(INDIRECT("1:"&amp;LEN((LEFT(A251,SUM(LEN(A251)-LEN(SUBSTITUTE(A251,{"0","1","2","3"},"")))))))))+1, 1) * 10^ROW(INDIRECT("1:"&amp;LEN((LEFT(A251,SUM(LEN(A251)-LEN(SUBSTITUTE(A251,{"0","1","2","3"},""))))))))/10))*100+1</f>
        <v>3901</v>
      </c>
      <c r="V252" s="21">
        <f ca="1">(SUMPRODUCT(MID(0&amp;(--TRIM(RIGHT(SUBSTITUTE(LEFT(A251,_xlfn.AGGREGATE(16,6,FIND({0,1,2,3,4,5,6,7,8,9},A251,ROW(INDIRECT("1:"&amp;LEN(A251)))),1))," ",REPT(" ",LEN(A251))),LEN(A251)))), LARGE(INDEX(ISNUMBER(--MID((--TRIM(RIGHT(SUBSTITUTE(LEFT(A251,_xlfn.AGGREGATE(16,6,FIND({0,1,2,3,4,5,6,7,8,9},A251,ROW(INDIRECT("1:"&amp;LEN(A251)))),1))," ",REPT(" ",LEN(A251))),LEN(A251)))), ROW(INDIRECT("1:"&amp;LEN((--TRIM(RIGHT(SUBSTITUTE(LEFT(A251,_xlfn.AGGREGATE(16,6,FIND({0,1,2,3,4,5,6,7,8,9},A251,ROW(INDIRECT("1:"&amp;LEN(A251)))),1))," ",REPT(" ",LEN(A251))),LEN(A251))))))), 1)) * ROW(INDIRECT("1:"&amp;LEN((--TRIM(RIGHT(SUBSTITUTE(LEFT(A251,_xlfn.AGGREGATE(16,6,FIND({0,1,2,3,4,5,6,7,8,9},A251,ROW(INDIRECT("1:"&amp;LEN(A251)))),1))," ",REPT(" ",LEN(A251))),LEN(A251))))))), 0), ROW(INDIRECT("1:"&amp;LEN((--TRIM(RIGHT(SUBSTITUTE(LEFT(A251,_xlfn.AGGREGATE(16,6,FIND({0,1,2,3,4,5,6,7,8,9},A251,ROW(INDIRECT("1:"&amp;LEN(A251)))),1))," ",REPT(" ",LEN(A251))),LEN(A251))))))))+1, 1) * 10^ROW(INDIRECT("1:"&amp;LEN((--TRIM(RIGHT(SUBSTITUTE(LEFT(A251,_xlfn.AGGREGATE(16,6,FIND({0,1,2,3,4,5,6,7,8,9},A251,ROW(INDIRECT("1:"&amp;LEN(A251)))),1))," ",REPT(" ",LEN(A251))),LEN(A251)))))))/10))*100+1</f>
        <v>4001</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100">
        <v>2</v>
      </c>
      <c r="B253" s="100"/>
      <c r="C253" s="54" t="s">
        <v>95</v>
      </c>
      <c r="D253" s="54" t="s">
        <v>327</v>
      </c>
      <c r="E253" s="85">
        <f>195.54*10.764</f>
        <v>2104.7925599999999</v>
      </c>
      <c r="F253" s="83">
        <v>0</v>
      </c>
      <c r="G253" s="83">
        <v>0</v>
      </c>
      <c r="H253" s="83">
        <f t="shared" ref="H253:H255" si="93">E253+F253+(IF(G253&lt;101,G253,IF(G253&lt;201,G253/2,IF(G253&lt;=301,G253/3,G253/4))))</f>
        <v>2104.7925599999999</v>
      </c>
      <c r="I253" s="1"/>
      <c r="J253" s="1"/>
      <c r="K253" s="1"/>
      <c r="L253" s="1"/>
      <c r="M253" s="1"/>
      <c r="N253" s="1"/>
      <c r="O253" s="1"/>
      <c r="P253" s="1"/>
      <c r="Q253" s="1"/>
      <c r="R253" s="1"/>
      <c r="S253" s="1"/>
      <c r="T253" s="21" t="str">
        <f t="shared" ca="1" si="92"/>
        <v>3902,..,4002</v>
      </c>
      <c r="U253" s="21">
        <f ca="1">U252+1</f>
        <v>3902</v>
      </c>
      <c r="V253" s="21">
        <f ca="1">V252+1</f>
        <v>4002</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100">
        <v>3</v>
      </c>
      <c r="B254" s="100"/>
      <c r="C254" s="54" t="s">
        <v>95</v>
      </c>
      <c r="D254" s="54" t="s">
        <v>327</v>
      </c>
      <c r="E254" s="85">
        <f>221.03*10.764</f>
        <v>2379.1669199999997</v>
      </c>
      <c r="F254" s="83">
        <v>0</v>
      </c>
      <c r="G254" s="83">
        <v>0</v>
      </c>
      <c r="H254" s="83">
        <f t="shared" si="93"/>
        <v>2379.1669199999997</v>
      </c>
      <c r="I254" s="1"/>
      <c r="J254" s="1"/>
      <c r="K254" s="1"/>
      <c r="L254" s="1"/>
      <c r="M254" s="1"/>
      <c r="N254" s="1"/>
      <c r="O254" s="1"/>
      <c r="P254" s="1"/>
      <c r="Q254" s="1"/>
      <c r="R254" s="1"/>
      <c r="S254" s="1"/>
      <c r="T254" s="21" t="str">
        <f t="shared" ca="1" si="92"/>
        <v>3903,..,4003</v>
      </c>
      <c r="U254" s="21">
        <f t="shared" ref="U254:V254" ca="1" si="94">U253+1</f>
        <v>3903</v>
      </c>
      <c r="V254" s="21">
        <f t="shared" ca="1" si="94"/>
        <v>4003</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100">
        <v>4</v>
      </c>
      <c r="B255" s="100"/>
      <c r="C255" s="54" t="s">
        <v>95</v>
      </c>
      <c r="D255" s="54" t="s">
        <v>327</v>
      </c>
      <c r="E255" s="85">
        <f>(204.05)*10.764</f>
        <v>2196.3942000000002</v>
      </c>
      <c r="F255" s="83">
        <f>(5.3*1.83)*10.764</f>
        <v>104.40003599999999</v>
      </c>
      <c r="G255" s="83">
        <v>0</v>
      </c>
      <c r="H255" s="83">
        <f t="shared" si="93"/>
        <v>2300.7942360000002</v>
      </c>
      <c r="I255" s="1"/>
      <c r="J255" s="1"/>
      <c r="K255" s="1"/>
      <c r="L255" s="1"/>
      <c r="M255" s="1"/>
      <c r="N255" s="1"/>
      <c r="O255" s="1"/>
      <c r="P255" s="1"/>
      <c r="Q255" s="1"/>
      <c r="R255" s="1"/>
      <c r="S255" s="1"/>
      <c r="T255" s="21" t="str">
        <f t="shared" ca="1" si="92"/>
        <v>3904,..,4004</v>
      </c>
      <c r="U255" s="21">
        <f t="shared" ref="U255:V255" ca="1" si="95">U254+1</f>
        <v>3904</v>
      </c>
      <c r="V255" s="21">
        <f t="shared" ca="1" si="95"/>
        <v>4004</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x14ac:dyDescent="0.25">
      <c r="A256" s="107" t="s">
        <v>354</v>
      </c>
      <c r="B256" s="108"/>
      <c r="C256" s="108"/>
      <c r="D256" s="108"/>
      <c r="E256" s="108"/>
      <c r="F256" s="108"/>
      <c r="G256" s="108"/>
      <c r="H256" s="10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100">
        <v>1</v>
      </c>
      <c r="B257" s="100"/>
      <c r="C257" s="54" t="s">
        <v>95</v>
      </c>
      <c r="D257" s="54" t="s">
        <v>327</v>
      </c>
      <c r="E257" s="85">
        <f>220.59*10.764</f>
        <v>2374.4307599999997</v>
      </c>
      <c r="F257" s="84">
        <v>0</v>
      </c>
      <c r="G257" s="84">
        <v>0</v>
      </c>
      <c r="H257" s="84">
        <f>E257+F257+(IF(G257&lt;101,G257,IF(G257&lt;201,G257/2,IF(G257&lt;=301,G257/3,G257/4))))</f>
        <v>2374.4307599999997</v>
      </c>
      <c r="I257" s="1"/>
      <c r="J257" s="1"/>
      <c r="K257" s="1"/>
      <c r="L257" s="1"/>
      <c r="M257" s="1"/>
      <c r="N257" s="1"/>
      <c r="O257" s="1"/>
      <c r="P257" s="1"/>
      <c r="Q257" s="1"/>
      <c r="R257" s="1"/>
      <c r="S257" s="1"/>
      <c r="T257" s="21" t="str">
        <f t="shared" ref="T257:T260" ca="1" si="96">U257&amp;""&amp;",..,"&amp;""&amp;V257</f>
        <v>4101,..,5001</v>
      </c>
      <c r="U257" s="21">
        <f ca="1">(SUMPRODUCT(MID(0&amp;(LEFT(A256,SUM(LEN(A256)-LEN(SUBSTITUTE(A256,{"0","1","2","3"},""))))), LARGE(INDEX(ISNUMBER(--MID((LEFT(A256,SUM(LEN(A256)-LEN(SUBSTITUTE(A256,{"0","1","2","3"},""))))), ROW(INDIRECT("1:"&amp;LEN((LEFT(A256,SUM(LEN(A256)-LEN(SUBSTITUTE(A256,{"0","1","2","3"},"")))))))), 1)) * ROW(INDIRECT("1:"&amp;LEN((LEFT(A256,SUM(LEN(A256)-LEN(SUBSTITUTE(A256,{"0","1","2","3"},"")))))))), 0), ROW(INDIRECT("1:"&amp;LEN((LEFT(A256,SUM(LEN(A256)-LEN(SUBSTITUTE(A256,{"0","1","2","3"},"")))))))))+1, 1) * 10^ROW(INDIRECT("1:"&amp;LEN((LEFT(A256,SUM(LEN(A256)-LEN(SUBSTITUTE(A256,{"0","1","2","3"},""))))))))/10))*100+1</f>
        <v>4101</v>
      </c>
      <c r="V257" s="21">
        <f ca="1">(SUMPRODUCT(MID(0&amp;(--TRIM(RIGHT(SUBSTITUTE(LEFT(A256,_xlfn.AGGREGATE(16,6,FIND({0,1,2,3,4,5,6,7,8,9},A256,ROW(INDIRECT("1:"&amp;LEN(A256)))),1)),"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",LEN(A256))),LEN(A256)))))))/10))*100+1</f>
        <v>5001</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100">
        <v>2</v>
      </c>
      <c r="B258" s="100"/>
      <c r="C258" s="54" t="s">
        <v>95</v>
      </c>
      <c r="D258" s="54" t="s">
        <v>327</v>
      </c>
      <c r="E258" s="85">
        <f>195.54*10.764</f>
        <v>2104.7925599999999</v>
      </c>
      <c r="F258" s="84">
        <v>0</v>
      </c>
      <c r="G258" s="84">
        <v>0</v>
      </c>
      <c r="H258" s="84">
        <f t="shared" ref="H258:H260" si="97">E258+F258+(IF(G258&lt;101,G258,IF(G258&lt;201,G258/2,IF(G258&lt;=301,G258/3,G258/4))))</f>
        <v>2104.7925599999999</v>
      </c>
      <c r="I258" s="1"/>
      <c r="J258" s="1"/>
      <c r="K258" s="1"/>
      <c r="L258" s="1"/>
      <c r="M258" s="1"/>
      <c r="N258" s="1"/>
      <c r="O258" s="1"/>
      <c r="P258" s="1"/>
      <c r="Q258" s="1"/>
      <c r="R258" s="1"/>
      <c r="S258" s="1"/>
      <c r="T258" s="21" t="str">
        <f t="shared" ca="1" si="96"/>
        <v>4102,..,5002</v>
      </c>
      <c r="U258" s="21">
        <f ca="1">U257+1</f>
        <v>4102</v>
      </c>
      <c r="V258" s="21">
        <f ca="1">V257+1</f>
        <v>5002</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100">
        <v>3</v>
      </c>
      <c r="B259" s="100"/>
      <c r="C259" s="54" t="s">
        <v>95</v>
      </c>
      <c r="D259" s="54" t="s">
        <v>327</v>
      </c>
      <c r="E259" s="85">
        <f>221.03*10.764</f>
        <v>2379.1669199999997</v>
      </c>
      <c r="F259" s="84">
        <v>0</v>
      </c>
      <c r="G259" s="84">
        <v>0</v>
      </c>
      <c r="H259" s="84">
        <f t="shared" si="97"/>
        <v>2379.1669199999997</v>
      </c>
      <c r="I259" s="1"/>
      <c r="J259" s="1"/>
      <c r="K259" s="1"/>
      <c r="L259" s="1"/>
      <c r="M259" s="1"/>
      <c r="N259" s="1"/>
      <c r="O259" s="1"/>
      <c r="P259" s="1"/>
      <c r="Q259" s="1"/>
      <c r="R259" s="1"/>
      <c r="S259" s="1"/>
      <c r="T259" s="21" t="str">
        <f t="shared" ca="1" si="96"/>
        <v>4103,..,5003</v>
      </c>
      <c r="U259" s="21">
        <f t="shared" ref="U259:V259" ca="1" si="98">U258+1</f>
        <v>4103</v>
      </c>
      <c r="V259" s="21">
        <f t="shared" ca="1" si="98"/>
        <v>5003</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100">
        <v>4</v>
      </c>
      <c r="B260" s="100"/>
      <c r="C260" s="54" t="s">
        <v>95</v>
      </c>
      <c r="D260" s="54" t="s">
        <v>327</v>
      </c>
      <c r="E260" s="85">
        <f>(204.05)*10.764</f>
        <v>2196.3942000000002</v>
      </c>
      <c r="F260" s="84">
        <f>(5.3*1.83)*10.764</f>
        <v>104.40003599999999</v>
      </c>
      <c r="G260" s="84">
        <v>0</v>
      </c>
      <c r="H260" s="84">
        <f t="shared" si="97"/>
        <v>2300.7942360000002</v>
      </c>
      <c r="I260" s="1"/>
      <c r="J260" s="1"/>
      <c r="K260" s="1"/>
      <c r="L260" s="1"/>
      <c r="M260" s="1"/>
      <c r="N260" s="1"/>
      <c r="O260" s="1"/>
      <c r="P260" s="1"/>
      <c r="Q260" s="1"/>
      <c r="R260" s="1"/>
      <c r="S260" s="1"/>
      <c r="T260" s="21" t="str">
        <f t="shared" ca="1" si="96"/>
        <v>4104,..,5004</v>
      </c>
      <c r="U260" s="21">
        <f t="shared" ref="U260:V260" ca="1" si="99">U259+1</f>
        <v>4104</v>
      </c>
      <c r="V260" s="21">
        <f t="shared" ca="1" si="99"/>
        <v>5004</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x14ac:dyDescent="0.25">
      <c r="A261" s="107" t="s">
        <v>355</v>
      </c>
      <c r="B261" s="108"/>
      <c r="C261" s="108"/>
      <c r="D261" s="108"/>
      <c r="E261" s="108"/>
      <c r="F261" s="108"/>
      <c r="G261" s="108"/>
      <c r="H261" s="10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100">
        <v>1</v>
      </c>
      <c r="B262" s="100"/>
      <c r="C262" s="54" t="s">
        <v>95</v>
      </c>
      <c r="D262" s="54" t="s">
        <v>327</v>
      </c>
      <c r="E262" s="85">
        <f>220.59*10.764</f>
        <v>2374.4307599999997</v>
      </c>
      <c r="F262" s="84">
        <v>0</v>
      </c>
      <c r="G262" s="84">
        <v>0</v>
      </c>
      <c r="H262" s="84">
        <f>E262+F262+(IF(G262&lt;101,G262,IF(G262&lt;201,G262/2,IF(G262&lt;=301,G262/3,G262/4))))</f>
        <v>2374.4307599999997</v>
      </c>
      <c r="I262" s="1"/>
      <c r="J262" s="1"/>
      <c r="K262" s="1"/>
      <c r="L262" s="1"/>
      <c r="M262" s="1"/>
      <c r="N262" s="1"/>
      <c r="O262" s="1"/>
      <c r="P262" s="1"/>
      <c r="Q262" s="1"/>
      <c r="R262" s="1"/>
      <c r="S262" s="1"/>
      <c r="T262" s="21" t="str">
        <f t="shared" ref="T262:T265" ca="1" si="100">U262&amp;""&amp;",..,"&amp;""&amp;V262</f>
        <v>401,..,4301</v>
      </c>
      <c r="U262" s="21">
        <f ca="1">(SUMPRODUCT(MID(0&amp;(LEFT(A261,SUM(LEN(A261)-LEN(SUBSTITUTE(A261,{"0","1","2","3"},""))))), LARGE(INDEX(ISNUMBER(--MID((LEFT(A261,SUM(LEN(A261)-LEN(SUBSTITUTE(A261,{"0","1","2","3"},""))))), ROW(INDIRECT("1:"&amp;LEN((LEFT(A261,SUM(LEN(A261)-LEN(SUBSTITUTE(A261,{"0","1","2","3"},"")))))))), 1)) * ROW(INDIRECT("1:"&amp;LEN((LEFT(A261,SUM(LEN(A261)-LEN(SUBSTITUTE(A261,{"0","1","2","3"},"")))))))), 0), ROW(INDIRECT("1:"&amp;LEN((LEFT(A261,SUM(LEN(A261)-LEN(SUBSTITUTE(A261,{"0","1","2","3"},"")))))))))+1, 1) * 10^ROW(INDIRECT("1:"&amp;LEN((LEFT(A261,SUM(LEN(A261)-LEN(SUBSTITUTE(A261,{"0","1","2","3"},""))))))))/10))*100+1</f>
        <v>401</v>
      </c>
      <c r="V262" s="21">
        <f ca="1">(SUMPRODUCT(MID(0&amp;(--TRIM(RIGHT(SUBSTITUTE(LEFT(A261,_xlfn.AGGREGATE(16,6,FIND({0,1,2,3,4,5,6,7,8,9},A261,ROW(INDIRECT("1:"&amp;LEN(A261)))),1))," ",REPT(" ",LEN(A261))),LEN(A261)))), LARGE(INDEX(ISNUMBER(--MID((--TRIM(RIGHT(SUBSTITUTE(LEFT(A261,_xlfn.AGGREGATE(16,6,FIND({0,1,2,3,4,5,6,7,8,9},A261,ROW(INDIRECT("1:"&amp;LEN(A261)))),1))," ",REPT(" ",LEN(A261))),LEN(A261)))), ROW(INDIRECT("1:"&amp;LEN((--TRIM(RIGHT(SUBSTITUTE(LEFT(A261,_xlfn.AGGREGATE(16,6,FIND({0,1,2,3,4,5,6,7,8,9},A261,ROW(INDIRECT("1:"&amp;LEN(A261)))),1))," ",REPT(" ",LEN(A261))),LEN(A261))))))), 1)) * ROW(INDIRECT("1:"&amp;LEN((--TRIM(RIGHT(SUBSTITUTE(LEFT(A261,_xlfn.AGGREGATE(16,6,FIND({0,1,2,3,4,5,6,7,8,9},A261,ROW(INDIRECT("1:"&amp;LEN(A261)))),1))," ",REPT(" ",LEN(A261))),LEN(A261))))))), 0), ROW(INDIRECT("1:"&amp;LEN((--TRIM(RIGHT(SUBSTITUTE(LEFT(A261,_xlfn.AGGREGATE(16,6,FIND({0,1,2,3,4,5,6,7,8,9},A261,ROW(INDIRECT("1:"&amp;LEN(A261)))),1))," ",REPT(" ",LEN(A261))),LEN(A261))))))))+1, 1) * 10^ROW(INDIRECT("1:"&amp;LEN((--TRIM(RIGHT(SUBSTITUTE(LEFT(A261,_xlfn.AGGREGATE(16,6,FIND({0,1,2,3,4,5,6,7,8,9},A261,ROW(INDIRECT("1:"&amp;LEN(A261)))),1))," ",REPT(" ",LEN(A261))),LEN(A261)))))))/10))*100+1</f>
        <v>4301</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100">
        <v>2</v>
      </c>
      <c r="B263" s="100"/>
      <c r="C263" s="54" t="s">
        <v>95</v>
      </c>
      <c r="D263" s="54" t="s">
        <v>327</v>
      </c>
      <c r="E263" s="85">
        <f>195.54*10.764</f>
        <v>2104.7925599999999</v>
      </c>
      <c r="F263" s="84">
        <v>0</v>
      </c>
      <c r="G263" s="84">
        <v>0</v>
      </c>
      <c r="H263" s="84">
        <f t="shared" ref="H263:H265" si="101">E263+F263+(IF(G263&lt;101,G263,IF(G263&lt;201,G263/2,IF(G263&lt;=301,G263/3,G263/4))))</f>
        <v>2104.7925599999999</v>
      </c>
      <c r="I263" s="1"/>
      <c r="J263" s="1"/>
      <c r="K263" s="1"/>
      <c r="L263" s="1"/>
      <c r="M263" s="1"/>
      <c r="N263" s="1"/>
      <c r="O263" s="1"/>
      <c r="P263" s="1"/>
      <c r="Q263" s="1"/>
      <c r="R263" s="1"/>
      <c r="S263" s="1"/>
      <c r="T263" s="21" t="str">
        <f t="shared" ca="1" si="100"/>
        <v>402,..,4302</v>
      </c>
      <c r="U263" s="21">
        <f ca="1">U262+1</f>
        <v>402</v>
      </c>
      <c r="V263" s="21">
        <f ca="1">V262+1</f>
        <v>4302</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100">
        <v>3</v>
      </c>
      <c r="B264" s="100"/>
      <c r="C264" s="54" t="s">
        <v>95</v>
      </c>
      <c r="D264" s="54" t="s">
        <v>327</v>
      </c>
      <c r="E264" s="85">
        <f>221.03*10.764</f>
        <v>2379.1669199999997</v>
      </c>
      <c r="F264" s="84">
        <v>0</v>
      </c>
      <c r="G264" s="84">
        <v>0</v>
      </c>
      <c r="H264" s="84">
        <f t="shared" si="101"/>
        <v>2379.1669199999997</v>
      </c>
      <c r="I264" s="1"/>
      <c r="J264" s="1"/>
      <c r="K264" s="1"/>
      <c r="L264" s="1"/>
      <c r="M264" s="1"/>
      <c r="N264" s="1"/>
      <c r="O264" s="1"/>
      <c r="P264" s="1"/>
      <c r="Q264" s="1"/>
      <c r="R264" s="1"/>
      <c r="S264" s="1"/>
      <c r="T264" s="21" t="str">
        <f t="shared" ca="1" si="100"/>
        <v>403,..,4303</v>
      </c>
      <c r="U264" s="21">
        <f t="shared" ref="U264:V264" ca="1" si="102">U263+1</f>
        <v>403</v>
      </c>
      <c r="V264" s="21">
        <f t="shared" ca="1" si="102"/>
        <v>4303</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100">
        <v>4</v>
      </c>
      <c r="B265" s="100"/>
      <c r="C265" s="54" t="s">
        <v>95</v>
      </c>
      <c r="D265" s="54" t="s">
        <v>327</v>
      </c>
      <c r="E265" s="85">
        <f>(204.05)*10.764</f>
        <v>2196.3942000000002</v>
      </c>
      <c r="F265" s="84">
        <f>(5.3*1.83)*10.764</f>
        <v>104.40003599999999</v>
      </c>
      <c r="G265" s="84">
        <v>0</v>
      </c>
      <c r="H265" s="84">
        <f t="shared" si="101"/>
        <v>2300.7942360000002</v>
      </c>
      <c r="I265" s="1"/>
      <c r="J265" s="1"/>
      <c r="K265" s="1"/>
      <c r="L265" s="1"/>
      <c r="M265" s="1"/>
      <c r="N265" s="1"/>
      <c r="O265" s="1"/>
      <c r="P265" s="1"/>
      <c r="Q265" s="1"/>
      <c r="R265" s="1"/>
      <c r="S265" s="1"/>
      <c r="T265" s="21" t="str">
        <f t="shared" ca="1" si="100"/>
        <v>404,..,4304</v>
      </c>
      <c r="U265" s="21">
        <f t="shared" ref="U265:V265" ca="1" si="103">U264+1</f>
        <v>404</v>
      </c>
      <c r="V265" s="21">
        <f t="shared" ca="1" si="103"/>
        <v>4304</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101" t="s">
        <v>356</v>
      </c>
      <c r="B266" s="102"/>
      <c r="C266" s="102"/>
      <c r="D266" s="102"/>
      <c r="E266" s="102"/>
      <c r="F266" s="102"/>
      <c r="G266" s="102"/>
      <c r="H266" s="103"/>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x14ac:dyDescent="0.25">
      <c r="A267" s="100">
        <v>1</v>
      </c>
      <c r="B267" s="100"/>
      <c r="C267" s="104" t="s">
        <v>326</v>
      </c>
      <c r="D267" s="105"/>
      <c r="E267" s="105"/>
      <c r="F267" s="105"/>
      <c r="G267" s="105"/>
      <c r="H267" s="106"/>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x14ac:dyDescent="0.25">
      <c r="A268" s="104">
        <f>A267+1</f>
        <v>2</v>
      </c>
      <c r="B268" s="106"/>
      <c r="C268" s="54" t="s">
        <v>95</v>
      </c>
      <c r="D268" s="54" t="s">
        <v>327</v>
      </c>
      <c r="E268" s="85">
        <f>195.54*10.764</f>
        <v>2104.7925599999999</v>
      </c>
      <c r="F268" s="84">
        <v>0</v>
      </c>
      <c r="G268" s="84">
        <v>0</v>
      </c>
      <c r="H268" s="84">
        <f t="shared" ref="H268:H270" si="104">E268+F268+(IF(G268&lt;101,G268,IF(G268&lt;201,G268/2,IF(G268&lt;=301,G268/3,G268/4))))</f>
        <v>2104.7925599999999</v>
      </c>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104">
        <f t="shared" ref="A269:A270" si="105">A268+1</f>
        <v>3</v>
      </c>
      <c r="B269" s="106"/>
      <c r="C269" s="54" t="s">
        <v>95</v>
      </c>
      <c r="D269" s="54" t="s">
        <v>327</v>
      </c>
      <c r="E269" s="85">
        <f>221.03*10.764</f>
        <v>2379.1669199999997</v>
      </c>
      <c r="F269" s="84">
        <v>0</v>
      </c>
      <c r="G269" s="84">
        <v>0</v>
      </c>
      <c r="H269" s="84">
        <f t="shared" si="104"/>
        <v>2379.1669199999997</v>
      </c>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104">
        <f t="shared" si="105"/>
        <v>4</v>
      </c>
      <c r="B270" s="106"/>
      <c r="C270" s="54" t="s">
        <v>95</v>
      </c>
      <c r="D270" s="54" t="s">
        <v>327</v>
      </c>
      <c r="E270" s="85">
        <f>(204.05)*10.764</f>
        <v>2196.3942000000002</v>
      </c>
      <c r="F270" s="84">
        <f>(5.3*1.83)*10.764</f>
        <v>104.40003599999999</v>
      </c>
      <c r="G270" s="84">
        <v>0</v>
      </c>
      <c r="H270" s="84">
        <f t="shared" si="104"/>
        <v>2300.7942360000002</v>
      </c>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x14ac:dyDescent="0.25">
      <c r="A271" s="107" t="s">
        <v>357</v>
      </c>
      <c r="B271" s="108"/>
      <c r="C271" s="108"/>
      <c r="D271" s="108"/>
      <c r="E271" s="108"/>
      <c r="F271" s="108"/>
      <c r="G271" s="108"/>
      <c r="H271" s="10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25">
      <c r="A272" s="100">
        <v>1</v>
      </c>
      <c r="B272" s="100"/>
      <c r="C272" s="54" t="s">
        <v>95</v>
      </c>
      <c r="D272" s="54" t="s">
        <v>327</v>
      </c>
      <c r="E272" s="85">
        <f>220.59*10.764</f>
        <v>2374.4307599999997</v>
      </c>
      <c r="F272" s="84">
        <v>0</v>
      </c>
      <c r="G272" s="84">
        <v>0</v>
      </c>
      <c r="H272" s="84">
        <f>E272+F272+(IF(G272&lt;101,G272,IF(G272&lt;201,G272/2,IF(G272&lt;=301,G272/3,G272/4))))</f>
        <v>2374.4307599999997</v>
      </c>
      <c r="I272" s="1"/>
      <c r="J272" s="1"/>
      <c r="K272" s="1"/>
      <c r="L272" s="1"/>
      <c r="M272" s="1"/>
      <c r="N272" s="1"/>
      <c r="O272" s="1"/>
      <c r="P272" s="1"/>
      <c r="Q272" s="1"/>
      <c r="R272" s="1"/>
      <c r="S272" s="1"/>
      <c r="T272" s="21" t="e">
        <f t="shared" ref="T272:T275" ca="1" si="106">U272&amp;""&amp;",..,"&amp;""&amp;V272</f>
        <v>#REF!</v>
      </c>
      <c r="U272" s="21" t="e">
        <f ca="1">(SUMPRODUCT(MID(0&amp;(LEFT(A271,SUM(LEN(A271)-LEN(SUBSTITUTE(A271,{"0","1","2","3"},""))))), LARGE(INDEX(ISNUMBER(--MID((LEFT(A271,SUM(LEN(A271)-LEN(SUBSTITUTE(A271,{"0","1","2","3"},""))))), ROW(INDIRECT("1:"&amp;LEN((LEFT(A271,SUM(LEN(A271)-LEN(SUBSTITUTE(A271,{"0","1","2","3"},"")))))))), 1)) * ROW(INDIRECT("1:"&amp;LEN((LEFT(A271,SUM(LEN(A271)-LEN(SUBSTITUTE(A271,{"0","1","2","3"},"")))))))), 0), ROW(INDIRECT("1:"&amp;LEN((LEFT(A271,SUM(LEN(A271)-LEN(SUBSTITUTE(A271,{"0","1","2","3"},"")))))))))+1, 1) * 10^ROW(INDIRECT("1:"&amp;LEN((LEFT(A271,SUM(LEN(A271)-LEN(SUBSTITUTE(A271,{"0","1","2","3"},""))))))))/10))*100+1</f>
        <v>#REF!</v>
      </c>
      <c r="V272" s="21">
        <f ca="1">(SUMPRODUCT(MID(0&amp;(--TRIM(RIGHT(SUBSTITUTE(LEFT(A271,_xlfn.AGGREGATE(16,6,FIND({0,1,2,3,4,5,6,7,8,9},A271,ROW(INDIRECT("1:"&amp;LEN(A271)))),1))," ",REPT(" ",LEN(A271))),LEN(A271)))), LARGE(INDEX(ISNUMBER(--MID((--TRIM(RIGHT(SUBSTITUTE(LEFT(A271,_xlfn.AGGREGATE(16,6,FIND({0,1,2,3,4,5,6,7,8,9},A271,ROW(INDIRECT("1:"&amp;LEN(A271)))),1))," ",REPT(" ",LEN(A271))),LEN(A271)))), ROW(INDIRECT("1:"&amp;LEN((--TRIM(RIGHT(SUBSTITUTE(LEFT(A271,_xlfn.AGGREGATE(16,6,FIND({0,1,2,3,4,5,6,7,8,9},A271,ROW(INDIRECT("1:"&amp;LEN(A271)))),1))," ",REPT(" ",LEN(A271))),LEN(A271))))))), 1)) * ROW(INDIRECT("1:"&amp;LEN((--TRIM(RIGHT(SUBSTITUTE(LEFT(A271,_xlfn.AGGREGATE(16,6,FIND({0,1,2,3,4,5,6,7,8,9},A271,ROW(INDIRECT("1:"&amp;LEN(A271)))),1))," ",REPT(" ",LEN(A271))),LEN(A271))))))), 0), ROW(INDIRECT("1:"&amp;LEN((--TRIM(RIGHT(SUBSTITUTE(LEFT(A271,_xlfn.AGGREGATE(16,6,FIND({0,1,2,3,4,5,6,7,8,9},A271,ROW(INDIRECT("1:"&amp;LEN(A271)))),1))," ",REPT(" ",LEN(A271))),LEN(A271))))))))+1, 1) * 10^ROW(INDIRECT("1:"&amp;LEN((--TRIM(RIGHT(SUBSTITUTE(LEFT(A271,_xlfn.AGGREGATE(16,6,FIND({0,1,2,3,4,5,6,7,8,9},A271,ROW(INDIRECT("1:"&amp;LEN(A271)))),1))," ",REPT(" ",LEN(A271))),LEN(A271)))))))/10))*100+1</f>
        <v>4501</v>
      </c>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25">
      <c r="A273" s="100">
        <v>2</v>
      </c>
      <c r="B273" s="100"/>
      <c r="C273" s="54" t="s">
        <v>95</v>
      </c>
      <c r="D273" s="54" t="s">
        <v>327</v>
      </c>
      <c r="E273" s="85">
        <f>195.54*10.764</f>
        <v>2104.7925599999999</v>
      </c>
      <c r="F273" s="84">
        <v>0</v>
      </c>
      <c r="G273" s="84">
        <v>0</v>
      </c>
      <c r="H273" s="84">
        <f t="shared" ref="H273:H275" si="107">E273+F273+(IF(G273&lt;101,G273,IF(G273&lt;201,G273/2,IF(G273&lt;=301,G273/3,G273/4))))</f>
        <v>2104.7925599999999</v>
      </c>
      <c r="I273" s="1"/>
      <c r="J273" s="1"/>
      <c r="K273" s="1"/>
      <c r="L273" s="1"/>
      <c r="M273" s="1"/>
      <c r="N273" s="1"/>
      <c r="O273" s="1"/>
      <c r="P273" s="1"/>
      <c r="Q273" s="1"/>
      <c r="R273" s="1"/>
      <c r="S273" s="1"/>
      <c r="T273" s="21" t="e">
        <f t="shared" ca="1" si="106"/>
        <v>#REF!</v>
      </c>
      <c r="U273" s="21" t="e">
        <f ca="1">U272+1</f>
        <v>#REF!</v>
      </c>
      <c r="V273" s="21">
        <f ca="1">V272+1</f>
        <v>4502</v>
      </c>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100">
        <v>3</v>
      </c>
      <c r="B274" s="100"/>
      <c r="C274" s="54" t="s">
        <v>95</v>
      </c>
      <c r="D274" s="54" t="s">
        <v>327</v>
      </c>
      <c r="E274" s="85">
        <f>221.03*10.764</f>
        <v>2379.1669199999997</v>
      </c>
      <c r="F274" s="84">
        <v>0</v>
      </c>
      <c r="G274" s="84">
        <v>0</v>
      </c>
      <c r="H274" s="84">
        <f t="shared" si="107"/>
        <v>2379.1669199999997</v>
      </c>
      <c r="I274" s="1"/>
      <c r="J274" s="1"/>
      <c r="K274" s="1"/>
      <c r="L274" s="1"/>
      <c r="M274" s="1"/>
      <c r="N274" s="1"/>
      <c r="O274" s="1"/>
      <c r="P274" s="1"/>
      <c r="Q274" s="1"/>
      <c r="R274" s="1"/>
      <c r="S274" s="1"/>
      <c r="T274" s="21" t="e">
        <f t="shared" ca="1" si="106"/>
        <v>#REF!</v>
      </c>
      <c r="U274" s="21" t="e">
        <f t="shared" ref="U274:V274" ca="1" si="108">U273+1</f>
        <v>#REF!</v>
      </c>
      <c r="V274" s="21">
        <f t="shared" ca="1" si="108"/>
        <v>4503</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100">
        <v>4</v>
      </c>
      <c r="B275" s="100"/>
      <c r="C275" s="54" t="s">
        <v>95</v>
      </c>
      <c r="D275" s="54" t="s">
        <v>327</v>
      </c>
      <c r="E275" s="85">
        <f>(204.05)*10.764</f>
        <v>2196.3942000000002</v>
      </c>
      <c r="F275" s="84">
        <f>(5.3*1.83)*10.764</f>
        <v>104.40003599999999</v>
      </c>
      <c r="G275" s="84">
        <v>0</v>
      </c>
      <c r="H275" s="84">
        <f t="shared" si="107"/>
        <v>2300.7942360000002</v>
      </c>
      <c r="I275" s="1"/>
      <c r="J275" s="1"/>
      <c r="K275" s="1"/>
      <c r="L275" s="1"/>
      <c r="M275" s="1"/>
      <c r="N275" s="1"/>
      <c r="O275" s="1"/>
      <c r="P275" s="1"/>
      <c r="Q275" s="1"/>
      <c r="R275" s="1"/>
      <c r="S275" s="1"/>
      <c r="T275" s="21" t="e">
        <f t="shared" ca="1" si="106"/>
        <v>#REF!</v>
      </c>
      <c r="U275" s="21" t="e">
        <f t="shared" ref="U275:V275" ca="1" si="109">U274+1</f>
        <v>#REF!</v>
      </c>
      <c r="V275" s="21">
        <f t="shared" ca="1" si="109"/>
        <v>4504</v>
      </c>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x14ac:dyDescent="0.25">
      <c r="A276" s="107" t="s">
        <v>358</v>
      </c>
      <c r="B276" s="108"/>
      <c r="C276" s="108"/>
      <c r="D276" s="108"/>
      <c r="E276" s="108"/>
      <c r="F276" s="108"/>
      <c r="G276" s="108"/>
      <c r="H276" s="10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25">
      <c r="A277" s="100">
        <v>1</v>
      </c>
      <c r="B277" s="100"/>
      <c r="C277" s="54" t="s">
        <v>95</v>
      </c>
      <c r="D277" s="54" t="s">
        <v>327</v>
      </c>
      <c r="E277" s="85">
        <f>220.59*10.764</f>
        <v>2374.4307599999997</v>
      </c>
      <c r="F277" s="84">
        <v>0</v>
      </c>
      <c r="G277" s="84">
        <v>0</v>
      </c>
      <c r="H277" s="84">
        <f>E277+F277+(IF(G277&lt;101,G277,IF(G277&lt;201,G277/2,IF(G277&lt;=301,G277/3,G277/4))))</f>
        <v>2374.4307599999997</v>
      </c>
      <c r="I277" s="1"/>
      <c r="J277" s="1"/>
      <c r="K277" s="1"/>
      <c r="L277" s="1"/>
      <c r="M277" s="1"/>
      <c r="N277" s="1"/>
      <c r="O277" s="1"/>
      <c r="P277" s="1"/>
      <c r="Q277" s="1"/>
      <c r="R277" s="1"/>
      <c r="S277" s="1"/>
      <c r="T277" s="21" t="e">
        <f t="shared" ref="T277:T280" ca="1" si="110">U277&amp;""&amp;",..,"&amp;""&amp;V277</f>
        <v>#REF!</v>
      </c>
      <c r="U277" s="21" t="e">
        <f ca="1">(SUMPRODUCT(MID(0&amp;(LEFT(A276,SUM(LEN(A276)-LEN(SUBSTITUTE(A276,{"0","1","2","3"},""))))), LARGE(INDEX(ISNUMBER(--MID((LEFT(A276,SUM(LEN(A276)-LEN(SUBSTITUTE(A276,{"0","1","2","3"},""))))), ROW(INDIRECT("1:"&amp;LEN((LEFT(A276,SUM(LEN(A276)-LEN(SUBSTITUTE(A276,{"0","1","2","3"},"")))))))), 1)) * ROW(INDIRECT("1:"&amp;LEN((LEFT(A276,SUM(LEN(A276)-LEN(SUBSTITUTE(A276,{"0","1","2","3"},"")))))))), 0), ROW(INDIRECT("1:"&amp;LEN((LEFT(A276,SUM(LEN(A276)-LEN(SUBSTITUTE(A276,{"0","1","2","3"},"")))))))))+1, 1) * 10^ROW(INDIRECT("1:"&amp;LEN((LEFT(A276,SUM(LEN(A276)-LEN(SUBSTITUTE(A276,{"0","1","2","3"},""))))))))/10))*100+1</f>
        <v>#REF!</v>
      </c>
      <c r="V277" s="21">
        <f ca="1">(SUMPRODUCT(MID(0&amp;(--TRIM(RIGHT(SUBSTITUTE(LEFT(A276,_xlfn.AGGREGATE(16,6,FIND({0,1,2,3,4,5,6,7,8,9},A276,ROW(INDIRECT("1:"&amp;LEN(A276)))),1))," ",REPT(" ",LEN(A276))),LEN(A276)))), LARGE(INDEX(ISNUMBER(--MID((--TRIM(RIGHT(SUBSTITUTE(LEFT(A276,_xlfn.AGGREGATE(16,6,FIND({0,1,2,3,4,5,6,7,8,9},A276,ROW(INDIRECT("1:"&amp;LEN(A276)))),1))," ",REPT(" ",LEN(A276))),LEN(A276)))), ROW(INDIRECT("1:"&amp;LEN((--TRIM(RIGHT(SUBSTITUTE(LEFT(A276,_xlfn.AGGREGATE(16,6,FIND({0,1,2,3,4,5,6,7,8,9},A276,ROW(INDIRECT("1:"&amp;LEN(A276)))),1))," ",REPT(" ",LEN(A276))),LEN(A276))))))), 1)) * ROW(INDIRECT("1:"&amp;LEN((--TRIM(RIGHT(SUBSTITUTE(LEFT(A276,_xlfn.AGGREGATE(16,6,FIND({0,1,2,3,4,5,6,7,8,9},A276,ROW(INDIRECT("1:"&amp;LEN(A276)))),1))," ",REPT(" ",LEN(A276))),LEN(A276))))))), 0), ROW(INDIRECT("1:"&amp;LEN((--TRIM(RIGHT(SUBSTITUTE(LEFT(A276,_xlfn.AGGREGATE(16,6,FIND({0,1,2,3,4,5,6,7,8,9},A276,ROW(INDIRECT("1:"&amp;LEN(A276)))),1))," ",REPT(" ",LEN(A276))),LEN(A276))))))))+1, 1) * 10^ROW(INDIRECT("1:"&amp;LEN((--TRIM(RIGHT(SUBSTITUTE(LEFT(A276,_xlfn.AGGREGATE(16,6,FIND({0,1,2,3,4,5,6,7,8,9},A276,ROW(INDIRECT("1:"&amp;LEN(A276)))),1))," ",REPT(" ",LEN(A276))),LEN(A276)))))))/10))*100+1</f>
        <v>4801</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100">
        <v>2</v>
      </c>
      <c r="B278" s="100"/>
      <c r="C278" s="54" t="s">
        <v>95</v>
      </c>
      <c r="D278" s="54" t="s">
        <v>327</v>
      </c>
      <c r="E278" s="85">
        <f>195.54*10.764</f>
        <v>2104.7925599999999</v>
      </c>
      <c r="F278" s="84">
        <v>0</v>
      </c>
      <c r="G278" s="84">
        <v>0</v>
      </c>
      <c r="H278" s="84">
        <f t="shared" ref="H278:H280" si="111">E278+F278+(IF(G278&lt;101,G278,IF(G278&lt;201,G278/2,IF(G278&lt;=301,G278/3,G278/4))))</f>
        <v>2104.7925599999999</v>
      </c>
      <c r="I278" s="1"/>
      <c r="J278" s="1"/>
      <c r="K278" s="1"/>
      <c r="L278" s="1"/>
      <c r="M278" s="1"/>
      <c r="N278" s="1"/>
      <c r="O278" s="1"/>
      <c r="P278" s="1"/>
      <c r="Q278" s="1"/>
      <c r="R278" s="1"/>
      <c r="S278" s="1"/>
      <c r="T278" s="21" t="e">
        <f t="shared" ca="1" si="110"/>
        <v>#REF!</v>
      </c>
      <c r="U278" s="21" t="e">
        <f ca="1">U277+1</f>
        <v>#REF!</v>
      </c>
      <c r="V278" s="21">
        <f ca="1">V277+1</f>
        <v>4802</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25">
      <c r="A279" s="100">
        <v>3</v>
      </c>
      <c r="B279" s="100"/>
      <c r="C279" s="54" t="s">
        <v>95</v>
      </c>
      <c r="D279" s="54" t="s">
        <v>327</v>
      </c>
      <c r="E279" s="85">
        <f>221.03*10.764</f>
        <v>2379.1669199999997</v>
      </c>
      <c r="F279" s="84">
        <v>0</v>
      </c>
      <c r="G279" s="84">
        <v>0</v>
      </c>
      <c r="H279" s="84">
        <f t="shared" si="111"/>
        <v>2379.1669199999997</v>
      </c>
      <c r="I279" s="1"/>
      <c r="J279" s="1"/>
      <c r="K279" s="1"/>
      <c r="L279" s="1"/>
      <c r="M279" s="1"/>
      <c r="N279" s="1"/>
      <c r="O279" s="1"/>
      <c r="P279" s="1"/>
      <c r="Q279" s="1"/>
      <c r="R279" s="1"/>
      <c r="S279" s="1"/>
      <c r="T279" s="21" t="e">
        <f t="shared" ca="1" si="110"/>
        <v>#REF!</v>
      </c>
      <c r="U279" s="21" t="e">
        <f t="shared" ref="U279:V279" ca="1" si="112">U278+1</f>
        <v>#REF!</v>
      </c>
      <c r="V279" s="21">
        <f t="shared" ca="1" si="112"/>
        <v>4803</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25">
      <c r="A280" s="100">
        <v>4</v>
      </c>
      <c r="B280" s="100"/>
      <c r="C280" s="54" t="s">
        <v>95</v>
      </c>
      <c r="D280" s="54" t="s">
        <v>327</v>
      </c>
      <c r="E280" s="85">
        <f>(204.05)*10.764</f>
        <v>2196.3942000000002</v>
      </c>
      <c r="F280" s="84">
        <f>(5.3*1.83)*10.764</f>
        <v>104.40003599999999</v>
      </c>
      <c r="G280" s="84">
        <v>0</v>
      </c>
      <c r="H280" s="84">
        <f t="shared" si="111"/>
        <v>2300.7942360000002</v>
      </c>
      <c r="I280" s="1"/>
      <c r="J280" s="1"/>
      <c r="K280" s="1"/>
      <c r="L280" s="1"/>
      <c r="M280" s="1"/>
      <c r="N280" s="1"/>
      <c r="O280" s="1"/>
      <c r="P280" s="1"/>
      <c r="Q280" s="1"/>
      <c r="R280" s="1"/>
      <c r="S280" s="1"/>
      <c r="T280" s="21" t="e">
        <f t="shared" ca="1" si="110"/>
        <v>#REF!</v>
      </c>
      <c r="U280" s="21" t="e">
        <f t="shared" ref="U280:V280" ca="1" si="113">U279+1</f>
        <v>#REF!</v>
      </c>
      <c r="V280" s="21">
        <f t="shared" ca="1" si="113"/>
        <v>4804</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x14ac:dyDescent="0.25">
      <c r="A281" s="101" t="s">
        <v>360</v>
      </c>
      <c r="B281" s="102"/>
      <c r="C281" s="102"/>
      <c r="D281" s="102"/>
      <c r="E281" s="102"/>
      <c r="F281" s="102"/>
      <c r="G281" s="102"/>
      <c r="H281" s="103"/>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x14ac:dyDescent="0.25">
      <c r="A282" s="100">
        <v>1</v>
      </c>
      <c r="B282" s="100"/>
      <c r="C282" s="104" t="s">
        <v>326</v>
      </c>
      <c r="D282" s="105"/>
      <c r="E282" s="105"/>
      <c r="F282" s="105"/>
      <c r="G282" s="105"/>
      <c r="H282" s="106"/>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x14ac:dyDescent="0.25">
      <c r="A283" s="104">
        <f>A282+1</f>
        <v>2</v>
      </c>
      <c r="B283" s="106"/>
      <c r="C283" s="54" t="s">
        <v>95</v>
      </c>
      <c r="D283" s="54" t="s">
        <v>327</v>
      </c>
      <c r="E283" s="85">
        <f>195.54*10.764</f>
        <v>2104.7925599999999</v>
      </c>
      <c r="F283" s="84">
        <v>0</v>
      </c>
      <c r="G283" s="84">
        <v>0</v>
      </c>
      <c r="H283" s="84">
        <f t="shared" ref="H283:H285" si="114">E283+F283+(IF(G283&lt;101,G283,IF(G283&lt;201,G283/2,IF(G283&lt;=301,G283/3,G283/4))))</f>
        <v>2104.7925599999999</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x14ac:dyDescent="0.25">
      <c r="A284" s="104">
        <f t="shared" ref="A284:A285" si="115">A283+1</f>
        <v>3</v>
      </c>
      <c r="B284" s="106"/>
      <c r="C284" s="54" t="s">
        <v>95</v>
      </c>
      <c r="D284" s="54" t="s">
        <v>327</v>
      </c>
      <c r="E284" s="85">
        <f>221.03*10.764</f>
        <v>2379.1669199999997</v>
      </c>
      <c r="F284" s="84">
        <v>0</v>
      </c>
      <c r="G284" s="84">
        <v>0</v>
      </c>
      <c r="H284" s="84">
        <f t="shared" si="114"/>
        <v>2379.1669199999997</v>
      </c>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104">
        <f t="shared" si="115"/>
        <v>4</v>
      </c>
      <c r="B285" s="106"/>
      <c r="C285" s="54" t="s">
        <v>95</v>
      </c>
      <c r="D285" s="54" t="s">
        <v>327</v>
      </c>
      <c r="E285" s="85">
        <f>(204.05)*10.764</f>
        <v>2196.3942000000002</v>
      </c>
      <c r="F285" s="84">
        <f>(5.3*1.83)*10.764</f>
        <v>104.40003599999999</v>
      </c>
      <c r="G285" s="84">
        <v>0</v>
      </c>
      <c r="H285" s="84">
        <f t="shared" si="114"/>
        <v>2300.7942360000002</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x14ac:dyDescent="0.25">
      <c r="A286" s="107" t="s">
        <v>359</v>
      </c>
      <c r="B286" s="108"/>
      <c r="C286" s="108"/>
      <c r="D286" s="108"/>
      <c r="E286" s="108"/>
      <c r="F286" s="108"/>
      <c r="G286" s="108"/>
      <c r="H286" s="10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100">
        <v>1</v>
      </c>
      <c r="B287" s="100"/>
      <c r="C287" s="54" t="s">
        <v>95</v>
      </c>
      <c r="D287" s="54" t="s">
        <v>327</v>
      </c>
      <c r="E287" s="85">
        <f>220.59*10.764</f>
        <v>2374.4307599999997</v>
      </c>
      <c r="F287" s="84">
        <v>0</v>
      </c>
      <c r="G287" s="84">
        <v>0</v>
      </c>
      <c r="H287" s="84">
        <f>E287+F287+(IF(G287&lt;101,G287,IF(G287&lt;201,G287/2,IF(G287&lt;=301,G287/3,G287/4))))</f>
        <v>2374.4307599999997</v>
      </c>
      <c r="I287" s="1"/>
      <c r="J287" s="1"/>
      <c r="K287" s="1"/>
      <c r="L287" s="1"/>
      <c r="M287" s="1"/>
      <c r="N287" s="1"/>
      <c r="O287" s="1"/>
      <c r="P287" s="1"/>
      <c r="Q287" s="1"/>
      <c r="R287" s="1"/>
      <c r="S287" s="1"/>
      <c r="T287" s="21" t="str">
        <f t="shared" ref="T287:T290" ca="1" si="116">U287&amp;""&amp;",..,"&amp;""&amp;V287</f>
        <v>501,..,5201</v>
      </c>
      <c r="U287" s="21">
        <f ca="1">(SUMPRODUCT(MID(0&amp;(LEFT(A286,SUM(LEN(A286)-LEN(SUBSTITUTE(A286,{"0","1","2","3"},""))))), LARGE(INDEX(ISNUMBER(--MID((LEFT(A286,SUM(LEN(A286)-LEN(SUBSTITUTE(A286,{"0","1","2","3"},""))))), ROW(INDIRECT("1:"&amp;LEN((LEFT(A286,SUM(LEN(A286)-LEN(SUBSTITUTE(A286,{"0","1","2","3"},"")))))))), 1)) * ROW(INDIRECT("1:"&amp;LEN((LEFT(A286,SUM(LEN(A286)-LEN(SUBSTITUTE(A286,{"0","1","2","3"},"")))))))), 0), ROW(INDIRECT("1:"&amp;LEN((LEFT(A286,SUM(LEN(A286)-LEN(SUBSTITUTE(A286,{"0","1","2","3"},"")))))))))+1, 1) * 10^ROW(INDIRECT("1:"&amp;LEN((LEFT(A286,SUM(LEN(A286)-LEN(SUBSTITUTE(A286,{"0","1","2","3"},""))))))))/10))*100+1</f>
        <v>501</v>
      </c>
      <c r="V287" s="21">
        <f ca="1">(SUMPRODUCT(MID(0&amp;(--TRIM(RIGHT(SUBSTITUTE(LEFT(A286,_xlfn.AGGREGATE(16,6,FIND({0,1,2,3,4,5,6,7,8,9},A286,ROW(INDIRECT("1:"&amp;LEN(A286)))),1))," ",REPT(" ",LEN(A286))),LEN(A286)))), LARGE(INDEX(ISNUMBER(--MID((--TRIM(RIGHT(SUBSTITUTE(LEFT(A286,_xlfn.AGGREGATE(16,6,FIND({0,1,2,3,4,5,6,7,8,9},A286,ROW(INDIRECT("1:"&amp;LEN(A286)))),1))," ",REPT(" ",LEN(A286))),LEN(A286)))), ROW(INDIRECT("1:"&amp;LEN((--TRIM(RIGHT(SUBSTITUTE(LEFT(A286,_xlfn.AGGREGATE(16,6,FIND({0,1,2,3,4,5,6,7,8,9},A286,ROW(INDIRECT("1:"&amp;LEN(A286)))),1))," ",REPT(" ",LEN(A286))),LEN(A286))))))), 1)) * ROW(INDIRECT("1:"&amp;LEN((--TRIM(RIGHT(SUBSTITUTE(LEFT(A286,_xlfn.AGGREGATE(16,6,FIND({0,1,2,3,4,5,6,7,8,9},A286,ROW(INDIRECT("1:"&amp;LEN(A286)))),1))," ",REPT(" ",LEN(A286))),LEN(A286))))))), 0), ROW(INDIRECT("1:"&amp;LEN((--TRIM(RIGHT(SUBSTITUTE(LEFT(A286,_xlfn.AGGREGATE(16,6,FIND({0,1,2,3,4,5,6,7,8,9},A286,ROW(INDIRECT("1:"&amp;LEN(A286)))),1))," ",REPT(" ",LEN(A286))),LEN(A286))))))))+1, 1) * 10^ROW(INDIRECT("1:"&amp;LEN((--TRIM(RIGHT(SUBSTITUTE(LEFT(A286,_xlfn.AGGREGATE(16,6,FIND({0,1,2,3,4,5,6,7,8,9},A286,ROW(INDIRECT("1:"&amp;LEN(A286)))),1))," ",REPT(" ",LEN(A286))),LEN(A286)))))))/10))*100+1</f>
        <v>5201</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100">
        <v>2</v>
      </c>
      <c r="B288" s="100"/>
      <c r="C288" s="54" t="s">
        <v>95</v>
      </c>
      <c r="D288" s="54" t="s">
        <v>327</v>
      </c>
      <c r="E288" s="85">
        <f>195.54*10.764</f>
        <v>2104.7925599999999</v>
      </c>
      <c r="F288" s="84">
        <v>0</v>
      </c>
      <c r="G288" s="84">
        <v>0</v>
      </c>
      <c r="H288" s="84">
        <f t="shared" ref="H288:H290" si="117">E288+F288+(IF(G288&lt;101,G288,IF(G288&lt;201,G288/2,IF(G288&lt;=301,G288/3,G288/4))))</f>
        <v>2104.7925599999999</v>
      </c>
      <c r="I288" s="1"/>
      <c r="J288" s="1"/>
      <c r="K288" s="1"/>
      <c r="L288" s="1"/>
      <c r="M288" s="1"/>
      <c r="N288" s="1"/>
      <c r="O288" s="1"/>
      <c r="P288" s="1"/>
      <c r="Q288" s="1"/>
      <c r="R288" s="1"/>
      <c r="S288" s="1"/>
      <c r="T288" s="21" t="str">
        <f t="shared" ca="1" si="116"/>
        <v>502,..,5202</v>
      </c>
      <c r="U288" s="21">
        <f ca="1">U287+1</f>
        <v>502</v>
      </c>
      <c r="V288" s="21">
        <f ca="1">V287+1</f>
        <v>5202</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100">
        <v>3</v>
      </c>
      <c r="B289" s="100"/>
      <c r="C289" s="54" t="s">
        <v>95</v>
      </c>
      <c r="D289" s="54" t="s">
        <v>327</v>
      </c>
      <c r="E289" s="85">
        <f>221.03*10.764</f>
        <v>2379.1669199999997</v>
      </c>
      <c r="F289" s="84">
        <v>0</v>
      </c>
      <c r="G289" s="84">
        <v>0</v>
      </c>
      <c r="H289" s="84">
        <f t="shared" si="117"/>
        <v>2379.1669199999997</v>
      </c>
      <c r="I289" s="1"/>
      <c r="J289" s="1"/>
      <c r="K289" s="1"/>
      <c r="L289" s="1"/>
      <c r="M289" s="1"/>
      <c r="N289" s="1"/>
      <c r="O289" s="1"/>
      <c r="P289" s="1"/>
      <c r="Q289" s="1"/>
      <c r="R289" s="1"/>
      <c r="S289" s="1"/>
      <c r="T289" s="21" t="str">
        <f t="shared" ca="1" si="116"/>
        <v>503,..,5203</v>
      </c>
      <c r="U289" s="21">
        <f t="shared" ref="U289:V289" ca="1" si="118">U288+1</f>
        <v>503</v>
      </c>
      <c r="V289" s="21">
        <f t="shared" ca="1" si="118"/>
        <v>5203</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100">
        <v>4</v>
      </c>
      <c r="B290" s="100"/>
      <c r="C290" s="54" t="s">
        <v>95</v>
      </c>
      <c r="D290" s="54" t="s">
        <v>327</v>
      </c>
      <c r="E290" s="85">
        <f>(204.05)*10.764</f>
        <v>2196.3942000000002</v>
      </c>
      <c r="F290" s="84">
        <f>(5.3*1.83)*10.764</f>
        <v>104.40003599999999</v>
      </c>
      <c r="G290" s="84">
        <v>0</v>
      </c>
      <c r="H290" s="84">
        <f t="shared" si="117"/>
        <v>2300.7942360000002</v>
      </c>
      <c r="I290" s="1"/>
      <c r="J290" s="1"/>
      <c r="K290" s="1"/>
      <c r="L290" s="1"/>
      <c r="M290" s="1"/>
      <c r="N290" s="1"/>
      <c r="O290" s="1"/>
      <c r="P290" s="1"/>
      <c r="Q290" s="1"/>
      <c r="R290" s="1"/>
      <c r="S290" s="1"/>
      <c r="T290" s="21" t="str">
        <f t="shared" ca="1" si="116"/>
        <v>504,..,5204</v>
      </c>
      <c r="U290" s="21">
        <f t="shared" ref="U290:V290" ca="1" si="119">U289+1</f>
        <v>504</v>
      </c>
      <c r="V290" s="21">
        <f t="shared" ca="1" si="119"/>
        <v>5204</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x14ac:dyDescent="0.25">
      <c r="A291" s="107" t="s">
        <v>361</v>
      </c>
      <c r="B291" s="108"/>
      <c r="C291" s="108"/>
      <c r="D291" s="108"/>
      <c r="E291" s="108"/>
      <c r="F291" s="108"/>
      <c r="G291" s="108"/>
      <c r="H291" s="10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25">
      <c r="A292" s="100">
        <v>1</v>
      </c>
      <c r="B292" s="100"/>
      <c r="C292" s="54" t="s">
        <v>95</v>
      </c>
      <c r="D292" s="54" t="s">
        <v>327</v>
      </c>
      <c r="E292" s="85">
        <f>(221.92)*10.764</f>
        <v>2388.7468799999997</v>
      </c>
      <c r="F292" s="84">
        <f>(8.89*1.83)*10.764</f>
        <v>175.11628680000001</v>
      </c>
      <c r="G292" s="84">
        <v>0</v>
      </c>
      <c r="H292" s="84">
        <f>E292+F292+(IF(G292&lt;101,G292,IF(G292&lt;201,G292/2,IF(G292&lt;=301,G292/3,G292/4))))</f>
        <v>2563.8631667999998</v>
      </c>
      <c r="I292" s="1"/>
      <c r="J292" s="1"/>
      <c r="K292" s="1"/>
      <c r="L292" s="1"/>
      <c r="M292" s="1"/>
      <c r="N292" s="1"/>
      <c r="O292" s="1"/>
      <c r="P292" s="1"/>
      <c r="Q292" s="1"/>
      <c r="R292" s="1"/>
      <c r="S292" s="1"/>
      <c r="T292" s="21" t="str">
        <f t="shared" ref="T292:T295" ca="1" si="120">U292&amp;""&amp;",..,"&amp;""&amp;V292</f>
        <v>501,..,5301</v>
      </c>
      <c r="U292" s="21">
        <f ca="1">(SUMPRODUCT(MID(0&amp;(LEFT(A291,SUM(LEN(A291)-LEN(SUBSTITUTE(A291,{"0","1","2","3"},""))))), LARGE(INDEX(ISNUMBER(--MID((LEFT(A291,SUM(LEN(A291)-LEN(SUBSTITUTE(A291,{"0","1","2","3"},""))))), ROW(INDIRECT("1:"&amp;LEN((LEFT(A291,SUM(LEN(A291)-LEN(SUBSTITUTE(A291,{"0","1","2","3"},"")))))))), 1)) * ROW(INDIRECT("1:"&amp;LEN((LEFT(A291,SUM(LEN(A291)-LEN(SUBSTITUTE(A291,{"0","1","2","3"},"")))))))), 0), ROW(INDIRECT("1:"&amp;LEN((LEFT(A291,SUM(LEN(A291)-LEN(SUBSTITUTE(A291,{"0","1","2","3"},"")))))))))+1, 1) * 10^ROW(INDIRECT("1:"&amp;LEN((LEFT(A291,SUM(LEN(A291)-LEN(SUBSTITUTE(A291,{"0","1","2","3"},""))))))))/10))*100+1</f>
        <v>501</v>
      </c>
      <c r="V292" s="21">
        <f ca="1">(SUMPRODUCT(MID(0&amp;(--TRIM(RIGHT(SUBSTITUTE(LEFT(A291,_xlfn.AGGREGATE(16,6,FIND({0,1,2,3,4,5,6,7,8,9},A291,ROW(INDIRECT("1:"&amp;LEN(A291)))),1))," ",REPT(" ",LEN(A291))),LEN(A291)))), LARGE(INDEX(ISNUMBER(--MID((--TRIM(RIGHT(SUBSTITUTE(LEFT(A291,_xlfn.AGGREGATE(16,6,FIND({0,1,2,3,4,5,6,7,8,9},A291,ROW(INDIRECT("1:"&amp;LEN(A291)))),1))," ",REPT(" ",LEN(A291))),LEN(A291)))), ROW(INDIRECT("1:"&amp;LEN((--TRIM(RIGHT(SUBSTITUTE(LEFT(A291,_xlfn.AGGREGATE(16,6,FIND({0,1,2,3,4,5,6,7,8,9},A291,ROW(INDIRECT("1:"&amp;LEN(A291)))),1))," ",REPT(" ",LEN(A291))),LEN(A291))))))), 1)) * ROW(INDIRECT("1:"&amp;LEN((--TRIM(RIGHT(SUBSTITUTE(LEFT(A291,_xlfn.AGGREGATE(16,6,FIND({0,1,2,3,4,5,6,7,8,9},A291,ROW(INDIRECT("1:"&amp;LEN(A291)))),1))," ",REPT(" ",LEN(A291))),LEN(A291))))))), 0), ROW(INDIRECT("1:"&amp;LEN((--TRIM(RIGHT(SUBSTITUTE(LEFT(A291,_xlfn.AGGREGATE(16,6,FIND({0,1,2,3,4,5,6,7,8,9},A291,ROW(INDIRECT("1:"&amp;LEN(A291)))),1))," ",REPT(" ",LEN(A291))),LEN(A291))))))))+1, 1) * 10^ROW(INDIRECT("1:"&amp;LEN((--TRIM(RIGHT(SUBSTITUTE(LEFT(A291,_xlfn.AGGREGATE(16,6,FIND({0,1,2,3,4,5,6,7,8,9},A291,ROW(INDIRECT("1:"&amp;LEN(A291)))),1))," ",REPT(" ",LEN(A291))),LEN(A291)))))))/10))*100+1</f>
        <v>5301</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100">
        <v>2</v>
      </c>
      <c r="B293" s="100"/>
      <c r="C293" s="54" t="s">
        <v>95</v>
      </c>
      <c r="D293" s="54" t="s">
        <v>327</v>
      </c>
      <c r="E293" s="85">
        <f>(196.82)*10.764</f>
        <v>2118.5704799999999</v>
      </c>
      <c r="F293" s="84">
        <f>(5.3*1.83)*10.764</f>
        <v>104.40003599999999</v>
      </c>
      <c r="G293" s="84">
        <v>0</v>
      </c>
      <c r="H293" s="84">
        <f t="shared" ref="H293:H295" si="121">E293+F293+(IF(G293&lt;101,G293,IF(G293&lt;201,G293/2,IF(G293&lt;=301,G293/3,G293/4))))</f>
        <v>2222.9705159999999</v>
      </c>
      <c r="I293" s="1"/>
      <c r="J293" s="1"/>
      <c r="K293" s="1"/>
      <c r="L293" s="1"/>
      <c r="M293" s="1"/>
      <c r="N293" s="1"/>
      <c r="O293" s="1"/>
      <c r="P293" s="1"/>
      <c r="Q293" s="1"/>
      <c r="R293" s="1"/>
      <c r="S293" s="1"/>
      <c r="T293" s="21" t="str">
        <f t="shared" ca="1" si="120"/>
        <v>502,..,5302</v>
      </c>
      <c r="U293" s="21">
        <f ca="1">U292+1</f>
        <v>502</v>
      </c>
      <c r="V293" s="21">
        <f ca="1">V292+1</f>
        <v>5302</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100">
        <v>3</v>
      </c>
      <c r="B294" s="100"/>
      <c r="C294" s="54" t="s">
        <v>95</v>
      </c>
      <c r="D294" s="54" t="s">
        <v>327</v>
      </c>
      <c r="E294" s="85">
        <f>(211.84)*10.764</f>
        <v>2280.2457599999998</v>
      </c>
      <c r="F294" s="84">
        <f>(8.89*1.83)*10.764</f>
        <v>175.11628680000001</v>
      </c>
      <c r="G294" s="84">
        <v>0</v>
      </c>
      <c r="H294" s="84">
        <f t="shared" si="121"/>
        <v>2455.3620467999999</v>
      </c>
      <c r="I294" s="1"/>
      <c r="J294" s="1"/>
      <c r="K294" s="1"/>
      <c r="L294" s="1"/>
      <c r="M294" s="1"/>
      <c r="N294" s="1"/>
      <c r="O294" s="1"/>
      <c r="P294" s="1"/>
      <c r="Q294" s="1"/>
      <c r="R294" s="1"/>
      <c r="S294" s="1"/>
      <c r="T294" s="21" t="str">
        <f t="shared" ca="1" si="120"/>
        <v>503,..,5303</v>
      </c>
      <c r="U294" s="21">
        <f t="shared" ref="U294:V294" ca="1" si="122">U293+1</f>
        <v>503</v>
      </c>
      <c r="V294" s="21">
        <f t="shared" ca="1" si="122"/>
        <v>5303</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100">
        <v>4</v>
      </c>
      <c r="B295" s="100"/>
      <c r="C295" s="54" t="s">
        <v>95</v>
      </c>
      <c r="D295" s="54" t="s">
        <v>327</v>
      </c>
      <c r="E295" s="85">
        <f>(204.05)*10.764</f>
        <v>2196.3942000000002</v>
      </c>
      <c r="F295" s="84">
        <f>(5.3*1.83)*10.764</f>
        <v>104.40003599999999</v>
      </c>
      <c r="G295" s="84">
        <v>0</v>
      </c>
      <c r="H295" s="84">
        <f t="shared" si="121"/>
        <v>2300.7942360000002</v>
      </c>
      <c r="I295" s="1"/>
      <c r="J295" s="1"/>
      <c r="K295" s="1"/>
      <c r="L295" s="1"/>
      <c r="M295" s="1"/>
      <c r="N295" s="1"/>
      <c r="O295" s="1"/>
      <c r="P295" s="1"/>
      <c r="Q295" s="1"/>
      <c r="R295" s="1"/>
      <c r="S295" s="1"/>
      <c r="T295" s="21" t="str">
        <f t="shared" ca="1" si="120"/>
        <v>504,..,5304</v>
      </c>
      <c r="U295" s="21">
        <f t="shared" ref="U295:V295" ca="1" si="123">U294+1</f>
        <v>504</v>
      </c>
      <c r="V295" s="21">
        <f t="shared" ca="1" si="123"/>
        <v>5304</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x14ac:dyDescent="0.25">
      <c r="A296" s="107" t="s">
        <v>362</v>
      </c>
      <c r="B296" s="108"/>
      <c r="C296" s="108"/>
      <c r="D296" s="108"/>
      <c r="E296" s="108"/>
      <c r="F296" s="108"/>
      <c r="G296" s="108"/>
      <c r="H296" s="10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100">
        <v>1</v>
      </c>
      <c r="B297" s="100"/>
      <c r="C297" s="54" t="s">
        <v>95</v>
      </c>
      <c r="D297" s="54" t="s">
        <v>327</v>
      </c>
      <c r="E297" s="85">
        <f>(221.92)*10.764</f>
        <v>2388.7468799999997</v>
      </c>
      <c r="F297" s="84">
        <f>(8.89*1.83)*10.764</f>
        <v>175.11628680000001</v>
      </c>
      <c r="G297" s="84">
        <v>0</v>
      </c>
      <c r="H297" s="84">
        <f>E297+F297+(IF(G297&lt;101,G297,IF(G297&lt;201,G297/2,IF(G297&lt;=301,G297/3,G297/4))))</f>
        <v>2563.8631667999998</v>
      </c>
      <c r="I297" s="1"/>
      <c r="J297" s="1"/>
      <c r="K297" s="1"/>
      <c r="L297" s="1"/>
      <c r="M297" s="1"/>
      <c r="N297" s="1"/>
      <c r="O297" s="1"/>
      <c r="P297" s="1"/>
      <c r="Q297" s="1"/>
      <c r="R297" s="1"/>
      <c r="S297" s="1"/>
      <c r="T297" s="21" t="e">
        <f t="shared" ref="T297:T300" ca="1" si="124">U297&amp;""&amp;",..,"&amp;""&amp;V297</f>
        <v>#REF!</v>
      </c>
      <c r="U297" s="21" t="e">
        <f ca="1">(SUMPRODUCT(MID(0&amp;(LEFT(A296,SUM(LEN(A296)-LEN(SUBSTITUTE(A296,{"0","1","2","3"},""))))), LARGE(INDEX(ISNUMBER(--MID((LEFT(A296,SUM(LEN(A296)-LEN(SUBSTITUTE(A296,{"0","1","2","3"},""))))), ROW(INDIRECT("1:"&amp;LEN((LEFT(A296,SUM(LEN(A296)-LEN(SUBSTITUTE(A296,{"0","1","2","3"},"")))))))), 1)) * ROW(INDIRECT("1:"&amp;LEN((LEFT(A296,SUM(LEN(A296)-LEN(SUBSTITUTE(A296,{"0","1","2","3"},"")))))))), 0), ROW(INDIRECT("1:"&amp;LEN((LEFT(A296,SUM(LEN(A296)-LEN(SUBSTITUTE(A296,{"0","1","2","3"},"")))))))))+1, 1) * 10^ROW(INDIRECT("1:"&amp;LEN((LEFT(A296,SUM(LEN(A296)-LEN(SUBSTITUTE(A296,{"0","1","2","3"},""))))))))/10))*100+1</f>
        <v>#REF!</v>
      </c>
      <c r="V297" s="21">
        <f ca="1">(SUMPRODUCT(MID(0&amp;(--TRIM(RIGHT(SUBSTITUTE(LEFT(A296,_xlfn.AGGREGATE(16,6,FIND({0,1,2,3,4,5,6,7,8,9},A296,ROW(INDIRECT("1:"&amp;LEN(A296)))),1))," ",REPT(" ",LEN(A296))),LEN(A296)))), LARGE(INDEX(ISNUMBER(--MID((--TRIM(RIGHT(SUBSTITUTE(LEFT(A296,_xlfn.AGGREGATE(16,6,FIND({0,1,2,3,4,5,6,7,8,9},A296,ROW(INDIRECT("1:"&amp;LEN(A296)))),1))," ",REPT(" ",LEN(A296))),LEN(A296)))), ROW(INDIRECT("1:"&amp;LEN((--TRIM(RIGHT(SUBSTITUTE(LEFT(A296,_xlfn.AGGREGATE(16,6,FIND({0,1,2,3,4,5,6,7,8,9},A296,ROW(INDIRECT("1:"&amp;LEN(A296)))),1))," ",REPT(" ",LEN(A296))),LEN(A296))))))), 1)) * ROW(INDIRECT("1:"&amp;LEN((--TRIM(RIGHT(SUBSTITUTE(LEFT(A296,_xlfn.AGGREGATE(16,6,FIND({0,1,2,3,4,5,6,7,8,9},A296,ROW(INDIRECT("1:"&amp;LEN(A296)))),1))," ",REPT(" ",LEN(A296))),LEN(A296))))))), 0), ROW(INDIRECT("1:"&amp;LEN((--TRIM(RIGHT(SUBSTITUTE(LEFT(A296,_xlfn.AGGREGATE(16,6,FIND({0,1,2,3,4,5,6,7,8,9},A296,ROW(INDIRECT("1:"&amp;LEN(A296)))),1))," ",REPT(" ",LEN(A296))),LEN(A296))))))))+1, 1) * 10^ROW(INDIRECT("1:"&amp;LEN((--TRIM(RIGHT(SUBSTITUTE(LEFT(A296,_xlfn.AGGREGATE(16,6,FIND({0,1,2,3,4,5,6,7,8,9},A296,ROW(INDIRECT("1:"&amp;LEN(A296)))),1))," ",REPT(" ",LEN(A296))),LEN(A296)))))))/10))*100+1</f>
        <v>5401</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25">
      <c r="A298" s="100">
        <v>2</v>
      </c>
      <c r="B298" s="100"/>
      <c r="C298" s="54" t="s">
        <v>95</v>
      </c>
      <c r="D298" s="54" t="s">
        <v>327</v>
      </c>
      <c r="E298" s="85">
        <f>(196.82)*10.764</f>
        <v>2118.5704799999999</v>
      </c>
      <c r="F298" s="84">
        <f>(5.3*1.83)*10.764</f>
        <v>104.40003599999999</v>
      </c>
      <c r="G298" s="84">
        <v>0</v>
      </c>
      <c r="H298" s="84">
        <f t="shared" ref="H298:H300" si="125">E298+F298+(IF(G298&lt;101,G298,IF(G298&lt;201,G298/2,IF(G298&lt;=301,G298/3,G298/4))))</f>
        <v>2222.9705159999999</v>
      </c>
      <c r="I298" s="1"/>
      <c r="J298" s="1"/>
      <c r="K298" s="1"/>
      <c r="L298" s="1"/>
      <c r="M298" s="1"/>
      <c r="N298" s="1"/>
      <c r="O298" s="1"/>
      <c r="P298" s="1"/>
      <c r="Q298" s="1"/>
      <c r="R298" s="1"/>
      <c r="S298" s="1"/>
      <c r="T298" s="21" t="e">
        <f t="shared" ca="1" si="124"/>
        <v>#REF!</v>
      </c>
      <c r="U298" s="21" t="e">
        <f ca="1">U297+1</f>
        <v>#REF!</v>
      </c>
      <c r="V298" s="21">
        <f ca="1">V297+1</f>
        <v>5402</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25">
      <c r="A299" s="100">
        <v>3</v>
      </c>
      <c r="B299" s="100"/>
      <c r="C299" s="54" t="s">
        <v>95</v>
      </c>
      <c r="D299" s="54" t="s">
        <v>327</v>
      </c>
      <c r="E299" s="85">
        <f>(222.37)*10.764</f>
        <v>2393.5906799999998</v>
      </c>
      <c r="F299" s="84">
        <f>(8.89*1.83)*10.764</f>
        <v>175.11628680000001</v>
      </c>
      <c r="G299" s="84">
        <v>0</v>
      </c>
      <c r="H299" s="84">
        <f t="shared" si="125"/>
        <v>2568.7069667999999</v>
      </c>
      <c r="I299" s="1"/>
      <c r="J299" s="1"/>
      <c r="K299" s="1"/>
      <c r="L299" s="1"/>
      <c r="M299" s="1"/>
      <c r="N299" s="1"/>
      <c r="O299" s="1"/>
      <c r="P299" s="1"/>
      <c r="Q299" s="1"/>
      <c r="R299" s="1"/>
      <c r="S299" s="1"/>
      <c r="T299" s="21" t="e">
        <f t="shared" ca="1" si="124"/>
        <v>#REF!</v>
      </c>
      <c r="U299" s="21" t="e">
        <f t="shared" ref="U299:V299" ca="1" si="126">U298+1</f>
        <v>#REF!</v>
      </c>
      <c r="V299" s="21">
        <f t="shared" ca="1" si="126"/>
        <v>5403</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customHeight="1" x14ac:dyDescent="0.25">
      <c r="A300" s="100">
        <v>4</v>
      </c>
      <c r="B300" s="100"/>
      <c r="C300" s="54" t="s">
        <v>95</v>
      </c>
      <c r="D300" s="54" t="s">
        <v>327</v>
      </c>
      <c r="E300" s="85">
        <f>(204.05)*10.764</f>
        <v>2196.3942000000002</v>
      </c>
      <c r="F300" s="84">
        <f>(5.3*1.83)*10.764</f>
        <v>104.40003599999999</v>
      </c>
      <c r="G300" s="84">
        <v>0</v>
      </c>
      <c r="H300" s="84">
        <f t="shared" si="125"/>
        <v>2300.7942360000002</v>
      </c>
      <c r="I300" s="1"/>
      <c r="J300" s="1"/>
      <c r="K300" s="1"/>
      <c r="L300" s="1"/>
      <c r="M300" s="1"/>
      <c r="N300" s="1"/>
      <c r="O300" s="1"/>
      <c r="P300" s="1"/>
      <c r="Q300" s="1"/>
      <c r="R300" s="1"/>
      <c r="S300" s="1"/>
      <c r="T300" s="21" t="e">
        <f t="shared" ca="1" si="124"/>
        <v>#REF!</v>
      </c>
      <c r="U300" s="21" t="e">
        <f t="shared" ref="U300:V300" ca="1" si="127">U299+1</f>
        <v>#REF!</v>
      </c>
      <c r="V300" s="21">
        <f t="shared" ca="1" si="127"/>
        <v>5404</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107" t="s">
        <v>363</v>
      </c>
      <c r="B301" s="108"/>
      <c r="C301" s="108"/>
      <c r="D301" s="108"/>
      <c r="E301" s="108"/>
      <c r="F301" s="108"/>
      <c r="G301" s="108"/>
      <c r="H301" s="10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25">
      <c r="A302" s="100">
        <v>1</v>
      </c>
      <c r="B302" s="100"/>
      <c r="C302" s="54" t="s">
        <v>95</v>
      </c>
      <c r="D302" s="54" t="s">
        <v>327</v>
      </c>
      <c r="E302" s="85">
        <f>(221.92)*10.764</f>
        <v>2388.7468799999997</v>
      </c>
      <c r="F302" s="84">
        <f>(8.89*1.83)*10.764</f>
        <v>175.11628680000001</v>
      </c>
      <c r="G302" s="84">
        <v>0</v>
      </c>
      <c r="H302" s="84">
        <f>E302+F302+(IF(G302&lt;101,G302,IF(G302&lt;201,G302/2,IF(G302&lt;=301,G302/3,G302/4))))</f>
        <v>2563.8631667999998</v>
      </c>
      <c r="I302" s="1"/>
      <c r="J302" s="1"/>
      <c r="K302" s="1"/>
      <c r="L302" s="1"/>
      <c r="M302" s="1"/>
      <c r="N302" s="1"/>
      <c r="O302" s="1"/>
      <c r="P302" s="1"/>
      <c r="Q302" s="1"/>
      <c r="R302" s="1"/>
      <c r="S302" s="1"/>
      <c r="T302" s="21" t="e">
        <f t="shared" ref="T302:T305" ca="1" si="128">U302&amp;""&amp;",..,"&amp;""&amp;V302</f>
        <v>#REF!</v>
      </c>
      <c r="U302" s="21" t="e">
        <f ca="1">(SUMPRODUCT(MID(0&amp;(LEFT(A301,SUM(LEN(A301)-LEN(SUBSTITUTE(A301,{"0","1","2","3"},""))))), LARGE(INDEX(ISNUMBER(--MID((LEFT(A301,SUM(LEN(A301)-LEN(SUBSTITUTE(A301,{"0","1","2","3"},""))))), ROW(INDIRECT("1:"&amp;LEN((LEFT(A301,SUM(LEN(A301)-LEN(SUBSTITUTE(A301,{"0","1","2","3"},"")))))))), 1)) * ROW(INDIRECT("1:"&amp;LEN((LEFT(A301,SUM(LEN(A301)-LEN(SUBSTITUTE(A301,{"0","1","2","3"},"")))))))), 0), ROW(INDIRECT("1:"&amp;LEN((LEFT(A301,SUM(LEN(A301)-LEN(SUBSTITUTE(A301,{"0","1","2","3"},"")))))))))+1, 1) * 10^ROW(INDIRECT("1:"&amp;LEN((LEFT(A301,SUM(LEN(A301)-LEN(SUBSTITUTE(A301,{"0","1","2","3"},""))))))))/10))*100+1</f>
        <v>#REF!</v>
      </c>
      <c r="V302" s="21">
        <f ca="1">(SUMPRODUCT(MID(0&amp;(--TRIM(RIGHT(SUBSTITUTE(LEFT(A301,_xlfn.AGGREGATE(16,6,FIND({0,1,2,3,4,5,6,7,8,9},A301,ROW(INDIRECT("1:"&amp;LEN(A301)))),1))," ",REPT(" ",LEN(A301))),LEN(A301)))), LARGE(INDEX(ISNUMBER(--MID((--TRIM(RIGHT(SUBSTITUTE(LEFT(A301,_xlfn.AGGREGATE(16,6,FIND({0,1,2,3,4,5,6,7,8,9},A301,ROW(INDIRECT("1:"&amp;LEN(A301)))),1))," ",REPT(" ",LEN(A301))),LEN(A301)))), ROW(INDIRECT("1:"&amp;LEN((--TRIM(RIGHT(SUBSTITUTE(LEFT(A301,_xlfn.AGGREGATE(16,6,FIND({0,1,2,3,4,5,6,7,8,9},A301,ROW(INDIRECT("1:"&amp;LEN(A301)))),1))," ",REPT(" ",LEN(A301))),LEN(A301))))))), 1)) * ROW(INDIRECT("1:"&amp;LEN((--TRIM(RIGHT(SUBSTITUTE(LEFT(A301,_xlfn.AGGREGATE(16,6,FIND({0,1,2,3,4,5,6,7,8,9},A301,ROW(INDIRECT("1:"&amp;LEN(A301)))),1))," ",REPT(" ",LEN(A301))),LEN(A301))))))), 0), ROW(INDIRECT("1:"&amp;LEN((--TRIM(RIGHT(SUBSTITUTE(LEFT(A301,_xlfn.AGGREGATE(16,6,FIND({0,1,2,3,4,5,6,7,8,9},A301,ROW(INDIRECT("1:"&amp;LEN(A301)))),1))," ",REPT(" ",LEN(A301))),LEN(A301))))))))+1, 1) * 10^ROW(INDIRECT("1:"&amp;LEN((--TRIM(RIGHT(SUBSTITUTE(LEFT(A301,_xlfn.AGGREGATE(16,6,FIND({0,1,2,3,4,5,6,7,8,9},A301,ROW(INDIRECT("1:"&amp;LEN(A301)))),1))," ",REPT(" ",LEN(A301))),LEN(A301)))))))/10))*100+1</f>
        <v>5601</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25">
      <c r="A303" s="100">
        <v>2</v>
      </c>
      <c r="B303" s="100"/>
      <c r="C303" s="54" t="s">
        <v>95</v>
      </c>
      <c r="D303" s="54" t="s">
        <v>327</v>
      </c>
      <c r="E303" s="85">
        <f>(196.82)*10.764</f>
        <v>2118.5704799999999</v>
      </c>
      <c r="F303" s="84">
        <f>(5.3*1.83)*10.764</f>
        <v>104.40003599999999</v>
      </c>
      <c r="G303" s="84">
        <v>0</v>
      </c>
      <c r="H303" s="84">
        <f t="shared" ref="H303:H305" si="129">E303+F303+(IF(G303&lt;101,G303,IF(G303&lt;201,G303/2,IF(G303&lt;=301,G303/3,G303/4))))</f>
        <v>2222.9705159999999</v>
      </c>
      <c r="I303" s="1"/>
      <c r="J303" s="1"/>
      <c r="K303" s="1"/>
      <c r="L303" s="1"/>
      <c r="M303" s="1"/>
      <c r="N303" s="1"/>
      <c r="O303" s="1"/>
      <c r="P303" s="1"/>
      <c r="Q303" s="1"/>
      <c r="R303" s="1"/>
      <c r="S303" s="1"/>
      <c r="T303" s="21" t="e">
        <f t="shared" ca="1" si="128"/>
        <v>#REF!</v>
      </c>
      <c r="U303" s="21" t="e">
        <f ca="1">U302+1</f>
        <v>#REF!</v>
      </c>
      <c r="V303" s="21">
        <f ca="1">V302+1</f>
        <v>5602</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25">
      <c r="A304" s="100">
        <v>3</v>
      </c>
      <c r="B304" s="100"/>
      <c r="C304" s="54" t="s">
        <v>95</v>
      </c>
      <c r="D304" s="54" t="s">
        <v>327</v>
      </c>
      <c r="E304" s="85">
        <f>(211.84)*10.764</f>
        <v>2280.2457599999998</v>
      </c>
      <c r="F304" s="84">
        <f>(8.89*1.83)*10.764</f>
        <v>175.11628680000001</v>
      </c>
      <c r="G304" s="84">
        <v>0</v>
      </c>
      <c r="H304" s="84">
        <f t="shared" si="129"/>
        <v>2455.3620467999999</v>
      </c>
      <c r="I304" s="1"/>
      <c r="J304" s="1"/>
      <c r="K304" s="1"/>
      <c r="L304" s="1"/>
      <c r="M304" s="1"/>
      <c r="N304" s="1"/>
      <c r="O304" s="1"/>
      <c r="P304" s="1"/>
      <c r="Q304" s="1"/>
      <c r="R304" s="1"/>
      <c r="S304" s="1"/>
      <c r="T304" s="21" t="e">
        <f t="shared" ca="1" si="128"/>
        <v>#REF!</v>
      </c>
      <c r="U304" s="21" t="e">
        <f t="shared" ref="U304:V304" ca="1" si="130">U303+1</f>
        <v>#REF!</v>
      </c>
      <c r="V304" s="21">
        <f t="shared" ca="1" si="130"/>
        <v>5603</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100">
        <v>4</v>
      </c>
      <c r="B305" s="100"/>
      <c r="C305" s="54" t="s">
        <v>95</v>
      </c>
      <c r="D305" s="54" t="s">
        <v>327</v>
      </c>
      <c r="E305" s="85">
        <f>(204.05)*10.764</f>
        <v>2196.3942000000002</v>
      </c>
      <c r="F305" s="84">
        <f>(5.3*1.83)*10.764</f>
        <v>104.40003599999999</v>
      </c>
      <c r="G305" s="84">
        <v>0</v>
      </c>
      <c r="H305" s="84">
        <f t="shared" si="129"/>
        <v>2300.7942360000002</v>
      </c>
      <c r="I305" s="1"/>
      <c r="J305" s="1"/>
      <c r="K305" s="1"/>
      <c r="L305" s="1"/>
      <c r="M305" s="1"/>
      <c r="N305" s="1"/>
      <c r="O305" s="1"/>
      <c r="P305" s="1"/>
      <c r="Q305" s="1"/>
      <c r="R305" s="1"/>
      <c r="S305" s="1"/>
      <c r="T305" s="21" t="e">
        <f t="shared" ca="1" si="128"/>
        <v>#REF!</v>
      </c>
      <c r="U305" s="21" t="e">
        <f t="shared" ref="U305:V305" ca="1" si="131">U304+1</f>
        <v>#REF!</v>
      </c>
      <c r="V305" s="21">
        <f t="shared" ca="1" si="131"/>
        <v>5604</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x14ac:dyDescent="0.25">
      <c r="A306" s="107" t="s">
        <v>364</v>
      </c>
      <c r="B306" s="108"/>
      <c r="C306" s="108"/>
      <c r="D306" s="108"/>
      <c r="E306" s="108"/>
      <c r="F306" s="108"/>
      <c r="G306" s="108"/>
      <c r="H306" s="10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100">
        <v>1</v>
      </c>
      <c r="B307" s="100"/>
      <c r="C307" s="54" t="s">
        <v>95</v>
      </c>
      <c r="D307" s="54" t="s">
        <v>327</v>
      </c>
      <c r="E307" s="85">
        <f>(221.92)*10.764</f>
        <v>2388.7468799999997</v>
      </c>
      <c r="F307" s="84">
        <f>(8.89*1.83)*10.764</f>
        <v>175.11628680000001</v>
      </c>
      <c r="G307" s="84">
        <v>0</v>
      </c>
      <c r="H307" s="84">
        <f>E307+F307+(IF(G307&lt;101,G307,IF(G307&lt;201,G307/2,IF(G307&lt;=301,G307/3,G307/4))))</f>
        <v>2563.8631667999998</v>
      </c>
      <c r="I307" s="1"/>
      <c r="J307" s="1"/>
      <c r="K307" s="1"/>
      <c r="L307" s="1"/>
      <c r="M307" s="1"/>
      <c r="N307" s="1"/>
      <c r="O307" s="1"/>
      <c r="P307" s="1"/>
      <c r="Q307" s="1"/>
      <c r="R307" s="1"/>
      <c r="S307" s="1"/>
      <c r="T307" s="21" t="e">
        <f t="shared" ref="T307:T310" ca="1" si="132">U307&amp;""&amp;",..,"&amp;""&amp;V307</f>
        <v>#REF!</v>
      </c>
      <c r="U307" s="21" t="e">
        <f ca="1">(SUMPRODUCT(MID(0&amp;(LEFT(A306,SUM(LEN(A306)-LEN(SUBSTITUTE(A306,{"0","1","2","3"},""))))), LARGE(INDEX(ISNUMBER(--MID((LEFT(A306,SUM(LEN(A306)-LEN(SUBSTITUTE(A306,{"0","1","2","3"},""))))), ROW(INDIRECT("1:"&amp;LEN((LEFT(A306,SUM(LEN(A306)-LEN(SUBSTITUTE(A306,{"0","1","2","3"},"")))))))), 1)) * ROW(INDIRECT("1:"&amp;LEN((LEFT(A306,SUM(LEN(A306)-LEN(SUBSTITUTE(A306,{"0","1","2","3"},"")))))))), 0), ROW(INDIRECT("1:"&amp;LEN((LEFT(A306,SUM(LEN(A306)-LEN(SUBSTITUTE(A306,{"0","1","2","3"},"")))))))))+1, 1) * 10^ROW(INDIRECT("1:"&amp;LEN((LEFT(A306,SUM(LEN(A306)-LEN(SUBSTITUTE(A306,{"0","1","2","3"},""))))))))/10))*100+1</f>
        <v>#REF!</v>
      </c>
      <c r="V307" s="21">
        <f ca="1">(SUMPRODUCT(MID(0&amp;(--TRIM(RIGHT(SUBSTITUTE(LEFT(A306,_xlfn.AGGREGATE(16,6,FIND({0,1,2,3,4,5,6,7,8,9},A306,ROW(INDIRECT("1:"&amp;LEN(A306)))),1))," ",REPT(" ",LEN(A306))),LEN(A306)))), LARGE(INDEX(ISNUMBER(--MID((--TRIM(RIGHT(SUBSTITUTE(LEFT(A306,_xlfn.AGGREGATE(16,6,FIND({0,1,2,3,4,5,6,7,8,9},A306,ROW(INDIRECT("1:"&amp;LEN(A306)))),1))," ",REPT(" ",LEN(A306))),LEN(A306)))), ROW(INDIRECT("1:"&amp;LEN((--TRIM(RIGHT(SUBSTITUTE(LEFT(A306,_xlfn.AGGREGATE(16,6,FIND({0,1,2,3,4,5,6,7,8,9},A306,ROW(INDIRECT("1:"&amp;LEN(A306)))),1))," ",REPT(" ",LEN(A306))),LEN(A306))))))), 1)) * ROW(INDIRECT("1:"&amp;LEN((--TRIM(RIGHT(SUBSTITUTE(LEFT(A306,_xlfn.AGGREGATE(16,6,FIND({0,1,2,3,4,5,6,7,8,9},A306,ROW(INDIRECT("1:"&amp;LEN(A306)))),1))," ",REPT(" ",LEN(A306))),LEN(A306))))))), 0), ROW(INDIRECT("1:"&amp;LEN((--TRIM(RIGHT(SUBSTITUTE(LEFT(A306,_xlfn.AGGREGATE(16,6,FIND({0,1,2,3,4,5,6,7,8,9},A306,ROW(INDIRECT("1:"&amp;LEN(A306)))),1))," ",REPT(" ",LEN(A306))),LEN(A306))))))))+1, 1) * 10^ROW(INDIRECT("1:"&amp;LEN((--TRIM(RIGHT(SUBSTITUTE(LEFT(A306,_xlfn.AGGREGATE(16,6,FIND({0,1,2,3,4,5,6,7,8,9},A306,ROW(INDIRECT("1:"&amp;LEN(A306)))),1))," ",REPT(" ",LEN(A306))),LEN(A306)))))))/10))*100+1</f>
        <v>5701</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100">
        <v>2</v>
      </c>
      <c r="B308" s="100"/>
      <c r="C308" s="54" t="s">
        <v>95</v>
      </c>
      <c r="D308" s="54" t="s">
        <v>327</v>
      </c>
      <c r="E308" s="85">
        <f>(196.82)*10.764</f>
        <v>2118.5704799999999</v>
      </c>
      <c r="F308" s="84">
        <f>(5.3*1.83)*10.764</f>
        <v>104.40003599999999</v>
      </c>
      <c r="G308" s="84">
        <v>0</v>
      </c>
      <c r="H308" s="84">
        <f t="shared" ref="H308:H310" si="133">E308+F308+(IF(G308&lt;101,G308,IF(G308&lt;201,G308/2,IF(G308&lt;=301,G308/3,G308/4))))</f>
        <v>2222.9705159999999</v>
      </c>
      <c r="I308" s="1"/>
      <c r="J308" s="1"/>
      <c r="K308" s="1"/>
      <c r="L308" s="1"/>
      <c r="M308" s="1"/>
      <c r="N308" s="1"/>
      <c r="O308" s="1"/>
      <c r="P308" s="1"/>
      <c r="Q308" s="1"/>
      <c r="R308" s="1"/>
      <c r="S308" s="1"/>
      <c r="T308" s="21" t="e">
        <f t="shared" ca="1" si="132"/>
        <v>#REF!</v>
      </c>
      <c r="U308" s="21" t="e">
        <f ca="1">U307+1</f>
        <v>#REF!</v>
      </c>
      <c r="V308" s="21">
        <f ca="1">V307+1</f>
        <v>5702</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100">
        <v>3</v>
      </c>
      <c r="B309" s="100"/>
      <c r="C309" s="54" t="s">
        <v>95</v>
      </c>
      <c r="D309" s="54" t="s">
        <v>327</v>
      </c>
      <c r="E309" s="85">
        <f>(211.84)*10.764</f>
        <v>2280.2457599999998</v>
      </c>
      <c r="F309" s="84">
        <f>(8.89*1.83)*10.764</f>
        <v>175.11628680000001</v>
      </c>
      <c r="G309" s="84">
        <v>0</v>
      </c>
      <c r="H309" s="84">
        <f t="shared" si="133"/>
        <v>2455.3620467999999</v>
      </c>
      <c r="I309" s="1"/>
      <c r="J309" s="1"/>
      <c r="K309" s="1"/>
      <c r="L309" s="1"/>
      <c r="M309" s="1"/>
      <c r="N309" s="1"/>
      <c r="O309" s="1"/>
      <c r="P309" s="1"/>
      <c r="Q309" s="1"/>
      <c r="R309" s="1"/>
      <c r="S309" s="1"/>
      <c r="T309" s="21" t="e">
        <f t="shared" ca="1" si="132"/>
        <v>#REF!</v>
      </c>
      <c r="U309" s="21" t="e">
        <f t="shared" ref="U309:V309" ca="1" si="134">U308+1</f>
        <v>#REF!</v>
      </c>
      <c r="V309" s="21">
        <f t="shared" ca="1" si="134"/>
        <v>5703</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100">
        <v>4</v>
      </c>
      <c r="B310" s="100"/>
      <c r="C310" s="54" t="s">
        <v>95</v>
      </c>
      <c r="D310" s="54" t="s">
        <v>327</v>
      </c>
      <c r="E310" s="85">
        <f>(204.05)*10.764</f>
        <v>2196.3942000000002</v>
      </c>
      <c r="F310" s="84">
        <f>(5.3*1.83)*10.764</f>
        <v>104.40003599999999</v>
      </c>
      <c r="G310" s="84">
        <v>0</v>
      </c>
      <c r="H310" s="84">
        <f t="shared" si="133"/>
        <v>2300.7942360000002</v>
      </c>
      <c r="I310" s="1"/>
      <c r="J310" s="1"/>
      <c r="K310" s="1"/>
      <c r="L310" s="1"/>
      <c r="M310" s="1"/>
      <c r="N310" s="1"/>
      <c r="O310" s="1"/>
      <c r="P310" s="1"/>
      <c r="Q310" s="1"/>
      <c r="R310" s="1"/>
      <c r="S310" s="1"/>
      <c r="T310" s="21" t="e">
        <f t="shared" ca="1" si="132"/>
        <v>#REF!</v>
      </c>
      <c r="U310" s="21" t="e">
        <f t="shared" ref="U310:V310" ca="1" si="135">U309+1</f>
        <v>#REF!</v>
      </c>
      <c r="V310" s="21">
        <f t="shared" ca="1" si="135"/>
        <v>5704</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x14ac:dyDescent="0.25">
      <c r="A311" s="101" t="s">
        <v>365</v>
      </c>
      <c r="B311" s="102"/>
      <c r="C311" s="102"/>
      <c r="D311" s="102"/>
      <c r="E311" s="102"/>
      <c r="F311" s="102"/>
      <c r="G311" s="102"/>
      <c r="H311" s="103"/>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x14ac:dyDescent="0.25">
      <c r="A312" s="100">
        <v>1</v>
      </c>
      <c r="B312" s="100"/>
      <c r="C312" s="104" t="s">
        <v>326</v>
      </c>
      <c r="D312" s="105"/>
      <c r="E312" s="105"/>
      <c r="F312" s="105"/>
      <c r="G312" s="105"/>
      <c r="H312" s="106"/>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x14ac:dyDescent="0.25">
      <c r="A313" s="104">
        <f>A312+1</f>
        <v>2</v>
      </c>
      <c r="B313" s="106"/>
      <c r="C313" s="54" t="s">
        <v>95</v>
      </c>
      <c r="D313" s="54" t="s">
        <v>327</v>
      </c>
      <c r="E313" s="85">
        <f>(196.82)*10.764</f>
        <v>2118.5704799999999</v>
      </c>
      <c r="F313" s="84">
        <f>(5.3*1.83)*10.764</f>
        <v>104.40003599999999</v>
      </c>
      <c r="G313" s="84">
        <v>0</v>
      </c>
      <c r="H313" s="84">
        <f t="shared" ref="H313:H315" si="136">E313+F313+(IF(G313&lt;101,G313,IF(G313&lt;201,G313/2,IF(G313&lt;=301,G313/3,G313/4))))</f>
        <v>2222.9705159999999</v>
      </c>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x14ac:dyDescent="0.25">
      <c r="A314" s="104">
        <f t="shared" ref="A314:A315" si="137">A313+1</f>
        <v>3</v>
      </c>
      <c r="B314" s="106"/>
      <c r="C314" s="54" t="s">
        <v>95</v>
      </c>
      <c r="D314" s="54" t="s">
        <v>327</v>
      </c>
      <c r="E314" s="85">
        <f>(211.84)*10.764</f>
        <v>2280.2457599999998</v>
      </c>
      <c r="F314" s="84">
        <f>(8.89*1.83)*10.764</f>
        <v>175.11628680000001</v>
      </c>
      <c r="G314" s="84">
        <v>0</v>
      </c>
      <c r="H314" s="84">
        <f t="shared" si="136"/>
        <v>2455.3620467999999</v>
      </c>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104">
        <f t="shared" si="137"/>
        <v>4</v>
      </c>
      <c r="B315" s="106"/>
      <c r="C315" s="54" t="s">
        <v>95</v>
      </c>
      <c r="D315" s="54" t="s">
        <v>327</v>
      </c>
      <c r="E315" s="85">
        <f>(204.05)*10.764</f>
        <v>2196.3942000000002</v>
      </c>
      <c r="F315" s="84">
        <f>(5.3*1.83)*10.764</f>
        <v>104.40003599999999</v>
      </c>
      <c r="G315" s="84">
        <v>0</v>
      </c>
      <c r="H315" s="84">
        <f t="shared" si="136"/>
        <v>2300.7942360000002</v>
      </c>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x14ac:dyDescent="0.25">
      <c r="A316" s="107" t="s">
        <v>367</v>
      </c>
      <c r="B316" s="108"/>
      <c r="C316" s="108"/>
      <c r="D316" s="108"/>
      <c r="E316" s="108"/>
      <c r="F316" s="108"/>
      <c r="G316" s="108"/>
      <c r="H316" s="10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100">
        <v>1</v>
      </c>
      <c r="B317" s="100"/>
      <c r="C317" s="54" t="s">
        <v>95</v>
      </c>
      <c r="D317" s="54" t="s">
        <v>327</v>
      </c>
      <c r="E317" s="85">
        <f>(212.14)*10.764</f>
        <v>2283.4749599999996</v>
      </c>
      <c r="F317" s="84">
        <f>(8.89*1.83)*10.764</f>
        <v>175.11628680000001</v>
      </c>
      <c r="G317" s="84">
        <v>0</v>
      </c>
      <c r="H317" s="84">
        <f>E317+F317+(IF(G317&lt;101,G317,IF(G317&lt;201,G317/2,IF(G317&lt;=301,G317/3,G317/4))))</f>
        <v>2458.5912467999997</v>
      </c>
      <c r="I317" s="1"/>
      <c r="J317" s="1"/>
      <c r="K317" s="1"/>
      <c r="L317" s="1"/>
      <c r="M317" s="1"/>
      <c r="N317" s="1"/>
      <c r="O317" s="1"/>
      <c r="P317" s="1"/>
      <c r="Q317" s="1"/>
      <c r="R317" s="1"/>
      <c r="S317" s="1"/>
      <c r="T317" s="21" t="str">
        <f t="shared" ref="T317:T320" ca="1" si="138">U317&amp;""&amp;",..,"&amp;""&amp;V317</f>
        <v>5901,..,6801</v>
      </c>
      <c r="U317" s="21">
        <f ca="1">(SUMPRODUCT(MID(0&amp;(LEFT(A316,SUM(LEN(A316)-LEN(SUBSTITUTE(A316,{"0","1","2","3"},""))))), LARGE(INDEX(ISNUMBER(--MID((LEFT(A316,SUM(LEN(A316)-LEN(SUBSTITUTE(A316,{"0","1","2","3"},""))))), ROW(INDIRECT("1:"&amp;LEN((LEFT(A316,SUM(LEN(A316)-LEN(SUBSTITUTE(A316,{"0","1","2","3"},"")))))))), 1)) * ROW(INDIRECT("1:"&amp;LEN((LEFT(A316,SUM(LEN(A316)-LEN(SUBSTITUTE(A316,{"0","1","2","3"},"")))))))), 0), ROW(INDIRECT("1:"&amp;LEN((LEFT(A316,SUM(LEN(A316)-LEN(SUBSTITUTE(A316,{"0","1","2","3"},"")))))))))+1, 1) * 10^ROW(INDIRECT("1:"&amp;LEN((LEFT(A316,SUM(LEN(A316)-LEN(SUBSTITUTE(A316,{"0","1","2","3"},""))))))))/10))*100+1</f>
        <v>5901</v>
      </c>
      <c r="V317" s="21">
        <f ca="1">(SUMPRODUCT(MID(0&amp;(--TRIM(RIGHT(SUBSTITUTE(LEFT(A316,_xlfn.AGGREGATE(16,6,FIND({0,1,2,3,4,5,6,7,8,9},A316,ROW(INDIRECT("1:"&amp;LEN(A316)))),1))," ",REPT(" ",LEN(A316))),LEN(A316)))), LARGE(INDEX(ISNUMBER(--MID((--TRIM(RIGHT(SUBSTITUTE(LEFT(A316,_xlfn.AGGREGATE(16,6,FIND({0,1,2,3,4,5,6,7,8,9},A316,ROW(INDIRECT("1:"&amp;LEN(A316)))),1))," ",REPT(" ",LEN(A316))),LEN(A316)))), ROW(INDIRECT("1:"&amp;LEN((--TRIM(RIGHT(SUBSTITUTE(LEFT(A316,_xlfn.AGGREGATE(16,6,FIND({0,1,2,3,4,5,6,7,8,9},A316,ROW(INDIRECT("1:"&amp;LEN(A316)))),1))," ",REPT(" ",LEN(A316))),LEN(A316))))))), 1)) * ROW(INDIRECT("1:"&amp;LEN((--TRIM(RIGHT(SUBSTITUTE(LEFT(A316,_xlfn.AGGREGATE(16,6,FIND({0,1,2,3,4,5,6,7,8,9},A316,ROW(INDIRECT("1:"&amp;LEN(A316)))),1))," ",REPT(" ",LEN(A316))),LEN(A316))))))), 0), ROW(INDIRECT("1:"&amp;LEN((--TRIM(RIGHT(SUBSTITUTE(LEFT(A316,_xlfn.AGGREGATE(16,6,FIND({0,1,2,3,4,5,6,7,8,9},A316,ROW(INDIRECT("1:"&amp;LEN(A316)))),1))," ",REPT(" ",LEN(A316))),LEN(A316))))))))+1, 1) * 10^ROW(INDIRECT("1:"&amp;LEN((--TRIM(RIGHT(SUBSTITUTE(LEFT(A316,_xlfn.AGGREGATE(16,6,FIND({0,1,2,3,4,5,6,7,8,9},A316,ROW(INDIRECT("1:"&amp;LEN(A316)))),1))," ",REPT(" ",LEN(A316))),LEN(A316)))))))/10))*100+1</f>
        <v>6801</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25">
      <c r="A318" s="100">
        <v>2</v>
      </c>
      <c r="B318" s="100"/>
      <c r="C318" s="54" t="s">
        <v>95</v>
      </c>
      <c r="D318" s="54" t="s">
        <v>327</v>
      </c>
      <c r="E318" s="85">
        <f>(196.82)*10.764</f>
        <v>2118.5704799999999</v>
      </c>
      <c r="F318" s="84">
        <f>(5.3*1.83)*10.764</f>
        <v>104.40003599999999</v>
      </c>
      <c r="G318" s="84">
        <v>0</v>
      </c>
      <c r="H318" s="84">
        <f t="shared" ref="H318:H320" si="139">E318+F318+(IF(G318&lt;101,G318,IF(G318&lt;201,G318/2,IF(G318&lt;=301,G318/3,G318/4))))</f>
        <v>2222.9705159999999</v>
      </c>
      <c r="I318" s="1"/>
      <c r="J318" s="1"/>
      <c r="K318" s="1"/>
      <c r="L318" s="1"/>
      <c r="M318" s="1"/>
      <c r="N318" s="1"/>
      <c r="O318" s="1"/>
      <c r="P318" s="1"/>
      <c r="Q318" s="1"/>
      <c r="R318" s="1"/>
      <c r="S318" s="1"/>
      <c r="T318" s="21" t="str">
        <f t="shared" ca="1" si="138"/>
        <v>5902,..,6802</v>
      </c>
      <c r="U318" s="21">
        <f ca="1">U317+1</f>
        <v>5902</v>
      </c>
      <c r="V318" s="21">
        <f ca="1">V317+1</f>
        <v>6802</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25">
      <c r="A319" s="100">
        <v>3</v>
      </c>
      <c r="B319" s="100"/>
      <c r="C319" s="54" t="s">
        <v>95</v>
      </c>
      <c r="D319" s="54" t="s">
        <v>327</v>
      </c>
      <c r="E319" s="85">
        <f>(211.84)*10.764</f>
        <v>2280.2457599999998</v>
      </c>
      <c r="F319" s="84">
        <f>(8.89*1.83)*10.764</f>
        <v>175.11628680000001</v>
      </c>
      <c r="G319" s="84">
        <v>0</v>
      </c>
      <c r="H319" s="84">
        <f t="shared" si="139"/>
        <v>2455.3620467999999</v>
      </c>
      <c r="I319" s="1"/>
      <c r="J319" s="1"/>
      <c r="K319" s="1"/>
      <c r="L319" s="1"/>
      <c r="M319" s="1"/>
      <c r="N319" s="1"/>
      <c r="O319" s="1"/>
      <c r="P319" s="1"/>
      <c r="Q319" s="1"/>
      <c r="R319" s="1"/>
      <c r="S319" s="1"/>
      <c r="T319" s="21" t="str">
        <f t="shared" ca="1" si="138"/>
        <v>5903,..,6803</v>
      </c>
      <c r="U319" s="21">
        <f t="shared" ref="U319:V319" ca="1" si="140">U318+1</f>
        <v>5903</v>
      </c>
      <c r="V319" s="21">
        <f t="shared" ca="1" si="140"/>
        <v>6803</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25">
      <c r="A320" s="100">
        <v>4</v>
      </c>
      <c r="B320" s="100"/>
      <c r="C320" s="54" t="s">
        <v>95</v>
      </c>
      <c r="D320" s="54" t="s">
        <v>327</v>
      </c>
      <c r="E320" s="85">
        <f>(204.05)*10.764</f>
        <v>2196.3942000000002</v>
      </c>
      <c r="F320" s="84">
        <f>(5.3*1.83)*10.764</f>
        <v>104.40003599999999</v>
      </c>
      <c r="G320" s="84">
        <v>0</v>
      </c>
      <c r="H320" s="84">
        <f t="shared" si="139"/>
        <v>2300.7942360000002</v>
      </c>
      <c r="I320" s="1"/>
      <c r="J320" s="1"/>
      <c r="K320" s="1"/>
      <c r="L320" s="1"/>
      <c r="M320" s="1"/>
      <c r="N320" s="1"/>
      <c r="O320" s="1"/>
      <c r="P320" s="1"/>
      <c r="Q320" s="1"/>
      <c r="R320" s="1"/>
      <c r="S320" s="1"/>
      <c r="T320" s="21" t="str">
        <f t="shared" ca="1" si="138"/>
        <v>5904,..,6804</v>
      </c>
      <c r="U320" s="21">
        <f t="shared" ref="U320:V320" ca="1" si="141">U319+1</f>
        <v>5904</v>
      </c>
      <c r="V320" s="21">
        <f t="shared" ca="1" si="141"/>
        <v>6804</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x14ac:dyDescent="0.25">
      <c r="A321" s="107" t="s">
        <v>366</v>
      </c>
      <c r="B321" s="108"/>
      <c r="C321" s="108"/>
      <c r="D321" s="108"/>
      <c r="E321" s="108"/>
      <c r="F321" s="108"/>
      <c r="G321" s="108"/>
      <c r="H321" s="10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25">
      <c r="A322" s="100">
        <v>1</v>
      </c>
      <c r="B322" s="100"/>
      <c r="C322" s="54" t="s">
        <v>95</v>
      </c>
      <c r="D322" s="54" t="s">
        <v>327</v>
      </c>
      <c r="E322" s="85">
        <f>(212.14)*10.764</f>
        <v>2283.4749599999996</v>
      </c>
      <c r="F322" s="84">
        <f>(8.89*1.83)*10.764</f>
        <v>175.11628680000001</v>
      </c>
      <c r="G322" s="84">
        <v>0</v>
      </c>
      <c r="H322" s="84">
        <f>E322+F322+(IF(G322&lt;101,G322,IF(G322&lt;201,G322/2,IF(G322&lt;=301,G322/3,G322/4))))</f>
        <v>2458.5912467999997</v>
      </c>
      <c r="I322" s="1"/>
      <c r="J322" s="1"/>
      <c r="K322" s="1"/>
      <c r="L322" s="1"/>
      <c r="M322" s="1"/>
      <c r="N322" s="1"/>
      <c r="O322" s="1"/>
      <c r="P322" s="1"/>
      <c r="Q322" s="1"/>
      <c r="R322" s="1"/>
      <c r="S322" s="1"/>
      <c r="T322" s="21" t="str">
        <f t="shared" ref="T322:T325" ca="1" si="142">U322&amp;""&amp;",..,"&amp;""&amp;V322</f>
        <v>601,..,6101</v>
      </c>
      <c r="U322" s="21">
        <f ca="1">(SUMPRODUCT(MID(0&amp;(LEFT(A321,SUM(LEN(A321)-LEN(SUBSTITUTE(A321,{"0","1","2","3"},""))))), LARGE(INDEX(ISNUMBER(--MID((LEFT(A321,SUM(LEN(A321)-LEN(SUBSTITUTE(A321,{"0","1","2","3"},""))))), ROW(INDIRECT("1:"&amp;LEN((LEFT(A321,SUM(LEN(A321)-LEN(SUBSTITUTE(A321,{"0","1","2","3"},"")))))))), 1)) * ROW(INDIRECT("1:"&amp;LEN((LEFT(A321,SUM(LEN(A321)-LEN(SUBSTITUTE(A321,{"0","1","2","3"},"")))))))), 0), ROW(INDIRECT("1:"&amp;LEN((LEFT(A321,SUM(LEN(A321)-LEN(SUBSTITUTE(A321,{"0","1","2","3"},"")))))))))+1, 1) * 10^ROW(INDIRECT("1:"&amp;LEN((LEFT(A321,SUM(LEN(A321)-LEN(SUBSTITUTE(A321,{"0","1","2","3"},""))))))))/10))*100+1</f>
        <v>601</v>
      </c>
      <c r="V322" s="21">
        <f ca="1">(SUMPRODUCT(MID(0&amp;(--TRIM(RIGHT(SUBSTITUTE(LEFT(A321,_xlfn.AGGREGATE(16,6,FIND({0,1,2,3,4,5,6,7,8,9},A321,ROW(INDIRECT("1:"&amp;LEN(A321)))),1))," ",REPT(" ",LEN(A321))),LEN(A321)))), LARGE(INDEX(ISNUMBER(--MID((--TRIM(RIGHT(SUBSTITUTE(LEFT(A321,_xlfn.AGGREGATE(16,6,FIND({0,1,2,3,4,5,6,7,8,9},A321,ROW(INDIRECT("1:"&amp;LEN(A321)))),1))," ",REPT(" ",LEN(A321))),LEN(A321)))), ROW(INDIRECT("1:"&amp;LEN((--TRIM(RIGHT(SUBSTITUTE(LEFT(A321,_xlfn.AGGREGATE(16,6,FIND({0,1,2,3,4,5,6,7,8,9},A321,ROW(INDIRECT("1:"&amp;LEN(A321)))),1))," ",REPT(" ",LEN(A321))),LEN(A321))))))), 1)) * ROW(INDIRECT("1:"&amp;LEN((--TRIM(RIGHT(SUBSTITUTE(LEFT(A321,_xlfn.AGGREGATE(16,6,FIND({0,1,2,3,4,5,6,7,8,9},A321,ROW(INDIRECT("1:"&amp;LEN(A321)))),1))," ",REPT(" ",LEN(A321))),LEN(A321))))))), 0), ROW(INDIRECT("1:"&amp;LEN((--TRIM(RIGHT(SUBSTITUTE(LEFT(A321,_xlfn.AGGREGATE(16,6,FIND({0,1,2,3,4,5,6,7,8,9},A321,ROW(INDIRECT("1:"&amp;LEN(A321)))),1))," ",REPT(" ",LEN(A321))),LEN(A321))))))))+1, 1) * 10^ROW(INDIRECT("1:"&amp;LEN((--TRIM(RIGHT(SUBSTITUTE(LEFT(A321,_xlfn.AGGREGATE(16,6,FIND({0,1,2,3,4,5,6,7,8,9},A321,ROW(INDIRECT("1:"&amp;LEN(A321)))),1))," ",REPT(" ",LEN(A321))),LEN(A321)))))))/10))*100+1</f>
        <v>6101</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25">
      <c r="A323" s="100">
        <v>2</v>
      </c>
      <c r="B323" s="100"/>
      <c r="C323" s="54" t="s">
        <v>95</v>
      </c>
      <c r="D323" s="54" t="s">
        <v>327</v>
      </c>
      <c r="E323" s="85">
        <f>(196.82)*10.764</f>
        <v>2118.5704799999999</v>
      </c>
      <c r="F323" s="84">
        <f>(5.3*1.83)*10.764</f>
        <v>104.40003599999999</v>
      </c>
      <c r="G323" s="84">
        <v>0</v>
      </c>
      <c r="H323" s="84">
        <f t="shared" ref="H323:H325" si="143">E323+F323+(IF(G323&lt;101,G323,IF(G323&lt;201,G323/2,IF(G323&lt;=301,G323/3,G323/4))))</f>
        <v>2222.9705159999999</v>
      </c>
      <c r="I323" s="1"/>
      <c r="J323" s="1"/>
      <c r="K323" s="1"/>
      <c r="L323" s="1"/>
      <c r="M323" s="1"/>
      <c r="N323" s="1"/>
      <c r="O323" s="1"/>
      <c r="P323" s="1"/>
      <c r="Q323" s="1"/>
      <c r="R323" s="1"/>
      <c r="S323" s="1"/>
      <c r="T323" s="21" t="str">
        <f t="shared" ca="1" si="142"/>
        <v>602,..,6102</v>
      </c>
      <c r="U323" s="21">
        <f ca="1">U322+1</f>
        <v>602</v>
      </c>
      <c r="V323" s="21">
        <f ca="1">V322+1</f>
        <v>6102</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customHeight="1" x14ac:dyDescent="0.25">
      <c r="A324" s="100">
        <v>3</v>
      </c>
      <c r="B324" s="100"/>
      <c r="C324" s="54" t="s">
        <v>95</v>
      </c>
      <c r="D324" s="54" t="s">
        <v>327</v>
      </c>
      <c r="E324" s="85">
        <f>(211.84)*10.764</f>
        <v>2280.2457599999998</v>
      </c>
      <c r="F324" s="84">
        <f>(8.89*1.83)*10.764</f>
        <v>175.11628680000001</v>
      </c>
      <c r="G324" s="84">
        <v>0</v>
      </c>
      <c r="H324" s="84">
        <f t="shared" si="143"/>
        <v>2455.3620467999999</v>
      </c>
      <c r="I324" s="1"/>
      <c r="J324" s="1"/>
      <c r="K324" s="1"/>
      <c r="L324" s="1"/>
      <c r="M324" s="1"/>
      <c r="N324" s="1"/>
      <c r="O324" s="1"/>
      <c r="P324" s="1"/>
      <c r="Q324" s="1"/>
      <c r="R324" s="1"/>
      <c r="S324" s="1"/>
      <c r="T324" s="21" t="str">
        <f t="shared" ca="1" si="142"/>
        <v>603,..,6103</v>
      </c>
      <c r="U324" s="21">
        <f t="shared" ref="U324:V324" ca="1" si="144">U323+1</f>
        <v>603</v>
      </c>
      <c r="V324" s="21">
        <f t="shared" ca="1" si="144"/>
        <v>6103</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100">
        <v>4</v>
      </c>
      <c r="B325" s="100"/>
      <c r="C325" s="54" t="s">
        <v>95</v>
      </c>
      <c r="D325" s="54" t="s">
        <v>327</v>
      </c>
      <c r="E325" s="85">
        <f>(204.05)*10.764</f>
        <v>2196.3942000000002</v>
      </c>
      <c r="F325" s="84">
        <f>(5.3*1.83)*10.764</f>
        <v>104.40003599999999</v>
      </c>
      <c r="G325" s="84">
        <v>0</v>
      </c>
      <c r="H325" s="84">
        <f t="shared" si="143"/>
        <v>2300.7942360000002</v>
      </c>
      <c r="I325" s="1"/>
      <c r="J325" s="1"/>
      <c r="K325" s="1"/>
      <c r="L325" s="1"/>
      <c r="M325" s="1"/>
      <c r="N325" s="1"/>
      <c r="O325" s="1"/>
      <c r="P325" s="1"/>
      <c r="Q325" s="1"/>
      <c r="R325" s="1"/>
      <c r="S325" s="1"/>
      <c r="T325" s="21" t="str">
        <f t="shared" ca="1" si="142"/>
        <v>604,..,6104</v>
      </c>
      <c r="U325" s="21">
        <f t="shared" ref="U325:V325" ca="1" si="145">U324+1</f>
        <v>604</v>
      </c>
      <c r="V325" s="21">
        <f t="shared" ca="1" si="145"/>
        <v>6104</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x14ac:dyDescent="0.25">
      <c r="A326" s="107" t="s">
        <v>368</v>
      </c>
      <c r="B326" s="108"/>
      <c r="C326" s="108"/>
      <c r="D326" s="108"/>
      <c r="E326" s="108"/>
      <c r="F326" s="108"/>
      <c r="G326" s="108"/>
      <c r="H326" s="10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25">
      <c r="A327" s="100">
        <v>1</v>
      </c>
      <c r="B327" s="100"/>
      <c r="C327" s="54" t="s">
        <v>95</v>
      </c>
      <c r="D327" s="54" t="s">
        <v>327</v>
      </c>
      <c r="E327" s="85">
        <f>(212.14)*10.764</f>
        <v>2283.4749599999996</v>
      </c>
      <c r="F327" s="84">
        <f>(8.89*1.83)*10.764</f>
        <v>175.11628680000001</v>
      </c>
      <c r="G327" s="84">
        <v>0</v>
      </c>
      <c r="H327" s="84">
        <f>E327+F327+(IF(G327&lt;101,G327,IF(G327&lt;201,G327/2,IF(G327&lt;=301,G327/3,G327/4))))</f>
        <v>2458.5912467999997</v>
      </c>
      <c r="I327" s="1"/>
      <c r="J327" s="1"/>
      <c r="K327" s="1"/>
      <c r="L327" s="1"/>
      <c r="M327" s="1"/>
      <c r="N327" s="1"/>
      <c r="O327" s="1"/>
      <c r="P327" s="1"/>
      <c r="Q327" s="1"/>
      <c r="R327" s="1"/>
      <c r="S327" s="1"/>
      <c r="T327" s="21" t="str">
        <f t="shared" ref="T327:T330" ca="1" si="146">U327&amp;""&amp;",..,"&amp;""&amp;V327</f>
        <v>601,..,6201</v>
      </c>
      <c r="U327" s="21">
        <f ca="1">(SUMPRODUCT(MID(0&amp;(LEFT(A326,SUM(LEN(A326)-LEN(SUBSTITUTE(A326,{"0","1","2","3"},""))))), LARGE(INDEX(ISNUMBER(--MID((LEFT(A326,SUM(LEN(A326)-LEN(SUBSTITUTE(A326,{"0","1","2","3"},""))))), ROW(INDIRECT("1:"&amp;LEN((LEFT(A326,SUM(LEN(A326)-LEN(SUBSTITUTE(A326,{"0","1","2","3"},"")))))))), 1)) * ROW(INDIRECT("1:"&amp;LEN((LEFT(A326,SUM(LEN(A326)-LEN(SUBSTITUTE(A326,{"0","1","2","3"},"")))))))), 0), ROW(INDIRECT("1:"&amp;LEN((LEFT(A326,SUM(LEN(A326)-LEN(SUBSTITUTE(A326,{"0","1","2","3"},"")))))))))+1, 1) * 10^ROW(INDIRECT("1:"&amp;LEN((LEFT(A326,SUM(LEN(A326)-LEN(SUBSTITUTE(A326,{"0","1","2","3"},""))))))))/10))*100+1</f>
        <v>601</v>
      </c>
      <c r="V327" s="21">
        <f ca="1">(SUMPRODUCT(MID(0&amp;(--TRIM(RIGHT(SUBSTITUTE(LEFT(A326,_xlfn.AGGREGATE(16,6,FIND({0,1,2,3,4,5,6,7,8,9},A326,ROW(INDIRECT("1:"&amp;LEN(A326)))),1))," ",REPT(" ",LEN(A326))),LEN(A326)))), LARGE(INDEX(ISNUMBER(--MID((--TRIM(RIGHT(SUBSTITUTE(LEFT(A326,_xlfn.AGGREGATE(16,6,FIND({0,1,2,3,4,5,6,7,8,9},A326,ROW(INDIRECT("1:"&amp;LEN(A326)))),1))," ",REPT(" ",LEN(A326))),LEN(A326)))), ROW(INDIRECT("1:"&amp;LEN((--TRIM(RIGHT(SUBSTITUTE(LEFT(A326,_xlfn.AGGREGATE(16,6,FIND({0,1,2,3,4,5,6,7,8,9},A326,ROW(INDIRECT("1:"&amp;LEN(A326)))),1))," ",REPT(" ",LEN(A326))),LEN(A326))))))), 1)) * ROW(INDIRECT("1:"&amp;LEN((--TRIM(RIGHT(SUBSTITUTE(LEFT(A326,_xlfn.AGGREGATE(16,6,FIND({0,1,2,3,4,5,6,7,8,9},A326,ROW(INDIRECT("1:"&amp;LEN(A326)))),1))," ",REPT(" ",LEN(A326))),LEN(A326))))))), 0), ROW(INDIRECT("1:"&amp;LEN((--TRIM(RIGHT(SUBSTITUTE(LEFT(A326,_xlfn.AGGREGATE(16,6,FIND({0,1,2,3,4,5,6,7,8,9},A326,ROW(INDIRECT("1:"&amp;LEN(A326)))),1))," ",REPT(" ",LEN(A326))),LEN(A326))))))))+1, 1) * 10^ROW(INDIRECT("1:"&amp;LEN((--TRIM(RIGHT(SUBSTITUTE(LEFT(A326,_xlfn.AGGREGATE(16,6,FIND({0,1,2,3,4,5,6,7,8,9},A326,ROW(INDIRECT("1:"&amp;LEN(A326)))),1))," ",REPT(" ",LEN(A326))),LEN(A326)))))))/10))*100+1</f>
        <v>6201</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customHeight="1" x14ac:dyDescent="0.25">
      <c r="A328" s="100">
        <v>2</v>
      </c>
      <c r="B328" s="100"/>
      <c r="C328" s="54" t="s">
        <v>95</v>
      </c>
      <c r="D328" s="54" t="s">
        <v>327</v>
      </c>
      <c r="E328" s="85">
        <f>(196.82)*10.764</f>
        <v>2118.5704799999999</v>
      </c>
      <c r="F328" s="84">
        <f>(5.3*1.83)*10.764</f>
        <v>104.40003599999999</v>
      </c>
      <c r="G328" s="84">
        <v>0</v>
      </c>
      <c r="H328" s="84">
        <f t="shared" ref="H328:H330" si="147">E328+F328+(IF(G328&lt;101,G328,IF(G328&lt;201,G328/2,IF(G328&lt;=301,G328/3,G328/4))))</f>
        <v>2222.9705159999999</v>
      </c>
      <c r="I328" s="1"/>
      <c r="J328" s="1"/>
      <c r="K328" s="1"/>
      <c r="L328" s="1"/>
      <c r="M328" s="1"/>
      <c r="N328" s="1"/>
      <c r="O328" s="1"/>
      <c r="P328" s="1"/>
      <c r="Q328" s="1"/>
      <c r="R328" s="1"/>
      <c r="S328" s="1"/>
      <c r="T328" s="21" t="str">
        <f t="shared" ca="1" si="146"/>
        <v>602,..,6202</v>
      </c>
      <c r="U328" s="21">
        <f ca="1">U327+1</f>
        <v>602</v>
      </c>
      <c r="V328" s="21">
        <f ca="1">V327+1</f>
        <v>6202</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customHeight="1" x14ac:dyDescent="0.25">
      <c r="A329" s="100">
        <v>3</v>
      </c>
      <c r="B329" s="100"/>
      <c r="C329" s="54" t="s">
        <v>95</v>
      </c>
      <c r="D329" s="54" t="s">
        <v>327</v>
      </c>
      <c r="E329" s="85">
        <f>(211.84)*10.764</f>
        <v>2280.2457599999998</v>
      </c>
      <c r="F329" s="84">
        <f>(8.89*1.83)*10.764</f>
        <v>175.11628680000001</v>
      </c>
      <c r="G329" s="84">
        <v>0</v>
      </c>
      <c r="H329" s="84">
        <f t="shared" si="147"/>
        <v>2455.3620467999999</v>
      </c>
      <c r="I329" s="1"/>
      <c r="J329" s="1"/>
      <c r="K329" s="1"/>
      <c r="L329" s="1"/>
      <c r="M329" s="1"/>
      <c r="N329" s="1"/>
      <c r="O329" s="1"/>
      <c r="P329" s="1"/>
      <c r="Q329" s="1"/>
      <c r="R329" s="1"/>
      <c r="S329" s="1"/>
      <c r="T329" s="21" t="str">
        <f t="shared" ca="1" si="146"/>
        <v>603,..,6203</v>
      </c>
      <c r="U329" s="21">
        <f t="shared" ref="U329:V329" ca="1" si="148">U328+1</f>
        <v>603</v>
      </c>
      <c r="V329" s="21">
        <f t="shared" ca="1" si="148"/>
        <v>6203</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customHeight="1" x14ac:dyDescent="0.25">
      <c r="A330" s="100">
        <v>4</v>
      </c>
      <c r="B330" s="100"/>
      <c r="C330" s="54" t="s">
        <v>95</v>
      </c>
      <c r="D330" s="54" t="s">
        <v>327</v>
      </c>
      <c r="E330" s="85">
        <f>(204.05)*10.764</f>
        <v>2196.3942000000002</v>
      </c>
      <c r="F330" s="84">
        <f>(5.3*1.83)*10.764</f>
        <v>104.40003599999999</v>
      </c>
      <c r="G330" s="84">
        <v>0</v>
      </c>
      <c r="H330" s="84">
        <f t="shared" si="147"/>
        <v>2300.7942360000002</v>
      </c>
      <c r="I330" s="1"/>
      <c r="J330" s="1"/>
      <c r="K330" s="1"/>
      <c r="L330" s="1"/>
      <c r="M330" s="1"/>
      <c r="N330" s="1"/>
      <c r="O330" s="1"/>
      <c r="P330" s="1"/>
      <c r="Q330" s="1"/>
      <c r="R330" s="1"/>
      <c r="S330" s="1"/>
      <c r="T330" s="21" t="str">
        <f t="shared" ca="1" si="146"/>
        <v>604,..,6204</v>
      </c>
      <c r="U330" s="21">
        <f t="shared" ref="U330:V330" ca="1" si="149">U329+1</f>
        <v>604</v>
      </c>
      <c r="V330" s="21">
        <f t="shared" ca="1" si="149"/>
        <v>6204</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x14ac:dyDescent="0.25">
      <c r="A331" s="101" t="s">
        <v>369</v>
      </c>
      <c r="B331" s="102"/>
      <c r="C331" s="102"/>
      <c r="D331" s="102"/>
      <c r="E331" s="102"/>
      <c r="F331" s="102"/>
      <c r="G331" s="102"/>
      <c r="H331" s="103"/>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x14ac:dyDescent="0.25">
      <c r="A332" s="100">
        <v>1</v>
      </c>
      <c r="B332" s="100"/>
      <c r="C332" s="104" t="s">
        <v>326</v>
      </c>
      <c r="D332" s="105"/>
      <c r="E332" s="105"/>
      <c r="F332" s="105"/>
      <c r="G332" s="105"/>
      <c r="H332" s="106"/>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x14ac:dyDescent="0.25">
      <c r="A333" s="104">
        <f>A332+1</f>
        <v>2</v>
      </c>
      <c r="B333" s="106"/>
      <c r="C333" s="54" t="s">
        <v>95</v>
      </c>
      <c r="D333" s="54" t="s">
        <v>327</v>
      </c>
      <c r="E333" s="85">
        <f>(196.82)*10.764</f>
        <v>2118.5704799999999</v>
      </c>
      <c r="F333" s="84">
        <f>(5.3*1.83)*10.764</f>
        <v>104.40003599999999</v>
      </c>
      <c r="G333" s="84">
        <v>0</v>
      </c>
      <c r="H333" s="84">
        <f t="shared" ref="H333:H335" si="150">E333+F333+(IF(G333&lt;101,G333,IF(G333&lt;201,G333/2,IF(G333&lt;=301,G333/3,G333/4))))</f>
        <v>2222.9705159999999</v>
      </c>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x14ac:dyDescent="0.25">
      <c r="A334" s="104">
        <f t="shared" ref="A334:A335" si="151">A333+1</f>
        <v>3</v>
      </c>
      <c r="B334" s="106"/>
      <c r="C334" s="54" t="s">
        <v>95</v>
      </c>
      <c r="D334" s="54" t="s">
        <v>327</v>
      </c>
      <c r="E334" s="85">
        <f>(211.84)*10.764</f>
        <v>2280.2457599999998</v>
      </c>
      <c r="F334" s="84">
        <f>(8.89*1.83)*10.764</f>
        <v>175.11628680000001</v>
      </c>
      <c r="G334" s="84">
        <v>0</v>
      </c>
      <c r="H334" s="84">
        <f t="shared" si="150"/>
        <v>2455.3620467999999</v>
      </c>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customHeight="1" x14ac:dyDescent="0.25">
      <c r="A335" s="104">
        <f t="shared" si="151"/>
        <v>4</v>
      </c>
      <c r="B335" s="106"/>
      <c r="C335" s="54" t="s">
        <v>95</v>
      </c>
      <c r="D335" s="54" t="s">
        <v>327</v>
      </c>
      <c r="E335" s="85">
        <f>(204.05)*10.764</f>
        <v>2196.3942000000002</v>
      </c>
      <c r="F335" s="84">
        <f>(5.3*1.83)*10.764</f>
        <v>104.40003599999999</v>
      </c>
      <c r="G335" s="84">
        <v>0</v>
      </c>
      <c r="H335" s="84">
        <f t="shared" si="150"/>
        <v>2300.7942360000002</v>
      </c>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x14ac:dyDescent="0.25">
      <c r="A336" s="107" t="s">
        <v>370</v>
      </c>
      <c r="B336" s="108"/>
      <c r="C336" s="108"/>
      <c r="D336" s="108"/>
      <c r="E336" s="108"/>
      <c r="F336" s="108"/>
      <c r="G336" s="108"/>
      <c r="H336" s="109"/>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customHeight="1" x14ac:dyDescent="0.25">
      <c r="A337" s="100">
        <v>1</v>
      </c>
      <c r="B337" s="100"/>
      <c r="C337" s="54" t="s">
        <v>95</v>
      </c>
      <c r="D337" s="54" t="s">
        <v>327</v>
      </c>
      <c r="E337" s="85">
        <f>(212.14)*10.764</f>
        <v>2283.4749599999996</v>
      </c>
      <c r="F337" s="84">
        <f>(8.89*1.83)*10.764</f>
        <v>175.11628680000001</v>
      </c>
      <c r="G337" s="84">
        <v>0</v>
      </c>
      <c r="H337" s="84">
        <f>E337+F337+(IF(G337&lt;101,G337,IF(G337&lt;201,G337/2,IF(G337&lt;=301,G337/3,G337/4))))</f>
        <v>2458.5912467999997</v>
      </c>
      <c r="I337" s="1"/>
      <c r="J337" s="1"/>
      <c r="K337" s="1"/>
      <c r="L337" s="1"/>
      <c r="M337" s="1"/>
      <c r="N337" s="1"/>
      <c r="O337" s="1"/>
      <c r="P337" s="1"/>
      <c r="Q337" s="1"/>
      <c r="R337" s="1"/>
      <c r="S337" s="1"/>
      <c r="T337" s="21" t="e">
        <f t="shared" ref="T337:T340" ca="1" si="152">U337&amp;""&amp;",..,"&amp;""&amp;V337</f>
        <v>#REF!</v>
      </c>
      <c r="U337" s="21" t="e">
        <f ca="1">(SUMPRODUCT(MID(0&amp;(LEFT(A336,SUM(LEN(A336)-LEN(SUBSTITUTE(A336,{"0","1","2","3"},""))))), LARGE(INDEX(ISNUMBER(--MID((LEFT(A336,SUM(LEN(A336)-LEN(SUBSTITUTE(A336,{"0","1","2","3"},""))))), ROW(INDIRECT("1:"&amp;LEN((LEFT(A336,SUM(LEN(A336)-LEN(SUBSTITUTE(A336,{"0","1","2","3"},"")))))))), 1)) * ROW(INDIRECT("1:"&amp;LEN((LEFT(A336,SUM(LEN(A336)-LEN(SUBSTITUTE(A336,{"0","1","2","3"},"")))))))), 0), ROW(INDIRECT("1:"&amp;LEN((LEFT(A336,SUM(LEN(A336)-LEN(SUBSTITUTE(A336,{"0","1","2","3"},"")))))))))+1, 1) * 10^ROW(INDIRECT("1:"&amp;LEN((LEFT(A336,SUM(LEN(A336)-LEN(SUBSTITUTE(A336,{"0","1","2","3"},""))))))))/10))*100+1</f>
        <v>#REF!</v>
      </c>
      <c r="V337" s="21">
        <f ca="1">(SUMPRODUCT(MID(0&amp;(--TRIM(RIGHT(SUBSTITUTE(LEFT(A336,_xlfn.AGGREGATE(16,6,FIND({0,1,2,3,4,5,6,7,8,9},A336,ROW(INDIRECT("1:"&amp;LEN(A336)))),1))," ",REPT(" ",LEN(A336))),LEN(A336)))), LARGE(INDEX(ISNUMBER(--MID((--TRIM(RIGHT(SUBSTITUTE(LEFT(A336,_xlfn.AGGREGATE(16,6,FIND({0,1,2,3,4,5,6,7,8,9},A336,ROW(INDIRECT("1:"&amp;LEN(A336)))),1))," ",REPT(" ",LEN(A336))),LEN(A336)))), ROW(INDIRECT("1:"&amp;LEN((--TRIM(RIGHT(SUBSTITUTE(LEFT(A336,_xlfn.AGGREGATE(16,6,FIND({0,1,2,3,4,5,6,7,8,9},A336,ROW(INDIRECT("1:"&amp;LEN(A336)))),1))," ",REPT(" ",LEN(A336))),LEN(A336))))))), 1)) * ROW(INDIRECT("1:"&amp;LEN((--TRIM(RIGHT(SUBSTITUTE(LEFT(A336,_xlfn.AGGREGATE(16,6,FIND({0,1,2,3,4,5,6,7,8,9},A336,ROW(INDIRECT("1:"&amp;LEN(A336)))),1))," ",REPT(" ",LEN(A336))),LEN(A336))))))), 0), ROW(INDIRECT("1:"&amp;LEN((--TRIM(RIGHT(SUBSTITUTE(LEFT(A336,_xlfn.AGGREGATE(16,6,FIND({0,1,2,3,4,5,6,7,8,9},A336,ROW(INDIRECT("1:"&amp;LEN(A336)))),1))," ",REPT(" ",LEN(A336))),LEN(A336))))))))+1, 1) * 10^ROW(INDIRECT("1:"&amp;LEN((--TRIM(RIGHT(SUBSTITUTE(LEFT(A336,_xlfn.AGGREGATE(16,6,FIND({0,1,2,3,4,5,6,7,8,9},A336,ROW(INDIRECT("1:"&amp;LEN(A336)))),1))," ",REPT(" ",LEN(A336))),LEN(A336)))))))/10))*100+1</f>
        <v>6601</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25">
      <c r="A338" s="100">
        <v>2</v>
      </c>
      <c r="B338" s="100"/>
      <c r="C338" s="54" t="s">
        <v>95</v>
      </c>
      <c r="D338" s="54" t="s">
        <v>327</v>
      </c>
      <c r="E338" s="85">
        <f>(196.82)*10.764</f>
        <v>2118.5704799999999</v>
      </c>
      <c r="F338" s="84">
        <f>(5.3*1.83)*10.764</f>
        <v>104.40003599999999</v>
      </c>
      <c r="G338" s="84">
        <v>0</v>
      </c>
      <c r="H338" s="84">
        <f t="shared" ref="H338:H340" si="153">E338+F338+(IF(G338&lt;101,G338,IF(G338&lt;201,G338/2,IF(G338&lt;=301,G338/3,G338/4))))</f>
        <v>2222.9705159999999</v>
      </c>
      <c r="I338" s="1"/>
      <c r="J338" s="1"/>
      <c r="K338" s="1"/>
      <c r="L338" s="1"/>
      <c r="M338" s="1"/>
      <c r="N338" s="1"/>
      <c r="O338" s="1"/>
      <c r="P338" s="1"/>
      <c r="Q338" s="1"/>
      <c r="R338" s="1"/>
      <c r="S338" s="1"/>
      <c r="T338" s="21" t="e">
        <f t="shared" ca="1" si="152"/>
        <v>#REF!</v>
      </c>
      <c r="U338" s="21" t="e">
        <f ca="1">U337+1</f>
        <v>#REF!</v>
      </c>
      <c r="V338" s="21">
        <f ca="1">V337+1</f>
        <v>6602</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25">
      <c r="A339" s="100">
        <v>3</v>
      </c>
      <c r="B339" s="100"/>
      <c r="C339" s="54" t="s">
        <v>95</v>
      </c>
      <c r="D339" s="54" t="s">
        <v>327</v>
      </c>
      <c r="E339" s="85">
        <f>(211.84)*10.764</f>
        <v>2280.2457599999998</v>
      </c>
      <c r="F339" s="84">
        <f>(8.89*1.83)*10.764</f>
        <v>175.11628680000001</v>
      </c>
      <c r="G339" s="84">
        <v>0</v>
      </c>
      <c r="H339" s="84">
        <f t="shared" si="153"/>
        <v>2455.3620467999999</v>
      </c>
      <c r="I339" s="1"/>
      <c r="J339" s="1"/>
      <c r="K339" s="1"/>
      <c r="L339" s="1"/>
      <c r="M339" s="1"/>
      <c r="N339" s="1"/>
      <c r="O339" s="1"/>
      <c r="P339" s="1"/>
      <c r="Q339" s="1"/>
      <c r="R339" s="1"/>
      <c r="S339" s="1"/>
      <c r="T339" s="21" t="e">
        <f t="shared" ca="1" si="152"/>
        <v>#REF!</v>
      </c>
      <c r="U339" s="21" t="e">
        <f t="shared" ref="U339:V339" ca="1" si="154">U338+1</f>
        <v>#REF!</v>
      </c>
      <c r="V339" s="21">
        <f t="shared" ca="1" si="154"/>
        <v>6603</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25">
      <c r="A340" s="100">
        <v>4</v>
      </c>
      <c r="B340" s="100"/>
      <c r="C340" s="54" t="s">
        <v>95</v>
      </c>
      <c r="D340" s="54" t="s">
        <v>327</v>
      </c>
      <c r="E340" s="85">
        <f>(204.05)*10.764</f>
        <v>2196.3942000000002</v>
      </c>
      <c r="F340" s="84">
        <f>(5.3*1.83)*10.764</f>
        <v>104.40003599999999</v>
      </c>
      <c r="G340" s="84">
        <v>0</v>
      </c>
      <c r="H340" s="84">
        <f t="shared" si="153"/>
        <v>2300.7942360000002</v>
      </c>
      <c r="I340" s="1"/>
      <c r="J340" s="1"/>
      <c r="K340" s="1"/>
      <c r="L340" s="1"/>
      <c r="M340" s="1"/>
      <c r="N340" s="1"/>
      <c r="O340" s="1"/>
      <c r="P340" s="1"/>
      <c r="Q340" s="1"/>
      <c r="R340" s="1"/>
      <c r="S340" s="1"/>
      <c r="T340" s="21" t="e">
        <f t="shared" ca="1" si="152"/>
        <v>#REF!</v>
      </c>
      <c r="U340" s="21" t="e">
        <f t="shared" ref="U340:V340" ca="1" si="155">U339+1</f>
        <v>#REF!</v>
      </c>
      <c r="V340" s="21">
        <f t="shared" ca="1" si="155"/>
        <v>6604</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8.5" customHeight="1" x14ac:dyDescent="0.25">
      <c r="A341" s="186" t="s">
        <v>384</v>
      </c>
      <c r="B341" s="187"/>
      <c r="C341" s="187"/>
      <c r="D341" s="187"/>
      <c r="E341" s="187"/>
      <c r="F341" s="187"/>
      <c r="G341" s="187"/>
      <c r="H341" s="188"/>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x14ac:dyDescent="0.25">
      <c r="A342" s="101" t="s">
        <v>325</v>
      </c>
      <c r="B342" s="102"/>
      <c r="C342" s="102"/>
      <c r="D342" s="102"/>
      <c r="E342" s="102"/>
      <c r="F342" s="102"/>
      <c r="G342" s="102"/>
      <c r="H342" s="103"/>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x14ac:dyDescent="0.25">
      <c r="A343" s="100">
        <v>1</v>
      </c>
      <c r="B343" s="100"/>
      <c r="C343" s="54" t="s">
        <v>95</v>
      </c>
      <c r="D343" s="54" t="s">
        <v>327</v>
      </c>
      <c r="E343" s="89">
        <f>(205.13)*10.764</f>
        <v>2208.0193199999999</v>
      </c>
      <c r="F343" s="88">
        <f>(6.8*1.83)*10.764</f>
        <v>133.947216</v>
      </c>
      <c r="G343" s="88">
        <v>0</v>
      </c>
      <c r="H343" s="88">
        <f t="shared" ref="H343" si="156">E343+F343+(IF(G343&lt;101,G343,IF(G343&lt;201,G343/2,IF(G343&lt;=301,G343/3,G343/4))))</f>
        <v>2341.9665359999999</v>
      </c>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x14ac:dyDescent="0.25">
      <c r="A344" s="104">
        <f>A343+1</f>
        <v>2</v>
      </c>
      <c r="B344" s="106"/>
      <c r="C344" s="54" t="s">
        <v>95</v>
      </c>
      <c r="D344" s="54" t="s">
        <v>327</v>
      </c>
      <c r="E344" s="89">
        <f>(186.78)*10.764</f>
        <v>2010.49992</v>
      </c>
      <c r="F344" s="88">
        <f>(7.01*1.57)*10.764</f>
        <v>118.4653548</v>
      </c>
      <c r="G344" s="88">
        <v>0</v>
      </c>
      <c r="H344" s="88">
        <f t="shared" ref="H344:H346" si="157">E344+F344+(IF(G344&lt;101,G344,IF(G344&lt;201,G344/2,IF(G344&lt;=301,G344/3,G344/4))))</f>
        <v>2128.9652747999999</v>
      </c>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x14ac:dyDescent="0.25">
      <c r="A345" s="104">
        <f t="shared" ref="A345:A346" si="158">A344+1</f>
        <v>3</v>
      </c>
      <c r="B345" s="106"/>
      <c r="C345" s="189" t="s">
        <v>326</v>
      </c>
      <c r="D345" s="190"/>
      <c r="E345" s="190"/>
      <c r="F345" s="190"/>
      <c r="G345" s="190"/>
      <c r="H345" s="19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customHeight="1" x14ac:dyDescent="0.25">
      <c r="A346" s="104">
        <f t="shared" si="158"/>
        <v>4</v>
      </c>
      <c r="B346" s="106"/>
      <c r="C346" s="54" t="s">
        <v>95</v>
      </c>
      <c r="D346" s="54" t="s">
        <v>388</v>
      </c>
      <c r="E346" s="89">
        <f>(143.98)*10.764</f>
        <v>1549.8007199999997</v>
      </c>
      <c r="F346" s="88">
        <f>(6.85*1.52)*10.764</f>
        <v>112.07476799999998</v>
      </c>
      <c r="G346" s="88">
        <v>0</v>
      </c>
      <c r="H346" s="88">
        <f t="shared" si="157"/>
        <v>1661.8754879999997</v>
      </c>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x14ac:dyDescent="0.25">
      <c r="A347" s="107" t="s">
        <v>389</v>
      </c>
      <c r="B347" s="108"/>
      <c r="C347" s="108"/>
      <c r="D347" s="108"/>
      <c r="E347" s="108"/>
      <c r="F347" s="108"/>
      <c r="G347" s="108"/>
      <c r="H347" s="109"/>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customHeight="1" x14ac:dyDescent="0.25">
      <c r="A348" s="100">
        <v>1</v>
      </c>
      <c r="B348" s="100"/>
      <c r="C348" s="54" t="s">
        <v>95</v>
      </c>
      <c r="D348" s="54" t="s">
        <v>327</v>
      </c>
      <c r="E348" s="89">
        <f>(205.13)*10.764</f>
        <v>2208.0193199999999</v>
      </c>
      <c r="F348" s="88">
        <f>(6.8*1.83)*10.764</f>
        <v>133.947216</v>
      </c>
      <c r="G348" s="88">
        <v>0</v>
      </c>
      <c r="H348" s="88">
        <f>E348+F348+(IF(G348&lt;101,G348,IF(G348&lt;201,G348/2,IF(G348&lt;=301,G348/3,G348/4))))</f>
        <v>2341.9665359999999</v>
      </c>
      <c r="I348" s="1"/>
      <c r="J348" s="1"/>
      <c r="K348" s="1"/>
      <c r="L348" s="1"/>
      <c r="M348" s="1"/>
      <c r="N348" s="1"/>
      <c r="O348" s="1"/>
      <c r="P348" s="1"/>
      <c r="Q348" s="1"/>
      <c r="R348" s="1"/>
      <c r="S348" s="1"/>
      <c r="T348" s="21" t="str">
        <f t="shared" ref="T348:T351" ca="1" si="159">U348&amp;""&amp;",..,"&amp;""&amp;V348</f>
        <v>1001,..,1201</v>
      </c>
      <c r="U348" s="21">
        <f ca="1">(SUMPRODUCT(MID(0&amp;(LEFT(A347,SUM(LEN(A347)-LEN(SUBSTITUTE(A347,{"0","1","2","3"},""))))), LARGE(INDEX(ISNUMBER(--MID((LEFT(A347,SUM(LEN(A347)-LEN(SUBSTITUTE(A347,{"0","1","2","3"},""))))), ROW(INDIRECT("1:"&amp;LEN((LEFT(A347,SUM(LEN(A347)-LEN(SUBSTITUTE(A347,{"0","1","2","3"},"")))))))), 1)) * ROW(INDIRECT("1:"&amp;LEN((LEFT(A347,SUM(LEN(A347)-LEN(SUBSTITUTE(A347,{"0","1","2","3"},"")))))))), 0), ROW(INDIRECT("1:"&amp;LEN((LEFT(A347,SUM(LEN(A347)-LEN(SUBSTITUTE(A347,{"0","1","2","3"},"")))))))))+1, 1) * 10^ROW(INDIRECT("1:"&amp;LEN((LEFT(A347,SUM(LEN(A347)-LEN(SUBSTITUTE(A347,{"0","1","2","3"},""))))))))/10))*100+1</f>
        <v>1001</v>
      </c>
      <c r="V348" s="21">
        <f ca="1">(SUMPRODUCT(MID(0&amp;(--TRIM(RIGHT(SUBSTITUTE(LEFT(A347,_xlfn.AGGREGATE(16,6,FIND({0,1,2,3,4,5,6,7,8,9},A347,ROW(INDIRECT("1:"&amp;LEN(A347)))),1))," ",REPT(" ",LEN(A347))),LEN(A347)))), LARGE(INDEX(ISNUMBER(--MID((--TRIM(RIGHT(SUBSTITUTE(LEFT(A347,_xlfn.AGGREGATE(16,6,FIND({0,1,2,3,4,5,6,7,8,9},A347,ROW(INDIRECT("1:"&amp;LEN(A347)))),1))," ",REPT(" ",LEN(A347))),LEN(A347)))), ROW(INDIRECT("1:"&amp;LEN((--TRIM(RIGHT(SUBSTITUTE(LEFT(A347,_xlfn.AGGREGATE(16,6,FIND({0,1,2,3,4,5,6,7,8,9},A347,ROW(INDIRECT("1:"&amp;LEN(A347)))),1))," ",REPT(" ",LEN(A347))),LEN(A347))))))), 1)) * ROW(INDIRECT("1:"&amp;LEN((--TRIM(RIGHT(SUBSTITUTE(LEFT(A347,_xlfn.AGGREGATE(16,6,FIND({0,1,2,3,4,5,6,7,8,9},A347,ROW(INDIRECT("1:"&amp;LEN(A347)))),1))," ",REPT(" ",LEN(A347))),LEN(A347))))))), 0), ROW(INDIRECT("1:"&amp;LEN((--TRIM(RIGHT(SUBSTITUTE(LEFT(A347,_xlfn.AGGREGATE(16,6,FIND({0,1,2,3,4,5,6,7,8,9},A347,ROW(INDIRECT("1:"&amp;LEN(A347)))),1))," ",REPT(" ",LEN(A347))),LEN(A347))))))))+1, 1) * 10^ROW(INDIRECT("1:"&amp;LEN((--TRIM(RIGHT(SUBSTITUTE(LEFT(A347,_xlfn.AGGREGATE(16,6,FIND({0,1,2,3,4,5,6,7,8,9},A347,ROW(INDIRECT("1:"&amp;LEN(A347)))),1))," ",REPT(" ",LEN(A347))),LEN(A347)))))))/10))*100+1</f>
        <v>1201</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100">
        <v>2</v>
      </c>
      <c r="B349" s="100"/>
      <c r="C349" s="54" t="s">
        <v>95</v>
      </c>
      <c r="D349" s="54" t="s">
        <v>327</v>
      </c>
      <c r="E349" s="89">
        <f>(186.78)*10.764</f>
        <v>2010.49992</v>
      </c>
      <c r="F349" s="88">
        <f>(7.01*1.57)*10.764</f>
        <v>118.4653548</v>
      </c>
      <c r="G349" s="88">
        <v>0</v>
      </c>
      <c r="H349" s="88">
        <f t="shared" ref="H349:H351" si="160">E349+F349+(IF(G349&lt;101,G349,IF(G349&lt;201,G349/2,IF(G349&lt;=301,G349/3,G349/4))))</f>
        <v>2128.9652747999999</v>
      </c>
      <c r="I349" s="1"/>
      <c r="J349" s="1"/>
      <c r="K349" s="1"/>
      <c r="L349" s="1"/>
      <c r="M349" s="1"/>
      <c r="N349" s="1"/>
      <c r="O349" s="1"/>
      <c r="P349" s="1"/>
      <c r="Q349" s="1"/>
      <c r="R349" s="1"/>
      <c r="S349" s="1"/>
      <c r="T349" s="21" t="str">
        <f t="shared" ca="1" si="159"/>
        <v>1002,..,1202</v>
      </c>
      <c r="U349" s="21">
        <f ca="1">U348+1</f>
        <v>1002</v>
      </c>
      <c r="V349" s="21">
        <f ca="1">V348+1</f>
        <v>1202</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25">
      <c r="A350" s="100">
        <v>3</v>
      </c>
      <c r="B350" s="100"/>
      <c r="C350" s="54" t="s">
        <v>95</v>
      </c>
      <c r="D350" s="54" t="s">
        <v>327</v>
      </c>
      <c r="E350" s="89">
        <f>(205.13)*10.764</f>
        <v>2208.0193199999999</v>
      </c>
      <c r="F350" s="88">
        <f>(6.8*1.83)*10.764</f>
        <v>133.947216</v>
      </c>
      <c r="G350" s="88">
        <v>0</v>
      </c>
      <c r="H350" s="88">
        <f t="shared" si="160"/>
        <v>2341.9665359999999</v>
      </c>
      <c r="I350" s="1"/>
      <c r="J350" s="1"/>
      <c r="K350" s="1"/>
      <c r="L350" s="1"/>
      <c r="M350" s="1"/>
      <c r="N350" s="1"/>
      <c r="O350" s="1"/>
      <c r="P350" s="1"/>
      <c r="Q350" s="1"/>
      <c r="R350" s="1"/>
      <c r="S350" s="1"/>
      <c r="T350" s="21" t="str">
        <f t="shared" ca="1" si="159"/>
        <v>1003,..,1203</v>
      </c>
      <c r="U350" s="21">
        <f t="shared" ref="U350:V350" ca="1" si="161">U349+1</f>
        <v>1003</v>
      </c>
      <c r="V350" s="21">
        <f t="shared" ca="1" si="161"/>
        <v>1203</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customHeight="1" x14ac:dyDescent="0.25">
      <c r="A351" s="100">
        <v>4</v>
      </c>
      <c r="B351" s="100"/>
      <c r="C351" s="54" t="s">
        <v>95</v>
      </c>
      <c r="D351" s="54" t="s">
        <v>388</v>
      </c>
      <c r="E351" s="89">
        <f>(143.98)*10.764</f>
        <v>1549.8007199999997</v>
      </c>
      <c r="F351" s="88">
        <f>(6.85*1.52)*10.764</f>
        <v>112.07476799999998</v>
      </c>
      <c r="G351" s="88">
        <v>0</v>
      </c>
      <c r="H351" s="88">
        <f t="shared" si="160"/>
        <v>1661.8754879999997</v>
      </c>
      <c r="I351" s="1"/>
      <c r="J351" s="1"/>
      <c r="K351" s="1"/>
      <c r="L351" s="1"/>
      <c r="M351" s="1"/>
      <c r="N351" s="1"/>
      <c r="O351" s="1"/>
      <c r="P351" s="1"/>
      <c r="Q351" s="1"/>
      <c r="R351" s="1"/>
      <c r="S351" s="1"/>
      <c r="T351" s="21" t="str">
        <f t="shared" ca="1" si="159"/>
        <v>1004,..,1204</v>
      </c>
      <c r="U351" s="21">
        <f t="shared" ref="U351:V351" ca="1" si="162">U350+1</f>
        <v>1004</v>
      </c>
      <c r="V351" s="21">
        <f t="shared" ca="1" si="162"/>
        <v>1204</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ht="20.25" x14ac:dyDescent="0.25">
      <c r="A352" s="124" t="s">
        <v>68</v>
      </c>
      <c r="B352" s="124"/>
      <c r="C352" s="124"/>
      <c r="D352" s="124"/>
      <c r="E352" s="124"/>
      <c r="F352" s="124"/>
      <c r="G352" s="124"/>
      <c r="H352" s="124"/>
    </row>
    <row r="353" spans="1:8" ht="42" customHeight="1" x14ac:dyDescent="0.25">
      <c r="A353" s="37" t="s">
        <v>234</v>
      </c>
      <c r="B353" s="152" t="s">
        <v>409</v>
      </c>
      <c r="C353" s="162"/>
      <c r="D353" s="162"/>
      <c r="E353" s="162"/>
      <c r="F353" s="162"/>
      <c r="G353" s="162"/>
      <c r="H353" s="153"/>
    </row>
    <row r="354" spans="1:8" ht="20.25" x14ac:dyDescent="0.25">
      <c r="A354" s="37" t="s">
        <v>234</v>
      </c>
      <c r="B354" s="152" t="s">
        <v>235</v>
      </c>
      <c r="C354" s="162"/>
      <c r="D354" s="162"/>
      <c r="E354" s="162"/>
      <c r="F354" s="162"/>
      <c r="G354" s="162"/>
      <c r="H354" s="153"/>
    </row>
    <row r="355" spans="1:8" ht="20.25" x14ac:dyDescent="0.25">
      <c r="A355" s="37" t="s">
        <v>234</v>
      </c>
      <c r="B355" s="152" t="s">
        <v>390</v>
      </c>
      <c r="C355" s="162"/>
      <c r="D355" s="162"/>
      <c r="E355" s="162"/>
      <c r="F355" s="162"/>
      <c r="G355" s="162"/>
      <c r="H355" s="153"/>
    </row>
    <row r="356" spans="1:8" ht="20.25" x14ac:dyDescent="0.25">
      <c r="A356" s="37" t="s">
        <v>234</v>
      </c>
      <c r="B356" s="152" t="s">
        <v>236</v>
      </c>
      <c r="C356" s="162"/>
      <c r="D356" s="162"/>
      <c r="E356" s="162"/>
      <c r="F356" s="162"/>
      <c r="G356" s="162"/>
      <c r="H356" s="153"/>
    </row>
    <row r="357" spans="1:8" ht="20.25" x14ac:dyDescent="0.25">
      <c r="A357" s="37" t="s">
        <v>234</v>
      </c>
      <c r="B357" s="152" t="s">
        <v>237</v>
      </c>
      <c r="C357" s="162"/>
      <c r="D357" s="162"/>
      <c r="E357" s="162"/>
      <c r="F357" s="162"/>
      <c r="G357" s="162"/>
      <c r="H357" s="153"/>
    </row>
    <row r="358" spans="1:8" ht="46.5" customHeight="1" x14ac:dyDescent="0.25">
      <c r="A358" s="37" t="s">
        <v>234</v>
      </c>
      <c r="B358" s="152" t="s">
        <v>238</v>
      </c>
      <c r="C358" s="162"/>
      <c r="D358" s="162"/>
      <c r="E358" s="162"/>
      <c r="F358" s="162"/>
      <c r="G358" s="162"/>
      <c r="H358" s="153"/>
    </row>
    <row r="359" spans="1:8" ht="24.75" customHeight="1" x14ac:dyDescent="0.25">
      <c r="A359" s="37" t="s">
        <v>234</v>
      </c>
      <c r="B359" s="152" t="s">
        <v>391</v>
      </c>
      <c r="C359" s="162"/>
      <c r="D359" s="162"/>
      <c r="E359" s="162"/>
      <c r="F359" s="162"/>
      <c r="G359" s="162"/>
      <c r="H359" s="153"/>
    </row>
    <row r="360" spans="1:8" ht="46.5" hidden="1" customHeight="1" x14ac:dyDescent="0.25">
      <c r="A360" s="2" t="s">
        <v>234</v>
      </c>
      <c r="B360" s="161" t="s">
        <v>238</v>
      </c>
      <c r="C360" s="162"/>
      <c r="D360" s="162"/>
      <c r="E360" s="162"/>
      <c r="F360" s="162"/>
      <c r="G360" s="162"/>
      <c r="H360" s="153"/>
    </row>
    <row r="361" spans="1:8" ht="20.25" x14ac:dyDescent="0.25">
      <c r="A361" s="164" t="s">
        <v>74</v>
      </c>
      <c r="B361" s="164"/>
      <c r="C361" s="164"/>
      <c r="D361" s="164"/>
      <c r="E361" s="164"/>
      <c r="F361" s="164"/>
      <c r="G361" s="164"/>
      <c r="H361" s="164"/>
    </row>
    <row r="362" spans="1:8" ht="20.25" x14ac:dyDescent="0.25">
      <c r="A362" s="120" t="s">
        <v>69</v>
      </c>
      <c r="B362" s="120"/>
      <c r="C362" s="120"/>
      <c r="D362" s="152" t="str">
        <f>C3</f>
        <v xml:space="preserve">Godrej Avenue Eleven Tower A &amp; B
</v>
      </c>
      <c r="E362" s="162"/>
      <c r="F362" s="162"/>
      <c r="G362" s="162"/>
      <c r="H362" s="153"/>
    </row>
    <row r="363" spans="1:8" ht="62.25" customHeight="1" x14ac:dyDescent="0.25">
      <c r="A363" s="120" t="s">
        <v>104</v>
      </c>
      <c r="B363" s="120"/>
      <c r="C363" s="120"/>
      <c r="D363" s="152" t="str">
        <f>C9</f>
        <v>Godrej Avenue Eleven, CTS No.1906 &amp; Redevelopment of building "Orchid Heights", near Raheja Vivarea Tower C, M.A.Road, Agripada, Byculla, Mahalaxmi, Ward E, Mumbai - 400011.</v>
      </c>
      <c r="E363" s="162"/>
      <c r="F363" s="162"/>
      <c r="G363" s="162"/>
      <c r="H363" s="153"/>
    </row>
    <row r="364" spans="1:8" ht="20.25" customHeight="1" x14ac:dyDescent="0.25">
      <c r="A364" s="174" t="s">
        <v>110</v>
      </c>
      <c r="B364" s="174"/>
      <c r="C364" s="174"/>
      <c r="D364" s="152" t="str">
        <f>G3</f>
        <v>07/08/2025 at 02:41PM</v>
      </c>
      <c r="E364" s="162"/>
      <c r="F364" s="162"/>
      <c r="G364" s="162"/>
      <c r="H364" s="153"/>
    </row>
    <row r="365" spans="1:8" ht="20.25" x14ac:dyDescent="0.25">
      <c r="A365" s="8"/>
      <c r="B365" s="9"/>
      <c r="C365" s="9"/>
      <c r="D365" s="9"/>
      <c r="E365" s="9"/>
      <c r="F365" s="9"/>
      <c r="G365" s="9"/>
      <c r="H365" s="5"/>
    </row>
    <row r="366" spans="1:8" ht="20.25" x14ac:dyDescent="0.25">
      <c r="A366" s="10"/>
      <c r="B366" s="11"/>
      <c r="C366" s="11"/>
      <c r="D366" s="11"/>
      <c r="E366" s="11"/>
      <c r="F366" s="11"/>
      <c r="G366" s="11"/>
      <c r="H366" s="6"/>
    </row>
    <row r="367" spans="1:8" ht="20.25" x14ac:dyDescent="0.25">
      <c r="A367" s="10"/>
      <c r="B367" s="11"/>
      <c r="C367" s="11"/>
      <c r="D367" s="11"/>
      <c r="E367" s="11"/>
      <c r="F367" s="11"/>
      <c r="G367" s="11"/>
      <c r="H367" s="6"/>
    </row>
    <row r="368" spans="1:8" ht="20.25" x14ac:dyDescent="0.25">
      <c r="A368" s="10"/>
      <c r="B368" s="11"/>
      <c r="C368" s="11"/>
      <c r="D368" s="11"/>
      <c r="E368" s="11"/>
      <c r="F368" s="11"/>
      <c r="G368" s="11"/>
      <c r="H368" s="6"/>
    </row>
    <row r="369" spans="1:8" ht="20.25" x14ac:dyDescent="0.25">
      <c r="A369" s="10"/>
      <c r="B369" s="11"/>
      <c r="C369" s="11"/>
      <c r="D369" s="11"/>
      <c r="E369" s="11"/>
      <c r="F369" s="11"/>
      <c r="G369" s="11"/>
      <c r="H369" s="6"/>
    </row>
    <row r="370" spans="1:8" ht="20.25" x14ac:dyDescent="0.25">
      <c r="A370" s="10"/>
      <c r="B370" s="11"/>
      <c r="C370" s="11"/>
      <c r="D370" s="11"/>
      <c r="E370" s="11"/>
      <c r="F370" s="11"/>
      <c r="G370" s="11"/>
      <c r="H370" s="6"/>
    </row>
    <row r="371" spans="1:8" ht="20.25" x14ac:dyDescent="0.25">
      <c r="A371" s="10"/>
      <c r="B371" s="11"/>
      <c r="C371" s="11"/>
      <c r="D371" s="11"/>
      <c r="E371" s="11"/>
      <c r="F371" s="11"/>
      <c r="G371" s="11"/>
      <c r="H371" s="6"/>
    </row>
    <row r="372" spans="1:8" ht="20.25" x14ac:dyDescent="0.25">
      <c r="A372" s="10"/>
      <c r="B372" s="11"/>
      <c r="C372" s="11"/>
      <c r="D372" s="11"/>
      <c r="E372" s="11"/>
      <c r="F372" s="11"/>
      <c r="G372" s="11"/>
      <c r="H372" s="6"/>
    </row>
    <row r="373" spans="1:8" ht="20.25" x14ac:dyDescent="0.25">
      <c r="A373" s="10"/>
      <c r="B373" s="11"/>
      <c r="C373" s="11"/>
      <c r="D373" s="11"/>
      <c r="E373" s="11"/>
      <c r="F373" s="11"/>
      <c r="G373" s="11"/>
      <c r="H373" s="6"/>
    </row>
    <row r="374" spans="1:8" ht="20.25" x14ac:dyDescent="0.25">
      <c r="A374" s="10"/>
      <c r="B374" s="11"/>
      <c r="C374" s="11"/>
      <c r="D374" s="11"/>
      <c r="E374" s="11"/>
      <c r="F374" s="11"/>
      <c r="G374" s="11"/>
      <c r="H374" s="6"/>
    </row>
    <row r="375" spans="1:8" ht="20.25" x14ac:dyDescent="0.25">
      <c r="A375" s="10"/>
      <c r="B375" s="11"/>
      <c r="C375" s="11"/>
      <c r="D375" s="11"/>
      <c r="E375" s="11"/>
      <c r="F375" s="11"/>
      <c r="G375" s="11"/>
      <c r="H375" s="6"/>
    </row>
    <row r="376" spans="1:8" ht="20.25" x14ac:dyDescent="0.25">
      <c r="A376" s="10"/>
      <c r="B376" s="11"/>
      <c r="C376" s="11"/>
      <c r="D376" s="11"/>
      <c r="E376" s="11"/>
      <c r="F376" s="11"/>
      <c r="G376" s="11"/>
      <c r="H376" s="6"/>
    </row>
    <row r="377" spans="1:8" ht="20.25" x14ac:dyDescent="0.25">
      <c r="A377" s="10"/>
      <c r="B377" s="11"/>
      <c r="C377" s="11"/>
      <c r="D377" s="11"/>
      <c r="E377" s="11"/>
      <c r="F377" s="11"/>
      <c r="G377" s="11"/>
      <c r="H377" s="6"/>
    </row>
    <row r="378" spans="1:8" ht="20.25" x14ac:dyDescent="0.25">
      <c r="A378" s="10"/>
      <c r="B378" s="11"/>
      <c r="C378" s="11"/>
      <c r="D378" s="11"/>
      <c r="E378" s="11"/>
      <c r="F378" s="11"/>
      <c r="G378" s="11"/>
      <c r="H378" s="6"/>
    </row>
    <row r="379" spans="1:8" ht="20.25" x14ac:dyDescent="0.25">
      <c r="A379" s="10"/>
      <c r="B379" s="11"/>
      <c r="C379" s="11"/>
      <c r="D379" s="11"/>
      <c r="E379" s="11"/>
      <c r="F379" s="11"/>
      <c r="G379" s="11"/>
      <c r="H379" s="6"/>
    </row>
    <row r="380" spans="1:8" ht="20.25" x14ac:dyDescent="0.25">
      <c r="A380" s="10"/>
      <c r="B380" s="11"/>
      <c r="C380" s="11"/>
      <c r="D380" s="11"/>
      <c r="E380" s="11"/>
      <c r="F380" s="11"/>
      <c r="G380" s="11"/>
      <c r="H380" s="6"/>
    </row>
    <row r="381" spans="1:8" ht="20.25" x14ac:dyDescent="0.25">
      <c r="A381" s="10"/>
      <c r="B381" s="11"/>
      <c r="C381" s="11"/>
      <c r="D381" s="11"/>
      <c r="E381" s="11"/>
      <c r="F381" s="11"/>
      <c r="G381" s="11"/>
      <c r="H381" s="6"/>
    </row>
    <row r="382" spans="1:8" ht="20.25" x14ac:dyDescent="0.25">
      <c r="A382" s="10"/>
      <c r="B382" s="11"/>
      <c r="C382" s="11"/>
      <c r="D382" s="11"/>
      <c r="E382" s="11"/>
      <c r="F382" s="11"/>
      <c r="G382" s="11"/>
      <c r="H382" s="6"/>
    </row>
    <row r="383" spans="1:8" ht="20.25" x14ac:dyDescent="0.25">
      <c r="A383" s="10"/>
      <c r="B383" s="11"/>
      <c r="C383" s="11"/>
      <c r="D383" s="11"/>
      <c r="E383" s="11"/>
      <c r="F383" s="11"/>
      <c r="G383" s="11"/>
      <c r="H383" s="6"/>
    </row>
    <row r="384" spans="1:8" ht="20.25" x14ac:dyDescent="0.25">
      <c r="A384" s="10"/>
      <c r="B384" s="11"/>
      <c r="C384" s="11"/>
      <c r="D384" s="11"/>
      <c r="E384" s="11"/>
      <c r="F384" s="11"/>
      <c r="G384" s="11"/>
      <c r="H384" s="6"/>
    </row>
    <row r="385" spans="1:8" ht="20.25" x14ac:dyDescent="0.25">
      <c r="A385" s="10"/>
      <c r="B385" s="11"/>
      <c r="C385" s="11"/>
      <c r="D385" s="11"/>
      <c r="E385" s="11"/>
      <c r="F385" s="11"/>
      <c r="G385" s="11"/>
      <c r="H385" s="6"/>
    </row>
    <row r="386" spans="1:8" ht="20.25" x14ac:dyDescent="0.25">
      <c r="A386" s="10"/>
      <c r="B386" s="11"/>
      <c r="C386" s="11"/>
      <c r="D386" s="11"/>
      <c r="E386" s="11"/>
      <c r="F386" s="11"/>
      <c r="G386" s="11"/>
      <c r="H386" s="6"/>
    </row>
    <row r="387" spans="1:8" ht="20.25" x14ac:dyDescent="0.25">
      <c r="A387" s="10"/>
      <c r="B387" s="11"/>
      <c r="C387" s="11"/>
      <c r="D387" s="11"/>
      <c r="E387" s="11"/>
      <c r="F387" s="11"/>
      <c r="G387" s="11"/>
      <c r="H387" s="6"/>
    </row>
    <row r="388" spans="1:8" ht="20.25" x14ac:dyDescent="0.25">
      <c r="A388" s="10"/>
      <c r="B388" s="11"/>
      <c r="C388" s="11"/>
      <c r="D388" s="11"/>
      <c r="E388" s="11"/>
      <c r="F388" s="11"/>
      <c r="G388" s="11"/>
      <c r="H388" s="6"/>
    </row>
    <row r="389" spans="1:8" ht="20.25" x14ac:dyDescent="0.25">
      <c r="A389" s="10"/>
      <c r="B389" s="11"/>
      <c r="C389" s="11"/>
      <c r="D389" s="11"/>
      <c r="E389" s="11"/>
      <c r="F389" s="11"/>
      <c r="G389" s="11"/>
      <c r="H389" s="6"/>
    </row>
    <row r="390" spans="1:8" ht="20.25" x14ac:dyDescent="0.25">
      <c r="A390" s="10"/>
      <c r="B390" s="11"/>
      <c r="C390" s="11"/>
      <c r="D390" s="11"/>
      <c r="E390" s="11"/>
      <c r="F390" s="11"/>
      <c r="G390" s="11"/>
      <c r="H390" s="6"/>
    </row>
    <row r="391" spans="1:8" ht="20.25" x14ac:dyDescent="0.25">
      <c r="A391" s="10"/>
      <c r="B391" s="11"/>
      <c r="C391" s="11"/>
      <c r="D391" s="11"/>
      <c r="E391" s="11"/>
      <c r="F391" s="11"/>
      <c r="G391" s="11"/>
      <c r="H391" s="6"/>
    </row>
    <row r="392" spans="1:8" ht="20.25" x14ac:dyDescent="0.25">
      <c r="A392" s="10"/>
      <c r="B392" s="11"/>
      <c r="C392" s="11"/>
      <c r="D392" s="11"/>
      <c r="E392" s="11"/>
      <c r="F392" s="11"/>
      <c r="G392" s="11"/>
      <c r="H392" s="6"/>
    </row>
    <row r="393" spans="1:8" ht="20.25" x14ac:dyDescent="0.25">
      <c r="A393" s="10"/>
      <c r="B393" s="11"/>
      <c r="C393" s="11"/>
      <c r="D393" s="11"/>
      <c r="E393" s="11"/>
      <c r="F393" s="11"/>
      <c r="G393" s="11"/>
      <c r="H393" s="6"/>
    </row>
    <row r="394" spans="1:8" ht="20.25" x14ac:dyDescent="0.25">
      <c r="A394" s="10"/>
      <c r="B394" s="11"/>
      <c r="C394" s="11"/>
      <c r="D394" s="11"/>
      <c r="E394" s="11"/>
      <c r="F394" s="11"/>
      <c r="G394" s="11"/>
      <c r="H394" s="6"/>
    </row>
    <row r="395" spans="1:8" ht="20.25" x14ac:dyDescent="0.25">
      <c r="A395" s="10"/>
      <c r="B395" s="11"/>
      <c r="C395" s="11"/>
      <c r="D395" s="11"/>
      <c r="E395" s="11"/>
      <c r="F395" s="11"/>
      <c r="G395" s="11"/>
      <c r="H395" s="6"/>
    </row>
    <row r="396" spans="1:8" ht="20.25" x14ac:dyDescent="0.25">
      <c r="A396" s="10"/>
      <c r="B396" s="11"/>
      <c r="C396" s="11"/>
      <c r="D396" s="11"/>
      <c r="E396" s="11"/>
      <c r="F396" s="11"/>
      <c r="G396" s="11"/>
      <c r="H396" s="6"/>
    </row>
    <row r="397" spans="1:8" ht="20.25" x14ac:dyDescent="0.25">
      <c r="A397" s="10"/>
      <c r="B397" s="11"/>
      <c r="C397" s="11"/>
      <c r="D397" s="11"/>
      <c r="E397" s="11"/>
      <c r="F397" s="11"/>
      <c r="G397" s="11"/>
      <c r="H397" s="6"/>
    </row>
    <row r="398" spans="1:8" ht="20.25" x14ac:dyDescent="0.25">
      <c r="A398" s="10"/>
      <c r="B398" s="11"/>
      <c r="C398" s="11"/>
      <c r="D398" s="11"/>
      <c r="E398" s="11"/>
      <c r="F398" s="11"/>
      <c r="G398" s="11"/>
      <c r="H398" s="6"/>
    </row>
    <row r="399" spans="1:8" ht="20.25" x14ac:dyDescent="0.25">
      <c r="A399" s="10"/>
      <c r="B399" s="11"/>
      <c r="C399" s="11"/>
      <c r="D399" s="11"/>
      <c r="E399" s="11"/>
      <c r="F399" s="11"/>
      <c r="G399" s="11"/>
      <c r="H399" s="6"/>
    </row>
    <row r="400" spans="1:8" ht="20.25" x14ac:dyDescent="0.25">
      <c r="A400" s="10"/>
      <c r="B400" s="11"/>
      <c r="C400" s="11"/>
      <c r="D400" s="11"/>
      <c r="E400" s="11"/>
      <c r="F400" s="11"/>
      <c r="G400" s="11"/>
      <c r="H400" s="6"/>
    </row>
    <row r="401" spans="1:8" ht="20.25" x14ac:dyDescent="0.25">
      <c r="A401" s="10"/>
      <c r="B401" s="11"/>
      <c r="C401" s="11"/>
      <c r="D401" s="11"/>
      <c r="E401" s="11"/>
      <c r="F401" s="11"/>
      <c r="G401" s="11"/>
      <c r="H401" s="6"/>
    </row>
    <row r="402" spans="1:8" ht="20.25" x14ac:dyDescent="0.25">
      <c r="A402" s="10"/>
      <c r="B402" s="11"/>
      <c r="C402" s="11"/>
      <c r="D402" s="11"/>
      <c r="E402" s="11"/>
      <c r="F402" s="11"/>
      <c r="G402" s="11"/>
      <c r="H402" s="6"/>
    </row>
    <row r="403" spans="1:8" ht="20.25" x14ac:dyDescent="0.25">
      <c r="A403" s="10"/>
      <c r="B403" s="11"/>
      <c r="C403" s="11"/>
      <c r="D403" s="11"/>
      <c r="E403" s="11"/>
      <c r="F403" s="11"/>
      <c r="G403" s="11"/>
      <c r="H403" s="6"/>
    </row>
    <row r="404" spans="1:8" ht="20.25" x14ac:dyDescent="0.25">
      <c r="A404" s="10"/>
      <c r="B404" s="11"/>
      <c r="C404" s="11"/>
      <c r="D404" s="11"/>
      <c r="E404" s="11"/>
      <c r="F404" s="11"/>
      <c r="G404" s="11"/>
      <c r="H404" s="6"/>
    </row>
    <row r="405" spans="1:8" ht="20.25" x14ac:dyDescent="0.25">
      <c r="A405" s="10"/>
      <c r="B405" s="11"/>
      <c r="C405" s="11"/>
      <c r="D405" s="11"/>
      <c r="E405" s="11"/>
      <c r="F405" s="11"/>
      <c r="G405" s="11"/>
      <c r="H405" s="6"/>
    </row>
    <row r="406" spans="1:8" ht="20.25" x14ac:dyDescent="0.25">
      <c r="A406" s="10"/>
      <c r="B406" s="11"/>
      <c r="C406" s="11"/>
      <c r="D406" s="11"/>
      <c r="E406" s="11"/>
      <c r="F406" s="11"/>
      <c r="G406" s="11"/>
      <c r="H406" s="6"/>
    </row>
    <row r="407" spans="1:8" ht="20.25" x14ac:dyDescent="0.25">
      <c r="A407" s="10"/>
      <c r="B407" s="11"/>
      <c r="C407" s="11"/>
      <c r="D407" s="11"/>
      <c r="E407" s="11"/>
      <c r="F407" s="11"/>
      <c r="G407" s="11"/>
      <c r="H407" s="6"/>
    </row>
    <row r="408" spans="1:8" ht="20.25" x14ac:dyDescent="0.25">
      <c r="A408" s="12"/>
      <c r="B408" s="13"/>
      <c r="C408" s="13"/>
      <c r="D408" s="13"/>
      <c r="E408" s="13"/>
      <c r="F408" s="13"/>
      <c r="G408" s="13"/>
      <c r="H408" s="7"/>
    </row>
    <row r="409" spans="1:8" ht="20.25" x14ac:dyDescent="0.25">
      <c r="A409" s="124" t="s">
        <v>159</v>
      </c>
      <c r="B409" s="124"/>
      <c r="C409" s="124"/>
      <c r="D409" s="124"/>
      <c r="E409" s="124"/>
      <c r="F409" s="124"/>
      <c r="G409" s="124"/>
      <c r="H409" s="124"/>
    </row>
    <row r="410" spans="1:8" ht="20.25" x14ac:dyDescent="0.25">
      <c r="A410" s="8"/>
      <c r="B410" s="9"/>
      <c r="C410" s="9"/>
      <c r="D410" s="9"/>
      <c r="E410" s="9"/>
      <c r="F410" s="9"/>
      <c r="G410" s="9"/>
      <c r="H410" s="5"/>
    </row>
    <row r="411" spans="1:8" ht="20.25" x14ac:dyDescent="0.25">
      <c r="A411" s="10"/>
      <c r="B411" s="55"/>
      <c r="C411" s="55"/>
      <c r="D411" s="55"/>
      <c r="E411" s="55"/>
      <c r="F411" s="55"/>
      <c r="G411" s="55"/>
      <c r="H411" s="6"/>
    </row>
    <row r="412" spans="1:8" ht="20.25" x14ac:dyDescent="0.25">
      <c r="A412" s="10"/>
      <c r="B412" s="55"/>
      <c r="C412" s="55"/>
      <c r="D412" s="55"/>
      <c r="E412" s="55"/>
      <c r="F412" s="55"/>
      <c r="G412" s="55"/>
      <c r="H412" s="6"/>
    </row>
    <row r="413" spans="1:8" ht="20.25" x14ac:dyDescent="0.25">
      <c r="A413" s="10"/>
      <c r="B413" s="55"/>
      <c r="C413" s="55"/>
      <c r="D413" s="55"/>
      <c r="E413" s="55"/>
      <c r="F413" s="55"/>
      <c r="G413" s="55"/>
      <c r="H413" s="6"/>
    </row>
    <row r="414" spans="1:8" ht="20.25" x14ac:dyDescent="0.25">
      <c r="A414" s="10"/>
      <c r="B414" s="55"/>
      <c r="C414" s="55"/>
      <c r="D414" s="55"/>
      <c r="E414" s="55"/>
      <c r="F414" s="55"/>
      <c r="G414" s="55"/>
      <c r="H414" s="6"/>
    </row>
    <row r="415" spans="1:8" ht="20.25" x14ac:dyDescent="0.25">
      <c r="A415" s="10"/>
      <c r="B415" s="55"/>
      <c r="C415" s="55"/>
      <c r="D415" s="55"/>
      <c r="E415" s="55"/>
      <c r="F415" s="55"/>
      <c r="G415" s="55"/>
      <c r="H415" s="6"/>
    </row>
    <row r="416" spans="1:8" ht="20.25" x14ac:dyDescent="0.25">
      <c r="A416" s="10"/>
      <c r="B416" s="55"/>
      <c r="C416" s="55"/>
      <c r="D416" s="55"/>
      <c r="E416" s="55"/>
      <c r="F416" s="55"/>
      <c r="G416" s="55"/>
      <c r="H416" s="6"/>
    </row>
    <row r="417" spans="1:8" ht="20.25" x14ac:dyDescent="0.25">
      <c r="A417" s="10"/>
      <c r="B417" s="55"/>
      <c r="C417" s="55"/>
      <c r="D417" s="55"/>
      <c r="E417" s="55"/>
      <c r="F417" s="55"/>
      <c r="G417" s="55"/>
      <c r="H417" s="6"/>
    </row>
    <row r="418" spans="1:8" ht="20.25" x14ac:dyDescent="0.25">
      <c r="A418" s="10"/>
      <c r="B418" s="55"/>
      <c r="C418" s="55"/>
      <c r="D418" s="55"/>
      <c r="E418" s="55"/>
      <c r="F418" s="55"/>
      <c r="G418" s="55"/>
      <c r="H418" s="6"/>
    </row>
    <row r="419" spans="1:8" ht="20.25" x14ac:dyDescent="0.25">
      <c r="A419" s="10"/>
      <c r="B419" s="55"/>
      <c r="C419" s="55"/>
      <c r="D419" s="55"/>
      <c r="E419" s="55"/>
      <c r="F419" s="55"/>
      <c r="G419" s="55"/>
      <c r="H419" s="6"/>
    </row>
    <row r="420" spans="1:8" ht="20.25" x14ac:dyDescent="0.25">
      <c r="A420" s="10"/>
      <c r="B420" s="55"/>
      <c r="C420" s="55"/>
      <c r="D420" s="55"/>
      <c r="E420" s="55"/>
      <c r="F420" s="55"/>
      <c r="G420" s="55"/>
      <c r="H420" s="6"/>
    </row>
    <row r="421" spans="1:8" ht="20.25" x14ac:dyDescent="0.25">
      <c r="A421" s="10"/>
      <c r="B421" s="55"/>
      <c r="C421" s="55"/>
      <c r="D421" s="55"/>
      <c r="E421" s="55"/>
      <c r="F421" s="55"/>
      <c r="G421" s="55"/>
      <c r="H421" s="6"/>
    </row>
    <row r="422" spans="1:8" ht="20.25" x14ac:dyDescent="0.25">
      <c r="A422" s="10"/>
      <c r="B422" s="55"/>
      <c r="C422" s="55"/>
      <c r="D422" s="55"/>
      <c r="E422" s="55"/>
      <c r="F422" s="55"/>
      <c r="G422" s="55"/>
      <c r="H422" s="6"/>
    </row>
    <row r="423" spans="1:8" ht="20.25" x14ac:dyDescent="0.25">
      <c r="A423" s="10"/>
      <c r="B423" s="55"/>
      <c r="C423" s="55"/>
      <c r="D423" s="55"/>
      <c r="E423" s="55"/>
      <c r="F423" s="55"/>
      <c r="G423" s="55"/>
      <c r="H423" s="6"/>
    </row>
    <row r="424" spans="1:8" ht="20.25" x14ac:dyDescent="0.25">
      <c r="A424" s="10"/>
      <c r="B424" s="55"/>
      <c r="C424" s="55"/>
      <c r="D424" s="55"/>
      <c r="E424" s="55"/>
      <c r="F424" s="55"/>
      <c r="G424" s="55"/>
      <c r="H424" s="6"/>
    </row>
    <row r="425" spans="1:8" ht="20.25" x14ac:dyDescent="0.25">
      <c r="A425" s="10"/>
      <c r="B425" s="55"/>
      <c r="C425" s="55"/>
      <c r="D425" s="55"/>
      <c r="E425" s="55"/>
      <c r="F425" s="55"/>
      <c r="G425" s="55"/>
      <c r="H425" s="6"/>
    </row>
    <row r="426" spans="1:8" ht="20.25" x14ac:dyDescent="0.25">
      <c r="A426" s="10"/>
      <c r="B426" s="55"/>
      <c r="C426" s="55"/>
      <c r="D426" s="55"/>
      <c r="E426" s="55"/>
      <c r="F426" s="55"/>
      <c r="G426" s="55"/>
      <c r="H426" s="6"/>
    </row>
    <row r="427" spans="1:8" ht="20.25" x14ac:dyDescent="0.25">
      <c r="A427" s="10"/>
      <c r="B427" s="55"/>
      <c r="C427" s="55"/>
      <c r="D427" s="55"/>
      <c r="E427" s="55"/>
      <c r="F427" s="55"/>
      <c r="G427" s="55"/>
      <c r="H427" s="6"/>
    </row>
    <row r="428" spans="1:8" ht="20.25" x14ac:dyDescent="0.25">
      <c r="A428" s="10"/>
      <c r="B428" s="55"/>
      <c r="C428" s="55"/>
      <c r="D428" s="55"/>
      <c r="E428" s="55"/>
      <c r="F428" s="55"/>
      <c r="G428" s="55"/>
      <c r="H428" s="6"/>
    </row>
    <row r="429" spans="1:8" ht="20.25" x14ac:dyDescent="0.25">
      <c r="A429" s="10"/>
      <c r="B429" s="55"/>
      <c r="C429" s="55"/>
      <c r="D429" s="55"/>
      <c r="E429" s="55"/>
      <c r="F429" s="55"/>
      <c r="G429" s="55"/>
      <c r="H429" s="6"/>
    </row>
    <row r="430" spans="1:8" ht="20.25" x14ac:dyDescent="0.25">
      <c r="A430" s="10"/>
      <c r="B430" s="55"/>
      <c r="C430" s="55"/>
      <c r="D430" s="55"/>
      <c r="E430" s="55"/>
      <c r="F430" s="55"/>
      <c r="G430" s="55"/>
      <c r="H430" s="6"/>
    </row>
    <row r="431" spans="1:8" ht="20.25" x14ac:dyDescent="0.25">
      <c r="A431" s="10"/>
      <c r="B431" s="55"/>
      <c r="C431" s="55"/>
      <c r="D431" s="55"/>
      <c r="E431" s="55"/>
      <c r="F431" s="55"/>
      <c r="G431" s="55"/>
      <c r="H431" s="6"/>
    </row>
    <row r="432" spans="1:8" ht="20.25" x14ac:dyDescent="0.25">
      <c r="A432" s="10"/>
      <c r="B432" s="55"/>
      <c r="C432" s="55"/>
      <c r="D432" s="55"/>
      <c r="E432" s="55"/>
      <c r="F432" s="55"/>
      <c r="G432" s="55"/>
      <c r="H432" s="6"/>
    </row>
    <row r="433" spans="1:8" ht="20.25" x14ac:dyDescent="0.25">
      <c r="A433" s="10"/>
      <c r="B433" s="55"/>
      <c r="C433" s="55"/>
      <c r="D433" s="55"/>
      <c r="E433" s="55"/>
      <c r="F433" s="55"/>
      <c r="G433" s="55"/>
      <c r="H433" s="6"/>
    </row>
    <row r="434" spans="1:8" ht="20.25" x14ac:dyDescent="0.25">
      <c r="A434" s="10"/>
      <c r="B434" s="55"/>
      <c r="C434" s="55"/>
      <c r="D434" s="55"/>
      <c r="E434" s="55"/>
      <c r="F434" s="55"/>
      <c r="G434" s="55"/>
      <c r="H434" s="6"/>
    </row>
    <row r="435" spans="1:8" ht="20.25" x14ac:dyDescent="0.25">
      <c r="A435" s="10"/>
      <c r="B435" s="55"/>
      <c r="C435" s="55"/>
      <c r="D435" s="55"/>
      <c r="E435" s="55"/>
      <c r="F435" s="55"/>
      <c r="G435" s="55"/>
      <c r="H435" s="6"/>
    </row>
    <row r="436" spans="1:8" ht="20.25" x14ac:dyDescent="0.25">
      <c r="A436" s="10"/>
      <c r="B436" s="55"/>
      <c r="C436" s="55"/>
      <c r="D436" s="55"/>
      <c r="E436" s="55"/>
      <c r="F436" s="55"/>
      <c r="G436" s="55"/>
      <c r="H436" s="6"/>
    </row>
    <row r="437" spans="1:8" ht="20.25" x14ac:dyDescent="0.25">
      <c r="A437" s="10"/>
      <c r="B437" s="55"/>
      <c r="C437" s="55"/>
      <c r="D437" s="55"/>
      <c r="E437" s="55"/>
      <c r="F437" s="55"/>
      <c r="G437" s="55"/>
      <c r="H437" s="6"/>
    </row>
    <row r="438" spans="1:8" ht="20.25" x14ac:dyDescent="0.25">
      <c r="A438" s="10"/>
      <c r="B438" s="55"/>
      <c r="C438" s="55"/>
      <c r="D438" s="55"/>
      <c r="E438" s="55"/>
      <c r="F438" s="55"/>
      <c r="G438" s="55"/>
      <c r="H438" s="6"/>
    </row>
    <row r="439" spans="1:8" ht="20.25" x14ac:dyDescent="0.25">
      <c r="A439" s="10"/>
      <c r="B439" s="55"/>
      <c r="C439" s="55"/>
      <c r="D439" s="55"/>
      <c r="E439" s="55"/>
      <c r="F439" s="55"/>
      <c r="G439" s="55"/>
      <c r="H439" s="6"/>
    </row>
    <row r="440" spans="1:8" ht="20.25" x14ac:dyDescent="0.25">
      <c r="A440" s="10"/>
      <c r="B440" s="55"/>
      <c r="C440" s="55"/>
      <c r="D440" s="55"/>
      <c r="E440" s="55"/>
      <c r="F440" s="55"/>
      <c r="G440" s="55"/>
      <c r="H440" s="6"/>
    </row>
    <row r="441" spans="1:8" ht="20.25" x14ac:dyDescent="0.25">
      <c r="A441" s="10"/>
      <c r="B441" s="55"/>
      <c r="C441" s="55"/>
      <c r="D441" s="55"/>
      <c r="E441" s="55"/>
      <c r="F441" s="55"/>
      <c r="G441" s="55"/>
      <c r="H441" s="6"/>
    </row>
    <row r="442" spans="1:8" ht="20.25" x14ac:dyDescent="0.25">
      <c r="A442" s="10"/>
      <c r="B442" s="55"/>
      <c r="C442" s="55"/>
      <c r="D442" s="55"/>
      <c r="E442" s="55"/>
      <c r="F442" s="55"/>
      <c r="G442" s="55"/>
      <c r="H442" s="6"/>
    </row>
    <row r="443" spans="1:8" ht="20.25" x14ac:dyDescent="0.25">
      <c r="A443" s="10"/>
      <c r="B443" s="55"/>
      <c r="C443" s="55"/>
      <c r="D443" s="55"/>
      <c r="E443" s="55"/>
      <c r="F443" s="55"/>
      <c r="G443" s="55"/>
      <c r="H443" s="6"/>
    </row>
    <row r="444" spans="1:8" ht="20.25" x14ac:dyDescent="0.25">
      <c r="A444" s="10"/>
      <c r="B444" s="55"/>
      <c r="C444" s="55"/>
      <c r="D444" s="55"/>
      <c r="E444" s="55"/>
      <c r="F444" s="55"/>
      <c r="G444" s="55"/>
      <c r="H444" s="6"/>
    </row>
    <row r="445" spans="1:8" ht="20.25" x14ac:dyDescent="0.25">
      <c r="A445" s="10"/>
      <c r="B445" s="55"/>
      <c r="C445" s="55"/>
      <c r="D445" s="55"/>
      <c r="E445" s="55"/>
      <c r="F445" s="55"/>
      <c r="G445" s="55"/>
      <c r="H445" s="6"/>
    </row>
    <row r="446" spans="1:8" ht="20.25" x14ac:dyDescent="0.25">
      <c r="A446" s="10"/>
      <c r="B446" s="55"/>
      <c r="C446" s="55"/>
      <c r="D446" s="55"/>
      <c r="E446" s="55"/>
      <c r="F446" s="55"/>
      <c r="G446" s="55"/>
      <c r="H446" s="6"/>
    </row>
    <row r="447" spans="1:8" ht="20.25" x14ac:dyDescent="0.25">
      <c r="A447" s="10"/>
      <c r="B447" s="55"/>
      <c r="C447" s="55"/>
      <c r="D447" s="55"/>
      <c r="E447" s="55"/>
      <c r="F447" s="55"/>
      <c r="G447" s="55"/>
      <c r="H447" s="6"/>
    </row>
    <row r="448" spans="1:8" ht="20.25" x14ac:dyDescent="0.25">
      <c r="A448" s="10"/>
      <c r="B448" s="55"/>
      <c r="C448" s="55"/>
      <c r="D448" s="55"/>
      <c r="E448" s="55"/>
      <c r="F448" s="55"/>
      <c r="G448" s="55"/>
      <c r="H448" s="6"/>
    </row>
    <row r="449" spans="1:8" ht="20.25" x14ac:dyDescent="0.25">
      <c r="A449" s="10"/>
      <c r="B449" s="55"/>
      <c r="C449" s="55"/>
      <c r="D449" s="55"/>
      <c r="E449" s="55"/>
      <c r="F449" s="55"/>
      <c r="G449" s="55"/>
      <c r="H449" s="6"/>
    </row>
    <row r="450" spans="1:8" ht="20.25" x14ac:dyDescent="0.25">
      <c r="A450" s="10"/>
      <c r="B450" s="55"/>
      <c r="C450" s="55"/>
      <c r="D450" s="55"/>
      <c r="E450" s="55"/>
      <c r="F450" s="55"/>
      <c r="G450" s="55"/>
      <c r="H450" s="6"/>
    </row>
    <row r="451" spans="1:8" ht="20.25" x14ac:dyDescent="0.25">
      <c r="A451" s="10"/>
      <c r="B451" s="55"/>
      <c r="C451" s="55"/>
      <c r="D451" s="55"/>
      <c r="E451" s="55"/>
      <c r="F451" s="55"/>
      <c r="G451" s="55"/>
      <c r="H451" s="6"/>
    </row>
    <row r="452" spans="1:8" ht="20.25" x14ac:dyDescent="0.25">
      <c r="A452" s="10"/>
      <c r="B452" s="55"/>
      <c r="C452" s="55"/>
      <c r="D452" s="55"/>
      <c r="E452" s="55"/>
      <c r="F452" s="55"/>
      <c r="G452" s="55"/>
      <c r="H452" s="6"/>
    </row>
    <row r="453" spans="1:8" ht="20.25" x14ac:dyDescent="0.25">
      <c r="A453" s="10"/>
      <c r="B453" s="55"/>
      <c r="C453" s="55"/>
      <c r="D453" s="55"/>
      <c r="E453" s="55"/>
      <c r="F453" s="55"/>
      <c r="G453" s="55"/>
      <c r="H453" s="6"/>
    </row>
    <row r="454" spans="1:8" ht="20.25" x14ac:dyDescent="0.25">
      <c r="A454" s="10"/>
      <c r="B454" s="55"/>
      <c r="C454" s="55"/>
      <c r="D454" s="55"/>
      <c r="E454" s="55"/>
      <c r="F454" s="55"/>
      <c r="G454" s="55"/>
      <c r="H454" s="6"/>
    </row>
    <row r="455" spans="1:8" ht="20.25" x14ac:dyDescent="0.25">
      <c r="A455" s="10"/>
      <c r="B455" s="55"/>
      <c r="C455" s="55"/>
      <c r="D455" s="55"/>
      <c r="E455" s="55"/>
      <c r="F455" s="55"/>
      <c r="G455" s="55"/>
      <c r="H455" s="6"/>
    </row>
    <row r="456" spans="1:8" ht="20.25" x14ac:dyDescent="0.25">
      <c r="A456" s="10"/>
      <c r="B456" s="55"/>
      <c r="C456" s="55"/>
      <c r="D456" s="55"/>
      <c r="E456" s="55"/>
      <c r="F456" s="55"/>
      <c r="G456" s="55"/>
      <c r="H456" s="6"/>
    </row>
    <row r="457" spans="1:8" ht="20.25" x14ac:dyDescent="0.25">
      <c r="A457" s="10"/>
      <c r="B457" s="55"/>
      <c r="C457" s="55"/>
      <c r="D457" s="55"/>
      <c r="E457" s="55"/>
      <c r="F457" s="55"/>
      <c r="G457" s="55"/>
      <c r="H457" s="6"/>
    </row>
    <row r="458" spans="1:8" ht="20.25" x14ac:dyDescent="0.25">
      <c r="A458" s="12"/>
      <c r="B458" s="13"/>
      <c r="C458" s="13"/>
      <c r="D458" s="13"/>
      <c r="E458" s="13"/>
      <c r="F458" s="13"/>
      <c r="G458" s="13"/>
      <c r="H458" s="7"/>
    </row>
    <row r="459" spans="1:8" ht="20.25" x14ac:dyDescent="0.25">
      <c r="A459" s="158" t="s">
        <v>75</v>
      </c>
      <c r="B459" s="159"/>
      <c r="C459" s="159"/>
      <c r="D459" s="159"/>
      <c r="E459" s="159"/>
      <c r="F459" s="159"/>
      <c r="G459" s="159"/>
      <c r="H459" s="160"/>
    </row>
    <row r="460" spans="1:8" ht="20.25" x14ac:dyDescent="0.25">
      <c r="A460" s="8"/>
      <c r="B460" s="9"/>
      <c r="C460" s="9"/>
      <c r="D460" s="9"/>
      <c r="E460" s="9"/>
      <c r="F460" s="9"/>
      <c r="G460" s="9"/>
      <c r="H460" s="5"/>
    </row>
    <row r="461" spans="1:8" ht="20.25" x14ac:dyDescent="0.25">
      <c r="A461" s="10"/>
      <c r="B461" s="11"/>
      <c r="C461" s="11"/>
      <c r="D461" s="11"/>
      <c r="E461" s="11"/>
      <c r="F461" s="11"/>
      <c r="G461" s="11"/>
      <c r="H461" s="6"/>
    </row>
    <row r="462" spans="1:8" ht="20.25" x14ac:dyDescent="0.25">
      <c r="A462" s="10"/>
      <c r="B462" s="11"/>
      <c r="C462" s="11"/>
      <c r="D462" s="11"/>
      <c r="E462" s="11"/>
      <c r="F462" s="11"/>
      <c r="G462" s="11"/>
      <c r="H462" s="6"/>
    </row>
    <row r="463" spans="1:8" ht="20.25" x14ac:dyDescent="0.25">
      <c r="A463" s="10"/>
      <c r="B463" s="11"/>
      <c r="C463" s="11"/>
      <c r="D463" s="11"/>
      <c r="E463" s="11"/>
      <c r="F463" s="11"/>
      <c r="G463" s="11"/>
      <c r="H463" s="6"/>
    </row>
    <row r="464" spans="1:8" ht="20.25" x14ac:dyDescent="0.25">
      <c r="A464" s="10"/>
      <c r="B464" s="11"/>
      <c r="C464" s="11"/>
      <c r="D464" s="11"/>
      <c r="E464" s="11"/>
      <c r="F464" s="11"/>
      <c r="G464" s="11"/>
      <c r="H464" s="6"/>
    </row>
    <row r="465" spans="1:8" ht="20.25" x14ac:dyDescent="0.25">
      <c r="A465" s="10"/>
      <c r="B465" s="11"/>
      <c r="C465" s="11"/>
      <c r="D465" s="11"/>
      <c r="E465" s="11"/>
      <c r="F465" s="11"/>
      <c r="G465" s="11"/>
      <c r="H465" s="6"/>
    </row>
    <row r="466" spans="1:8" ht="20.25" x14ac:dyDescent="0.25">
      <c r="A466" s="10"/>
      <c r="B466" s="11"/>
      <c r="C466" s="11"/>
      <c r="D466" s="11"/>
      <c r="E466" s="11"/>
      <c r="F466" s="11"/>
      <c r="G466" s="11"/>
      <c r="H466" s="6"/>
    </row>
    <row r="467" spans="1:8" ht="20.25" x14ac:dyDescent="0.25">
      <c r="A467" s="10"/>
      <c r="B467" s="11"/>
      <c r="C467" s="11"/>
      <c r="D467" s="11"/>
      <c r="E467" s="11"/>
      <c r="F467" s="11"/>
      <c r="G467" s="11"/>
      <c r="H467" s="6"/>
    </row>
    <row r="468" spans="1:8" ht="20.25" x14ac:dyDescent="0.25">
      <c r="A468" s="10"/>
      <c r="B468" s="11"/>
      <c r="C468" s="11"/>
      <c r="D468" s="11"/>
      <c r="E468" s="11"/>
      <c r="F468" s="11"/>
      <c r="G468" s="11"/>
      <c r="H468" s="6"/>
    </row>
    <row r="469" spans="1:8" ht="20.25" x14ac:dyDescent="0.25">
      <c r="A469" s="10"/>
      <c r="B469" s="11"/>
      <c r="C469" s="11"/>
      <c r="D469" s="11"/>
      <c r="E469" s="11"/>
      <c r="F469" s="11"/>
      <c r="G469" s="11"/>
      <c r="H469" s="6"/>
    </row>
    <row r="470" spans="1:8" ht="20.25" x14ac:dyDescent="0.25">
      <c r="A470" s="10"/>
      <c r="B470" s="11"/>
      <c r="C470" s="11"/>
      <c r="D470" s="11"/>
      <c r="E470" s="11"/>
      <c r="F470" s="11"/>
      <c r="G470" s="11"/>
      <c r="H470" s="6"/>
    </row>
    <row r="471" spans="1:8" ht="20.25" x14ac:dyDescent="0.25">
      <c r="A471" s="10"/>
      <c r="B471" s="11"/>
      <c r="C471" s="11"/>
      <c r="D471" s="11"/>
      <c r="E471" s="11"/>
      <c r="F471" s="11"/>
      <c r="G471" s="11"/>
      <c r="H471" s="6"/>
    </row>
    <row r="472" spans="1:8" ht="20.25" x14ac:dyDescent="0.25">
      <c r="A472" s="10"/>
      <c r="B472" s="11"/>
      <c r="C472" s="11"/>
      <c r="D472" s="11"/>
      <c r="E472" s="11"/>
      <c r="F472" s="11"/>
      <c r="G472" s="11"/>
      <c r="H472" s="6"/>
    </row>
    <row r="473" spans="1:8" ht="20.25" x14ac:dyDescent="0.25">
      <c r="A473" s="10"/>
      <c r="B473" s="11"/>
      <c r="C473" s="11"/>
      <c r="D473" s="11"/>
      <c r="E473" s="11"/>
      <c r="F473" s="11"/>
      <c r="G473" s="11"/>
      <c r="H473" s="6"/>
    </row>
    <row r="474" spans="1:8" ht="20.25" x14ac:dyDescent="0.25">
      <c r="A474" s="10"/>
      <c r="B474" s="11"/>
      <c r="C474" s="11"/>
      <c r="D474" s="11"/>
      <c r="E474" s="11"/>
      <c r="F474" s="11"/>
      <c r="G474" s="11"/>
      <c r="H474" s="6"/>
    </row>
    <row r="475" spans="1:8" ht="20.25" x14ac:dyDescent="0.25">
      <c r="A475" s="10"/>
      <c r="B475" s="11"/>
      <c r="C475" s="11"/>
      <c r="D475" s="11"/>
      <c r="E475" s="11"/>
      <c r="F475" s="11"/>
      <c r="G475" s="11"/>
      <c r="H475" s="6"/>
    </row>
    <row r="476" spans="1:8" ht="20.25" x14ac:dyDescent="0.25">
      <c r="A476" s="10"/>
      <c r="B476" s="11"/>
      <c r="C476" s="11"/>
      <c r="D476" s="11"/>
      <c r="E476" s="11"/>
      <c r="F476" s="11"/>
      <c r="G476" s="11"/>
      <c r="H476" s="6"/>
    </row>
    <row r="477" spans="1:8" ht="20.25" x14ac:dyDescent="0.25">
      <c r="A477" s="10"/>
      <c r="B477" s="11"/>
      <c r="C477" s="11"/>
      <c r="D477" s="11"/>
      <c r="E477" s="11"/>
      <c r="F477" s="11"/>
      <c r="G477" s="11"/>
      <c r="H477" s="6"/>
    </row>
    <row r="478" spans="1:8" ht="20.25" x14ac:dyDescent="0.25">
      <c r="A478" s="10"/>
      <c r="B478" s="11"/>
      <c r="C478" s="11"/>
      <c r="D478" s="11"/>
      <c r="E478" s="11"/>
      <c r="F478" s="11"/>
      <c r="G478" s="11"/>
      <c r="H478" s="6"/>
    </row>
    <row r="479" spans="1:8" ht="20.25" x14ac:dyDescent="0.25">
      <c r="A479" s="10"/>
      <c r="B479" s="11"/>
      <c r="C479" s="11"/>
      <c r="D479" s="11"/>
      <c r="E479" s="11"/>
      <c r="F479" s="11"/>
      <c r="G479" s="11"/>
      <c r="H479" s="6"/>
    </row>
    <row r="480" spans="1:8" ht="20.25" x14ac:dyDescent="0.25">
      <c r="A480" s="10"/>
      <c r="B480" s="11"/>
      <c r="C480" s="11"/>
      <c r="D480" s="11"/>
      <c r="E480" s="11"/>
      <c r="F480" s="11"/>
      <c r="G480" s="11"/>
      <c r="H480" s="6"/>
    </row>
    <row r="481" spans="1:8" ht="20.25" x14ac:dyDescent="0.25">
      <c r="A481" s="10"/>
      <c r="B481" s="11"/>
      <c r="C481" s="11"/>
      <c r="D481" s="11"/>
      <c r="E481" s="11"/>
      <c r="F481" s="11"/>
      <c r="G481" s="11"/>
      <c r="H481" s="6"/>
    </row>
    <row r="482" spans="1:8" ht="20.25" x14ac:dyDescent="0.25">
      <c r="A482" s="10"/>
      <c r="B482" s="11"/>
      <c r="C482" s="11"/>
      <c r="D482" s="11"/>
      <c r="E482" s="11"/>
      <c r="F482" s="11"/>
      <c r="G482" s="11"/>
      <c r="H482" s="6"/>
    </row>
    <row r="483" spans="1:8" ht="20.25" x14ac:dyDescent="0.25">
      <c r="A483" s="10"/>
      <c r="B483" s="11"/>
      <c r="C483" s="11"/>
      <c r="D483" s="11"/>
      <c r="E483" s="11"/>
      <c r="F483" s="11"/>
      <c r="G483" s="11"/>
      <c r="H483" s="6"/>
    </row>
    <row r="484" spans="1:8" ht="20.25" x14ac:dyDescent="0.25">
      <c r="A484" s="10"/>
      <c r="B484" s="11"/>
      <c r="C484" s="11"/>
      <c r="D484" s="11"/>
      <c r="E484" s="11"/>
      <c r="F484" s="11"/>
      <c r="G484" s="11"/>
      <c r="H484" s="6"/>
    </row>
    <row r="485" spans="1:8" ht="20.25" x14ac:dyDescent="0.25">
      <c r="A485" s="10"/>
      <c r="B485" s="11"/>
      <c r="C485" s="11"/>
      <c r="D485" s="11"/>
      <c r="E485" s="11"/>
      <c r="F485" s="11"/>
      <c r="G485" s="11"/>
      <c r="H485" s="6"/>
    </row>
    <row r="486" spans="1:8" ht="20.25" x14ac:dyDescent="0.25">
      <c r="A486" s="10"/>
      <c r="B486" s="11"/>
      <c r="C486" s="11"/>
      <c r="D486" s="11"/>
      <c r="E486" s="11"/>
      <c r="F486" s="11"/>
      <c r="G486" s="11"/>
      <c r="H486" s="6"/>
    </row>
    <row r="487" spans="1:8" ht="20.25" x14ac:dyDescent="0.25">
      <c r="A487" s="10"/>
      <c r="B487" s="11"/>
      <c r="C487" s="11"/>
      <c r="D487" s="11"/>
      <c r="E487" s="11"/>
      <c r="F487" s="11"/>
      <c r="G487" s="11"/>
      <c r="H487" s="6"/>
    </row>
    <row r="488" spans="1:8" ht="20.25" x14ac:dyDescent="0.25">
      <c r="A488" s="10"/>
      <c r="B488" s="11"/>
      <c r="C488" s="11"/>
      <c r="D488" s="11"/>
      <c r="E488" s="11"/>
      <c r="F488" s="11"/>
      <c r="G488" s="11"/>
      <c r="H488" s="6"/>
    </row>
    <row r="489" spans="1:8" ht="20.25" x14ac:dyDescent="0.25">
      <c r="A489" s="10"/>
      <c r="B489" s="11"/>
      <c r="C489" s="11"/>
      <c r="D489" s="11"/>
      <c r="E489" s="11"/>
      <c r="F489" s="11"/>
      <c r="G489" s="11"/>
      <c r="H489" s="6"/>
    </row>
    <row r="490" spans="1:8" ht="20.25" x14ac:dyDescent="0.25">
      <c r="A490" s="124" t="s">
        <v>24</v>
      </c>
      <c r="B490" s="124"/>
      <c r="C490" s="124"/>
      <c r="D490" s="124"/>
      <c r="E490" s="124"/>
      <c r="F490" s="124"/>
      <c r="G490" s="124"/>
      <c r="H490" s="124"/>
    </row>
    <row r="491" spans="1:8" ht="20.25" x14ac:dyDescent="0.25">
      <c r="A491" s="165" t="s">
        <v>76</v>
      </c>
      <c r="B491" s="166"/>
      <c r="C491" s="166"/>
      <c r="D491" s="166"/>
      <c r="E491" s="166"/>
      <c r="F491" s="166"/>
      <c r="G491" s="166"/>
      <c r="H491" s="167"/>
    </row>
    <row r="492" spans="1:8" ht="20.25" x14ac:dyDescent="0.25">
      <c r="A492" s="168" t="s">
        <v>77</v>
      </c>
      <c r="B492" s="169"/>
      <c r="C492" s="169"/>
      <c r="D492" s="169"/>
      <c r="E492" s="169"/>
      <c r="F492" s="169"/>
      <c r="G492" s="169"/>
      <c r="H492" s="170"/>
    </row>
    <row r="493" spans="1:8" ht="45" customHeight="1" x14ac:dyDescent="0.25">
      <c r="A493" s="168" t="s">
        <v>78</v>
      </c>
      <c r="B493" s="169"/>
      <c r="C493" s="169"/>
      <c r="D493" s="169"/>
      <c r="E493" s="169"/>
      <c r="F493" s="169"/>
      <c r="G493" s="169"/>
      <c r="H493" s="170"/>
    </row>
    <row r="494" spans="1:8" ht="42.75" customHeight="1" x14ac:dyDescent="0.25">
      <c r="A494" s="168" t="s">
        <v>79</v>
      </c>
      <c r="B494" s="169"/>
      <c r="C494" s="169"/>
      <c r="D494" s="169"/>
      <c r="E494" s="169"/>
      <c r="F494" s="169"/>
      <c r="G494" s="169"/>
      <c r="H494" s="170"/>
    </row>
    <row r="495" spans="1:8" ht="20.25" x14ac:dyDescent="0.25">
      <c r="A495" s="168" t="s">
        <v>80</v>
      </c>
      <c r="B495" s="169"/>
      <c r="C495" s="169"/>
      <c r="D495" s="169"/>
      <c r="E495" s="169"/>
      <c r="F495" s="169"/>
      <c r="G495" s="169"/>
      <c r="H495" s="170"/>
    </row>
    <row r="496" spans="1:8" ht="20.25" x14ac:dyDescent="0.25">
      <c r="A496" s="168" t="s">
        <v>81</v>
      </c>
      <c r="B496" s="169"/>
      <c r="C496" s="169"/>
      <c r="D496" s="169"/>
      <c r="E496" s="169"/>
      <c r="F496" s="169"/>
      <c r="G496" s="169"/>
      <c r="H496" s="170"/>
    </row>
    <row r="497" spans="1:8" ht="45" customHeight="1" x14ac:dyDescent="0.25">
      <c r="A497" s="168" t="s">
        <v>82</v>
      </c>
      <c r="B497" s="169"/>
      <c r="C497" s="169"/>
      <c r="D497" s="169"/>
      <c r="E497" s="169"/>
      <c r="F497" s="169"/>
      <c r="G497" s="169"/>
      <c r="H497" s="170"/>
    </row>
    <row r="498" spans="1:8" ht="45" customHeight="1" x14ac:dyDescent="0.25">
      <c r="A498" s="168" t="s">
        <v>83</v>
      </c>
      <c r="B498" s="169"/>
      <c r="C498" s="169"/>
      <c r="D498" s="169"/>
      <c r="E498" s="169"/>
      <c r="F498" s="169"/>
      <c r="G498" s="169"/>
      <c r="H498" s="170"/>
    </row>
    <row r="499" spans="1:8" ht="20.25" x14ac:dyDescent="0.25">
      <c r="A499" s="171" t="s">
        <v>84</v>
      </c>
      <c r="B499" s="172"/>
      <c r="C499" s="172"/>
      <c r="D499" s="172"/>
      <c r="E499" s="172"/>
      <c r="F499" s="172"/>
      <c r="G499" s="172"/>
      <c r="H499" s="173"/>
    </row>
    <row r="500" spans="1:8" ht="57" customHeight="1" x14ac:dyDescent="0.25">
      <c r="A500" s="175" t="s">
        <v>30</v>
      </c>
      <c r="B500" s="176"/>
      <c r="C500" s="177" t="s">
        <v>392</v>
      </c>
      <c r="D500" s="178"/>
      <c r="E500" s="175" t="s">
        <v>9</v>
      </c>
      <c r="F500" s="176"/>
      <c r="G500" s="163"/>
      <c r="H500" s="163"/>
    </row>
  </sheetData>
  <mergeCells count="543">
    <mergeCell ref="A345:B345"/>
    <mergeCell ref="A346:B346"/>
    <mergeCell ref="A347:H347"/>
    <mergeCell ref="A348:B348"/>
    <mergeCell ref="A349:B349"/>
    <mergeCell ref="A350:B350"/>
    <mergeCell ref="A351:B351"/>
    <mergeCell ref="A341:H341"/>
    <mergeCell ref="C345:H345"/>
    <mergeCell ref="A342:H342"/>
    <mergeCell ref="A343:B343"/>
    <mergeCell ref="A344:B344"/>
    <mergeCell ref="A47:B47"/>
    <mergeCell ref="D47:F47"/>
    <mergeCell ref="G47:H47"/>
    <mergeCell ref="C57:F57"/>
    <mergeCell ref="A56:B57"/>
    <mergeCell ref="A75:H75"/>
    <mergeCell ref="A76:C77"/>
    <mergeCell ref="E76:F76"/>
    <mergeCell ref="E77:F77"/>
    <mergeCell ref="A52:B53"/>
    <mergeCell ref="A71:B71"/>
    <mergeCell ref="A72:B72"/>
    <mergeCell ref="A73:B73"/>
    <mergeCell ref="A74:B74"/>
    <mergeCell ref="A65:B65"/>
    <mergeCell ref="A66:B66"/>
    <mergeCell ref="A68:B68"/>
    <mergeCell ref="A67:B67"/>
    <mergeCell ref="A70:B70"/>
    <mergeCell ref="A250:B250"/>
    <mergeCell ref="A230:H230"/>
    <mergeCell ref="A251:H251"/>
    <mergeCell ref="A252:B252"/>
    <mergeCell ref="A253:B253"/>
    <mergeCell ref="A254:B254"/>
    <mergeCell ref="A255:B255"/>
    <mergeCell ref="A236:B236"/>
    <mergeCell ref="A237:B237"/>
    <mergeCell ref="A238:B238"/>
    <mergeCell ref="A239:B239"/>
    <mergeCell ref="A245:B245"/>
    <mergeCell ref="A246:H246"/>
    <mergeCell ref="A247:B247"/>
    <mergeCell ref="A248:B248"/>
    <mergeCell ref="A249:B249"/>
    <mergeCell ref="A88:B88"/>
    <mergeCell ref="A89:B89"/>
    <mergeCell ref="A90:B90"/>
    <mergeCell ref="A240:H240"/>
    <mergeCell ref="A119:H119"/>
    <mergeCell ref="A242:B242"/>
    <mergeCell ref="C242:H242"/>
    <mergeCell ref="A243:B243"/>
    <mergeCell ref="A244:B244"/>
    <mergeCell ref="A241:H241"/>
    <mergeCell ref="A212:B212"/>
    <mergeCell ref="A213:B213"/>
    <mergeCell ref="A214:B214"/>
    <mergeCell ref="A215:H215"/>
    <mergeCell ref="A216:B216"/>
    <mergeCell ref="A217:B217"/>
    <mergeCell ref="A218:B218"/>
    <mergeCell ref="A219:B219"/>
    <mergeCell ref="A220:H220"/>
    <mergeCell ref="A221:B221"/>
    <mergeCell ref="A222:B222"/>
    <mergeCell ref="A223:B223"/>
    <mergeCell ref="A224:B224"/>
    <mergeCell ref="A225:H225"/>
    <mergeCell ref="A226:B226"/>
    <mergeCell ref="A227:B227"/>
    <mergeCell ref="A228:B228"/>
    <mergeCell ref="A229:B229"/>
    <mergeCell ref="A231:B231"/>
    <mergeCell ref="A232:B232"/>
    <mergeCell ref="A233:B233"/>
    <mergeCell ref="A234:B234"/>
    <mergeCell ref="A235:H235"/>
    <mergeCell ref="A204:B204"/>
    <mergeCell ref="A205:H205"/>
    <mergeCell ref="A206:B206"/>
    <mergeCell ref="A207:B207"/>
    <mergeCell ref="A208:B208"/>
    <mergeCell ref="A209:B209"/>
    <mergeCell ref="A210:H210"/>
    <mergeCell ref="A211:B211"/>
    <mergeCell ref="C211:H211"/>
    <mergeCell ref="A195:H195"/>
    <mergeCell ref="A196:B196"/>
    <mergeCell ref="A197:B197"/>
    <mergeCell ref="A198:B198"/>
    <mergeCell ref="A199:B199"/>
    <mergeCell ref="A200:H200"/>
    <mergeCell ref="A201:B201"/>
    <mergeCell ref="A202:B202"/>
    <mergeCell ref="A203:B203"/>
    <mergeCell ref="A188:B188"/>
    <mergeCell ref="A189:B189"/>
    <mergeCell ref="A190:H190"/>
    <mergeCell ref="A191:B191"/>
    <mergeCell ref="A192:B192"/>
    <mergeCell ref="A193:B193"/>
    <mergeCell ref="A194:B194"/>
    <mergeCell ref="A180:H180"/>
    <mergeCell ref="A181:B181"/>
    <mergeCell ref="C181:H181"/>
    <mergeCell ref="A182:B182"/>
    <mergeCell ref="A183:B183"/>
    <mergeCell ref="A184:B184"/>
    <mergeCell ref="A174:B174"/>
    <mergeCell ref="A175:H175"/>
    <mergeCell ref="A176:B176"/>
    <mergeCell ref="A177:B177"/>
    <mergeCell ref="A178:B178"/>
    <mergeCell ref="A179:B179"/>
    <mergeCell ref="A185:H185"/>
    <mergeCell ref="A186:B186"/>
    <mergeCell ref="A187:B187"/>
    <mergeCell ref="A165:H165"/>
    <mergeCell ref="A166:B166"/>
    <mergeCell ref="A167:B167"/>
    <mergeCell ref="A168:B168"/>
    <mergeCell ref="A169:B169"/>
    <mergeCell ref="A170:H170"/>
    <mergeCell ref="A171:B171"/>
    <mergeCell ref="A172:B172"/>
    <mergeCell ref="A173:B173"/>
    <mergeCell ref="A156:B156"/>
    <mergeCell ref="A157:B157"/>
    <mergeCell ref="A158:B158"/>
    <mergeCell ref="A159:B159"/>
    <mergeCell ref="A160:H160"/>
    <mergeCell ref="A161:B161"/>
    <mergeCell ref="A162:B162"/>
    <mergeCell ref="A163:B163"/>
    <mergeCell ref="A164:B164"/>
    <mergeCell ref="A147:B147"/>
    <mergeCell ref="A148:B148"/>
    <mergeCell ref="A149:B149"/>
    <mergeCell ref="A150:H150"/>
    <mergeCell ref="A151:B151"/>
    <mergeCell ref="A152:B152"/>
    <mergeCell ref="A153:B153"/>
    <mergeCell ref="A154:B154"/>
    <mergeCell ref="A155:H155"/>
    <mergeCell ref="A109:B109"/>
    <mergeCell ref="G109:H109"/>
    <mergeCell ref="A113:H113"/>
    <mergeCell ref="A116:H116"/>
    <mergeCell ref="A143:B143"/>
    <mergeCell ref="A144:B144"/>
    <mergeCell ref="A145:H145"/>
    <mergeCell ref="A146:B146"/>
    <mergeCell ref="C146:H146"/>
    <mergeCell ref="A132:B132"/>
    <mergeCell ref="A133:B133"/>
    <mergeCell ref="A128:B128"/>
    <mergeCell ref="A127:B127"/>
    <mergeCell ref="A125:H125"/>
    <mergeCell ref="A138:B138"/>
    <mergeCell ref="C121:H121"/>
    <mergeCell ref="A130:H130"/>
    <mergeCell ref="A134:B134"/>
    <mergeCell ref="A122:B122"/>
    <mergeCell ref="A123:B123"/>
    <mergeCell ref="A124:B124"/>
    <mergeCell ref="A135:H135"/>
    <mergeCell ref="A136:B136"/>
    <mergeCell ref="A137:B137"/>
    <mergeCell ref="E104:F104"/>
    <mergeCell ref="A101:B101"/>
    <mergeCell ref="A102:B102"/>
    <mergeCell ref="A103:B103"/>
    <mergeCell ref="C101:D101"/>
    <mergeCell ref="A104:B104"/>
    <mergeCell ref="C102:D102"/>
    <mergeCell ref="G101:H101"/>
    <mergeCell ref="G102:H102"/>
    <mergeCell ref="G103:H103"/>
    <mergeCell ref="G104:H104"/>
    <mergeCell ref="C104:D104"/>
    <mergeCell ref="A1:H1"/>
    <mergeCell ref="A362:C362"/>
    <mergeCell ref="G27:H27"/>
    <mergeCell ref="G28:H28"/>
    <mergeCell ref="A37:H37"/>
    <mergeCell ref="A44:H44"/>
    <mergeCell ref="A48:H48"/>
    <mergeCell ref="A100:H100"/>
    <mergeCell ref="G98:H98"/>
    <mergeCell ref="G7:H7"/>
    <mergeCell ref="G45:H45"/>
    <mergeCell ref="A25:H25"/>
    <mergeCell ref="G26:H26"/>
    <mergeCell ref="G20:H20"/>
    <mergeCell ref="G21:H21"/>
    <mergeCell ref="A9:A11"/>
    <mergeCell ref="A21:B21"/>
    <mergeCell ref="A22:B22"/>
    <mergeCell ref="A31:B31"/>
    <mergeCell ref="A32:B32"/>
    <mergeCell ref="E26:F26"/>
    <mergeCell ref="A91:F91"/>
    <mergeCell ref="A111:H111"/>
    <mergeCell ref="E101:F101"/>
    <mergeCell ref="G6:H6"/>
    <mergeCell ref="G97:H97"/>
    <mergeCell ref="A120:H120"/>
    <mergeCell ref="A110:B110"/>
    <mergeCell ref="C14:D14"/>
    <mergeCell ref="C15:D15"/>
    <mergeCell ref="A92:H92"/>
    <mergeCell ref="G93:H93"/>
    <mergeCell ref="A93:B93"/>
    <mergeCell ref="G30:H30"/>
    <mergeCell ref="G17:H17"/>
    <mergeCell ref="G15:H15"/>
    <mergeCell ref="G18:H18"/>
    <mergeCell ref="G19:H19"/>
    <mergeCell ref="G46:H46"/>
    <mergeCell ref="G31:H31"/>
    <mergeCell ref="G22:H22"/>
    <mergeCell ref="G36:H36"/>
    <mergeCell ref="G35:H35"/>
    <mergeCell ref="C32:H32"/>
    <mergeCell ref="E22:F22"/>
    <mergeCell ref="C31:D31"/>
    <mergeCell ref="C93:D93"/>
    <mergeCell ref="C94:D94"/>
    <mergeCell ref="G500:H500"/>
    <mergeCell ref="A361:H361"/>
    <mergeCell ref="D363:H363"/>
    <mergeCell ref="A491:H491"/>
    <mergeCell ref="A497:H497"/>
    <mergeCell ref="A498:H498"/>
    <mergeCell ref="A499:H499"/>
    <mergeCell ref="A492:H492"/>
    <mergeCell ref="A493:H493"/>
    <mergeCell ref="A494:H494"/>
    <mergeCell ref="A495:H495"/>
    <mergeCell ref="A363:C363"/>
    <mergeCell ref="A490:H490"/>
    <mergeCell ref="A496:H496"/>
    <mergeCell ref="A459:H459"/>
    <mergeCell ref="D362:H362"/>
    <mergeCell ref="A364:C364"/>
    <mergeCell ref="D364:H364"/>
    <mergeCell ref="A409:H409"/>
    <mergeCell ref="E500:F500"/>
    <mergeCell ref="A500:B500"/>
    <mergeCell ref="C500:D500"/>
    <mergeCell ref="B360:H360"/>
    <mergeCell ref="B354:H354"/>
    <mergeCell ref="B353:H353"/>
    <mergeCell ref="B357:H357"/>
    <mergeCell ref="B356:H356"/>
    <mergeCell ref="B355:H355"/>
    <mergeCell ref="B358:H358"/>
    <mergeCell ref="B359:H359"/>
    <mergeCell ref="A352:H352"/>
    <mergeCell ref="E93:F93"/>
    <mergeCell ref="E94:F94"/>
    <mergeCell ref="G94:H94"/>
    <mergeCell ref="G110:H110"/>
    <mergeCell ref="A105:H105"/>
    <mergeCell ref="A106:B106"/>
    <mergeCell ref="E106:F106"/>
    <mergeCell ref="C108:D108"/>
    <mergeCell ref="E110:F110"/>
    <mergeCell ref="C109:D109"/>
    <mergeCell ref="A108:B108"/>
    <mergeCell ref="C95:D95"/>
    <mergeCell ref="E95:F95"/>
    <mergeCell ref="A97:F97"/>
    <mergeCell ref="A98:F98"/>
    <mergeCell ref="A99:F99"/>
    <mergeCell ref="C103:D103"/>
    <mergeCell ref="A94:B94"/>
    <mergeCell ref="G95:H95"/>
    <mergeCell ref="G99:H99"/>
    <mergeCell ref="A96:H96"/>
    <mergeCell ref="A95:B95"/>
    <mergeCell ref="E102:F102"/>
    <mergeCell ref="E103:F103"/>
    <mergeCell ref="G91:H91"/>
    <mergeCell ref="G63:H74"/>
    <mergeCell ref="A59:H59"/>
    <mergeCell ref="A62:B62"/>
    <mergeCell ref="A63:B63"/>
    <mergeCell ref="E62:F62"/>
    <mergeCell ref="E60:F60"/>
    <mergeCell ref="E61:F61"/>
    <mergeCell ref="A60:C61"/>
    <mergeCell ref="A69:B69"/>
    <mergeCell ref="E63:F74"/>
    <mergeCell ref="A78:B78"/>
    <mergeCell ref="E78:F78"/>
    <mergeCell ref="A79:B79"/>
    <mergeCell ref="E79:F90"/>
    <mergeCell ref="G79:H90"/>
    <mergeCell ref="A80:B80"/>
    <mergeCell ref="A81:B81"/>
    <mergeCell ref="A82:B82"/>
    <mergeCell ref="A83:B83"/>
    <mergeCell ref="A84:B84"/>
    <mergeCell ref="A85:B85"/>
    <mergeCell ref="A86:B86"/>
    <mergeCell ref="A87:B87"/>
    <mergeCell ref="A33:H33"/>
    <mergeCell ref="A64:B64"/>
    <mergeCell ref="F42:H42"/>
    <mergeCell ref="A45:B45"/>
    <mergeCell ref="A46:B46"/>
    <mergeCell ref="D46:F46"/>
    <mergeCell ref="D45:F45"/>
    <mergeCell ref="A58:B58"/>
    <mergeCell ref="C54:F54"/>
    <mergeCell ref="C55:F55"/>
    <mergeCell ref="C56:F56"/>
    <mergeCell ref="C58:F58"/>
    <mergeCell ref="A49:B49"/>
    <mergeCell ref="A51:B51"/>
    <mergeCell ref="A54:B54"/>
    <mergeCell ref="A55:B55"/>
    <mergeCell ref="A50:B50"/>
    <mergeCell ref="C49:H49"/>
    <mergeCell ref="C50:F50"/>
    <mergeCell ref="C51:F51"/>
    <mergeCell ref="C53:F53"/>
    <mergeCell ref="C52:F52"/>
    <mergeCell ref="A43:B43"/>
    <mergeCell ref="A42:B42"/>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A5:H5"/>
    <mergeCell ref="A14:B14"/>
    <mergeCell ref="A15:B15"/>
    <mergeCell ref="A16:B16"/>
    <mergeCell ref="A17:B17"/>
    <mergeCell ref="A18:B18"/>
    <mergeCell ref="A19:B19"/>
    <mergeCell ref="A20:B20"/>
    <mergeCell ref="C20:D20"/>
    <mergeCell ref="G2:H2"/>
    <mergeCell ref="G3:H3"/>
    <mergeCell ref="G4:H4"/>
    <mergeCell ref="E14:F14"/>
    <mergeCell ref="E15:F15"/>
    <mergeCell ref="E16:F16"/>
    <mergeCell ref="E17:F17"/>
    <mergeCell ref="E18:F18"/>
    <mergeCell ref="E19:F19"/>
    <mergeCell ref="A13:H13"/>
    <mergeCell ref="C19:D19"/>
    <mergeCell ref="C16:D16"/>
    <mergeCell ref="C17:D17"/>
    <mergeCell ref="C18:D18"/>
    <mergeCell ref="G14:H14"/>
    <mergeCell ref="G16:H16"/>
    <mergeCell ref="C27:D27"/>
    <mergeCell ref="E29:F29"/>
    <mergeCell ref="E30:F30"/>
    <mergeCell ref="E31:F31"/>
    <mergeCell ref="C28:D28"/>
    <mergeCell ref="A23:B23"/>
    <mergeCell ref="A24:B24"/>
    <mergeCell ref="E20:F20"/>
    <mergeCell ref="E21:F21"/>
    <mergeCell ref="A28:B28"/>
    <mergeCell ref="A29:B29"/>
    <mergeCell ref="A30:B30"/>
    <mergeCell ref="A26:B26"/>
    <mergeCell ref="A27:B27"/>
    <mergeCell ref="E27:F27"/>
    <mergeCell ref="E28:F28"/>
    <mergeCell ref="C29:D29"/>
    <mergeCell ref="C30:D30"/>
    <mergeCell ref="C21:D21"/>
    <mergeCell ref="C22:D22"/>
    <mergeCell ref="C24:H24"/>
    <mergeCell ref="C23:H23"/>
    <mergeCell ref="G29:H29"/>
    <mergeCell ref="C26:D26"/>
    <mergeCell ref="C42:E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A38:B38"/>
    <mergeCell ref="A256:H256"/>
    <mergeCell ref="A257:B257"/>
    <mergeCell ref="A131:B131"/>
    <mergeCell ref="A129:B129"/>
    <mergeCell ref="E109:F109"/>
    <mergeCell ref="E107:F107"/>
    <mergeCell ref="C106:D106"/>
    <mergeCell ref="E108:F108"/>
    <mergeCell ref="A126:B126"/>
    <mergeCell ref="A121:B121"/>
    <mergeCell ref="C107:D107"/>
    <mergeCell ref="C110:D110"/>
    <mergeCell ref="G107:H107"/>
    <mergeCell ref="A114:H114"/>
    <mergeCell ref="A115:H115"/>
    <mergeCell ref="A117:H117"/>
    <mergeCell ref="A118:H118"/>
    <mergeCell ref="G106:H106"/>
    <mergeCell ref="G108:H108"/>
    <mergeCell ref="A107:B107"/>
    <mergeCell ref="A139:B139"/>
    <mergeCell ref="A140:H140"/>
    <mergeCell ref="A141:B141"/>
    <mergeCell ref="A142:B142"/>
    <mergeCell ref="A258:B258"/>
    <mergeCell ref="A259:B259"/>
    <mergeCell ref="A260:B260"/>
    <mergeCell ref="A261:H261"/>
    <mergeCell ref="A262:B262"/>
    <mergeCell ref="A263:B263"/>
    <mergeCell ref="A264:B264"/>
    <mergeCell ref="A265:B265"/>
    <mergeCell ref="A271:H271"/>
    <mergeCell ref="A272:B272"/>
    <mergeCell ref="A273:B273"/>
    <mergeCell ref="A274:B274"/>
    <mergeCell ref="A275:B275"/>
    <mergeCell ref="A266:H266"/>
    <mergeCell ref="A267:B267"/>
    <mergeCell ref="C267:H267"/>
    <mergeCell ref="A268:B268"/>
    <mergeCell ref="A269:B269"/>
    <mergeCell ref="A270:B270"/>
    <mergeCell ref="A276:H276"/>
    <mergeCell ref="A277:B277"/>
    <mergeCell ref="A278:B278"/>
    <mergeCell ref="A279:B279"/>
    <mergeCell ref="A280:B280"/>
    <mergeCell ref="A286:H286"/>
    <mergeCell ref="A287:B287"/>
    <mergeCell ref="A288:B288"/>
    <mergeCell ref="A289:B289"/>
    <mergeCell ref="A290:B290"/>
    <mergeCell ref="A281:H281"/>
    <mergeCell ref="A282:B282"/>
    <mergeCell ref="C282:H282"/>
    <mergeCell ref="A283:B283"/>
    <mergeCell ref="A284:B284"/>
    <mergeCell ref="A285:B285"/>
    <mergeCell ref="A291:H291"/>
    <mergeCell ref="A292:B292"/>
    <mergeCell ref="A293:B293"/>
    <mergeCell ref="A294:B294"/>
    <mergeCell ref="A295:B295"/>
    <mergeCell ref="A296:H296"/>
    <mergeCell ref="A297:B297"/>
    <mergeCell ref="A298:B298"/>
    <mergeCell ref="A299:B299"/>
    <mergeCell ref="A300:B300"/>
    <mergeCell ref="A301:H301"/>
    <mergeCell ref="A302:B302"/>
    <mergeCell ref="A303:B303"/>
    <mergeCell ref="A304:B304"/>
    <mergeCell ref="A305:B305"/>
    <mergeCell ref="A306:H306"/>
    <mergeCell ref="A307:B307"/>
    <mergeCell ref="A308:B308"/>
    <mergeCell ref="A309:B309"/>
    <mergeCell ref="A310:B310"/>
    <mergeCell ref="A324:B324"/>
    <mergeCell ref="A325:B325"/>
    <mergeCell ref="A326:H326"/>
    <mergeCell ref="A327:B327"/>
    <mergeCell ref="A328:B328"/>
    <mergeCell ref="A329:B329"/>
    <mergeCell ref="A330:B330"/>
    <mergeCell ref="A311:H311"/>
    <mergeCell ref="A312:B312"/>
    <mergeCell ref="C312:H312"/>
    <mergeCell ref="A313:B313"/>
    <mergeCell ref="A314:B314"/>
    <mergeCell ref="A315:B315"/>
    <mergeCell ref="A321:H321"/>
    <mergeCell ref="A322:B322"/>
    <mergeCell ref="A323:B323"/>
    <mergeCell ref="A316:H316"/>
    <mergeCell ref="A317:B317"/>
    <mergeCell ref="A318:B318"/>
    <mergeCell ref="A319:B319"/>
    <mergeCell ref="A320:B320"/>
    <mergeCell ref="A339:B339"/>
    <mergeCell ref="A340:B340"/>
    <mergeCell ref="A331:H331"/>
    <mergeCell ref="A332:B332"/>
    <mergeCell ref="C332:H332"/>
    <mergeCell ref="A333:B333"/>
    <mergeCell ref="A334:B334"/>
    <mergeCell ref="A335:B335"/>
    <mergeCell ref="A336:H336"/>
    <mergeCell ref="A337:B337"/>
    <mergeCell ref="A338:B338"/>
  </mergeCells>
  <dataValidations count="7">
    <dataValidation type="list" allowBlank="1" showInputMessage="1" showErrorMessage="1" sqref="G6:H6" xr:uid="{00000000-0002-0000-0000-000000000000}">
      <formula1>"Mr. Suraj Khare,Mr.Vinayak,Mr.Manish,Mr.Vaibhav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95" xr:uid="{00000000-0002-0000-0000-000002000000}">
      <formula1>"300000,350000,400000,500000,600000,700000,800000,900000,1000000,1200000,1400000,1500000,1600000"</formula1>
    </dataValidation>
    <dataValidation type="list" allowBlank="1" showInputMessage="1" showErrorMessage="1" sqref="F112"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9:H49 G35:H35" xr:uid="{00000000-0002-0000-0000-000005000000}">
      <formula1>"Yes,No"</formula1>
    </dataValidation>
    <dataValidation type="list" allowBlank="1" showInputMessage="1" showErrorMessage="1" sqref="C112"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49" max="16383" man="1"/>
    <brk id="74" max="16383" man="1"/>
    <brk id="360" max="8" man="1"/>
    <brk id="408" max="16383" man="1"/>
    <brk id="45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A16" zoomScale="70" zoomScaleNormal="70" workbookViewId="0">
      <selection activeCell="H22" sqref="H22"/>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24" t="s">
        <v>67</v>
      </c>
      <c r="B3" s="124"/>
      <c r="C3" s="124"/>
      <c r="D3" s="124"/>
      <c r="E3" s="124"/>
      <c r="F3" s="124"/>
      <c r="G3" s="124"/>
      <c r="H3" s="124"/>
      <c r="I3" s="124"/>
    </row>
    <row r="4" spans="1:11" s="1" customFormat="1" ht="20.25" customHeight="1" x14ac:dyDescent="0.3">
      <c r="A4" s="192">
        <v>1</v>
      </c>
      <c r="B4" s="192"/>
      <c r="C4" s="192"/>
      <c r="D4" s="193" t="s">
        <v>4</v>
      </c>
      <c r="E4" s="29" t="s">
        <v>115</v>
      </c>
      <c r="F4" s="135" t="s">
        <v>102</v>
      </c>
      <c r="G4" s="135"/>
      <c r="H4" s="29" t="s">
        <v>116</v>
      </c>
      <c r="I4" s="29" t="s">
        <v>117</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25" x14ac:dyDescent="0.3">
      <c r="A5" s="192"/>
      <c r="B5" s="192"/>
      <c r="C5" s="192"/>
      <c r="D5" s="193"/>
      <c r="E5" s="29">
        <v>3</v>
      </c>
      <c r="F5" s="135">
        <v>1</v>
      </c>
      <c r="G5" s="135"/>
      <c r="H5" s="29">
        <v>0</v>
      </c>
      <c r="I5" s="29">
        <f ca="1">--TRIM(RIGHT(SUBSTITUTE(LEFT(A4,_xlfn.AGGREGATE(16,6,FIND({0,1,2,3,4,5,6,7,8,9},A4,ROW(INDIRECT("1:"&amp;LEN(A4)))),1))," ",REPT(" ",LEN(A4))),LEN(A4)))</f>
        <v>1</v>
      </c>
      <c r="J5" s="15" t="s">
        <v>121</v>
      </c>
      <c r="K5" s="16"/>
    </row>
    <row r="6" spans="1:11" s="1" customFormat="1" ht="20.25" customHeight="1" x14ac:dyDescent="0.3">
      <c r="A6" s="134" t="s">
        <v>119</v>
      </c>
      <c r="B6" s="134"/>
      <c r="C6" s="134" t="s">
        <v>129</v>
      </c>
      <c r="D6" s="134"/>
      <c r="E6" s="30" t="s">
        <v>130</v>
      </c>
      <c r="F6" s="134" t="s">
        <v>120</v>
      </c>
      <c r="G6" s="134"/>
      <c r="H6" s="26" t="s">
        <v>118</v>
      </c>
      <c r="I6" s="26"/>
      <c r="J6" s="18" t="s">
        <v>131</v>
      </c>
      <c r="K6" s="17">
        <f ca="1">I5*25%</f>
        <v>0.25</v>
      </c>
    </row>
    <row r="7" spans="1:11" s="1" customFormat="1" ht="20.25" customHeight="1" x14ac:dyDescent="0.3">
      <c r="A7" s="130" t="s">
        <v>132</v>
      </c>
      <c r="B7" s="130"/>
      <c r="C7" s="135">
        <f ca="1">K8</f>
        <v>1</v>
      </c>
      <c r="D7" s="135"/>
      <c r="E7" s="28">
        <f ca="1">((100/I5)*C7)/100</f>
        <v>1</v>
      </c>
      <c r="F7" s="130">
        <f ca="1">(((C7/I5*10)+(C8/I5*25)+(25/(F5+H5+I5)*C9)+(5/(I5)*C10)+(2.5/(I5)*C11)+(2.5/(I5)*C12)+(5/I5*C13)+(2.5/I5*C14)+(2.5/I5*C15)+(5/I5*C16)+(10/I5*C17)+(5/I5*C18))/100)</f>
        <v>0.35</v>
      </c>
      <c r="G7" s="130"/>
      <c r="H7" s="130" t="str">
        <f ca="1">J4</f>
        <v>Excavation work Completed. Plinth work completed</v>
      </c>
      <c r="I7" s="130"/>
      <c r="J7" s="18" t="s">
        <v>122</v>
      </c>
      <c r="K7" s="22">
        <f ca="1">I5*50%</f>
        <v>0.5</v>
      </c>
    </row>
    <row r="8" spans="1:11" s="1" customFormat="1" ht="20.25" x14ac:dyDescent="0.3">
      <c r="A8" s="130" t="s">
        <v>103</v>
      </c>
      <c r="B8" s="130"/>
      <c r="C8" s="194">
        <f ca="1">K16</f>
        <v>1</v>
      </c>
      <c r="D8" s="135"/>
      <c r="E8" s="28">
        <f ca="1">((100/I5)*C8)/100</f>
        <v>1</v>
      </c>
      <c r="F8" s="130"/>
      <c r="G8" s="130"/>
      <c r="H8" s="130"/>
      <c r="I8" s="130"/>
      <c r="J8" s="18" t="s">
        <v>123</v>
      </c>
      <c r="K8" s="22">
        <f ca="1">I5</f>
        <v>1</v>
      </c>
    </row>
    <row r="9" spans="1:11" s="1" customFormat="1" ht="21" customHeight="1" x14ac:dyDescent="0.35">
      <c r="A9" s="130" t="s">
        <v>133</v>
      </c>
      <c r="B9" s="130"/>
      <c r="C9" s="135">
        <v>0</v>
      </c>
      <c r="D9" s="135"/>
      <c r="E9" s="28">
        <f ca="1">((100/(F5+H5+I5))*C9)/100</f>
        <v>0</v>
      </c>
      <c r="F9" s="130"/>
      <c r="G9" s="130"/>
      <c r="H9" s="130"/>
      <c r="I9" s="130"/>
      <c r="J9" s="18" t="s">
        <v>124</v>
      </c>
      <c r="K9" s="23">
        <f ca="1">(IF(E5&gt;1,(I5/(E5+2)),I5*0.2))</f>
        <v>0.2</v>
      </c>
    </row>
    <row r="10" spans="1:11" s="1" customFormat="1" ht="21" customHeight="1" x14ac:dyDescent="0.35">
      <c r="A10" s="130" t="s">
        <v>134</v>
      </c>
      <c r="B10" s="130"/>
      <c r="C10" s="135">
        <v>0</v>
      </c>
      <c r="D10" s="135"/>
      <c r="E10" s="28">
        <f ca="1">((100/I5)*C10)/100</f>
        <v>0</v>
      </c>
      <c r="F10" s="130"/>
      <c r="G10" s="130"/>
      <c r="H10" s="130"/>
      <c r="I10" s="130"/>
      <c r="J10" s="18" t="s">
        <v>125</v>
      </c>
      <c r="K10" s="23">
        <f ca="1">(IF(E5&gt;1,(I5/(E5+2)+K9),I5*0.2+K9))</f>
        <v>0.4</v>
      </c>
    </row>
    <row r="11" spans="1:11" s="1" customFormat="1" ht="21" customHeight="1" x14ac:dyDescent="0.35">
      <c r="A11" s="137" t="s">
        <v>135</v>
      </c>
      <c r="B11" s="138"/>
      <c r="C11" s="135">
        <v>0</v>
      </c>
      <c r="D11" s="135"/>
      <c r="E11" s="28">
        <f ca="1">((100/I5)*C11)/100</f>
        <v>0</v>
      </c>
      <c r="F11" s="130"/>
      <c r="G11" s="130"/>
      <c r="H11" s="130"/>
      <c r="I11" s="130"/>
      <c r="J11" s="18" t="s">
        <v>136</v>
      </c>
      <c r="K11" s="23">
        <f ca="1">(IF(E5&gt;1,(I5/(E5+2)+K10),0))</f>
        <v>0.60000000000000009</v>
      </c>
    </row>
    <row r="12" spans="1:11" s="1" customFormat="1" ht="21" customHeight="1" x14ac:dyDescent="0.35">
      <c r="A12" s="137" t="s">
        <v>166</v>
      </c>
      <c r="B12" s="138"/>
      <c r="C12" s="135">
        <v>0</v>
      </c>
      <c r="D12" s="135"/>
      <c r="E12" s="28">
        <f ca="1">((100/I5)*C12)/100</f>
        <v>0</v>
      </c>
      <c r="F12" s="130"/>
      <c r="G12" s="130"/>
      <c r="H12" s="130"/>
      <c r="I12" s="130"/>
      <c r="J12" s="18" t="s">
        <v>137</v>
      </c>
      <c r="K12" s="23">
        <f ca="1">(IF(E5&gt;2,(I5/(E5+2)+K11),0))</f>
        <v>0.8</v>
      </c>
    </row>
    <row r="13" spans="1:11" s="1" customFormat="1" ht="57.75" customHeight="1" x14ac:dyDescent="0.35">
      <c r="A13" s="137" t="s">
        <v>163</v>
      </c>
      <c r="B13" s="138"/>
      <c r="C13" s="135">
        <v>0</v>
      </c>
      <c r="D13" s="135"/>
      <c r="E13" s="28">
        <f ca="1">((100/(I5))*C13)/100</f>
        <v>0</v>
      </c>
      <c r="F13" s="130"/>
      <c r="G13" s="130"/>
      <c r="H13" s="130"/>
      <c r="I13" s="130"/>
      <c r="J13" s="18" t="s">
        <v>139</v>
      </c>
      <c r="K13" s="24">
        <f>(IF(E5&gt;3,(I5/(E5+2)+K12),0))</f>
        <v>0</v>
      </c>
    </row>
    <row r="14" spans="1:11" s="1" customFormat="1" ht="21" x14ac:dyDescent="0.35">
      <c r="A14" s="130" t="s">
        <v>138</v>
      </c>
      <c r="B14" s="130"/>
      <c r="C14" s="135">
        <v>0</v>
      </c>
      <c r="D14" s="135"/>
      <c r="E14" s="28">
        <f ca="1">((100/(I5))*C14)/100</f>
        <v>0</v>
      </c>
      <c r="F14" s="130"/>
      <c r="G14" s="130"/>
      <c r="H14" s="130"/>
      <c r="I14" s="130"/>
      <c r="J14" s="18" t="s">
        <v>140</v>
      </c>
      <c r="K14" s="23">
        <f>(IF(E5&gt;4,(I5/(E5+2)+K13),0))</f>
        <v>0</v>
      </c>
    </row>
    <row r="15" spans="1:11" s="1" customFormat="1" ht="21" customHeight="1" x14ac:dyDescent="0.35">
      <c r="A15" s="130" t="s">
        <v>165</v>
      </c>
      <c r="B15" s="130"/>
      <c r="C15" s="135">
        <v>0</v>
      </c>
      <c r="D15" s="135"/>
      <c r="E15" s="28">
        <f ca="1">((100/I5)*C15)/100</f>
        <v>0</v>
      </c>
      <c r="F15" s="130"/>
      <c r="G15" s="130"/>
      <c r="H15" s="130"/>
      <c r="I15" s="130"/>
      <c r="J15" s="18" t="s">
        <v>126</v>
      </c>
      <c r="K15" s="23">
        <f>(IF(E5=1,(I5/(E5+3)+K10),IF(E5=0,(I5*0.3+K10),IF(E5&gt;1,0))))</f>
        <v>0</v>
      </c>
    </row>
    <row r="16" spans="1:11" s="1" customFormat="1" ht="21.75" thickBot="1" x14ac:dyDescent="0.4">
      <c r="A16" s="130" t="s">
        <v>164</v>
      </c>
      <c r="B16" s="130"/>
      <c r="C16" s="135">
        <v>0</v>
      </c>
      <c r="D16" s="135"/>
      <c r="E16" s="28">
        <f ca="1">((100/I5)*C16)/100</f>
        <v>0</v>
      </c>
      <c r="F16" s="130"/>
      <c r="G16" s="130"/>
      <c r="H16" s="130"/>
      <c r="I16" s="130"/>
      <c r="J16" s="20" t="s">
        <v>127</v>
      </c>
      <c r="K16" s="25">
        <f ca="1">(IF(E5&gt;1.5,(I5/(E5+2)+K10+MAX(0,K11-K10)+MAX(0,K12-K11)+MAX(0,K13-K12)+MAX(0,K14-K13)+MAX(0,K15-K14)),IF(E5=1,(I5/(E5+3)+K15),IF(E5=0,I5*0.3+K15))))</f>
        <v>1</v>
      </c>
    </row>
    <row r="17" spans="1:9" s="1" customFormat="1" ht="20.25" x14ac:dyDescent="0.25">
      <c r="A17" s="130" t="s">
        <v>141</v>
      </c>
      <c r="B17" s="130"/>
      <c r="C17" s="135">
        <v>0</v>
      </c>
      <c r="D17" s="135"/>
      <c r="E17" s="28">
        <f ca="1">((100/(I5))*C17)/100</f>
        <v>0</v>
      </c>
      <c r="F17" s="130"/>
      <c r="G17" s="130"/>
      <c r="H17" s="130"/>
      <c r="I17" s="130"/>
    </row>
    <row r="18" spans="1:9" s="1" customFormat="1" ht="20.25" x14ac:dyDescent="0.25">
      <c r="A18" s="130" t="s">
        <v>142</v>
      </c>
      <c r="B18" s="130"/>
      <c r="C18" s="135">
        <v>0</v>
      </c>
      <c r="D18" s="135"/>
      <c r="E18" s="28">
        <f ca="1">((100/(I5))*C18)/100</f>
        <v>0</v>
      </c>
      <c r="F18" s="130"/>
      <c r="G18" s="130"/>
      <c r="H18" s="130"/>
      <c r="I18" s="130"/>
    </row>
    <row r="23" spans="1:9" x14ac:dyDescent="0.25">
      <c r="B23" s="195" t="s">
        <v>167</v>
      </c>
      <c r="C23" s="195"/>
      <c r="D23" s="195"/>
      <c r="E23" s="195"/>
      <c r="F23" s="195"/>
      <c r="G23" s="195"/>
    </row>
    <row r="24" spans="1:9" ht="14.45" customHeight="1" x14ac:dyDescent="0.25">
      <c r="B24" s="198" t="s">
        <v>168</v>
      </c>
      <c r="C24" s="198" t="s">
        <v>169</v>
      </c>
      <c r="D24" s="201" t="s">
        <v>170</v>
      </c>
      <c r="E24" s="202" t="s">
        <v>171</v>
      </c>
      <c r="F24" s="199" t="s">
        <v>172</v>
      </c>
      <c r="G24" s="198" t="s">
        <v>173</v>
      </c>
    </row>
    <row r="25" spans="1:9" x14ac:dyDescent="0.25">
      <c r="B25" s="198"/>
      <c r="C25" s="198"/>
      <c r="D25" s="201"/>
      <c r="E25" s="202"/>
      <c r="F25" s="199"/>
      <c r="G25" s="198"/>
    </row>
    <row r="26" spans="1:9" x14ac:dyDescent="0.25">
      <c r="B26" s="38" t="s">
        <v>174</v>
      </c>
      <c r="C26" s="39">
        <v>10</v>
      </c>
      <c r="D26" s="39">
        <v>1</v>
      </c>
      <c r="E26" s="40"/>
      <c r="F26" s="41">
        <f>((E26/D26)*0.05)*100</f>
        <v>0</v>
      </c>
      <c r="G26" s="41">
        <f t="shared" ref="G26:G37" si="0">((E26/D26)*(C26/100))*100</f>
        <v>0</v>
      </c>
    </row>
    <row r="27" spans="1:9" x14ac:dyDescent="0.25">
      <c r="B27" s="38" t="s">
        <v>175</v>
      </c>
      <c r="C27" s="40">
        <v>10</v>
      </c>
      <c r="D27" s="40">
        <v>1</v>
      </c>
      <c r="E27" s="40"/>
      <c r="F27" s="41">
        <f>((E27/D27)*0.05)*100</f>
        <v>0</v>
      </c>
      <c r="G27" s="41">
        <f t="shared" si="0"/>
        <v>0</v>
      </c>
    </row>
    <row r="28" spans="1:9" x14ac:dyDescent="0.25">
      <c r="B28" s="38" t="s">
        <v>176</v>
      </c>
      <c r="C28" s="40">
        <v>15</v>
      </c>
      <c r="D28" s="40">
        <v>1</v>
      </c>
      <c r="E28" s="40"/>
      <c r="F28" s="41">
        <f>((E28/D28)*0.15)*100</f>
        <v>0</v>
      </c>
      <c r="G28" s="41">
        <f t="shared" si="0"/>
        <v>0</v>
      </c>
    </row>
    <row r="29" spans="1:9" x14ac:dyDescent="0.25">
      <c r="B29" s="42" t="s">
        <v>177</v>
      </c>
      <c r="C29" s="40">
        <v>25</v>
      </c>
      <c r="D29" s="40">
        <v>40</v>
      </c>
      <c r="E29" s="40"/>
      <c r="F29" s="41">
        <f>((E29/D29)*0.25)*100</f>
        <v>0</v>
      </c>
      <c r="G29" s="41">
        <f t="shared" si="0"/>
        <v>0</v>
      </c>
    </row>
    <row r="30" spans="1:9" x14ac:dyDescent="0.25">
      <c r="B30" s="42" t="s">
        <v>178</v>
      </c>
      <c r="C30" s="40">
        <v>5</v>
      </c>
      <c r="D30" s="40">
        <v>39</v>
      </c>
      <c r="E30" s="40"/>
      <c r="F30" s="41">
        <f>((E30/D30)*0.05)*100</f>
        <v>0</v>
      </c>
      <c r="G30" s="41">
        <f t="shared" si="0"/>
        <v>0</v>
      </c>
    </row>
    <row r="31" spans="1:9" ht="30" x14ac:dyDescent="0.25">
      <c r="B31" s="42" t="s">
        <v>179</v>
      </c>
      <c r="C31" s="40">
        <v>2.5</v>
      </c>
      <c r="D31" s="40">
        <v>39</v>
      </c>
      <c r="E31" s="40"/>
      <c r="F31" s="41">
        <f>((E31/D31)*0.025)*100</f>
        <v>0</v>
      </c>
      <c r="G31" s="41">
        <f t="shared" si="0"/>
        <v>0</v>
      </c>
    </row>
    <row r="32" spans="1:9" ht="30" x14ac:dyDescent="0.25">
      <c r="B32" s="42" t="s">
        <v>180</v>
      </c>
      <c r="C32" s="40">
        <v>2.5</v>
      </c>
      <c r="D32" s="40">
        <v>39</v>
      </c>
      <c r="E32" s="40"/>
      <c r="F32" s="41">
        <f>((E32/D32)*0.025)*100</f>
        <v>0</v>
      </c>
      <c r="G32" s="41">
        <f t="shared" si="0"/>
        <v>0</v>
      </c>
    </row>
    <row r="33" spans="1:7" ht="45" x14ac:dyDescent="0.25">
      <c r="B33" s="43" t="s">
        <v>181</v>
      </c>
      <c r="C33" s="40">
        <v>5</v>
      </c>
      <c r="D33" s="40">
        <v>39</v>
      </c>
      <c r="E33" s="40"/>
      <c r="F33" s="41">
        <f>((E33/D33)*0.05)*100</f>
        <v>0</v>
      </c>
      <c r="G33" s="41">
        <f t="shared" si="0"/>
        <v>0</v>
      </c>
    </row>
    <row r="34" spans="1:7" ht="30" x14ac:dyDescent="0.25">
      <c r="B34" s="43" t="s">
        <v>182</v>
      </c>
      <c r="C34" s="40">
        <v>5</v>
      </c>
      <c r="D34" s="40">
        <v>39</v>
      </c>
      <c r="E34" s="40"/>
      <c r="F34" s="41">
        <f>((E34/D34)*0.1)*100</f>
        <v>0</v>
      </c>
      <c r="G34" s="41">
        <f t="shared" si="0"/>
        <v>0</v>
      </c>
    </row>
    <row r="35" spans="1:7" ht="30" x14ac:dyDescent="0.25">
      <c r="B35" s="43" t="s">
        <v>183</v>
      </c>
      <c r="C35" s="40">
        <v>5</v>
      </c>
      <c r="D35" s="40">
        <v>39</v>
      </c>
      <c r="E35" s="40"/>
      <c r="F35" s="41">
        <f>((E35/D35)*0.05)*100</f>
        <v>0</v>
      </c>
      <c r="G35" s="41">
        <f t="shared" si="0"/>
        <v>0</v>
      </c>
    </row>
    <row r="36" spans="1:7" ht="60" x14ac:dyDescent="0.25">
      <c r="B36" s="43" t="s">
        <v>184</v>
      </c>
      <c r="C36" s="40">
        <v>10</v>
      </c>
      <c r="D36" s="40">
        <v>39</v>
      </c>
      <c r="E36" s="40"/>
      <c r="F36" s="41">
        <f>((E36/D36)*0.1)*100</f>
        <v>0</v>
      </c>
      <c r="G36" s="41">
        <f t="shared" si="0"/>
        <v>0</v>
      </c>
    </row>
    <row r="37" spans="1:7" ht="45" x14ac:dyDescent="0.25">
      <c r="B37" s="43" t="s">
        <v>185</v>
      </c>
      <c r="C37" s="40">
        <v>5</v>
      </c>
      <c r="D37" s="40">
        <v>39</v>
      </c>
      <c r="E37" s="40"/>
      <c r="F37" s="41">
        <f>((E37/D37)*0.1)*100</f>
        <v>0</v>
      </c>
      <c r="G37" s="41">
        <f t="shared" si="0"/>
        <v>0</v>
      </c>
    </row>
    <row r="38" spans="1:7" ht="15.75" x14ac:dyDescent="0.25">
      <c r="B38" s="44" t="s">
        <v>186</v>
      </c>
      <c r="C38" s="45">
        <f>SUM(C26:C37)</f>
        <v>100</v>
      </c>
      <c r="D38" s="44"/>
      <c r="E38" s="44"/>
      <c r="F38" s="45">
        <f>SUM(F26:F37)</f>
        <v>0</v>
      </c>
      <c r="G38" s="45">
        <f>SUM(G26:G37)</f>
        <v>0</v>
      </c>
    </row>
    <row r="39" spans="1:7" x14ac:dyDescent="0.25">
      <c r="B39" s="199" t="s">
        <v>187</v>
      </c>
      <c r="C39" s="199"/>
      <c r="D39" s="199"/>
      <c r="E39" s="199"/>
      <c r="F39" s="199"/>
      <c r="G39" s="199"/>
    </row>
    <row r="40" spans="1:7" x14ac:dyDescent="0.25">
      <c r="B40" s="200" t="s">
        <v>188</v>
      </c>
      <c r="C40" s="200"/>
      <c r="D40" s="200"/>
      <c r="E40" s="200" t="s">
        <v>189</v>
      </c>
      <c r="F40" s="200"/>
      <c r="G40" s="200"/>
    </row>
    <row r="41" spans="1:7" x14ac:dyDescent="0.25">
      <c r="B41" s="196" t="s">
        <v>190</v>
      </c>
      <c r="C41" s="196"/>
      <c r="D41" s="196"/>
      <c r="E41" s="196" t="s">
        <v>191</v>
      </c>
      <c r="F41" s="196"/>
      <c r="G41" s="196"/>
    </row>
    <row r="42" spans="1:7" x14ac:dyDescent="0.25">
      <c r="B42" s="196" t="s">
        <v>192</v>
      </c>
      <c r="C42" s="196"/>
      <c r="D42" s="196"/>
      <c r="E42" s="196" t="s">
        <v>193</v>
      </c>
      <c r="F42" s="196"/>
      <c r="G42" s="196"/>
    </row>
    <row r="43" spans="1:7" x14ac:dyDescent="0.25">
      <c r="B43" s="197" t="s">
        <v>194</v>
      </c>
      <c r="C43" s="197"/>
      <c r="D43" s="197"/>
      <c r="E43" s="197" t="s">
        <v>195</v>
      </c>
      <c r="F43" s="197"/>
      <c r="G43" s="197"/>
    </row>
    <row r="45" spans="1:7" ht="15.75" thickBot="1" x14ac:dyDescent="0.3"/>
    <row r="46" spans="1:7" ht="17.25" thickTop="1" thickBot="1" x14ac:dyDescent="0.3">
      <c r="A46" s="46" t="s">
        <v>196</v>
      </c>
      <c r="B46" s="46" t="s">
        <v>168</v>
      </c>
      <c r="C46" s="47" t="s">
        <v>197</v>
      </c>
      <c r="D46" s="47" t="s">
        <v>198</v>
      </c>
      <c r="E46" s="47" t="s">
        <v>199</v>
      </c>
    </row>
    <row r="47" spans="1:7" ht="31.5" thickTop="1" thickBot="1" x14ac:dyDescent="0.3">
      <c r="A47" s="48">
        <v>1</v>
      </c>
      <c r="B47" s="49" t="s">
        <v>200</v>
      </c>
      <c r="C47" s="50">
        <v>0</v>
      </c>
      <c r="D47" s="51">
        <v>0.1</v>
      </c>
      <c r="E47" s="50">
        <v>0.1</v>
      </c>
    </row>
    <row r="48" spans="1:7" ht="31.5" thickTop="1" thickBot="1" x14ac:dyDescent="0.3">
      <c r="A48" s="48">
        <v>2</v>
      </c>
      <c r="B48" s="49" t="s">
        <v>201</v>
      </c>
      <c r="C48" s="50" t="s">
        <v>202</v>
      </c>
      <c r="D48" s="51" t="s">
        <v>203</v>
      </c>
      <c r="E48" s="50">
        <v>0.3</v>
      </c>
    </row>
    <row r="49" spans="1:5" ht="61.5" thickTop="1" thickBot="1" x14ac:dyDescent="0.3">
      <c r="A49" s="48">
        <v>3</v>
      </c>
      <c r="B49" s="49" t="s">
        <v>204</v>
      </c>
      <c r="C49" s="50" t="s">
        <v>205</v>
      </c>
      <c r="D49" s="51" t="s">
        <v>206</v>
      </c>
      <c r="E49" s="50">
        <v>0.45</v>
      </c>
    </row>
    <row r="50" spans="1:5" ht="76.5" thickTop="1" thickBot="1" x14ac:dyDescent="0.3">
      <c r="A50" s="48">
        <v>4</v>
      </c>
      <c r="B50" s="49" t="s">
        <v>207</v>
      </c>
      <c r="C50" s="50" t="s">
        <v>208</v>
      </c>
      <c r="D50" s="51" t="s">
        <v>209</v>
      </c>
      <c r="E50" s="50">
        <v>0.7</v>
      </c>
    </row>
    <row r="51" spans="1:5" ht="76.5" thickTop="1" thickBot="1" x14ac:dyDescent="0.3">
      <c r="A51" s="48">
        <v>5</v>
      </c>
      <c r="B51" s="49" t="s">
        <v>210</v>
      </c>
      <c r="C51" s="50" t="s">
        <v>211</v>
      </c>
      <c r="D51" s="51" t="s">
        <v>212</v>
      </c>
      <c r="E51" s="50">
        <v>0.75</v>
      </c>
    </row>
    <row r="52" spans="1:5" ht="76.5" thickTop="1" thickBot="1" x14ac:dyDescent="0.3">
      <c r="A52" s="48">
        <v>6</v>
      </c>
      <c r="B52" s="49" t="s">
        <v>213</v>
      </c>
      <c r="C52" s="50" t="s">
        <v>214</v>
      </c>
      <c r="D52" s="51" t="s">
        <v>215</v>
      </c>
      <c r="E52" s="50">
        <v>0.8</v>
      </c>
    </row>
    <row r="53" spans="1:5" ht="121.5" thickTop="1" thickBot="1" x14ac:dyDescent="0.3">
      <c r="A53" s="48">
        <v>7</v>
      </c>
      <c r="B53" s="49" t="s">
        <v>216</v>
      </c>
      <c r="C53" s="50" t="s">
        <v>217</v>
      </c>
      <c r="D53" s="51" t="s">
        <v>218</v>
      </c>
      <c r="E53" s="50">
        <v>0.85</v>
      </c>
    </row>
    <row r="54" spans="1:5" ht="211.5" thickTop="1" thickBot="1" x14ac:dyDescent="0.3">
      <c r="A54" s="48">
        <v>8</v>
      </c>
      <c r="B54" s="49" t="s">
        <v>219</v>
      </c>
      <c r="C54" s="50" t="s">
        <v>220</v>
      </c>
      <c r="D54" s="51" t="s">
        <v>221</v>
      </c>
      <c r="E54" s="50">
        <v>0.95</v>
      </c>
    </row>
    <row r="55" spans="1:5" ht="91.5" thickTop="1" thickBot="1" x14ac:dyDescent="0.3">
      <c r="A55" s="48">
        <v>9</v>
      </c>
      <c r="B55" s="49" t="s">
        <v>222</v>
      </c>
      <c r="C55" s="50" t="s">
        <v>223</v>
      </c>
      <c r="D55" s="51" t="s">
        <v>224</v>
      </c>
      <c r="E55" s="50">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25" sqref="C25"/>
    </sheetView>
  </sheetViews>
  <sheetFormatPr defaultRowHeight="15" x14ac:dyDescent="0.25"/>
  <cols>
    <col min="2" max="2" width="3" bestFit="1" customWidth="1"/>
    <col min="3" max="3" width="155.28515625" customWidth="1"/>
  </cols>
  <sheetData>
    <row r="2" spans="2:3" ht="30" x14ac:dyDescent="0.25">
      <c r="B2" s="40">
        <v>1</v>
      </c>
      <c r="C2" s="58" t="s">
        <v>244</v>
      </c>
    </row>
    <row r="3" spans="2:3" x14ac:dyDescent="0.25">
      <c r="B3" s="40">
        <v>2</v>
      </c>
      <c r="C3" s="59" t="s">
        <v>245</v>
      </c>
    </row>
    <row r="4" spans="2:3" x14ac:dyDescent="0.25">
      <c r="B4" s="40">
        <v>3</v>
      </c>
      <c r="C4" s="60" t="s">
        <v>246</v>
      </c>
    </row>
    <row r="5" spans="2:3" x14ac:dyDescent="0.25">
      <c r="B5" s="40">
        <v>4</v>
      </c>
      <c r="C5" s="59" t="s">
        <v>247</v>
      </c>
    </row>
    <row r="6" spans="2:3" x14ac:dyDescent="0.25">
      <c r="B6" s="40">
        <v>5</v>
      </c>
      <c r="C6" s="60" t="s">
        <v>248</v>
      </c>
    </row>
    <row r="7" spans="2:3" ht="30" x14ac:dyDescent="0.25">
      <c r="B7" s="40">
        <v>6</v>
      </c>
      <c r="C7" s="59" t="s">
        <v>249</v>
      </c>
    </row>
    <row r="8" spans="2:3" ht="75" x14ac:dyDescent="0.25">
      <c r="B8" s="40">
        <v>7</v>
      </c>
      <c r="C8" s="59" t="s">
        <v>250</v>
      </c>
    </row>
    <row r="9" spans="2:3" x14ac:dyDescent="0.25">
      <c r="B9" s="40">
        <v>8</v>
      </c>
      <c r="C9" s="60" t="s">
        <v>251</v>
      </c>
    </row>
    <row r="10" spans="2:3" x14ac:dyDescent="0.25">
      <c r="B10" s="40">
        <v>9</v>
      </c>
      <c r="C10" s="60" t="s">
        <v>252</v>
      </c>
    </row>
    <row r="11" spans="2:3" x14ac:dyDescent="0.25">
      <c r="B11" s="40">
        <v>10</v>
      </c>
      <c r="C11" s="60" t="s">
        <v>253</v>
      </c>
    </row>
    <row r="12" spans="2:3" x14ac:dyDescent="0.25">
      <c r="B12" s="40">
        <v>11</v>
      </c>
      <c r="C12" s="60" t="s">
        <v>254</v>
      </c>
    </row>
    <row r="13" spans="2:3" x14ac:dyDescent="0.25">
      <c r="B13" s="40">
        <v>12</v>
      </c>
      <c r="C13" s="60" t="s">
        <v>255</v>
      </c>
    </row>
    <row r="14" spans="2:3" x14ac:dyDescent="0.25">
      <c r="B14" s="40">
        <v>13</v>
      </c>
      <c r="C14" s="60" t="s">
        <v>256</v>
      </c>
    </row>
    <row r="15" spans="2:3" x14ac:dyDescent="0.25">
      <c r="B15" s="40">
        <v>14</v>
      </c>
      <c r="C15" s="60" t="s">
        <v>246</v>
      </c>
    </row>
    <row r="16" spans="2:3" x14ac:dyDescent="0.25">
      <c r="B16" s="40">
        <v>15</v>
      </c>
      <c r="C16" s="60" t="s">
        <v>238</v>
      </c>
    </row>
    <row r="17" spans="2:3" x14ac:dyDescent="0.25">
      <c r="B17" s="61">
        <v>16</v>
      </c>
      <c r="C17" s="62" t="s">
        <v>257</v>
      </c>
    </row>
    <row r="18" spans="2:3" x14ac:dyDescent="0.25">
      <c r="B18" s="63">
        <v>17</v>
      </c>
      <c r="C18" s="62" t="s">
        <v>258</v>
      </c>
    </row>
    <row r="19" spans="2:3" x14ac:dyDescent="0.25">
      <c r="B19" s="64">
        <v>18</v>
      </c>
      <c r="C19" s="40" t="s">
        <v>259</v>
      </c>
    </row>
    <row r="20" spans="2:3" x14ac:dyDescent="0.25">
      <c r="B20" s="63">
        <v>19</v>
      </c>
      <c r="C20" s="40" t="s">
        <v>260</v>
      </c>
    </row>
    <row r="21" spans="2:3" x14ac:dyDescent="0.25">
      <c r="B21" s="65">
        <v>20</v>
      </c>
      <c r="C21" s="40" t="s">
        <v>261</v>
      </c>
    </row>
    <row r="22" spans="2:3" x14ac:dyDescent="0.25">
      <c r="B22" s="63">
        <v>21</v>
      </c>
      <c r="C22" s="40" t="s">
        <v>259</v>
      </c>
    </row>
    <row r="23" spans="2:3" s="67" customFormat="1" ht="30" x14ac:dyDescent="0.25">
      <c r="B23" s="66">
        <v>22</v>
      </c>
      <c r="C23" s="58" t="s">
        <v>262</v>
      </c>
    </row>
    <row r="24" spans="2:3" s="67" customFormat="1" ht="30" x14ac:dyDescent="0.25">
      <c r="B24" s="68">
        <v>23</v>
      </c>
      <c r="C24" s="58" t="s">
        <v>263</v>
      </c>
    </row>
    <row r="25" spans="2:3" x14ac:dyDescent="0.25">
      <c r="B25" s="65">
        <v>24</v>
      </c>
      <c r="C25" s="40" t="s">
        <v>264</v>
      </c>
    </row>
    <row r="26" spans="2:3" x14ac:dyDescent="0.25">
      <c r="B26" s="63">
        <v>25</v>
      </c>
      <c r="C26" s="40" t="s">
        <v>265</v>
      </c>
    </row>
    <row r="27" spans="2:3" x14ac:dyDescent="0.25">
      <c r="B27" s="68">
        <v>26</v>
      </c>
      <c r="C27" s="65" t="s">
        <v>266</v>
      </c>
    </row>
    <row r="28" spans="2:3" x14ac:dyDescent="0.25">
      <c r="B28" s="69">
        <v>27</v>
      </c>
      <c r="C28" s="40" t="s">
        <v>267</v>
      </c>
    </row>
    <row r="29" spans="2:3" ht="60" x14ac:dyDescent="0.25">
      <c r="B29" s="70">
        <v>28</v>
      </c>
      <c r="C29" s="59" t="s">
        <v>268</v>
      </c>
    </row>
    <row r="30" spans="2:3" x14ac:dyDescent="0.25">
      <c r="B30" s="68">
        <v>29</v>
      </c>
      <c r="C30" s="40" t="s">
        <v>269</v>
      </c>
    </row>
    <row r="31" spans="2:3" ht="30" x14ac:dyDescent="0.25">
      <c r="B31" s="71">
        <v>30</v>
      </c>
      <c r="C31" s="59" t="s">
        <v>297</v>
      </c>
    </row>
    <row r="32" spans="2:3" x14ac:dyDescent="0.25">
      <c r="B32" s="68">
        <v>31</v>
      </c>
      <c r="C32" s="40" t="s">
        <v>298</v>
      </c>
    </row>
    <row r="33" spans="2:3" x14ac:dyDescent="0.25">
      <c r="B33" s="68">
        <v>32</v>
      </c>
      <c r="C33" s="40" t="s">
        <v>299</v>
      </c>
    </row>
    <row r="34" spans="2:3" ht="30" x14ac:dyDescent="0.25">
      <c r="B34" s="71">
        <v>33</v>
      </c>
      <c r="C34" s="62" t="s">
        <v>300</v>
      </c>
    </row>
    <row r="35" spans="2:3" x14ac:dyDescent="0.25">
      <c r="B35" s="68">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RowHeight="15" x14ac:dyDescent="0.25"/>
  <cols>
    <col min="1" max="1" width="9.140625" style="72"/>
    <col min="2" max="2" width="12.28515625" style="72" customWidth="1"/>
    <col min="3" max="16384" width="9.140625" style="72"/>
  </cols>
  <sheetData>
    <row r="2" spans="1:12" x14ac:dyDescent="0.25">
      <c r="B2" s="73" t="s">
        <v>270</v>
      </c>
      <c r="C2" s="203"/>
      <c r="D2" s="203"/>
    </row>
    <row r="3" spans="1:12" x14ac:dyDescent="0.25">
      <c r="D3" s="74"/>
      <c r="E3" s="74"/>
      <c r="F3" s="74"/>
      <c r="G3" s="74"/>
      <c r="H3" s="74"/>
      <c r="I3" s="74"/>
    </row>
    <row r="4" spans="1:12" x14ac:dyDescent="0.25">
      <c r="A4" s="73" t="s">
        <v>271</v>
      </c>
      <c r="B4" s="57" t="s">
        <v>272</v>
      </c>
      <c r="C4" s="204" t="s">
        <v>273</v>
      </c>
      <c r="D4" s="204"/>
      <c r="E4" s="204"/>
      <c r="F4" s="57"/>
      <c r="G4" s="205" t="s">
        <v>274</v>
      </c>
      <c r="H4" s="205"/>
      <c r="I4" s="205"/>
      <c r="J4" s="206" t="s">
        <v>275</v>
      </c>
      <c r="K4" s="206"/>
      <c r="L4" s="206"/>
    </row>
    <row r="5" spans="1:12" x14ac:dyDescent="0.25">
      <c r="A5" s="73"/>
      <c r="B5" s="57"/>
      <c r="C5" s="57" t="s">
        <v>276</v>
      </c>
      <c r="D5" s="57" t="s">
        <v>277</v>
      </c>
      <c r="E5" s="57" t="s">
        <v>278</v>
      </c>
      <c r="F5" s="57"/>
      <c r="G5" s="57" t="s">
        <v>276</v>
      </c>
      <c r="H5" s="57" t="s">
        <v>277</v>
      </c>
      <c r="I5" s="57" t="s">
        <v>278</v>
      </c>
      <c r="J5" s="57" t="s">
        <v>276</v>
      </c>
      <c r="K5" s="57" t="s">
        <v>277</v>
      </c>
      <c r="L5" s="57" t="s">
        <v>278</v>
      </c>
    </row>
    <row r="6" spans="1:12" x14ac:dyDescent="0.25">
      <c r="B6" s="56" t="s">
        <v>279</v>
      </c>
      <c r="C6" s="56"/>
      <c r="D6" s="56"/>
      <c r="E6" s="56">
        <f>C6*D6</f>
        <v>0</v>
      </c>
      <c r="F6" s="56" t="s">
        <v>280</v>
      </c>
      <c r="G6" s="56"/>
      <c r="H6" s="56"/>
      <c r="I6" s="56">
        <f>G6*H6</f>
        <v>0</v>
      </c>
      <c r="J6" s="56"/>
      <c r="K6" s="56"/>
      <c r="L6" s="56">
        <f>J6*K6</f>
        <v>0</v>
      </c>
    </row>
    <row r="7" spans="1:12" x14ac:dyDescent="0.25">
      <c r="B7" s="56"/>
      <c r="C7" s="56"/>
      <c r="D7" s="56"/>
      <c r="E7" s="56">
        <f t="shared" ref="E7:E41" si="0">C7*D7</f>
        <v>0</v>
      </c>
      <c r="F7" s="56" t="s">
        <v>280</v>
      </c>
      <c r="G7" s="56"/>
      <c r="H7" s="56"/>
      <c r="I7" s="56">
        <f t="shared" ref="I7:I35" si="1">G7*H7</f>
        <v>0</v>
      </c>
      <c r="J7" s="56"/>
      <c r="K7" s="56"/>
      <c r="L7" s="56">
        <f t="shared" ref="L7:L35" si="2">J7*K7</f>
        <v>0</v>
      </c>
    </row>
    <row r="8" spans="1:12" x14ac:dyDescent="0.25">
      <c r="B8" s="56"/>
      <c r="C8" s="56"/>
      <c r="D8" s="56"/>
      <c r="E8" s="56">
        <f t="shared" si="0"/>
        <v>0</v>
      </c>
      <c r="F8" s="56"/>
      <c r="G8" s="56"/>
      <c r="H8" s="56"/>
      <c r="I8" s="56">
        <f t="shared" si="1"/>
        <v>0</v>
      </c>
      <c r="J8" s="56"/>
      <c r="K8" s="56"/>
      <c r="L8" s="56">
        <f t="shared" si="2"/>
        <v>0</v>
      </c>
    </row>
    <row r="9" spans="1:12" x14ac:dyDescent="0.25">
      <c r="B9" s="56"/>
      <c r="C9" s="56"/>
      <c r="D9" s="56"/>
      <c r="E9" s="56">
        <f t="shared" si="0"/>
        <v>0</v>
      </c>
      <c r="F9" s="56" t="s">
        <v>281</v>
      </c>
      <c r="G9" s="56"/>
      <c r="H9" s="56"/>
      <c r="I9" s="56">
        <f t="shared" si="1"/>
        <v>0</v>
      </c>
      <c r="J9" s="56"/>
      <c r="K9" s="56"/>
      <c r="L9" s="56">
        <f t="shared" si="2"/>
        <v>0</v>
      </c>
    </row>
    <row r="10" spans="1:12" x14ac:dyDescent="0.25">
      <c r="B10" s="56" t="s">
        <v>282</v>
      </c>
      <c r="C10" s="56"/>
      <c r="D10" s="56"/>
      <c r="E10" s="56">
        <f t="shared" si="0"/>
        <v>0</v>
      </c>
      <c r="F10" s="56" t="s">
        <v>281</v>
      </c>
      <c r="G10" s="56"/>
      <c r="H10" s="56"/>
      <c r="I10" s="56">
        <f t="shared" si="1"/>
        <v>0</v>
      </c>
      <c r="J10" s="56"/>
      <c r="K10" s="56"/>
      <c r="L10" s="56">
        <f t="shared" si="2"/>
        <v>0</v>
      </c>
    </row>
    <row r="11" spans="1:12" x14ac:dyDescent="0.25">
      <c r="B11" s="56"/>
      <c r="C11" s="56"/>
      <c r="D11" s="56"/>
      <c r="E11" s="56">
        <f t="shared" si="0"/>
        <v>0</v>
      </c>
      <c r="F11" s="56" t="s">
        <v>283</v>
      </c>
      <c r="G11" s="56"/>
      <c r="H11" s="56"/>
      <c r="I11" s="56">
        <f t="shared" si="1"/>
        <v>0</v>
      </c>
      <c r="J11" s="56"/>
      <c r="K11" s="56"/>
      <c r="L11" s="56">
        <f t="shared" si="2"/>
        <v>0</v>
      </c>
    </row>
    <row r="12" spans="1:12" x14ac:dyDescent="0.25">
      <c r="B12" s="56"/>
      <c r="C12" s="56"/>
      <c r="D12" s="56"/>
      <c r="E12" s="56">
        <f t="shared" si="0"/>
        <v>0</v>
      </c>
      <c r="F12" s="56"/>
      <c r="G12" s="56"/>
      <c r="H12" s="56"/>
      <c r="I12" s="56">
        <f t="shared" si="1"/>
        <v>0</v>
      </c>
      <c r="J12" s="56"/>
      <c r="K12" s="56"/>
      <c r="L12" s="56">
        <f t="shared" si="2"/>
        <v>0</v>
      </c>
    </row>
    <row r="13" spans="1:12" x14ac:dyDescent="0.25">
      <c r="B13" s="56"/>
      <c r="C13" s="56"/>
      <c r="D13" s="56"/>
      <c r="E13" s="56">
        <f t="shared" si="0"/>
        <v>0</v>
      </c>
      <c r="F13" s="56"/>
      <c r="G13" s="56"/>
      <c r="H13" s="56"/>
      <c r="I13" s="56">
        <f t="shared" si="1"/>
        <v>0</v>
      </c>
      <c r="J13" s="56"/>
      <c r="K13" s="56"/>
      <c r="L13" s="56">
        <f t="shared" si="2"/>
        <v>0</v>
      </c>
    </row>
    <row r="14" spans="1:12" x14ac:dyDescent="0.25">
      <c r="B14" s="56" t="s">
        <v>284</v>
      </c>
      <c r="C14" s="56"/>
      <c r="D14" s="56"/>
      <c r="E14" s="56">
        <f t="shared" si="0"/>
        <v>0</v>
      </c>
      <c r="F14" s="56" t="s">
        <v>281</v>
      </c>
      <c r="G14" s="56"/>
      <c r="H14" s="56"/>
      <c r="I14" s="56">
        <f t="shared" si="1"/>
        <v>0</v>
      </c>
      <c r="J14" s="56"/>
      <c r="K14" s="56"/>
      <c r="L14" s="56">
        <f t="shared" si="2"/>
        <v>0</v>
      </c>
    </row>
    <row r="15" spans="1:12" x14ac:dyDescent="0.25">
      <c r="B15" s="56"/>
      <c r="C15" s="56"/>
      <c r="D15" s="56"/>
      <c r="E15" s="56">
        <f t="shared" si="0"/>
        <v>0</v>
      </c>
      <c r="F15" s="56" t="s">
        <v>283</v>
      </c>
      <c r="G15" s="56"/>
      <c r="H15" s="56"/>
      <c r="I15" s="56">
        <f t="shared" si="1"/>
        <v>0</v>
      </c>
      <c r="J15" s="56"/>
      <c r="K15" s="56"/>
      <c r="L15" s="56">
        <f t="shared" si="2"/>
        <v>0</v>
      </c>
    </row>
    <row r="16" spans="1:12" x14ac:dyDescent="0.25">
      <c r="B16" s="56"/>
      <c r="C16" s="56"/>
      <c r="D16" s="56"/>
      <c r="E16" s="56">
        <f t="shared" si="0"/>
        <v>0</v>
      </c>
      <c r="F16" s="56"/>
      <c r="G16" s="56"/>
      <c r="H16" s="56"/>
      <c r="I16" s="56">
        <f t="shared" si="1"/>
        <v>0</v>
      </c>
      <c r="J16" s="56"/>
      <c r="K16" s="56"/>
      <c r="L16" s="56">
        <f t="shared" si="2"/>
        <v>0</v>
      </c>
    </row>
    <row r="17" spans="2:12" x14ac:dyDescent="0.25">
      <c r="B17" s="56"/>
      <c r="C17" s="56"/>
      <c r="D17" s="56"/>
      <c r="E17" s="56">
        <f t="shared" si="0"/>
        <v>0</v>
      </c>
      <c r="F17" s="56"/>
      <c r="G17" s="56"/>
      <c r="H17" s="56"/>
      <c r="I17" s="56">
        <f t="shared" si="1"/>
        <v>0</v>
      </c>
      <c r="J17" s="56"/>
      <c r="K17" s="56"/>
      <c r="L17" s="56">
        <f t="shared" si="2"/>
        <v>0</v>
      </c>
    </row>
    <row r="18" spans="2:12" x14ac:dyDescent="0.25">
      <c r="B18" s="56" t="s">
        <v>285</v>
      </c>
      <c r="C18" s="56"/>
      <c r="D18" s="56"/>
      <c r="E18" s="56">
        <f t="shared" si="0"/>
        <v>0</v>
      </c>
      <c r="F18" s="56" t="s">
        <v>281</v>
      </c>
      <c r="G18" s="56"/>
      <c r="H18" s="56"/>
      <c r="I18" s="56">
        <f t="shared" si="1"/>
        <v>0</v>
      </c>
      <c r="J18" s="56"/>
      <c r="K18" s="56"/>
      <c r="L18" s="56">
        <f t="shared" si="2"/>
        <v>0</v>
      </c>
    </row>
    <row r="19" spans="2:12" x14ac:dyDescent="0.25">
      <c r="B19" s="56"/>
      <c r="C19" s="56"/>
      <c r="D19" s="56"/>
      <c r="E19" s="56">
        <f t="shared" si="0"/>
        <v>0</v>
      </c>
      <c r="F19" s="56" t="s">
        <v>283</v>
      </c>
      <c r="G19" s="56"/>
      <c r="H19" s="56"/>
      <c r="I19" s="56">
        <f t="shared" si="1"/>
        <v>0</v>
      </c>
      <c r="J19" s="56"/>
      <c r="K19" s="56"/>
      <c r="L19" s="56">
        <f t="shared" si="2"/>
        <v>0</v>
      </c>
    </row>
    <row r="20" spans="2:12" x14ac:dyDescent="0.25">
      <c r="B20" s="56"/>
      <c r="C20" s="56"/>
      <c r="D20" s="56"/>
      <c r="E20" s="56">
        <f t="shared" si="0"/>
        <v>0</v>
      </c>
      <c r="F20" s="56"/>
      <c r="G20" s="56"/>
      <c r="H20" s="56"/>
      <c r="I20" s="56">
        <f t="shared" si="1"/>
        <v>0</v>
      </c>
      <c r="J20" s="56"/>
      <c r="K20" s="56"/>
      <c r="L20" s="56">
        <f t="shared" si="2"/>
        <v>0</v>
      </c>
    </row>
    <row r="21" spans="2:12" x14ac:dyDescent="0.25">
      <c r="B21" s="56" t="s">
        <v>286</v>
      </c>
      <c r="C21" s="56"/>
      <c r="D21" s="56"/>
      <c r="E21" s="56">
        <f t="shared" si="0"/>
        <v>0</v>
      </c>
      <c r="F21" s="56" t="s">
        <v>281</v>
      </c>
      <c r="G21" s="56"/>
      <c r="H21" s="56"/>
      <c r="I21" s="56">
        <f t="shared" si="1"/>
        <v>0</v>
      </c>
      <c r="J21" s="56"/>
      <c r="K21" s="56"/>
      <c r="L21" s="56">
        <f t="shared" si="2"/>
        <v>0</v>
      </c>
    </row>
    <row r="22" spans="2:12" x14ac:dyDescent="0.25">
      <c r="B22" s="56"/>
      <c r="C22" s="56"/>
      <c r="D22" s="56"/>
      <c r="E22" s="56">
        <f t="shared" si="0"/>
        <v>0</v>
      </c>
      <c r="F22" s="56" t="s">
        <v>283</v>
      </c>
      <c r="G22" s="56"/>
      <c r="H22" s="56"/>
      <c r="I22" s="56">
        <f t="shared" si="1"/>
        <v>0</v>
      </c>
      <c r="J22" s="56"/>
      <c r="K22" s="56"/>
      <c r="L22" s="56">
        <f t="shared" si="2"/>
        <v>0</v>
      </c>
    </row>
    <row r="23" spans="2:12" x14ac:dyDescent="0.25">
      <c r="B23" s="56"/>
      <c r="C23" s="56"/>
      <c r="D23" s="56"/>
      <c r="E23" s="56">
        <f t="shared" si="0"/>
        <v>0</v>
      </c>
      <c r="F23" s="56"/>
      <c r="G23" s="56"/>
      <c r="H23" s="56"/>
      <c r="I23" s="56">
        <f t="shared" si="1"/>
        <v>0</v>
      </c>
      <c r="J23" s="56"/>
      <c r="K23" s="56"/>
      <c r="L23" s="56">
        <f t="shared" si="2"/>
        <v>0</v>
      </c>
    </row>
    <row r="24" spans="2:12" x14ac:dyDescent="0.25">
      <c r="B24" s="56" t="s">
        <v>287</v>
      </c>
      <c r="C24" s="56"/>
      <c r="D24" s="56"/>
      <c r="E24" s="56">
        <f t="shared" si="0"/>
        <v>0</v>
      </c>
      <c r="F24" s="56" t="s">
        <v>288</v>
      </c>
      <c r="G24" s="56"/>
      <c r="H24" s="56"/>
      <c r="I24" s="56">
        <f t="shared" si="1"/>
        <v>0</v>
      </c>
      <c r="J24" s="56"/>
      <c r="K24" s="56"/>
      <c r="L24" s="56">
        <f t="shared" si="2"/>
        <v>0</v>
      </c>
    </row>
    <row r="25" spans="2:12" x14ac:dyDescent="0.25">
      <c r="B25" s="56"/>
      <c r="C25" s="56"/>
      <c r="D25" s="56"/>
      <c r="E25" s="56">
        <f t="shared" si="0"/>
        <v>0</v>
      </c>
      <c r="F25" s="56" t="s">
        <v>288</v>
      </c>
      <c r="G25" s="56"/>
      <c r="H25" s="56"/>
      <c r="I25" s="56">
        <f t="shared" si="1"/>
        <v>0</v>
      </c>
      <c r="J25" s="56"/>
      <c r="K25" s="56"/>
      <c r="L25" s="56">
        <f t="shared" si="2"/>
        <v>0</v>
      </c>
    </row>
    <row r="26" spans="2:12" x14ac:dyDescent="0.25">
      <c r="B26" s="56"/>
      <c r="C26" s="56"/>
      <c r="D26" s="56"/>
      <c r="E26" s="56">
        <f t="shared" si="0"/>
        <v>0</v>
      </c>
      <c r="F26" s="56" t="s">
        <v>288</v>
      </c>
      <c r="G26" s="56"/>
      <c r="H26" s="56"/>
      <c r="I26" s="56">
        <f t="shared" si="1"/>
        <v>0</v>
      </c>
      <c r="J26" s="56"/>
      <c r="K26" s="56"/>
      <c r="L26" s="56">
        <f t="shared" si="2"/>
        <v>0</v>
      </c>
    </row>
    <row r="27" spans="2:12" x14ac:dyDescent="0.25">
      <c r="B27" s="56"/>
      <c r="C27" s="56"/>
      <c r="D27" s="56"/>
      <c r="E27" s="56">
        <f t="shared" si="0"/>
        <v>0</v>
      </c>
      <c r="F27" s="56" t="s">
        <v>288</v>
      </c>
      <c r="G27" s="56"/>
      <c r="H27" s="56"/>
      <c r="I27" s="56">
        <f t="shared" si="1"/>
        <v>0</v>
      </c>
      <c r="J27" s="56"/>
      <c r="K27" s="56"/>
      <c r="L27" s="56">
        <f t="shared" si="2"/>
        <v>0</v>
      </c>
    </row>
    <row r="28" spans="2:12" x14ac:dyDescent="0.25">
      <c r="B28" s="56" t="s">
        <v>289</v>
      </c>
      <c r="C28" s="56"/>
      <c r="D28" s="56"/>
      <c r="E28" s="56">
        <f t="shared" si="0"/>
        <v>0</v>
      </c>
      <c r="F28" s="56" t="s">
        <v>288</v>
      </c>
      <c r="G28" s="56"/>
      <c r="H28" s="56"/>
      <c r="I28" s="56">
        <f t="shared" si="1"/>
        <v>0</v>
      </c>
      <c r="J28" s="56"/>
      <c r="K28" s="56"/>
      <c r="L28" s="56">
        <f t="shared" si="2"/>
        <v>0</v>
      </c>
    </row>
    <row r="29" spans="2:12" x14ac:dyDescent="0.25">
      <c r="B29" s="56" t="s">
        <v>290</v>
      </c>
      <c r="C29" s="56"/>
      <c r="D29" s="56"/>
      <c r="E29" s="56">
        <f t="shared" si="0"/>
        <v>0</v>
      </c>
      <c r="F29" s="56" t="s">
        <v>288</v>
      </c>
      <c r="G29" s="56"/>
      <c r="H29" s="56"/>
      <c r="I29" s="56">
        <f t="shared" si="1"/>
        <v>0</v>
      </c>
      <c r="J29" s="56"/>
      <c r="K29" s="56"/>
      <c r="L29" s="56">
        <f t="shared" si="2"/>
        <v>0</v>
      </c>
    </row>
    <row r="30" spans="2:12" x14ac:dyDescent="0.25">
      <c r="B30" s="56" t="s">
        <v>291</v>
      </c>
      <c r="C30" s="56"/>
      <c r="D30" s="56"/>
      <c r="E30" s="56">
        <f t="shared" si="0"/>
        <v>0</v>
      </c>
      <c r="F30" s="56"/>
      <c r="G30" s="56"/>
      <c r="H30" s="56"/>
      <c r="I30" s="56">
        <f t="shared" si="1"/>
        <v>0</v>
      </c>
      <c r="J30" s="56"/>
      <c r="K30" s="56"/>
      <c r="L30" s="56">
        <f t="shared" si="2"/>
        <v>0</v>
      </c>
    </row>
    <row r="31" spans="2:12" x14ac:dyDescent="0.25">
      <c r="B31" s="56"/>
      <c r="C31" s="56"/>
      <c r="D31" s="56"/>
      <c r="E31" s="56">
        <f t="shared" si="0"/>
        <v>0</v>
      </c>
      <c r="F31" s="56"/>
      <c r="G31" s="56"/>
      <c r="H31" s="56"/>
      <c r="I31" s="56">
        <f t="shared" si="1"/>
        <v>0</v>
      </c>
      <c r="J31" s="56"/>
      <c r="K31" s="56"/>
      <c r="L31" s="56">
        <f t="shared" si="2"/>
        <v>0</v>
      </c>
    </row>
    <row r="32" spans="2:12" x14ac:dyDescent="0.25">
      <c r="B32" s="56"/>
      <c r="C32" s="56"/>
      <c r="D32" s="56"/>
      <c r="E32" s="56">
        <f t="shared" si="0"/>
        <v>0</v>
      </c>
      <c r="F32" s="56"/>
      <c r="G32" s="56"/>
      <c r="H32" s="56"/>
      <c r="I32" s="56">
        <f t="shared" si="1"/>
        <v>0</v>
      </c>
      <c r="J32" s="56"/>
      <c r="K32" s="56"/>
      <c r="L32" s="56">
        <f t="shared" si="2"/>
        <v>0</v>
      </c>
    </row>
    <row r="33" spans="2:12" x14ac:dyDescent="0.25">
      <c r="B33" s="56" t="s">
        <v>292</v>
      </c>
      <c r="C33" s="56"/>
      <c r="D33" s="56"/>
      <c r="E33" s="56">
        <f t="shared" si="0"/>
        <v>0</v>
      </c>
      <c r="F33" s="56"/>
      <c r="G33" s="56"/>
      <c r="H33" s="56"/>
      <c r="I33" s="56">
        <f t="shared" si="1"/>
        <v>0</v>
      </c>
      <c r="J33" s="56"/>
      <c r="K33" s="56"/>
      <c r="L33" s="56">
        <f t="shared" si="2"/>
        <v>0</v>
      </c>
    </row>
    <row r="34" spans="2:12" x14ac:dyDescent="0.25">
      <c r="B34" s="56" t="s">
        <v>293</v>
      </c>
      <c r="C34" s="56"/>
      <c r="D34" s="56"/>
      <c r="E34" s="56">
        <f t="shared" si="0"/>
        <v>0</v>
      </c>
      <c r="F34" s="56"/>
      <c r="G34" s="56"/>
      <c r="H34" s="56"/>
      <c r="I34" s="56">
        <f t="shared" si="1"/>
        <v>0</v>
      </c>
      <c r="J34" s="56"/>
      <c r="K34" s="56"/>
      <c r="L34" s="56">
        <f t="shared" si="2"/>
        <v>0</v>
      </c>
    </row>
    <row r="35" spans="2:12" x14ac:dyDescent="0.25">
      <c r="B35" s="56" t="s">
        <v>294</v>
      </c>
      <c r="C35" s="56"/>
      <c r="D35" s="56"/>
      <c r="E35" s="56">
        <f t="shared" si="0"/>
        <v>0</v>
      </c>
      <c r="F35" s="56"/>
      <c r="G35" s="56"/>
      <c r="H35" s="56"/>
      <c r="I35" s="56">
        <f t="shared" si="1"/>
        <v>0</v>
      </c>
      <c r="J35" s="56"/>
      <c r="K35" s="56"/>
      <c r="L35" s="56">
        <f t="shared" si="2"/>
        <v>0</v>
      </c>
    </row>
    <row r="36" spans="2:12" x14ac:dyDescent="0.25">
      <c r="B36" s="56" t="s">
        <v>295</v>
      </c>
      <c r="C36" s="56"/>
      <c r="D36" s="56"/>
      <c r="E36" s="56">
        <f t="shared" si="0"/>
        <v>0</v>
      </c>
      <c r="F36" s="56"/>
      <c r="G36" s="56"/>
      <c r="H36" s="56"/>
      <c r="I36" s="56">
        <f>G36*H36</f>
        <v>0</v>
      </c>
      <c r="J36" s="56"/>
      <c r="K36" s="56"/>
      <c r="L36" s="56">
        <f>J36*K36</f>
        <v>0</v>
      </c>
    </row>
    <row r="37" spans="2:12" x14ac:dyDescent="0.25">
      <c r="B37" s="56"/>
      <c r="C37" s="56"/>
      <c r="D37" s="56"/>
      <c r="E37" s="56">
        <f t="shared" si="0"/>
        <v>0</v>
      </c>
      <c r="F37" s="56"/>
      <c r="G37" s="56"/>
      <c r="H37" s="56"/>
      <c r="I37" s="56">
        <f t="shared" ref="I37:I38" si="3">G37*H37</f>
        <v>0</v>
      </c>
      <c r="J37" s="56"/>
      <c r="K37" s="56"/>
      <c r="L37" s="56">
        <f t="shared" ref="L37:L38" si="4">J37*K37</f>
        <v>0</v>
      </c>
    </row>
    <row r="38" spans="2:12" x14ac:dyDescent="0.25">
      <c r="B38" s="56" t="s">
        <v>296</v>
      </c>
      <c r="C38" s="56"/>
      <c r="D38" s="56"/>
      <c r="E38" s="56">
        <f t="shared" si="0"/>
        <v>0</v>
      </c>
      <c r="F38" s="56"/>
      <c r="G38" s="56"/>
      <c r="H38" s="56"/>
      <c r="I38" s="56">
        <f t="shared" si="3"/>
        <v>0</v>
      </c>
      <c r="J38" s="56"/>
      <c r="K38" s="56"/>
      <c r="L38" s="56">
        <f t="shared" si="4"/>
        <v>0</v>
      </c>
    </row>
    <row r="39" spans="2:12" x14ac:dyDescent="0.25">
      <c r="B39" s="56"/>
      <c r="C39" s="56"/>
      <c r="D39" s="56"/>
      <c r="E39" s="56">
        <f t="shared" si="0"/>
        <v>0</v>
      </c>
      <c r="F39" s="56"/>
      <c r="G39" s="56"/>
      <c r="H39" s="56"/>
      <c r="I39" s="56">
        <f>G39*H39</f>
        <v>0</v>
      </c>
      <c r="J39" s="56"/>
      <c r="K39" s="56"/>
      <c r="L39" s="56">
        <f>J39*K39</f>
        <v>0</v>
      </c>
    </row>
    <row r="40" spans="2:12" x14ac:dyDescent="0.25">
      <c r="B40" s="56"/>
      <c r="C40" s="56"/>
      <c r="D40" s="56"/>
      <c r="E40" s="56">
        <f t="shared" si="0"/>
        <v>0</v>
      </c>
      <c r="F40" s="56"/>
      <c r="G40" s="56"/>
      <c r="H40" s="56"/>
      <c r="I40" s="56">
        <f>G40*H40</f>
        <v>0</v>
      </c>
      <c r="J40" s="56"/>
      <c r="K40" s="56"/>
      <c r="L40" s="56">
        <f>J40*K40</f>
        <v>0</v>
      </c>
    </row>
    <row r="41" spans="2:12" x14ac:dyDescent="0.25">
      <c r="B41" s="56"/>
      <c r="C41" s="56"/>
      <c r="D41" s="56"/>
      <c r="E41" s="56">
        <f t="shared" si="0"/>
        <v>0</v>
      </c>
      <c r="F41" s="56"/>
      <c r="G41" s="56"/>
      <c r="H41" s="56"/>
      <c r="I41" s="56">
        <f>G41*H41</f>
        <v>0</v>
      </c>
      <c r="J41" s="56"/>
      <c r="K41" s="56"/>
      <c r="L41" s="56">
        <f>J41*K41</f>
        <v>0</v>
      </c>
    </row>
    <row r="42" spans="2:12" x14ac:dyDescent="0.25">
      <c r="B42" s="56" t="s">
        <v>152</v>
      </c>
      <c r="C42" s="56"/>
      <c r="D42" s="56">
        <f>E42*10.764</f>
        <v>0</v>
      </c>
      <c r="E42" s="75">
        <f>SUM(E6:E41)</f>
        <v>0</v>
      </c>
      <c r="F42" s="56"/>
      <c r="G42" s="56"/>
      <c r="H42" s="56">
        <f>I42*10.764</f>
        <v>0</v>
      </c>
      <c r="I42" s="76">
        <f>SUM(I6:I41)</f>
        <v>0</v>
      </c>
      <c r="J42" s="56"/>
      <c r="K42" s="56">
        <f>L42*10.764</f>
        <v>0</v>
      </c>
      <c r="L42" s="77">
        <f>SUM(L6:L41)</f>
        <v>0</v>
      </c>
    </row>
    <row r="44" spans="2:12" x14ac:dyDescent="0.25">
      <c r="D44" s="72">
        <f>D42+H42</f>
        <v>0</v>
      </c>
      <c r="E44" s="7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2025-08-08T07:35:31Z</cp:lastPrinted>
  <dcterms:created xsi:type="dcterms:W3CDTF">2010-11-23T11:42:48Z</dcterms:created>
  <dcterms:modified xsi:type="dcterms:W3CDTF">2025-08-08T07:38:42Z</dcterms:modified>
</cp:coreProperties>
</file>