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APF\25-26\August 2025\AXIS\UPDATE\Saurav\16556 - LJ Tanna Panorama - B, C &amp; A Wing\"/>
    </mc:Choice>
  </mc:AlternateContent>
  <bookViews>
    <workbookView xWindow="-105" yWindow="-105" windowWidth="23250" windowHeight="1245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Report!$A$1:$H$414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6" i="1" l="1"/>
  <c r="J181" i="1"/>
  <c r="E231" i="1" l="1"/>
  <c r="D231" i="1"/>
  <c r="E230" i="1"/>
  <c r="D230" i="1"/>
  <c r="E229" i="1"/>
  <c r="D229" i="1"/>
  <c r="E228" i="1"/>
  <c r="D228" i="1"/>
  <c r="E227" i="1"/>
  <c r="D227" i="1"/>
  <c r="E226" i="1"/>
  <c r="D226" i="1"/>
  <c r="E215" i="1"/>
  <c r="D215" i="1"/>
  <c r="E214" i="1"/>
  <c r="D214" i="1"/>
  <c r="E213" i="1"/>
  <c r="D213" i="1"/>
  <c r="E212" i="1"/>
  <c r="D212" i="1"/>
  <c r="E211" i="1"/>
  <c r="D211" i="1"/>
  <c r="E210" i="1"/>
  <c r="D210" i="1"/>
  <c r="E209" i="1"/>
  <c r="D209" i="1"/>
  <c r="E208" i="1"/>
  <c r="D208" i="1"/>
  <c r="E224" i="1"/>
  <c r="D224" i="1"/>
  <c r="E223" i="1"/>
  <c r="D223" i="1"/>
  <c r="E222" i="1"/>
  <c r="D222" i="1"/>
  <c r="E221" i="1"/>
  <c r="D221" i="1"/>
  <c r="E220" i="1"/>
  <c r="D220" i="1"/>
  <c r="E219" i="1"/>
  <c r="D219" i="1"/>
  <c r="E218" i="1"/>
  <c r="D218" i="1"/>
  <c r="E217" i="1"/>
  <c r="D217" i="1"/>
  <c r="E232" i="1"/>
  <c r="E206" i="1"/>
  <c r="D206" i="1"/>
  <c r="E205" i="1"/>
  <c r="D205" i="1"/>
  <c r="E204" i="1"/>
  <c r="D204" i="1"/>
  <c r="E203" i="1"/>
  <c r="D203" i="1"/>
  <c r="E202" i="1"/>
  <c r="D202" i="1"/>
  <c r="E201" i="1"/>
  <c r="D201" i="1"/>
  <c r="E200" i="1"/>
  <c r="D200" i="1"/>
  <c r="E199" i="1"/>
  <c r="D199" i="1"/>
  <c r="I145" i="1"/>
  <c r="D232" i="1" l="1"/>
  <c r="F202" i="1" l="1"/>
  <c r="I202" i="1" s="1"/>
  <c r="F204" i="1"/>
  <c r="I204" i="1" s="1"/>
  <c r="F205" i="1"/>
  <c r="I205" i="1" s="1"/>
  <c r="F206" i="1"/>
  <c r="I206" i="1" s="1"/>
  <c r="G209" i="1"/>
  <c r="G218" i="1"/>
  <c r="G206" i="1"/>
  <c r="G205" i="1"/>
  <c r="G204" i="1"/>
  <c r="G203" i="1"/>
  <c r="G202" i="1"/>
  <c r="G201" i="1"/>
  <c r="G200" i="1"/>
  <c r="G199" i="1"/>
  <c r="H205" i="1" l="1"/>
  <c r="F200" i="1"/>
  <c r="F199" i="1"/>
  <c r="H204" i="1"/>
  <c r="H206" i="1"/>
  <c r="H202" i="1"/>
  <c r="F203" i="1"/>
  <c r="F201" i="1"/>
  <c r="F215" i="1"/>
  <c r="F214" i="1"/>
  <c r="F213" i="1"/>
  <c r="F212" i="1"/>
  <c r="F210" i="1"/>
  <c r="F209" i="1"/>
  <c r="F208" i="1"/>
  <c r="I214" i="1"/>
  <c r="G215" i="1"/>
  <c r="G214" i="1"/>
  <c r="G213" i="1"/>
  <c r="G212" i="1"/>
  <c r="G211" i="1"/>
  <c r="F211" i="1"/>
  <c r="H211" i="1" s="1"/>
  <c r="I209" i="1"/>
  <c r="G210" i="1"/>
  <c r="G208" i="1"/>
  <c r="H201" i="1" l="1"/>
  <c r="I201" i="1"/>
  <c r="H203" i="1"/>
  <c r="I203" i="1"/>
  <c r="H199" i="1"/>
  <c r="I199" i="1"/>
  <c r="H200" i="1"/>
  <c r="I200" i="1"/>
  <c r="H208" i="1"/>
  <c r="H210" i="1"/>
  <c r="H212" i="1"/>
  <c r="H213" i="1"/>
  <c r="H215" i="1"/>
  <c r="H209" i="1"/>
  <c r="H214" i="1"/>
  <c r="E191" i="1"/>
  <c r="E192" i="1"/>
  <c r="E193" i="1"/>
  <c r="E194" i="1"/>
  <c r="E195" i="1"/>
  <c r="E190" i="1"/>
  <c r="D195" i="1"/>
  <c r="D194" i="1"/>
  <c r="D193" i="1"/>
  <c r="D192" i="1"/>
  <c r="D191" i="1"/>
  <c r="D190" i="1"/>
  <c r="D163" i="1"/>
  <c r="D162" i="1"/>
  <c r="L188" i="1"/>
  <c r="J188" i="1"/>
  <c r="I188" i="1"/>
  <c r="D188" i="1"/>
  <c r="D187" i="1"/>
  <c r="D185" i="1"/>
  <c r="E184" i="1"/>
  <c r="D184" i="1"/>
  <c r="E183" i="1"/>
  <c r="D183" i="1"/>
  <c r="D174" i="1"/>
  <c r="D173" i="1"/>
  <c r="D172" i="1"/>
  <c r="D171" i="1"/>
  <c r="D170" i="1"/>
  <c r="D169" i="1"/>
  <c r="D176" i="1"/>
  <c r="E167" i="1"/>
  <c r="D167" i="1"/>
  <c r="E166" i="1"/>
  <c r="D166" i="1"/>
  <c r="E165" i="1"/>
  <c r="D165" i="1"/>
  <c r="E164" i="1"/>
  <c r="D164" i="1"/>
  <c r="E163" i="1"/>
  <c r="E162" i="1"/>
  <c r="D181" i="1"/>
  <c r="D180" i="1"/>
  <c r="D179" i="1"/>
  <c r="D178" i="1"/>
  <c r="D177" i="1"/>
  <c r="I160" i="1"/>
  <c r="K160" i="1"/>
  <c r="J160" i="1"/>
  <c r="K188" i="1" l="1"/>
  <c r="L160" i="1"/>
  <c r="C114" i="1"/>
  <c r="C100" i="1"/>
  <c r="C86" i="1"/>
  <c r="J226" i="1" l="1"/>
  <c r="I226" i="1"/>
  <c r="J222" i="1"/>
  <c r="E188" i="1"/>
  <c r="E187" i="1"/>
  <c r="E185" i="1"/>
  <c r="E181" i="1"/>
  <c r="E180" i="1"/>
  <c r="E179" i="1"/>
  <c r="E178" i="1"/>
  <c r="E177" i="1"/>
  <c r="E176" i="1"/>
  <c r="E174" i="1"/>
  <c r="E173" i="1"/>
  <c r="E172" i="1"/>
  <c r="E171" i="1"/>
  <c r="E170" i="1"/>
  <c r="E169" i="1"/>
  <c r="I149" i="1"/>
  <c r="A191" i="1"/>
  <c r="A192" i="1" s="1"/>
  <c r="A193" i="1" s="1"/>
  <c r="A194" i="1" s="1"/>
  <c r="A195" i="1" s="1"/>
  <c r="A184" i="1"/>
  <c r="A185" i="1" s="1"/>
  <c r="A188" i="1" s="1"/>
  <c r="A177" i="1"/>
  <c r="A178" i="1" s="1"/>
  <c r="A179" i="1" s="1"/>
  <c r="A180" i="1" s="1"/>
  <c r="A181" i="1" s="1"/>
  <c r="A170" i="1"/>
  <c r="A171" i="1" s="1"/>
  <c r="A172" i="1" s="1"/>
  <c r="A173" i="1" s="1"/>
  <c r="A174" i="1" s="1"/>
  <c r="I230" i="1"/>
  <c r="I221" i="1"/>
  <c r="I222" i="1"/>
  <c r="F188" i="1" l="1"/>
  <c r="H188" i="1" s="1"/>
  <c r="C151" i="1"/>
  <c r="C152" i="1" s="1"/>
  <c r="F195" i="1"/>
  <c r="H195" i="1" s="1"/>
  <c r="F176" i="1"/>
  <c r="H176" i="1" s="1"/>
  <c r="J175" i="1" s="1"/>
  <c r="F178" i="1"/>
  <c r="H178" i="1" s="1"/>
  <c r="J177" i="1" s="1"/>
  <c r="F180" i="1"/>
  <c r="H180" i="1" s="1"/>
  <c r="J179" i="1" s="1"/>
  <c r="F191" i="1"/>
  <c r="H191" i="1" s="1"/>
  <c r="F193" i="1"/>
  <c r="H193" i="1" s="1"/>
  <c r="C145" i="1"/>
  <c r="F177" i="1"/>
  <c r="H177" i="1" s="1"/>
  <c r="J176" i="1" s="1"/>
  <c r="F179" i="1"/>
  <c r="H179" i="1" s="1"/>
  <c r="J178" i="1" s="1"/>
  <c r="F181" i="1"/>
  <c r="H181" i="1" s="1"/>
  <c r="J180" i="1" s="1"/>
  <c r="F190" i="1"/>
  <c r="H190" i="1" s="1"/>
  <c r="F192" i="1"/>
  <c r="H192" i="1" s="1"/>
  <c r="F194" i="1"/>
  <c r="H194" i="1" s="1"/>
  <c r="F174" i="1"/>
  <c r="H174" i="1" s="1"/>
  <c r="F173" i="1"/>
  <c r="H173" i="1" s="1"/>
  <c r="F172" i="1"/>
  <c r="H172" i="1" s="1"/>
  <c r="F171" i="1"/>
  <c r="H171" i="1" s="1"/>
  <c r="F170" i="1"/>
  <c r="H170" i="1" s="1"/>
  <c r="F169" i="1"/>
  <c r="F167" i="1"/>
  <c r="H167" i="1" s="1"/>
  <c r="F166" i="1"/>
  <c r="H166" i="1" s="1"/>
  <c r="H87" i="1"/>
  <c r="H169" i="1" l="1"/>
  <c r="J86" i="1"/>
  <c r="J88" i="1" s="1"/>
  <c r="J89" i="1"/>
  <c r="J90" i="1"/>
  <c r="J91" i="1"/>
  <c r="C90" i="1" s="1"/>
  <c r="D92" i="1"/>
  <c r="J92" i="1"/>
  <c r="J93" i="1" s="1"/>
  <c r="J98" i="1" s="1"/>
  <c r="J99" i="1" s="1"/>
  <c r="C91" i="1" s="1"/>
  <c r="D93" i="1"/>
  <c r="D94" i="1"/>
  <c r="J94" i="1"/>
  <c r="D95" i="1"/>
  <c r="J95" i="1"/>
  <c r="D96" i="1"/>
  <c r="J96" i="1"/>
  <c r="D97" i="1"/>
  <c r="J97" i="1"/>
  <c r="D98" i="1"/>
  <c r="D99" i="1"/>
  <c r="I153" i="1"/>
  <c r="I162" i="1"/>
  <c r="I171" i="1"/>
  <c r="I180" i="1"/>
  <c r="G227" i="1"/>
  <c r="G232" i="1"/>
  <c r="F232" i="1"/>
  <c r="G231" i="1"/>
  <c r="F231" i="1"/>
  <c r="G230" i="1"/>
  <c r="F230" i="1"/>
  <c r="G229" i="1"/>
  <c r="F229" i="1"/>
  <c r="G228" i="1"/>
  <c r="F228" i="1"/>
  <c r="F227" i="1"/>
  <c r="G226" i="1"/>
  <c r="F226" i="1"/>
  <c r="G224" i="1"/>
  <c r="G223" i="1"/>
  <c r="G222" i="1"/>
  <c r="G221" i="1"/>
  <c r="G220" i="1"/>
  <c r="G219" i="1"/>
  <c r="G217" i="1"/>
  <c r="H226" i="1" l="1"/>
  <c r="H229" i="1"/>
  <c r="E90" i="1"/>
  <c r="D91" i="1"/>
  <c r="D90" i="1"/>
  <c r="J87" i="1" s="1"/>
  <c r="G90" i="1"/>
  <c r="H231" i="1"/>
  <c r="H227" i="1"/>
  <c r="H228" i="1"/>
  <c r="H230" i="1"/>
  <c r="H232" i="1"/>
  <c r="F224" i="1"/>
  <c r="H224" i="1" s="1"/>
  <c r="J215" i="1" s="1"/>
  <c r="F223" i="1"/>
  <c r="H223" i="1" s="1"/>
  <c r="J214" i="1" s="1"/>
  <c r="F222" i="1"/>
  <c r="H222" i="1" s="1"/>
  <c r="J213" i="1" s="1"/>
  <c r="I195" i="1"/>
  <c r="G254" i="1"/>
  <c r="G253" i="1"/>
  <c r="G252" i="1"/>
  <c r="G251" i="1"/>
  <c r="D254" i="1"/>
  <c r="F254" i="1" s="1"/>
  <c r="D253" i="1"/>
  <c r="F253" i="1" s="1"/>
  <c r="H253" i="1" s="1"/>
  <c r="D252" i="1"/>
  <c r="F252" i="1" s="1"/>
  <c r="D251" i="1"/>
  <c r="F251" i="1" s="1"/>
  <c r="D249" i="1"/>
  <c r="D248" i="1"/>
  <c r="F248" i="1" s="1"/>
  <c r="D247" i="1"/>
  <c r="F247" i="1" s="1"/>
  <c r="G249" i="1"/>
  <c r="G248" i="1"/>
  <c r="G247" i="1"/>
  <c r="G246" i="1"/>
  <c r="D246" i="1"/>
  <c r="F246" i="1" s="1"/>
  <c r="F249" i="1"/>
  <c r="G244" i="1"/>
  <c r="G243" i="1"/>
  <c r="G242" i="1"/>
  <c r="G241" i="1"/>
  <c r="D244" i="1"/>
  <c r="F244" i="1" s="1"/>
  <c r="D243" i="1"/>
  <c r="F243" i="1" s="1"/>
  <c r="H243" i="1" s="1"/>
  <c r="D242" i="1"/>
  <c r="F242" i="1" s="1"/>
  <c r="H242" i="1" s="1"/>
  <c r="D241" i="1"/>
  <c r="F241" i="1" s="1"/>
  <c r="D239" i="1"/>
  <c r="F239" i="1" s="1"/>
  <c r="D238" i="1"/>
  <c r="F238" i="1" s="1"/>
  <c r="D237" i="1"/>
  <c r="F237" i="1" s="1"/>
  <c r="D236" i="1"/>
  <c r="G54" i="1"/>
  <c r="C54" i="1"/>
  <c r="C55" i="1" s="1"/>
  <c r="E48" i="1"/>
  <c r="E44" i="1"/>
  <c r="E45" i="1" s="1"/>
  <c r="I42" i="1"/>
  <c r="H254" i="1" l="1"/>
  <c r="H244" i="1"/>
  <c r="I87" i="1"/>
  <c r="H246" i="1"/>
  <c r="C147" i="1"/>
  <c r="F236" i="1"/>
  <c r="E147" i="1" s="1"/>
  <c r="H249" i="1"/>
  <c r="H252" i="1"/>
  <c r="H251" i="1"/>
  <c r="H248" i="1"/>
  <c r="H247" i="1"/>
  <c r="H241" i="1"/>
  <c r="I88" i="1" l="1"/>
  <c r="I86" i="1" s="1"/>
  <c r="C88" i="1" s="1"/>
  <c r="B38" i="6"/>
  <c r="B39" i="6" s="1"/>
  <c r="B40" i="6" s="1"/>
  <c r="B41" i="6" s="1"/>
  <c r="B42" i="6" s="1"/>
  <c r="B43" i="6" s="1"/>
  <c r="B44" i="6" s="1"/>
  <c r="B45" i="6" s="1"/>
  <c r="B46" i="6" s="1"/>
  <c r="B47" i="6" s="1"/>
  <c r="B48" i="6" s="1"/>
  <c r="B49" i="6" s="1"/>
  <c r="B50" i="6" s="1"/>
  <c r="B51" i="6" s="1"/>
  <c r="B52" i="6" s="1"/>
  <c r="B53" i="6" s="1"/>
  <c r="B54" i="6" s="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83" i="1"/>
  <c r="B257" i="1"/>
  <c r="H239" i="1"/>
  <c r="H238" i="1"/>
  <c r="H237" i="1"/>
  <c r="H236" i="1"/>
  <c r="F221" i="1"/>
  <c r="H221" i="1" s="1"/>
  <c r="J212" i="1" s="1"/>
  <c r="F220" i="1"/>
  <c r="H220" i="1" s="1"/>
  <c r="J211" i="1" s="1"/>
  <c r="F219" i="1"/>
  <c r="H219" i="1" s="1"/>
  <c r="J210" i="1" s="1"/>
  <c r="F218" i="1"/>
  <c r="H218" i="1" s="1"/>
  <c r="J209" i="1" s="1"/>
  <c r="F217" i="1"/>
  <c r="F187" i="1"/>
  <c r="H187" i="1" s="1"/>
  <c r="F185" i="1"/>
  <c r="H185" i="1" s="1"/>
  <c r="F184" i="1"/>
  <c r="H184" i="1" s="1"/>
  <c r="F183" i="1"/>
  <c r="F165" i="1"/>
  <c r="H165" i="1" s="1"/>
  <c r="F164" i="1"/>
  <c r="H164" i="1" s="1"/>
  <c r="F163" i="1"/>
  <c r="H163" i="1" s="1"/>
  <c r="A163" i="1"/>
  <c r="A164" i="1" s="1"/>
  <c r="A165" i="1" s="1"/>
  <c r="A166" i="1" s="1"/>
  <c r="A167" i="1" s="1"/>
  <c r="F162" i="1"/>
  <c r="F142" i="1"/>
  <c r="D80" i="1"/>
  <c r="D73" i="1"/>
  <c r="K61" i="1"/>
  <c r="G60" i="1"/>
  <c r="C60" i="1"/>
  <c r="C61" i="1" s="1"/>
  <c r="E46" i="1"/>
  <c r="E47" i="1" s="1"/>
  <c r="S33" i="1"/>
  <c r="E33" i="1"/>
  <c r="E30" i="1"/>
  <c r="E28" i="1"/>
  <c r="C18" i="1"/>
  <c r="I15" i="1"/>
  <c r="Z13" i="1"/>
  <c r="E8" i="1"/>
  <c r="I59" i="1" s="1"/>
  <c r="E3" i="1"/>
  <c r="H101" i="1"/>
  <c r="H115" i="1"/>
  <c r="E146" i="1" l="1"/>
  <c r="C146" i="1"/>
  <c r="C148" i="1" s="1"/>
  <c r="C153" i="1" s="1"/>
  <c r="G147" i="1"/>
  <c r="H183" i="1"/>
  <c r="E145" i="1"/>
  <c r="H162" i="1"/>
  <c r="G151" i="1" s="1"/>
  <c r="G152" i="1" s="1"/>
  <c r="E151" i="1"/>
  <c r="E152" i="1" s="1"/>
  <c r="G145" i="1"/>
  <c r="H217" i="1"/>
  <c r="E42" i="7"/>
  <c r="B115" i="1"/>
  <c r="J123" i="1" s="1"/>
  <c r="I42" i="7"/>
  <c r="H42" i="7" s="1"/>
  <c r="L42" i="7"/>
  <c r="K42" i="7" s="1"/>
  <c r="J100" i="1"/>
  <c r="J102" i="1" s="1"/>
  <c r="D109" i="1"/>
  <c r="D108" i="1"/>
  <c r="D113" i="1"/>
  <c r="D107" i="1"/>
  <c r="J103" i="1"/>
  <c r="D112" i="1"/>
  <c r="J105" i="1"/>
  <c r="C104" i="1" s="1"/>
  <c r="D106" i="1"/>
  <c r="D111" i="1"/>
  <c r="J104" i="1"/>
  <c r="D110" i="1"/>
  <c r="D126" i="1"/>
  <c r="J118" i="1"/>
  <c r="J114" i="1"/>
  <c r="J116" i="1" s="1"/>
  <c r="J117" i="1"/>
  <c r="D124" i="1"/>
  <c r="D129" i="1"/>
  <c r="D123" i="1"/>
  <c r="D128" i="1"/>
  <c r="D122" i="1"/>
  <c r="D125" i="1"/>
  <c r="J119" i="1"/>
  <c r="C120" i="1" s="1"/>
  <c r="D120" i="1" s="1"/>
  <c r="D127" i="1"/>
  <c r="D42" i="7"/>
  <c r="L61" i="1"/>
  <c r="B101" i="1"/>
  <c r="I53" i="1"/>
  <c r="G148" i="1" l="1"/>
  <c r="J208" i="1"/>
  <c r="E148" i="1"/>
  <c r="E153" i="1" s="1"/>
  <c r="G153" i="1"/>
  <c r="J125" i="1"/>
  <c r="J124" i="1"/>
  <c r="D44" i="7"/>
  <c r="E44" i="7"/>
  <c r="J122" i="1"/>
  <c r="J120" i="1"/>
  <c r="J121" i="1" s="1"/>
  <c r="J126" i="1" s="1"/>
  <c r="J127" i="1" s="1"/>
  <c r="C121" i="1" s="1"/>
  <c r="G120" i="1" s="1"/>
  <c r="D104" i="1"/>
  <c r="J109" i="1"/>
  <c r="J106" i="1"/>
  <c r="J107" i="1" s="1"/>
  <c r="J112" i="1" s="1"/>
  <c r="J113" i="1" s="1"/>
  <c r="C105" i="1" s="1"/>
  <c r="J111" i="1"/>
  <c r="J108" i="1"/>
  <c r="J110" i="1"/>
  <c r="D84" i="1" l="1"/>
  <c r="D85" i="1" s="1"/>
  <c r="D121" i="1"/>
  <c r="I115" i="1" s="1"/>
  <c r="I116" i="1" s="1"/>
  <c r="J115" i="1"/>
  <c r="E120" i="1"/>
  <c r="E104" i="1"/>
  <c r="D105" i="1"/>
  <c r="I101" i="1" s="1"/>
  <c r="J101" i="1"/>
  <c r="G104" i="1"/>
  <c r="F85" i="1" l="1"/>
  <c r="I114" i="1"/>
  <c r="I102" i="1"/>
  <c r="I100"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65" authorId="1" shapeId="0">
      <text>
        <r>
          <rPr>
            <b/>
            <sz val="9"/>
            <color indexed="81"/>
            <rFont val="Tahoma"/>
            <family val="2"/>
          </rPr>
          <t>SACHIN:</t>
        </r>
        <r>
          <rPr>
            <sz val="9"/>
            <color indexed="81"/>
            <rFont val="Tahoma"/>
            <family val="2"/>
          </rPr>
          <t xml:space="preserve">
Floor with height</t>
        </r>
      </text>
    </comment>
    <comment ref="C67" authorId="1" shapeId="0">
      <text>
        <r>
          <rPr>
            <b/>
            <sz val="9"/>
            <color indexed="81"/>
            <rFont val="Tahoma"/>
            <family val="2"/>
          </rPr>
          <t>SACHIN:</t>
        </r>
        <r>
          <rPr>
            <sz val="9"/>
            <color indexed="81"/>
            <rFont val="Tahoma"/>
            <family val="2"/>
          </rPr>
          <t xml:space="preserve">
Survey Nos.</t>
        </r>
      </text>
    </comment>
    <comment ref="D73"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35"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57"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<sst xmlns="http://schemas.openxmlformats.org/spreadsheetml/2006/main" count="855" uniqueCount="461">
  <si>
    <t xml:space="preserve">Valuation Report </t>
  </si>
  <si>
    <t>Date:</t>
  </si>
  <si>
    <t>CPC Name:</t>
  </si>
  <si>
    <t>Date Of Property Visit</t>
  </si>
  <si>
    <t>Name of the builder group</t>
  </si>
  <si>
    <t>Name of the builder company</t>
  </si>
  <si>
    <t>Name of the Project</t>
  </si>
  <si>
    <t>Name / No of the Building</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</si>
  <si>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</si>
  <si>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</si>
  <si>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</si>
  <si>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</si>
  <si>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</si>
  <si>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</si>
  <si>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</si>
  <si>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</si>
  <si>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</si>
  <si>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</si>
  <si>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</si>
  <si>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</si>
  <si>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</si>
  <si>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</si>
  <si>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</si>
  <si>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</si>
  <si>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</si>
  <si>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</si>
  <si>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</si>
  <si>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</si>
  <si>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</si>
  <si>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</si>
  <si>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</si>
  <si>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</si>
  <si>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</si>
  <si>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</si>
  <si>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</si>
  <si>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</si>
  <si>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</si>
  <si>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</si>
  <si>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</si>
  <si>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</si>
  <si>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</si>
  <si>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</si>
  <si>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</si>
  <si>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</si>
  <si>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</si>
  <si>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</si>
  <si>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</si>
  <si>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</si>
  <si>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</si>
  <si>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</si>
  <si>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</si>
  <si>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</si>
  <si>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</si>
  <si>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</si>
  <si>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</si>
  <si>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</si>
  <si>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</si>
  <si>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</si>
  <si>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</si>
  <si>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</si>
  <si>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</si>
  <si>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</si>
  <si>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</si>
  <si>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</si>
  <si>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</si>
  <si>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Podium</t>
  </si>
  <si>
    <t>Ground</t>
  </si>
  <si>
    <t>Locality/Village</t>
  </si>
  <si>
    <t>Taluka</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</si>
  <si>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</si>
  <si>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</si>
  <si>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</si>
  <si>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</si>
  <si>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</si>
  <si>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</si>
  <si>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</si>
  <si>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</si>
  <si>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</si>
  <si>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</si>
  <si>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</si>
  <si>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</si>
  <si>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</si>
  <si>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</si>
  <si>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</si>
  <si>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</si>
  <si>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</si>
  <si>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</si>
  <si>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</si>
  <si>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</si>
  <si>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</si>
  <si>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</si>
  <si>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</si>
  <si>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</si>
  <si>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</si>
  <si>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</si>
  <si>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</si>
  <si>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</si>
  <si>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</si>
  <si>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</si>
  <si>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</si>
  <si>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</si>
  <si>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</si>
  <si>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</si>
  <si>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</si>
  <si>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</si>
  <si>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</si>
  <si>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</si>
  <si>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</si>
  <si>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</si>
  <si>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</si>
  <si>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</si>
  <si>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</si>
  <si>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</si>
  <si>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</si>
  <si>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</si>
  <si>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</si>
  <si>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</si>
  <si>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</si>
  <si>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</si>
  <si>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</si>
  <si>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</si>
  <si>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</si>
  <si>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</si>
  <si>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</si>
  <si>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</si>
  <si>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</si>
  <si>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</si>
  <si>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</si>
  <si>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</si>
  <si>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</si>
  <si>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</si>
  <si>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</si>
  <si>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</si>
  <si>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</si>
  <si>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</si>
  <si>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</si>
  <si>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</si>
  <si>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</si>
  <si>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</si>
  <si>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</si>
  <si>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</si>
  <si>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</si>
  <si>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</si>
  <si>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</si>
  <si>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</si>
  <si>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</si>
  <si>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</si>
  <si>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</si>
  <si>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</si>
  <si>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</si>
  <si>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</si>
  <si>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</si>
  <si>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</si>
  <si>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</si>
  <si>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</si>
  <si>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</si>
  <si>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</si>
  <si>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</si>
  <si>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</si>
  <si>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</si>
  <si>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</si>
  <si>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</si>
  <si>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Floor Rise Rate from    Floor</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</si>
  <si>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</si>
  <si>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</si>
  <si>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</si>
  <si>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</si>
  <si>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</si>
  <si>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</si>
  <si>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</si>
  <si>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</si>
  <si>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</si>
  <si>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</si>
  <si>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</si>
  <si>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</si>
  <si>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</si>
  <si>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</si>
  <si>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</si>
  <si>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</si>
  <si>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</si>
  <si>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</si>
  <si>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</si>
  <si>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</si>
  <si>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</si>
  <si>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</si>
  <si>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</si>
  <si>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</si>
  <si>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</si>
  <si>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</si>
  <si>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</si>
  <si>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</si>
  <si>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</si>
  <si>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</si>
  <si>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</si>
  <si>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</si>
  <si>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</si>
  <si>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</si>
  <si>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</si>
  <si>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</si>
  <si>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</si>
  <si>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</si>
  <si>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</si>
  <si>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</si>
  <si>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</si>
  <si>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</si>
  <si>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</si>
  <si>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</si>
  <si>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</si>
  <si>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</si>
  <si>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</si>
  <si>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</si>
  <si>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</si>
  <si>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</si>
  <si>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</si>
  <si>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</si>
  <si>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</si>
  <si>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</si>
  <si>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</si>
  <si>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</si>
  <si>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</si>
  <si>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</si>
  <si>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</si>
  <si>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</si>
  <si>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</si>
  <si>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</si>
  <si>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</si>
  <si>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</si>
  <si>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</si>
  <si>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</si>
  <si>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</si>
  <si>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</si>
  <si>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</si>
  <si>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</si>
  <si>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</si>
  <si>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</si>
  <si>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</si>
  <si>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</si>
  <si>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</si>
  <si>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</si>
  <si>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</si>
  <si>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</si>
  <si>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</si>
  <si>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</si>
  <si>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</si>
  <si>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</si>
  <si>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</si>
  <si>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</si>
  <si>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</si>
  <si>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</si>
  <si>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</si>
  <si>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</si>
  <si>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</si>
  <si>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</si>
  <si>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</si>
  <si>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</si>
  <si>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</si>
  <si>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</si>
  <si>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</si>
  <si>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</si>
  <si>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</si>
  <si>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</si>
  <si>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</si>
  <si>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</si>
  <si>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</si>
  <si>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</si>
  <si>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</si>
  <si>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</si>
  <si>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</si>
  <si>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</si>
  <si>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</si>
  <si>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</si>
  <si>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</si>
  <si>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</si>
  <si>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</si>
  <si>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</si>
  <si>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</si>
  <si>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</si>
  <si>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</si>
  <si>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</si>
  <si>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</si>
  <si>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</si>
  <si>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</si>
  <si>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</si>
  <si>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</si>
  <si>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</si>
  <si>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</si>
  <si>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</si>
  <si>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</si>
  <si>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</si>
  <si>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</si>
  <si>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</si>
  <si>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</si>
  <si>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</si>
  <si>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</si>
  <si>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</si>
  <si>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</si>
  <si>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</si>
  <si>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</si>
  <si>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</si>
  <si>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</si>
  <si>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</si>
  <si>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</si>
  <si>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</si>
  <si>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</si>
  <si>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</si>
  <si>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</si>
  <si>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</si>
  <si>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</si>
  <si>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</si>
  <si>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</si>
  <si>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</si>
  <si>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</si>
  <si>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</si>
  <si>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</si>
  <si>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</si>
  <si>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</si>
  <si>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</si>
  <si>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</si>
  <si>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</si>
  <si>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</si>
  <si>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</si>
  <si>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</si>
  <si>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</si>
  <si>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</si>
  <si>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</si>
  <si>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</si>
  <si>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</si>
  <si>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</si>
  <si>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</si>
  <si>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</si>
  <si>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</si>
  <si>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</si>
  <si>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</si>
  <si>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</si>
  <si>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</si>
  <si>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</si>
  <si>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</si>
  <si>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</si>
  <si>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</si>
  <si>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</si>
  <si>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</si>
  <si>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</si>
  <si>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</si>
  <si>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</si>
  <si>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</si>
  <si>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</si>
  <si>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</si>
  <si>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</si>
  <si>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</si>
  <si>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</si>
  <si>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</si>
  <si>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</si>
  <si>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</si>
  <si>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</si>
  <si>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</si>
  <si>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</si>
  <si>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</si>
  <si>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Carpet Area</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</si>
  <si>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</si>
  <si>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</si>
  <si>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</si>
  <si>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</si>
  <si>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</si>
  <si>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</si>
  <si>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</si>
  <si>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</si>
  <si>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</si>
  <si>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M/s. LJ Tanna Realty LLP</t>
  </si>
  <si>
    <t>Old 150/3/2 &amp; New 4/3C/2</t>
  </si>
  <si>
    <t>Sonarpada</t>
  </si>
  <si>
    <t>Shivajirao S. Jondhale College Of Engineering</t>
  </si>
  <si>
    <t>Internal Road</t>
  </si>
  <si>
    <t xml:space="preserve">Shivajirao S. Jondhale College Of Engineering
</t>
  </si>
  <si>
    <t>Sai Dham CHS</t>
  </si>
  <si>
    <t>Kzone Mobile Gallary</t>
  </si>
  <si>
    <t>G.NO/KDMP/NRV/BP/27GV/2017-18/25/103</t>
  </si>
  <si>
    <t xml:space="preserve">Commencement-CC No
Valid Up to: </t>
  </si>
  <si>
    <t>KDMCC/RB/2024/APL/00065</t>
  </si>
  <si>
    <t>1BHK</t>
  </si>
  <si>
    <t>1st Floor</t>
  </si>
  <si>
    <t xml:space="preserve">2nd, 4th &amp; 6th Floor </t>
  </si>
  <si>
    <t xml:space="preserve">3rd, 5th &amp; 7th Floor </t>
  </si>
  <si>
    <t>OK</t>
  </si>
  <si>
    <t xml:space="preserve"> - </t>
  </si>
  <si>
    <t>Refuge Area</t>
  </si>
  <si>
    <t>Only Saleable Area is Changed</t>
  </si>
  <si>
    <t>1st to 3rd Floor For Residential</t>
  </si>
  <si>
    <t>4th Floor</t>
  </si>
  <si>
    <t>5th to 7th, 9th to 12th, 14th to 17th &amp; 19th to 21st Floor</t>
  </si>
  <si>
    <t>22nd Floor</t>
  </si>
  <si>
    <t>Sale / Mhada</t>
  </si>
  <si>
    <t>Sale</t>
  </si>
  <si>
    <t>2BHK</t>
  </si>
  <si>
    <t>Building A</t>
  </si>
  <si>
    <t>03 Buildings</t>
  </si>
  <si>
    <t>24.0 M Wide DP Road</t>
  </si>
  <si>
    <t>Other Plot</t>
  </si>
  <si>
    <r>
      <t xml:space="preserve">Proposed Amenities :                                                                                                                                                                                                                         </t>
    </r>
    <r>
      <rPr>
        <b/>
        <sz val="12"/>
        <rFont val="Times New Roman"/>
        <family val="1"/>
      </rPr>
      <t xml:space="preserve">                                               </t>
    </r>
  </si>
  <si>
    <t>All Work Completed. OC Received.</t>
  </si>
  <si>
    <t xml:space="preserve">Details of Residential in Building   </t>
  </si>
  <si>
    <r>
      <t xml:space="preserve">Flat No.
</t>
    </r>
    <r>
      <rPr>
        <b/>
        <sz val="11"/>
        <rFont val="Times New Roman"/>
        <family val="1"/>
      </rPr>
      <t>(Approved Plan)</t>
    </r>
  </si>
  <si>
    <t>Saurav Panse</t>
  </si>
  <si>
    <t>Dombivli East</t>
  </si>
  <si>
    <t>Wing B OC Received</t>
  </si>
  <si>
    <t>Ms. Sharvari 9920370949</t>
  </si>
  <si>
    <t>Discussed with Ganagaram</t>
  </si>
  <si>
    <t>RERA Name &amp; No.</t>
  </si>
  <si>
    <t xml:space="preserve">
Building A</t>
  </si>
  <si>
    <t>Approved plans, CC</t>
  </si>
  <si>
    <t>https://maps.app.goo.gl/DkesT8zAKKZhwEWr9</t>
  </si>
  <si>
    <t>19.197312,73.106577</t>
  </si>
  <si>
    <t>Survey No</t>
  </si>
  <si>
    <t xml:space="preserve">O. Certificate No.: 
Approved upto : </t>
  </si>
  <si>
    <t>KDMP/NRV/CC/27 Gave/44
Wing C = Gr/Stilt + 1st to 7th Floor</t>
  </si>
  <si>
    <t>Building A, B &amp; C</t>
  </si>
  <si>
    <t>Building A &amp; B</t>
  </si>
  <si>
    <t>Building C</t>
  </si>
  <si>
    <t xml:space="preserve">Layout Approval No 
   </t>
  </si>
  <si>
    <t xml:space="preserve">Approved Floor plan No.  
</t>
  </si>
  <si>
    <t>Building A = Natural Stilt + Stilt + 1st to 22nd Floor
Building B = Gr/Stilt + 1st to 10th Floor</t>
  </si>
  <si>
    <t>KDMCC/PO/2025/APL/00098
Building B = Gr/Stilt + 1st to 10th Floor</t>
  </si>
  <si>
    <t>C Wing = G + 1st to 7th Floor</t>
  </si>
  <si>
    <t>LJ Tanna Panorama A, B &amp; C Wing</t>
  </si>
  <si>
    <t>Building A = B + G + 1st to 22nd Floor</t>
  </si>
  <si>
    <t>Building B = G + 1st to 10th Floor</t>
  </si>
  <si>
    <t>Basement Floor (Natural Stilt Floor) For Parking</t>
  </si>
  <si>
    <t>Building B</t>
  </si>
  <si>
    <t>Residential Area Details : (Sale Flat)</t>
  </si>
  <si>
    <t>Residential Area Details :(Mhada Flat)</t>
  </si>
  <si>
    <t xml:space="preserve">Building A = B + G + 1st to 22nd Floor
Building B = G + 1st to 10th Floor
Building C = G + 1st to 7th Floor
</t>
  </si>
  <si>
    <t>Building C = G + 1st to 7th Floor</t>
  </si>
  <si>
    <t xml:space="preserve">Building C </t>
  </si>
  <si>
    <t xml:space="preserve">As per RERA -  31/12/2029 (Building A)
                       Completed (Building B &amp; C)
                    </t>
  </si>
  <si>
    <t>Ground Floor For Parking</t>
  </si>
  <si>
    <t>Ground Floor (Stilt Floor) For Meter Room &amp; Parking</t>
  </si>
  <si>
    <t>8th, 13th &amp; 18th Floor For (Part Refuge Area)</t>
  </si>
  <si>
    <t>Grand Total</t>
  </si>
  <si>
    <t>Ground Floor For Residential</t>
  </si>
  <si>
    <t xml:space="preserve">Gangaram Parshuram Lambore </t>
  </si>
  <si>
    <t>8th Floor For Part Refuge Area</t>
  </si>
  <si>
    <t xml:space="preserve">2nd, 4th, 6th &amp; 10th Floor </t>
  </si>
  <si>
    <t>1st Floor For Residential</t>
  </si>
  <si>
    <t>We considered Gross carpet area = Net carpet + Balcony + A.P + E.P Area</t>
  </si>
  <si>
    <t>We have updated approved floor plan of B wing = Gr. + 10th Floor (on 22/03/2021).</t>
  </si>
  <si>
    <t>We update OC from Rera for Wing C (on 05/04/2023).</t>
  </si>
  <si>
    <t>Please Check For Fire Noc.</t>
  </si>
  <si>
    <t>Mhada</t>
  </si>
  <si>
    <t xml:space="preserve">Building A = Construction work is in process at the time of Visit (labour found)
Building B &amp; C = All Work Completed. OC Received. 
</t>
  </si>
  <si>
    <t>Sale Flats - 218, Mhada Flat - 22</t>
  </si>
  <si>
    <t>Balcony + A.P + E.P Area</t>
  </si>
  <si>
    <t xml:space="preserve">Club House, Kids Play Area, Garden Area, Indoor Games
Senior Citizen Sitting Area, Vitrified tiles flooring, Granite Kitchen Platform, Decorative Entrance,Fire Fighting System, CCTV etc.
</t>
  </si>
  <si>
    <t xml:space="preserve">
Wing B</t>
  </si>
  <si>
    <t xml:space="preserve">
Wing C</t>
  </si>
  <si>
    <t>We have added project LJ Tanna Panorama A Wing on 07/08/2025</t>
  </si>
  <si>
    <t>LJ Tanna Panorama
 A Wing
(P51700078323)</t>
  </si>
  <si>
    <t>LJ Tanna Panorama
 B Wing
(P51700023550)</t>
  </si>
  <si>
    <t xml:space="preserve">LJ Tanna Panorama 
C Wing
(P51700023193)
</t>
  </si>
  <si>
    <t>We have given Valuation for Sale Flats only.</t>
  </si>
  <si>
    <t>3.5Km from Dombivli Railway Station</t>
  </si>
  <si>
    <t>3rd, 5th, 7th &amp; 9th Floor</t>
  </si>
  <si>
    <t>We have updated Approved plans &amp; OC for Building B from RERA site on 07/08/2025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</si>
</sst>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0.00_);_(* \(#,##0.00\);_(* &quot;-&quot;??_);_(@_)"/>
    <numFmt numFmtId="166" formatCode="_(* #,##0_);_(* \(#,##0\);_(* &quot;-&quot;??_);_(@_)"/>
    <numFmt numFmtId="167" formatCode="_ * #,##0_ ;_ * \-#,##0_ ;_ * &quot;-&quot;??_ ;_ @_ "/>
    <numFmt numFmtId="168" formatCode="0.000"/>
  </numFmts>
  <fonts count="3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5" fontId="4"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5" fillId="0" borderId="0" applyNumberFormat="0" applyFill="0" applyBorder="0" applyAlignment="0" applyProtection="0"/>
  </cellStyleXfs>
  <cellXfs count="335">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8" fillId="0" borderId="1" xfId="5" applyNumberFormat="1" applyFont="1" applyBorder="1" applyAlignment="1">
      <alignment horizontal="center" vertical="center"/>
    </xf>
    <xf numFmtId="0" fontId="4" fillId="0" borderId="1" xfId="4" applyBorder="1" applyAlignment="1">
      <alignment horizontal="center" vertical="center"/>
    </xf>
    <xf numFmtId="0" fontId="17" fillId="0" borderId="0" xfId="0" applyFont="1" applyProtection="1">
      <protection hidden="1"/>
    </xf>
    <xf numFmtId="0" fontId="17" fillId="0" borderId="11" xfId="0" applyFont="1" applyBorder="1" applyProtection="1">
      <protection hidden="1"/>
    </xf>
    <xf numFmtId="0" fontId="11" fillId="0" borderId="4" xfId="1" applyFont="1" applyBorder="1" applyAlignment="1" applyProtection="1">
      <alignment horizontal="center" vertical="top"/>
      <protection locked="0"/>
    </xf>
    <xf numFmtId="0" fontId="11" fillId="0" borderId="5"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9" fontId="6" fillId="0" borderId="1" xfId="8" applyFont="1" applyFill="1" applyBorder="1" applyAlignment="1" applyProtection="1">
      <alignment horizontal="center" vertical="top" wrapText="1"/>
      <protection locked="0"/>
    </xf>
    <xf numFmtId="9" fontId="6" fillId="0" borderId="7" xfId="8" applyFont="1" applyFill="1" applyBorder="1" applyAlignment="1" applyProtection="1">
      <alignment horizontal="center" vertical="top" wrapText="1"/>
      <protection locked="0"/>
    </xf>
    <xf numFmtId="0" fontId="6" fillId="0" borderId="0" xfId="1" applyFont="1"/>
    <xf numFmtId="0" fontId="14" fillId="0" borderId="0" xfId="1" applyFont="1"/>
    <xf numFmtId="0" fontId="11" fillId="0" borderId="0" xfId="1" applyFont="1"/>
    <xf numFmtId="1" fontId="6" fillId="0" borderId="0" xfId="1" applyNumberFormat="1" applyFont="1"/>
    <xf numFmtId="14" fontId="6" fillId="0" borderId="0" xfId="1" applyNumberFormat="1" applyFont="1"/>
    <xf numFmtId="0" fontId="6" fillId="0" borderId="0" xfId="1" applyFont="1" applyProtection="1">
      <protection hidden="1"/>
    </xf>
    <xf numFmtId="0" fontId="22" fillId="0" borderId="0" xfId="1" applyFont="1"/>
    <xf numFmtId="0" fontId="6"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5"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6" fillId="0" borderId="1" xfId="1" applyFont="1" applyBorder="1" applyAlignment="1" applyProtection="1">
      <alignment horizontal="center" vertical="top"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11" fillId="0" borderId="1" xfId="1" applyFont="1" applyBorder="1" applyAlignment="1" applyProtection="1">
      <alignment horizontal="center" vertical="top"/>
      <protection locked="0"/>
    </xf>
    <xf numFmtId="0" fontId="5" fillId="0" borderId="1" xfId="1" applyFont="1" applyBorder="1" applyAlignment="1" applyProtection="1">
      <alignment horizontal="center" vertical="top"/>
      <protection locked="0"/>
    </xf>
    <xf numFmtId="0" fontId="23" fillId="2" borderId="30" xfId="0" applyFont="1" applyFill="1" applyBorder="1"/>
    <xf numFmtId="0" fontId="24" fillId="0" borderId="31" xfId="0" applyFont="1" applyBorder="1"/>
    <xf numFmtId="0" fontId="24" fillId="0" borderId="1" xfId="0" applyFont="1" applyBorder="1"/>
    <xf numFmtId="0" fontId="24"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0" fillId="0" borderId="25" xfId="0" applyBorder="1"/>
    <xf numFmtId="0" fontId="0" fillId="0" borderId="8" xfId="0" applyBorder="1"/>
    <xf numFmtId="0" fontId="0" fillId="0" borderId="1" xfId="0" applyBorder="1" applyAlignment="1">
      <alignment vertical="top" wrapText="1"/>
    </xf>
    <xf numFmtId="0" fontId="0" fillId="2" borderId="1" xfId="0" applyFill="1"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1" fillId="0" borderId="1" xfId="1" applyFont="1" applyBorder="1"/>
    <xf numFmtId="0" fontId="6"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4" fillId="2" borderId="0" xfId="1" applyFont="1" applyFill="1"/>
    <xf numFmtId="14" fontId="11"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2" xfId="0" applyBorder="1" applyAlignment="1">
      <alignment vertical="top"/>
    </xf>
    <xf numFmtId="0" fontId="0" fillId="0" borderId="33" xfId="0" applyBorder="1" applyAlignment="1">
      <alignment vertical="top" wrapText="1"/>
    </xf>
    <xf numFmtId="0" fontId="0" fillId="0" borderId="34"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3"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6" fillId="0" borderId="0" xfId="1" applyNumberFormat="1" applyFont="1"/>
    <xf numFmtId="1" fontId="5"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vertical="top"/>
      <protection locked="0"/>
    </xf>
    <xf numFmtId="0" fontId="6" fillId="0" borderId="0" xfId="1" applyFont="1" applyAlignment="1">
      <alignment horizontal="center" vertical="center"/>
    </xf>
    <xf numFmtId="0" fontId="6" fillId="0" borderId="0" xfId="1" applyFont="1" applyAlignment="1">
      <alignment horizontal="center" vertical="center"/>
    </xf>
    <xf numFmtId="1" fontId="5"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vertical="top"/>
      <protection locked="0"/>
    </xf>
    <xf numFmtId="0" fontId="14" fillId="0" borderId="0" xfId="0" applyFont="1" applyAlignment="1">
      <alignment horizontal="center" vertical="center"/>
    </xf>
    <xf numFmtId="1" fontId="5" fillId="0" borderId="1" xfId="0" applyNumberFormat="1" applyFont="1" applyBorder="1" applyAlignment="1" applyProtection="1">
      <alignment horizontal="center" vertical="center" wrapText="1"/>
      <protection locked="0"/>
    </xf>
    <xf numFmtId="0" fontId="14" fillId="0" borderId="0" xfId="0" applyFont="1" applyAlignment="1">
      <alignment horizontal="left" vertical="center"/>
    </xf>
    <xf numFmtId="0" fontId="11" fillId="0" borderId="1" xfId="1" applyFont="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1" fontId="14" fillId="0" borderId="0" xfId="1" applyNumberFormat="1" applyFont="1" applyAlignment="1">
      <alignment horizontal="left" vertical="center"/>
    </xf>
    <xf numFmtId="1" fontId="6" fillId="0" borderId="1" xfId="1" applyNumberFormat="1" applyFont="1" applyBorder="1" applyAlignment="1">
      <alignment horizontal="center" vertical="center"/>
    </xf>
    <xf numFmtId="9" fontId="11" fillId="0" borderId="1" xfId="8" applyFont="1" applyFill="1" applyBorder="1" applyAlignment="1" applyProtection="1">
      <alignment horizontal="center" vertical="top" wrapText="1"/>
      <protection locked="0"/>
    </xf>
    <xf numFmtId="9" fontId="11" fillId="0" borderId="7" xfId="8" applyFont="1" applyFill="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0" fontId="6" fillId="0" borderId="0" xfId="1" applyFont="1" applyAlignment="1">
      <alignment horizontal="center" vertical="center"/>
    </xf>
    <xf numFmtId="0" fontId="6" fillId="0" borderId="0" xfId="1" applyFont="1" applyAlignment="1">
      <alignment horizontal="center" vertical="center"/>
    </xf>
    <xf numFmtId="168" fontId="6" fillId="0" borderId="0" xfId="1" applyNumberFormat="1" applyFont="1" applyAlignment="1">
      <alignment horizontal="center" vertical="center"/>
    </xf>
    <xf numFmtId="0" fontId="6" fillId="0" borderId="0" xfId="1" applyFont="1" applyAlignment="1">
      <alignment horizontal="center" vertical="center"/>
    </xf>
    <xf numFmtId="1" fontId="5" fillId="0" borderId="1" xfId="0" applyNumberFormat="1" applyFont="1" applyBorder="1" applyAlignment="1" applyProtection="1">
      <alignment horizontal="center" vertical="center" wrapText="1"/>
      <protection locked="0"/>
    </xf>
    <xf numFmtId="1" fontId="12" fillId="0" borderId="3" xfId="1" applyNumberFormat="1" applyFont="1" applyBorder="1" applyAlignment="1" applyProtection="1">
      <alignment horizontal="center" vertical="top" wrapText="1"/>
      <protection locked="0"/>
    </xf>
    <xf numFmtId="0" fontId="6" fillId="0" borderId="0" xfId="1" applyFont="1" applyAlignment="1">
      <alignment horizontal="center" vertical="center"/>
    </xf>
    <xf numFmtId="1" fontId="11" fillId="0" borderId="1" xfId="1" applyNumberFormat="1" applyFont="1" applyBorder="1" applyAlignment="1">
      <alignment horizontal="center" vertical="center"/>
    </xf>
    <xf numFmtId="1" fontId="11" fillId="0" borderId="1" xfId="1" applyNumberFormat="1" applyFont="1" applyBorder="1" applyAlignment="1" applyProtection="1">
      <alignment horizontal="center" vertical="center" wrapText="1"/>
      <protection locked="0"/>
    </xf>
    <xf numFmtId="2" fontId="6" fillId="0" borderId="0" xfId="1" applyNumberFormat="1" applyFont="1" applyAlignment="1">
      <alignment horizontal="center" vertical="center"/>
    </xf>
    <xf numFmtId="0" fontId="9" fillId="0" borderId="0" xfId="1" applyFont="1" applyAlignment="1">
      <alignment horizontal="center" vertical="center"/>
    </xf>
    <xf numFmtId="1" fontId="11" fillId="0" borderId="1" xfId="0" applyNumberFormat="1" applyFont="1" applyBorder="1" applyAlignment="1" applyProtection="1">
      <alignment horizontal="center" vertical="center" wrapText="1"/>
      <protection locked="0"/>
    </xf>
    <xf numFmtId="1" fontId="12" fillId="0" borderId="8" xfId="0" applyNumberFormat="1" applyFont="1" applyBorder="1" applyAlignment="1" applyProtection="1">
      <alignment vertical="top" wrapText="1"/>
      <protection locked="0"/>
    </xf>
    <xf numFmtId="1" fontId="12" fillId="0" borderId="21" xfId="0" applyNumberFormat="1" applyFont="1" applyBorder="1" applyAlignment="1" applyProtection="1">
      <alignment vertical="top" wrapText="1"/>
      <protection locked="0"/>
    </xf>
    <xf numFmtId="1" fontId="12" fillId="0" borderId="9" xfId="0" applyNumberFormat="1" applyFont="1" applyBorder="1" applyAlignment="1" applyProtection="1">
      <alignment vertical="top" wrapText="1"/>
      <protection locked="0"/>
    </xf>
    <xf numFmtId="1" fontId="7" fillId="0" borderId="1" xfId="0" applyNumberFormat="1" applyFont="1" applyBorder="1" applyAlignment="1" applyProtection="1">
      <alignment horizontal="center" vertical="top" wrapText="1"/>
      <protection locked="0"/>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horizontal="center" vertical="top" wrapText="1"/>
      <protection locked="0"/>
    </xf>
    <xf numFmtId="1" fontId="11" fillId="0" borderId="8" xfId="1" applyNumberFormat="1" applyFont="1" applyBorder="1" applyAlignment="1" applyProtection="1">
      <alignment horizontal="center" vertical="center" wrapText="1"/>
      <protection locked="0"/>
    </xf>
    <xf numFmtId="1" fontId="11" fillId="0" borderId="9" xfId="1" applyNumberFormat="1" applyFont="1" applyBorder="1" applyAlignment="1" applyProtection="1">
      <alignment horizontal="center" vertical="center" wrapText="1"/>
      <protection locked="0"/>
    </xf>
    <xf numFmtId="1" fontId="5" fillId="0" borderId="8" xfId="1" applyNumberFormat="1" applyFont="1" applyBorder="1" applyAlignment="1" applyProtection="1">
      <alignment horizontal="center" vertical="center" wrapText="1"/>
      <protection locked="0"/>
    </xf>
    <xf numFmtId="1" fontId="5" fillId="0" borderId="21" xfId="1" applyNumberFormat="1" applyFont="1" applyBorder="1" applyAlignment="1" applyProtection="1">
      <alignment horizontal="center" vertical="center" wrapText="1"/>
      <protection locked="0"/>
    </xf>
    <xf numFmtId="1" fontId="5" fillId="0" borderId="9" xfId="1" applyNumberFormat="1" applyFont="1" applyBorder="1" applyAlignment="1" applyProtection="1">
      <alignment horizontal="center" vertical="center" wrapText="1"/>
      <protection locked="0"/>
    </xf>
    <xf numFmtId="0" fontId="7" fillId="3" borderId="8" xfId="1" applyFont="1" applyFill="1" applyBorder="1" applyAlignment="1" applyProtection="1">
      <alignment horizontal="center" vertical="top" wrapText="1"/>
      <protection locked="0"/>
    </xf>
    <xf numFmtId="0" fontId="7" fillId="3" borderId="21" xfId="1" applyFont="1" applyFill="1" applyBorder="1" applyAlignment="1" applyProtection="1">
      <alignment horizontal="center" vertical="top" wrapText="1"/>
      <protection locked="0"/>
    </xf>
    <xf numFmtId="0" fontId="7" fillId="3" borderId="9" xfId="1" applyFont="1" applyFill="1" applyBorder="1" applyAlignment="1" applyProtection="1">
      <alignment horizontal="center" vertical="top" wrapText="1"/>
      <protection locked="0"/>
    </xf>
    <xf numFmtId="0" fontId="12" fillId="3" borderId="8" xfId="1" applyFont="1" applyFill="1" applyBorder="1" applyAlignment="1" applyProtection="1">
      <alignment horizontal="center" vertical="top" wrapText="1"/>
      <protection locked="0"/>
    </xf>
    <xf numFmtId="0" fontId="12" fillId="3" borderId="21" xfId="1" applyFont="1" applyFill="1" applyBorder="1" applyAlignment="1" applyProtection="1">
      <alignment horizontal="center" vertical="top" wrapText="1"/>
      <protection locked="0"/>
    </xf>
    <xf numFmtId="0" fontId="12" fillId="3" borderId="9" xfId="1" applyFont="1" applyFill="1" applyBorder="1" applyAlignment="1" applyProtection="1">
      <alignment horizontal="center" vertical="top" wrapText="1"/>
      <protection locked="0"/>
    </xf>
    <xf numFmtId="1" fontId="7" fillId="0" borderId="8" xfId="1" applyNumberFormat="1" applyFont="1" applyBorder="1" applyAlignment="1" applyProtection="1">
      <alignment horizontal="center" vertical="center" wrapText="1"/>
      <protection locked="0"/>
    </xf>
    <xf numFmtId="1" fontId="7" fillId="0" borderId="21" xfId="1" applyNumberFormat="1" applyFont="1" applyBorder="1" applyAlignment="1" applyProtection="1">
      <alignment horizontal="center" vertical="center" wrapText="1"/>
      <protection locked="0"/>
    </xf>
    <xf numFmtId="1" fontId="7" fillId="0" borderId="9" xfId="1" applyNumberFormat="1" applyFont="1" applyBorder="1" applyAlignment="1" applyProtection="1">
      <alignment horizontal="center" vertical="center" wrapText="1"/>
      <protection locked="0"/>
    </xf>
    <xf numFmtId="0" fontId="12" fillId="0" borderId="4" xfId="1" applyFont="1" applyBorder="1" applyAlignment="1" applyProtection="1">
      <alignment horizontal="left" vertical="top"/>
      <protection locked="0"/>
    </xf>
    <xf numFmtId="0" fontId="12"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2" fillId="0" borderId="5" xfId="1" applyFont="1" applyBorder="1" applyAlignment="1" applyProtection="1">
      <alignment horizontal="left" vertical="top" wrapText="1"/>
      <protection locked="0"/>
    </xf>
    <xf numFmtId="0" fontId="12" fillId="0" borderId="37" xfId="1" applyFont="1" applyBorder="1" applyAlignment="1" applyProtection="1">
      <alignment horizontal="center" vertical="center"/>
      <protection locked="0"/>
    </xf>
    <xf numFmtId="0" fontId="12" fillId="0" borderId="18" xfId="1" applyFont="1" applyBorder="1" applyAlignment="1" applyProtection="1">
      <alignment horizontal="center" vertical="center"/>
      <protection locked="0"/>
    </xf>
    <xf numFmtId="0" fontId="12" fillId="0" borderId="38" xfId="1" applyFont="1" applyBorder="1" applyAlignment="1" applyProtection="1">
      <alignment horizontal="center" vertical="center"/>
      <protection locked="0"/>
    </xf>
    <xf numFmtId="0" fontId="12" fillId="0" borderId="20" xfId="1" applyFont="1" applyBorder="1" applyAlignment="1" applyProtection="1">
      <alignment horizontal="center" vertical="center"/>
      <protection locked="0"/>
    </xf>
    <xf numFmtId="9" fontId="12" fillId="0" borderId="17" xfId="1" applyNumberFormat="1" applyFont="1" applyBorder="1" applyAlignment="1" applyProtection="1">
      <alignment horizontal="center" vertical="center"/>
      <protection locked="0"/>
    </xf>
    <xf numFmtId="0" fontId="12" fillId="0" borderId="19" xfId="1" applyFont="1" applyBorder="1" applyAlignment="1" applyProtection="1">
      <alignment horizontal="center" vertical="center"/>
      <protection locked="0"/>
    </xf>
    <xf numFmtId="0" fontId="12" fillId="0" borderId="27" xfId="1" applyFont="1" applyBorder="1" applyAlignment="1" applyProtection="1">
      <alignment horizontal="center" vertical="center"/>
      <protection locked="0"/>
    </xf>
    <xf numFmtId="0" fontId="12" fillId="0" borderId="39" xfId="1" applyFont="1" applyBorder="1" applyAlignment="1" applyProtection="1">
      <alignment horizontal="center" vertical="center"/>
      <protection locked="0"/>
    </xf>
    <xf numFmtId="0" fontId="12" fillId="0" borderId="17" xfId="1" applyFont="1" applyBorder="1" applyAlignment="1" applyProtection="1">
      <alignment horizontal="center" vertical="center"/>
      <protection locked="0"/>
    </xf>
    <xf numFmtId="9" fontId="6" fillId="0" borderId="17" xfId="8" applyFont="1" applyFill="1" applyBorder="1" applyAlignment="1" applyProtection="1">
      <alignment horizontal="center" vertical="center" wrapText="1"/>
      <protection locked="0"/>
    </xf>
    <xf numFmtId="9" fontId="6" fillId="0" borderId="18" xfId="8" applyFont="1" applyFill="1" applyBorder="1" applyAlignment="1" applyProtection="1">
      <alignment horizontal="center" vertical="center" wrapText="1"/>
      <protection locked="0"/>
    </xf>
    <xf numFmtId="9" fontId="6" fillId="0" borderId="25" xfId="8" applyFont="1" applyFill="1" applyBorder="1" applyAlignment="1" applyProtection="1">
      <alignment horizontal="center" vertical="center" wrapText="1"/>
      <protection locked="0"/>
    </xf>
    <xf numFmtId="9" fontId="6" fillId="0" borderId="26" xfId="8" applyFont="1" applyFill="1" applyBorder="1" applyAlignment="1" applyProtection="1">
      <alignment horizontal="center" vertical="center" wrapText="1"/>
      <protection locked="0"/>
    </xf>
    <xf numFmtId="9" fontId="6" fillId="0" borderId="28" xfId="8" applyFont="1" applyFill="1" applyBorder="1" applyAlignment="1" applyProtection="1">
      <alignment horizontal="center" vertical="center" wrapText="1"/>
      <protection locked="0"/>
    </xf>
    <xf numFmtId="9" fontId="6" fillId="0" borderId="29" xfId="8" applyFont="1" applyFill="1" applyBorder="1" applyAlignment="1" applyProtection="1">
      <alignment horizontal="center" vertical="center" wrapText="1"/>
      <protection locked="0"/>
    </xf>
    <xf numFmtId="0" fontId="12" fillId="0" borderId="22" xfId="1" applyFont="1" applyBorder="1" applyAlignment="1" applyProtection="1">
      <alignment horizontal="left" vertical="top" wrapText="1"/>
      <protection locked="0"/>
    </xf>
    <xf numFmtId="0" fontId="12" fillId="0" borderId="15" xfId="1" applyFont="1" applyBorder="1" applyAlignment="1" applyProtection="1">
      <alignment horizontal="left" vertical="top" wrapText="1"/>
      <protection locked="0"/>
    </xf>
    <xf numFmtId="0" fontId="11" fillId="0" borderId="4" xfId="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0" fontId="11" fillId="0" borderId="5" xfId="1" applyFont="1" applyBorder="1" applyAlignment="1" applyProtection="1">
      <alignment horizontal="center" vertical="top" wrapText="1"/>
      <protection locked="0"/>
    </xf>
    <xf numFmtId="9" fontId="11" fillId="0" borderId="17" xfId="8" applyFont="1" applyFill="1" applyBorder="1" applyAlignment="1" applyProtection="1">
      <alignment horizontal="center" vertical="center" wrapText="1"/>
      <protection locked="0"/>
    </xf>
    <xf numFmtId="9" fontId="11" fillId="0" borderId="18" xfId="8" applyFont="1" applyFill="1" applyBorder="1" applyAlignment="1" applyProtection="1">
      <alignment horizontal="center" vertical="center" wrapText="1"/>
      <protection locked="0"/>
    </xf>
    <xf numFmtId="9" fontId="11" fillId="0" borderId="25" xfId="8" applyFont="1" applyFill="1" applyBorder="1" applyAlignment="1" applyProtection="1">
      <alignment horizontal="center" vertical="center" wrapText="1"/>
      <protection locked="0"/>
    </xf>
    <xf numFmtId="9" fontId="11" fillId="0" borderId="26" xfId="8" applyFont="1" applyFill="1" applyBorder="1" applyAlignment="1" applyProtection="1">
      <alignment horizontal="center" vertical="center" wrapText="1"/>
      <protection locked="0"/>
    </xf>
    <xf numFmtId="9" fontId="11" fillId="0" borderId="28" xfId="8" applyFont="1" applyFill="1" applyBorder="1" applyAlignment="1" applyProtection="1">
      <alignment horizontal="center" vertical="center" wrapText="1"/>
      <protection locked="0"/>
    </xf>
    <xf numFmtId="9" fontId="11" fillId="0" borderId="29" xfId="8" applyFont="1" applyFill="1" applyBorder="1" applyAlignment="1" applyProtection="1">
      <alignment horizontal="center" vertical="center" wrapText="1"/>
      <protection locked="0"/>
    </xf>
    <xf numFmtId="9" fontId="11" fillId="0" borderId="27" xfId="8" applyFont="1" applyFill="1" applyBorder="1" applyAlignment="1" applyProtection="1">
      <alignment horizontal="center" vertical="center" wrapText="1"/>
      <protection locked="0"/>
    </xf>
    <xf numFmtId="9" fontId="11" fillId="0" borderId="10" xfId="8" applyFont="1" applyFill="1" applyBorder="1" applyAlignment="1" applyProtection="1">
      <alignment horizontal="center" vertical="center" wrapText="1"/>
      <protection locked="0"/>
    </xf>
    <xf numFmtId="9" fontId="11" fillId="0" borderId="12" xfId="8" applyFont="1" applyFill="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protection locked="0"/>
    </xf>
    <xf numFmtId="0" fontId="6" fillId="0" borderId="0" xfId="1" applyFont="1" applyAlignment="1">
      <alignment horizontal="center" vertical="center"/>
    </xf>
    <xf numFmtId="1" fontId="5" fillId="0" borderId="1" xfId="0" applyNumberFormat="1"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top" wrapText="1"/>
      <protection locked="0"/>
    </xf>
    <xf numFmtId="1" fontId="9" fillId="0" borderId="1" xfId="0" applyNumberFormat="1" applyFont="1" applyBorder="1" applyAlignment="1" applyProtection="1">
      <alignment horizontal="center" vertical="top" wrapText="1"/>
      <protection locked="0"/>
    </xf>
    <xf numFmtId="1" fontId="7" fillId="3" borderId="8" xfId="1" applyNumberFormat="1" applyFont="1" applyFill="1" applyBorder="1" applyAlignment="1" applyProtection="1">
      <alignment horizontal="center" vertical="center" wrapText="1"/>
      <protection locked="0"/>
    </xf>
    <xf numFmtId="1" fontId="7" fillId="3" borderId="21" xfId="1" applyNumberFormat="1" applyFont="1" applyFill="1" applyBorder="1" applyAlignment="1" applyProtection="1">
      <alignment horizontal="center" vertical="center" wrapText="1"/>
      <protection locked="0"/>
    </xf>
    <xf numFmtId="1" fontId="7" fillId="3" borderId="9" xfId="1" applyNumberFormat="1" applyFont="1" applyFill="1" applyBorder="1" applyAlignment="1" applyProtection="1">
      <alignment horizontal="center" vertical="center" wrapText="1"/>
      <protection locked="0"/>
    </xf>
    <xf numFmtId="1" fontId="12" fillId="0" borderId="8" xfId="1" applyNumberFormat="1" applyFont="1" applyBorder="1" applyAlignment="1" applyProtection="1">
      <alignment horizontal="center" vertical="center" wrapText="1"/>
      <protection locked="0"/>
    </xf>
    <xf numFmtId="1" fontId="12" fillId="0" borderId="21" xfId="1" applyNumberFormat="1" applyFont="1" applyBorder="1" applyAlignment="1" applyProtection="1">
      <alignment horizontal="center" vertical="center" wrapText="1"/>
      <protection locked="0"/>
    </xf>
    <xf numFmtId="1" fontId="12" fillId="0" borderId="9" xfId="1" applyNumberFormat="1" applyFont="1" applyBorder="1" applyAlignment="1" applyProtection="1">
      <alignment horizontal="center" vertical="center" wrapText="1"/>
      <protection locked="0"/>
    </xf>
    <xf numFmtId="0" fontId="7" fillId="0" borderId="8" xfId="1" applyFont="1" applyBorder="1" applyAlignment="1" applyProtection="1">
      <alignment horizontal="left" vertical="top" wrapText="1"/>
      <protection locked="0"/>
    </xf>
    <xf numFmtId="0" fontId="7" fillId="0" borderId="21" xfId="1" applyFont="1" applyBorder="1" applyAlignment="1" applyProtection="1">
      <alignment horizontal="left" vertical="top" wrapText="1"/>
      <protection locked="0"/>
    </xf>
    <xf numFmtId="0" fontId="7" fillId="0" borderId="9" xfId="1" applyFont="1" applyBorder="1" applyAlignment="1" applyProtection="1">
      <alignment horizontal="left" vertical="top" wrapText="1"/>
      <protection locked="0"/>
    </xf>
    <xf numFmtId="14" fontId="7" fillId="0" borderId="8" xfId="1" applyNumberFormat="1" applyFont="1" applyBorder="1" applyAlignment="1" applyProtection="1">
      <alignment horizontal="left" vertical="top"/>
      <protection locked="0"/>
    </xf>
    <xf numFmtId="14" fontId="7" fillId="0" borderId="9" xfId="1" applyNumberFormat="1" applyFont="1" applyBorder="1" applyAlignment="1" applyProtection="1">
      <alignment horizontal="left" vertical="top"/>
      <protection locked="0"/>
    </xf>
    <xf numFmtId="0" fontId="6" fillId="0" borderId="35" xfId="1" applyFont="1" applyBorder="1" applyAlignment="1" applyProtection="1">
      <alignment horizontal="center" vertical="top" wrapText="1"/>
      <protection locked="0"/>
    </xf>
    <xf numFmtId="0" fontId="6" fillId="0" borderId="9" xfId="1" applyFont="1" applyBorder="1" applyAlignment="1" applyProtection="1">
      <alignment horizontal="center" vertical="top" wrapText="1"/>
      <protection locked="0"/>
    </xf>
    <xf numFmtId="0" fontId="12" fillId="0" borderId="8"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36" xfId="1" applyFont="1" applyBorder="1" applyAlignment="1" applyProtection="1">
      <alignment horizontal="left" vertical="top" wrapText="1"/>
      <protection locked="0"/>
    </xf>
    <xf numFmtId="0" fontId="12" fillId="0" borderId="35" xfId="1" applyFont="1" applyBorder="1" applyAlignment="1" applyProtection="1">
      <alignment horizontal="left" vertical="top"/>
      <protection locked="0"/>
    </xf>
    <xf numFmtId="0" fontId="12" fillId="0" borderId="9" xfId="1" applyFont="1" applyBorder="1" applyAlignment="1" applyProtection="1">
      <alignment horizontal="left" vertical="top"/>
      <protection locked="0"/>
    </xf>
    <xf numFmtId="9" fontId="6" fillId="0" borderId="27" xfId="8" applyFont="1" applyFill="1" applyBorder="1" applyAlignment="1" applyProtection="1">
      <alignment horizontal="center" vertical="center" wrapText="1"/>
      <protection locked="0"/>
    </xf>
    <xf numFmtId="9" fontId="6" fillId="0" borderId="10" xfId="8" applyFont="1" applyFill="1" applyBorder="1" applyAlignment="1" applyProtection="1">
      <alignment horizontal="center" vertical="center" wrapText="1"/>
      <protection locked="0"/>
    </xf>
    <xf numFmtId="9" fontId="6" fillId="0" borderId="12" xfId="8" applyFont="1" applyFill="1" applyBorder="1" applyAlignment="1" applyProtection="1">
      <alignment horizontal="center" vertical="center" wrapText="1"/>
      <protection locked="0"/>
    </xf>
    <xf numFmtId="0" fontId="5" fillId="0" borderId="1" xfId="1" applyFont="1" applyBorder="1" applyAlignment="1" applyProtection="1">
      <alignment horizontal="left" vertical="top"/>
      <protection locked="0"/>
    </xf>
    <xf numFmtId="167" fontId="11" fillId="0" borderId="1" xfId="9" applyNumberFormat="1" applyFont="1" applyFill="1" applyBorder="1" applyAlignment="1" applyProtection="1">
      <alignment horizontal="left" vertical="top"/>
      <protection locked="0"/>
    </xf>
    <xf numFmtId="0" fontId="6" fillId="0" borderId="4"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1" fontId="12" fillId="0" borderId="8" xfId="1" applyNumberFormat="1" applyFont="1" applyFill="1" applyBorder="1" applyAlignment="1" applyProtection="1">
      <alignment horizontal="center" vertical="center" wrapText="1"/>
      <protection locked="0"/>
    </xf>
    <xf numFmtId="1" fontId="12" fillId="0" borderId="21" xfId="1" applyNumberFormat="1" applyFont="1" applyFill="1" applyBorder="1" applyAlignment="1" applyProtection="1">
      <alignment horizontal="center" vertical="center" wrapText="1"/>
      <protection locked="0"/>
    </xf>
    <xf numFmtId="1" fontId="12" fillId="0" borderId="9" xfId="1" applyNumberFormat="1" applyFont="1" applyFill="1" applyBorder="1" applyAlignment="1" applyProtection="1">
      <alignment horizontal="center" vertical="center" wrapText="1"/>
      <protection locked="0"/>
    </xf>
    <xf numFmtId="0" fontId="6" fillId="0" borderId="6" xfId="1" applyFont="1" applyBorder="1" applyAlignment="1" applyProtection="1">
      <alignment horizontal="center" vertical="top" wrapText="1"/>
      <protection locked="0"/>
    </xf>
    <xf numFmtId="0" fontId="6" fillId="0" borderId="7" xfId="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1" fontId="11" fillId="0" borderId="1" xfId="0" applyNumberFormat="1" applyFont="1" applyBorder="1" applyAlignment="1" applyProtection="1">
      <alignment horizontal="center" vertical="center" wrapText="1"/>
      <protection locked="0"/>
    </xf>
    <xf numFmtId="0" fontId="7" fillId="0" borderId="16" xfId="1" applyFont="1" applyBorder="1" applyAlignment="1" applyProtection="1">
      <alignment horizontal="center" vertical="top"/>
      <protection locked="0"/>
    </xf>
    <xf numFmtId="0" fontId="7" fillId="0" borderId="16" xfId="1" applyFont="1" applyBorder="1" applyAlignment="1" applyProtection="1">
      <alignment horizontal="left" vertical="top"/>
      <protection locked="0"/>
    </xf>
    <xf numFmtId="0" fontId="25" fillId="0" borderId="1" xfId="10" applyFill="1" applyBorder="1" applyAlignment="1" applyProtection="1">
      <alignment horizontal="left" vertical="top" wrapText="1"/>
      <protection locked="0"/>
    </xf>
    <xf numFmtId="0" fontId="11" fillId="0" borderId="1" xfId="1" applyFont="1" applyBorder="1" applyAlignment="1" applyProtection="1">
      <alignment horizontal="left" vertical="top" wrapText="1"/>
      <protection locked="0"/>
    </xf>
    <xf numFmtId="1" fontId="12" fillId="0" borderId="3" xfId="1" applyNumberFormat="1" applyFont="1" applyBorder="1" applyAlignment="1" applyProtection="1">
      <alignment horizontal="center" vertical="top" wrapText="1"/>
      <protection locked="0"/>
    </xf>
    <xf numFmtId="1" fontId="12" fillId="0" borderId="16" xfId="1" applyNumberFormat="1" applyFont="1" applyBorder="1" applyAlignment="1" applyProtection="1">
      <alignment horizontal="center" vertical="top" wrapText="1"/>
      <protection locked="0"/>
    </xf>
    <xf numFmtId="0" fontId="7" fillId="0" borderId="22" xfId="1" applyFont="1" applyBorder="1" applyAlignment="1" applyProtection="1">
      <alignment horizontal="left" vertical="top" wrapText="1"/>
      <protection locked="0"/>
    </xf>
    <xf numFmtId="0" fontId="7" fillId="0" borderId="15"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23" xfId="1" applyFont="1" applyBorder="1" applyAlignment="1" applyProtection="1">
      <alignment horizontal="left" vertical="top" wrapText="1"/>
      <protection locked="0"/>
    </xf>
    <xf numFmtId="14" fontId="5" fillId="0" borderId="8" xfId="1" applyNumberFormat="1" applyFont="1" applyBorder="1" applyAlignment="1" applyProtection="1">
      <alignment horizontal="left" vertical="top" wrapText="1"/>
      <protection locked="0"/>
    </xf>
    <xf numFmtId="14" fontId="5" fillId="0" borderId="9" xfId="1" applyNumberFormat="1" applyFont="1" applyBorder="1" applyAlignment="1" applyProtection="1">
      <alignment horizontal="left" vertical="top" wrapText="1"/>
      <protection locked="0"/>
    </xf>
    <xf numFmtId="0" fontId="6" fillId="0" borderId="8" xfId="1" applyFont="1" applyBorder="1" applyAlignment="1" applyProtection="1">
      <alignment horizontal="center" vertical="top" wrapText="1"/>
      <protection locked="0"/>
    </xf>
    <xf numFmtId="0" fontId="6" fillId="0" borderId="36" xfId="1" applyFont="1" applyBorder="1" applyAlignment="1" applyProtection="1">
      <alignment horizontal="center" vertical="top" wrapText="1"/>
      <protection locked="0"/>
    </xf>
    <xf numFmtId="0" fontId="6" fillId="0" borderId="5" xfId="1" applyFont="1" applyBorder="1" applyAlignment="1" applyProtection="1">
      <alignment horizontal="center" vertical="top" wrapText="1"/>
      <protection locked="0"/>
    </xf>
    <xf numFmtId="0" fontId="5" fillId="0" borderId="8"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11" fillId="0" borderId="16" xfId="1" applyFont="1" applyBorder="1" applyAlignment="1" applyProtection="1">
      <alignment horizontal="left" vertical="top" wrapText="1"/>
      <protection locked="0"/>
    </xf>
    <xf numFmtId="0" fontId="11" fillId="0" borderId="8" xfId="1" applyFont="1" applyBorder="1" applyAlignment="1" applyProtection="1">
      <alignment horizontal="center" vertical="top"/>
      <protection locked="0"/>
    </xf>
    <xf numFmtId="0" fontId="11" fillId="0" borderId="21" xfId="1" applyFont="1" applyBorder="1" applyAlignment="1" applyProtection="1">
      <alignment horizontal="center" vertical="top"/>
      <protection locked="0"/>
    </xf>
    <xf numFmtId="0" fontId="11" fillId="0" borderId="9" xfId="1" applyFont="1" applyBorder="1" applyAlignment="1" applyProtection="1">
      <alignment horizontal="center" vertical="top"/>
      <protection locked="0"/>
    </xf>
    <xf numFmtId="0" fontId="7" fillId="0" borderId="1" xfId="1" applyFont="1" applyBorder="1" applyAlignment="1" applyProtection="1">
      <alignment horizontal="left" vertical="top"/>
      <protection locked="0"/>
    </xf>
    <xf numFmtId="0" fontId="5" fillId="0" borderId="8" xfId="1" applyFont="1" applyBorder="1" applyAlignment="1" applyProtection="1">
      <alignment vertical="top" wrapText="1"/>
      <protection locked="0"/>
    </xf>
    <xf numFmtId="0" fontId="5" fillId="0" borderId="21" xfId="1" applyFont="1" applyBorder="1" applyAlignment="1" applyProtection="1">
      <alignment vertical="top" wrapText="1"/>
      <protection locked="0"/>
    </xf>
    <xf numFmtId="0" fontId="5" fillId="0" borderId="9" xfId="1" applyFont="1" applyBorder="1" applyAlignment="1" applyProtection="1">
      <alignmen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5" fillId="0" borderId="24" xfId="1" applyFont="1" applyBorder="1" applyAlignment="1" applyProtection="1">
      <alignment horizontal="left" vertical="top" wrapText="1"/>
      <protection locked="0"/>
    </xf>
    <xf numFmtId="0" fontId="11" fillId="0" borderId="1" xfId="1" applyFont="1" applyBorder="1" applyAlignment="1" applyProtection="1">
      <alignment horizontal="left" vertical="top"/>
      <protection locked="0"/>
    </xf>
    <xf numFmtId="0" fontId="14" fillId="0" borderId="17" xfId="1" applyFont="1" applyBorder="1" applyAlignment="1" applyProtection="1">
      <alignment horizontal="left" vertical="top"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2" fontId="5" fillId="0" borderId="1" xfId="1" applyNumberFormat="1" applyFont="1" applyBorder="1" applyAlignment="1" applyProtection="1">
      <alignment horizontal="left" vertical="top" wrapText="1"/>
      <protection locked="0"/>
    </xf>
    <xf numFmtId="1" fontId="5" fillId="0" borderId="1" xfId="1" applyNumberFormat="1" applyFont="1" applyBorder="1" applyAlignment="1" applyProtection="1">
      <alignment horizontal="left" vertical="top" wrapText="1"/>
      <protection locked="0"/>
    </xf>
    <xf numFmtId="164" fontId="5" fillId="0" borderId="1" xfId="1" applyNumberFormat="1" applyFont="1" applyBorder="1" applyAlignment="1" applyProtection="1">
      <alignment horizontal="left" vertical="top"/>
      <protection locked="0"/>
    </xf>
    <xf numFmtId="2" fontId="5" fillId="0" borderId="1" xfId="1" applyNumberFormat="1" applyFont="1" applyBorder="1" applyAlignment="1" applyProtection="1">
      <alignment horizontal="left" vertical="top"/>
      <protection locked="0"/>
    </xf>
    <xf numFmtId="0" fontId="11" fillId="0" borderId="3" xfId="1" applyFont="1" applyBorder="1" applyAlignment="1" applyProtection="1">
      <alignment horizontal="left" vertical="top" wrapText="1"/>
      <protection locked="0"/>
    </xf>
    <xf numFmtId="0" fontId="11" fillId="0" borderId="3" xfId="1" applyFont="1" applyBorder="1" applyAlignment="1" applyProtection="1">
      <alignment horizontal="left" vertical="top"/>
      <protection locked="0"/>
    </xf>
    <xf numFmtId="0" fontId="11" fillId="0" borderId="17" xfId="1" applyFont="1" applyBorder="1" applyAlignment="1" applyProtection="1">
      <alignment horizontal="left" vertical="top" wrapText="1"/>
      <protection locked="0"/>
    </xf>
    <xf numFmtId="0" fontId="11" fillId="0" borderId="24" xfId="1" applyFont="1" applyBorder="1" applyAlignment="1" applyProtection="1">
      <alignment horizontal="left" vertical="top" wrapText="1"/>
      <protection locked="0"/>
    </xf>
    <xf numFmtId="0" fontId="11" fillId="0" borderId="18" xfId="1" applyFont="1" applyBorder="1" applyAlignment="1" applyProtection="1">
      <alignment horizontal="left" vertical="top" wrapText="1"/>
      <protection locked="0"/>
    </xf>
    <xf numFmtId="0" fontId="12" fillId="0" borderId="8" xfId="1" applyFont="1" applyBorder="1" applyAlignment="1" applyProtection="1">
      <alignment horizontal="left" vertical="top"/>
      <protection locked="0"/>
    </xf>
    <xf numFmtId="0" fontId="12" fillId="0" borderId="21" xfId="1" applyFont="1" applyBorder="1" applyAlignment="1" applyProtection="1">
      <alignment horizontal="left" vertical="top"/>
      <protection locked="0"/>
    </xf>
    <xf numFmtId="0" fontId="11" fillId="0" borderId="25"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11" fillId="0" borderId="19" xfId="1" applyFont="1" applyBorder="1" applyAlignment="1" applyProtection="1">
      <alignment horizontal="left" vertical="top" wrapText="1"/>
      <protection locked="0"/>
    </xf>
    <xf numFmtId="0" fontId="11" fillId="0" borderId="2" xfId="1" applyFont="1" applyBorder="1" applyAlignment="1" applyProtection="1">
      <alignment horizontal="left" vertical="top" wrapText="1"/>
      <protection locked="0"/>
    </xf>
    <xf numFmtId="0" fontId="6" fillId="0" borderId="17" xfId="1" applyFont="1" applyBorder="1" applyAlignment="1" applyProtection="1">
      <alignment horizontal="left" vertical="top"/>
      <protection locked="0"/>
    </xf>
    <xf numFmtId="0" fontId="6" fillId="0" borderId="24" xfId="1" applyFont="1" applyBorder="1" applyAlignment="1" applyProtection="1">
      <alignment horizontal="left" vertical="top"/>
      <protection locked="0"/>
    </xf>
    <xf numFmtId="0" fontId="6" fillId="0" borderId="18" xfId="1" applyFont="1" applyBorder="1" applyAlignment="1" applyProtection="1">
      <alignment horizontal="left" vertical="top"/>
      <protection locked="0"/>
    </xf>
    <xf numFmtId="0" fontId="11" fillId="0" borderId="25" xfId="1" applyFont="1" applyBorder="1" applyAlignment="1" applyProtection="1">
      <alignment horizontal="left" vertical="top"/>
      <protection locked="0"/>
    </xf>
    <xf numFmtId="0" fontId="11" fillId="0" borderId="0" xfId="1" applyFont="1" applyAlignment="1" applyProtection="1">
      <alignment horizontal="left" vertical="top"/>
      <protection locked="0"/>
    </xf>
    <xf numFmtId="0" fontId="11" fillId="0" borderId="26" xfId="1" applyFont="1" applyBorder="1" applyAlignment="1" applyProtection="1">
      <alignment horizontal="left" vertical="top"/>
      <protection locked="0"/>
    </xf>
    <xf numFmtId="0" fontId="7" fillId="0" borderId="1" xfId="1" applyFont="1" applyBorder="1" applyAlignment="1" applyProtection="1">
      <alignment vertical="top"/>
      <protection locked="0"/>
    </xf>
    <xf numFmtId="0" fontId="11" fillId="0" borderId="8" xfId="1" applyFont="1" applyBorder="1" applyAlignment="1" applyProtection="1">
      <alignment horizontal="center" vertical="top" wrapText="1"/>
      <protection locked="0"/>
    </xf>
    <xf numFmtId="0" fontId="5" fillId="0" borderId="3" xfId="1" applyFont="1" applyBorder="1" applyAlignment="1" applyProtection="1">
      <alignment horizontal="left" vertical="top" wrapText="1"/>
      <protection locked="0"/>
    </xf>
    <xf numFmtId="0" fontId="5" fillId="0" borderId="3" xfId="1" applyFont="1" applyBorder="1" applyAlignment="1" applyProtection="1">
      <alignment horizontal="left" vertical="top"/>
      <protection locked="0"/>
    </xf>
    <xf numFmtId="0" fontId="14" fillId="0" borderId="25" xfId="1" applyFont="1" applyBorder="1" applyAlignment="1" applyProtection="1">
      <alignment horizontal="left" vertical="top" wrapText="1"/>
      <protection locked="0"/>
    </xf>
    <xf numFmtId="0" fontId="14" fillId="0" borderId="26" xfId="1" applyFont="1" applyBorder="1" applyAlignment="1" applyProtection="1">
      <alignment horizontal="left" vertical="top" wrapText="1"/>
      <protection locked="0"/>
    </xf>
    <xf numFmtId="0" fontId="11"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2" fillId="0" borderId="1" xfId="1" applyFont="1" applyBorder="1" applyAlignment="1" applyProtection="1">
      <alignment horizontal="center"/>
      <protection locked="0"/>
    </xf>
    <xf numFmtId="0" fontId="11" fillId="0" borderId="1" xfId="1" applyFont="1" applyBorder="1" applyAlignment="1" applyProtection="1">
      <alignment horizontal="left"/>
      <protection locked="0"/>
    </xf>
    <xf numFmtId="0" fontId="11" fillId="0" borderId="9" xfId="1" applyFont="1" applyBorder="1" applyAlignment="1" applyProtection="1">
      <alignment horizontal="center" vertical="top" wrapText="1"/>
      <protection locked="0"/>
    </xf>
    <xf numFmtId="0" fontId="5" fillId="0" borderId="17" xfId="1" applyFont="1" applyBorder="1" applyAlignment="1" applyProtection="1">
      <alignment horizontal="left" vertical="top"/>
      <protection locked="0"/>
    </xf>
    <xf numFmtId="0" fontId="5" fillId="0" borderId="24" xfId="1" applyFont="1" applyBorder="1" applyAlignment="1" applyProtection="1">
      <alignment horizontal="left" vertical="top"/>
      <protection locked="0"/>
    </xf>
    <xf numFmtId="0" fontId="5" fillId="0" borderId="18" xfId="1" applyFont="1" applyBorder="1" applyAlignment="1" applyProtection="1">
      <alignment horizontal="left" vertical="top"/>
      <protection locked="0"/>
    </xf>
    <xf numFmtId="0" fontId="5" fillId="0" borderId="25" xfId="1" applyFont="1" applyBorder="1" applyAlignment="1" applyProtection="1">
      <alignment horizontal="left" vertical="top"/>
      <protection locked="0"/>
    </xf>
    <xf numFmtId="0" fontId="5" fillId="0" borderId="0" xfId="1" applyFont="1" applyBorder="1" applyAlignment="1" applyProtection="1">
      <alignment horizontal="left" vertical="top"/>
      <protection locked="0"/>
    </xf>
    <xf numFmtId="0" fontId="5" fillId="0" borderId="26" xfId="1" applyFont="1" applyBorder="1" applyAlignment="1" applyProtection="1">
      <alignment horizontal="left" vertical="top"/>
      <protection locked="0"/>
    </xf>
    <xf numFmtId="0" fontId="5" fillId="0" borderId="19" xfId="1" applyFont="1" applyBorder="1" applyAlignment="1" applyProtection="1">
      <alignment horizontal="left" vertical="top"/>
      <protection locked="0"/>
    </xf>
    <xf numFmtId="0" fontId="5" fillId="0" borderId="2" xfId="1" applyFont="1" applyBorder="1" applyAlignment="1" applyProtection="1">
      <alignment horizontal="left" vertical="top"/>
      <protection locked="0"/>
    </xf>
    <xf numFmtId="0" fontId="5" fillId="0" borderId="20" xfId="1" applyFont="1" applyBorder="1" applyAlignment="1" applyProtection="1">
      <alignment horizontal="left" vertical="top"/>
      <protection locked="0"/>
    </xf>
    <xf numFmtId="0" fontId="10"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14" fontId="11" fillId="0" borderId="1" xfId="1" applyNumberFormat="1" applyFont="1" applyBorder="1" applyAlignment="1" applyProtection="1">
      <alignment horizontal="left" vertical="top"/>
      <protection locked="0"/>
    </xf>
    <xf numFmtId="1" fontId="16" fillId="0" borderId="8" xfId="0" applyNumberFormat="1" applyFont="1" applyBorder="1" applyAlignment="1" applyProtection="1">
      <alignment vertical="top" wrapText="1"/>
      <protection locked="0"/>
    </xf>
    <xf numFmtId="1" fontId="16" fillId="0" borderId="21" xfId="0" applyNumberFormat="1" applyFont="1" applyBorder="1" applyAlignment="1" applyProtection="1">
      <alignment vertical="top" wrapText="1"/>
      <protection locked="0"/>
    </xf>
    <xf numFmtId="1" fontId="16" fillId="0" borderId="9" xfId="0" applyNumberFormat="1" applyFont="1" applyBorder="1" applyAlignment="1" applyProtection="1">
      <alignment vertical="top" wrapText="1"/>
      <protection locked="0"/>
    </xf>
    <xf numFmtId="1" fontId="12" fillId="0" borderId="17" xfId="1" applyNumberFormat="1" applyFont="1" applyBorder="1" applyAlignment="1" applyProtection="1">
      <alignment horizontal="center" vertical="top" wrapText="1"/>
      <protection locked="0"/>
    </xf>
    <xf numFmtId="1" fontId="12" fillId="0" borderId="19" xfId="1" applyNumberFormat="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1" fontId="7" fillId="0" borderId="8" xfId="0" applyNumberFormat="1" applyFont="1" applyBorder="1" applyAlignment="1" applyProtection="1">
      <alignment vertical="top" wrapText="1"/>
      <protection locked="0"/>
    </xf>
    <xf numFmtId="1" fontId="7" fillId="0" borderId="21" xfId="0" applyNumberFormat="1" applyFont="1" applyBorder="1" applyAlignment="1" applyProtection="1">
      <alignment vertical="top" wrapText="1"/>
      <protection locked="0"/>
    </xf>
    <xf numFmtId="1" fontId="7" fillId="0" borderId="9" xfId="0" applyNumberFormat="1" applyFont="1" applyBorder="1" applyAlignment="1" applyProtection="1">
      <alignment vertical="top" wrapText="1"/>
      <protection locked="0"/>
    </xf>
    <xf numFmtId="0" fontId="5" fillId="0" borderId="1" xfId="1" applyFont="1" applyBorder="1" applyAlignment="1" applyProtection="1">
      <alignment vertical="top"/>
      <protection locked="0"/>
    </xf>
    <xf numFmtId="0" fontId="12" fillId="0" borderId="16" xfId="1" applyFont="1" applyBorder="1" applyAlignment="1" applyProtection="1">
      <alignment horizontal="center" vertical="top"/>
      <protection locked="0"/>
    </xf>
    <xf numFmtId="0" fontId="11" fillId="0" borderId="19" xfId="1" applyFont="1" applyBorder="1" applyAlignment="1" applyProtection="1">
      <alignment horizontal="left" vertical="top"/>
      <protection locked="0"/>
    </xf>
    <xf numFmtId="0" fontId="11" fillId="0" borderId="2" xfId="1" applyFont="1" applyBorder="1" applyAlignment="1" applyProtection="1">
      <alignment horizontal="left" vertical="top"/>
      <protection locked="0"/>
    </xf>
    <xf numFmtId="0" fontId="11" fillId="0" borderId="20" xfId="1" applyFont="1" applyBorder="1" applyAlignment="1" applyProtection="1">
      <alignment horizontal="left" vertical="top"/>
      <protection locked="0"/>
    </xf>
    <xf numFmtId="1" fontId="7" fillId="0" borderId="1" xfId="0" applyNumberFormat="1" applyFont="1" applyBorder="1" applyAlignment="1" applyProtection="1">
      <alignment horizontal="left" vertical="top" wrapText="1"/>
      <protection locked="0"/>
    </xf>
    <xf numFmtId="0" fontId="5" fillId="0" borderId="17" xfId="1" applyFont="1" applyBorder="1" applyAlignment="1" applyProtection="1">
      <alignment horizontal="center" vertical="top" wrapText="1"/>
      <protection locked="0"/>
    </xf>
    <xf numFmtId="0" fontId="5" fillId="0" borderId="24" xfId="1" applyFont="1" applyBorder="1" applyAlignment="1" applyProtection="1">
      <alignment horizontal="center" vertical="top" wrapText="1"/>
      <protection locked="0"/>
    </xf>
    <xf numFmtId="0" fontId="5" fillId="0" borderId="18" xfId="1" applyFont="1" applyBorder="1" applyAlignment="1" applyProtection="1">
      <alignment horizontal="center" vertical="top" wrapText="1"/>
      <protection locked="0"/>
    </xf>
    <xf numFmtId="0" fontId="5" fillId="0" borderId="19" xfId="1" applyFont="1" applyBorder="1" applyAlignment="1" applyProtection="1">
      <alignment horizontal="center" vertical="top" wrapText="1"/>
      <protection locked="0"/>
    </xf>
    <xf numFmtId="0" fontId="5" fillId="0" borderId="2" xfId="1" applyFont="1" applyBorder="1" applyAlignment="1" applyProtection="1">
      <alignment horizontal="center" vertical="top" wrapText="1"/>
      <protection locked="0"/>
    </xf>
    <xf numFmtId="0" fontId="5" fillId="0" borderId="20" xfId="1" applyFont="1" applyBorder="1" applyAlignment="1" applyProtection="1">
      <alignment horizontal="center" vertical="top" wrapText="1"/>
      <protection locked="0"/>
    </xf>
    <xf numFmtId="1" fontId="7" fillId="0" borderId="1" xfId="1" applyNumberFormat="1" applyFont="1" applyBorder="1" applyAlignment="1" applyProtection="1">
      <alignment horizontal="center" vertical="center" wrapText="1"/>
      <protection locked="0"/>
    </xf>
    <xf numFmtId="0" fontId="6" fillId="0" borderId="25" xfId="1" applyFont="1" applyBorder="1" applyAlignment="1">
      <alignment horizontal="center"/>
    </xf>
    <xf numFmtId="0" fontId="6" fillId="0" borderId="0" xfId="1" applyFont="1" applyAlignment="1">
      <alignment horizontal="center"/>
    </xf>
    <xf numFmtId="0" fontId="12" fillId="0" borderId="1" xfId="1" applyFont="1" applyBorder="1" applyAlignment="1" applyProtection="1">
      <alignment horizontal="center" vertical="top"/>
      <protection locked="0"/>
    </xf>
    <xf numFmtId="1" fontId="12" fillId="0" borderId="8" xfId="0" applyNumberFormat="1" applyFont="1" applyBorder="1" applyAlignment="1" applyProtection="1">
      <alignment vertical="top"/>
      <protection locked="0"/>
    </xf>
    <xf numFmtId="1" fontId="12" fillId="0" borderId="21" xfId="0" applyNumberFormat="1" applyFont="1" applyBorder="1" applyAlignment="1" applyProtection="1">
      <alignment vertical="top"/>
      <protection locked="0"/>
    </xf>
    <xf numFmtId="1" fontId="12" fillId="0" borderId="9" xfId="0" applyNumberFormat="1" applyFont="1" applyBorder="1" applyAlignment="1" applyProtection="1">
      <alignment vertical="top"/>
      <protection locked="0"/>
    </xf>
    <xf numFmtId="0" fontId="8" fillId="0" borderId="1" xfId="5" applyFont="1" applyBorder="1" applyAlignment="1">
      <alignment horizontal="left"/>
    </xf>
    <xf numFmtId="0" fontId="0" fillId="2" borderId="1" xfId="0" applyFill="1" applyBorder="1" applyAlignment="1">
      <alignment horizontal="center" vertical="center" wrapText="1"/>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5" borderId="1" xfId="0" applyFont="1" applyFill="1" applyBorder="1" applyAlignment="1">
      <alignment horizontal="center" vertical="center"/>
    </xf>
    <xf numFmtId="0" fontId="12" fillId="0" borderId="13" xfId="1" applyFont="1" applyBorder="1" applyAlignment="1" applyProtection="1">
      <alignment horizontal="left" vertical="top" wrapText="1"/>
      <protection locked="0"/>
    </xf>
    <xf numFmtId="0" fontId="12" fillId="0" borderId="14" xfId="1" applyFont="1" applyBorder="1" applyAlignment="1" applyProtection="1">
      <alignment horizontal="left" vertical="top" wrapText="1"/>
      <protection locked="0"/>
    </xf>
    <xf numFmtId="0" fontId="12" fillId="0" borderId="23" xfId="1" applyFont="1" applyBorder="1" applyAlignment="1" applyProtection="1">
      <alignment horizontal="left" vertical="top" wrapText="1"/>
      <protection locked="0"/>
    </xf>
    <xf numFmtId="164" fontId="6" fillId="0" borderId="0" xfId="1" applyNumberFormat="1" applyFont="1" applyAlignment="1">
      <alignment horizontal="center" vertical="center"/>
    </xf>
    <xf numFmtId="9" fontId="12" fillId="0" borderId="16" xfId="8" applyFont="1" applyFill="1" applyBorder="1" applyAlignment="1" applyProtection="1">
      <alignment horizontal="center" vertical="top"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9</xdr:col>
      <xdr:colOff>178174</xdr:colOff>
      <xdr:row>134</xdr:row>
      <xdr:rowOff>56029</xdr:rowOff>
    </xdr:from>
    <xdr:to>
      <xdr:col>13</xdr:col>
      <xdr:colOff>47600</xdr:colOff>
      <xdr:row>150</xdr:row>
      <xdr:rowOff>91782</xdr:rowOff>
    </xdr:to>
    <xdr:pic>
      <xdr:nvPicPr>
        <xdr:cNvPr id="2" name="Picture 1"/>
        <xdr:cNvPicPr>
          <a:picLocks noChangeAspect="1"/>
        </xdr:cNvPicPr>
      </xdr:nvPicPr>
      <xdr:blipFill>
        <a:blip xmlns:r="http://schemas.openxmlformats.org/officeDocument/2006/relationships" r:embed="rId1"/>
        <a:stretch>
          <a:fillRect/>
        </a:stretch>
      </xdr:blipFill>
      <xdr:spPr>
        <a:xfrm>
          <a:off x="7652498" y="28339676"/>
          <a:ext cx="3096720" cy="2254518"/>
        </a:xfrm>
        <a:prstGeom prst="rect">
          <a:avLst/>
        </a:prstGeom>
      </xdr:spPr>
    </xdr:pic>
    <xdr:clientData/>
  </xdr:twoCellAnchor>
  <xdr:twoCellAnchor editAs="oneCell">
    <xdr:from>
      <xdr:col>9</xdr:col>
      <xdr:colOff>219075</xdr:colOff>
      <xdr:row>137</xdr:row>
      <xdr:rowOff>28575</xdr:rowOff>
    </xdr:from>
    <xdr:to>
      <xdr:col>13</xdr:col>
      <xdr:colOff>82097</xdr:colOff>
      <xdr:row>146</xdr:row>
      <xdr:rowOff>7941</xdr:rowOff>
    </xdr:to>
    <xdr:pic>
      <xdr:nvPicPr>
        <xdr:cNvPr id="3" name="Picture 2"/>
        <xdr:cNvPicPr>
          <a:picLocks noChangeAspect="1"/>
        </xdr:cNvPicPr>
      </xdr:nvPicPr>
      <xdr:blipFill>
        <a:blip xmlns:r="http://schemas.openxmlformats.org/officeDocument/2006/relationships" r:embed="rId2"/>
        <a:stretch>
          <a:fillRect/>
        </a:stretch>
      </xdr:blipFill>
      <xdr:spPr>
        <a:xfrm>
          <a:off x="7696200" y="29422725"/>
          <a:ext cx="3091997" cy="1208090"/>
        </a:xfrm>
        <a:prstGeom prst="rect">
          <a:avLst/>
        </a:prstGeom>
      </xdr:spPr>
    </xdr:pic>
    <xdr:clientData/>
  </xdr:twoCellAnchor>
  <xdr:twoCellAnchor editAs="oneCell">
    <xdr:from>
      <xdr:col>10</xdr:col>
      <xdr:colOff>91328</xdr:colOff>
      <xdr:row>49</xdr:row>
      <xdr:rowOff>20171</xdr:rowOff>
    </xdr:from>
    <xdr:to>
      <xdr:col>14</xdr:col>
      <xdr:colOff>729330</xdr:colOff>
      <xdr:row>74</xdr:row>
      <xdr:rowOff>463534</xdr:rowOff>
    </xdr:to>
    <xdr:pic>
      <xdr:nvPicPr>
        <xdr:cNvPr id="5" name="Picture 4"/>
        <xdr:cNvPicPr>
          <a:picLocks noChangeAspect="1"/>
        </xdr:cNvPicPr>
      </xdr:nvPicPr>
      <xdr:blipFill>
        <a:blip xmlns:r="http://schemas.openxmlformats.org/officeDocument/2006/relationships" r:embed="rId3"/>
        <a:stretch>
          <a:fillRect/>
        </a:stretch>
      </xdr:blipFill>
      <xdr:spPr>
        <a:xfrm>
          <a:off x="8327652" y="12783671"/>
          <a:ext cx="3944538" cy="5785047"/>
        </a:xfrm>
        <a:prstGeom prst="rect">
          <a:avLst/>
        </a:prstGeom>
      </xdr:spPr>
    </xdr:pic>
    <xdr:clientData/>
  </xdr:twoCellAnchor>
  <xdr:twoCellAnchor>
    <xdr:from>
      <xdr:col>1</xdr:col>
      <xdr:colOff>152400</xdr:colOff>
      <xdr:row>371</xdr:row>
      <xdr:rowOff>104775</xdr:rowOff>
    </xdr:from>
    <xdr:to>
      <xdr:col>7</xdr:col>
      <xdr:colOff>12750</xdr:colOff>
      <xdr:row>411</xdr:row>
      <xdr:rowOff>196158</xdr:rowOff>
    </xdr:to>
    <xdr:grpSp>
      <xdr:nvGrpSpPr>
        <xdr:cNvPr id="6" name="Group 5"/>
        <xdr:cNvGrpSpPr/>
      </xdr:nvGrpSpPr>
      <xdr:grpSpPr>
        <a:xfrm>
          <a:off x="914400" y="76226334"/>
          <a:ext cx="4678879" cy="8159618"/>
          <a:chOff x="1089000" y="782516"/>
          <a:chExt cx="4680000" cy="8092383"/>
        </a:xfrm>
      </xdr:grpSpPr>
      <xdr:pic>
        <xdr:nvPicPr>
          <xdr:cNvPr id="7" name="Picture 6">
            <a:extLst>
              <a:ext uri="{FF2B5EF4-FFF2-40B4-BE49-F238E27FC236}">
                <a16:creationId xmlns:a16="http://schemas.microsoft.com/office/drawing/2014/main" id="{00000000-0008-0000-0000-000018000000}"/>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089000" y="782516"/>
            <a:ext cx="4680000" cy="3960000"/>
          </a:xfrm>
          <a:prstGeom prst="rect">
            <a:avLst/>
          </a:prstGeom>
          <a:ln>
            <a:solidFill>
              <a:schemeClr val="tx1"/>
            </a:solidFill>
          </a:ln>
        </xdr:spPr>
      </xdr:pic>
      <xdr:grpSp>
        <xdr:nvGrpSpPr>
          <xdr:cNvPr id="8" name="Group 7"/>
          <xdr:cNvGrpSpPr/>
        </xdr:nvGrpSpPr>
        <xdr:grpSpPr>
          <a:xfrm>
            <a:off x="1089000" y="4914899"/>
            <a:ext cx="4680000" cy="3960000"/>
            <a:chOff x="1027184" y="3771900"/>
            <a:chExt cx="4276725" cy="3921370"/>
          </a:xfrm>
        </xdr:grpSpPr>
        <xdr:pic>
          <xdr:nvPicPr>
            <xdr:cNvPr id="9" name="Picture 8"/>
            <xdr:cNvPicPr>
              <a:picLocks noChangeAspect="1"/>
            </xdr:cNvPicPr>
          </xdr:nvPicPr>
          <xdr:blipFill rotWithShape="1">
            <a:blip xmlns:r="http://schemas.openxmlformats.org/officeDocument/2006/relationships" r:embed="rId5"/>
            <a:srcRect l="39326" t="26923" r="27804" b="19471"/>
            <a:stretch/>
          </xdr:blipFill>
          <xdr:spPr>
            <a:xfrm>
              <a:off x="1027184" y="3771900"/>
              <a:ext cx="4276725" cy="3921370"/>
            </a:xfrm>
            <a:prstGeom prst="rect">
              <a:avLst/>
            </a:prstGeom>
            <a:ln>
              <a:solidFill>
                <a:schemeClr val="tx1"/>
              </a:solidFill>
            </a:ln>
          </xdr:spPr>
        </xdr:pic>
        <xdr:sp macro="" textlink="">
          <xdr:nvSpPr>
            <xdr:cNvPr id="10" name="Rectangle 9"/>
            <xdr:cNvSpPr/>
          </xdr:nvSpPr>
          <xdr:spPr>
            <a:xfrm rot="20728286">
              <a:off x="1929020" y="5286366"/>
              <a:ext cx="2087351" cy="772647"/>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grpSp>
    <xdr:clientData/>
  </xdr:twoCellAnchor>
  <xdr:twoCellAnchor>
    <xdr:from>
      <xdr:col>0</xdr:col>
      <xdr:colOff>100693</xdr:colOff>
      <xdr:row>327</xdr:row>
      <xdr:rowOff>73399</xdr:rowOff>
    </xdr:from>
    <xdr:to>
      <xdr:col>7</xdr:col>
      <xdr:colOff>639043</xdr:colOff>
      <xdr:row>350</xdr:row>
      <xdr:rowOff>152823</xdr:rowOff>
    </xdr:to>
    <xdr:grpSp>
      <xdr:nvGrpSpPr>
        <xdr:cNvPr id="12" name="Group 11"/>
        <xdr:cNvGrpSpPr/>
      </xdr:nvGrpSpPr>
      <xdr:grpSpPr>
        <a:xfrm>
          <a:off x="100693" y="67319899"/>
          <a:ext cx="6118879" cy="4718659"/>
          <a:chOff x="0" y="0"/>
          <a:chExt cx="6858000" cy="4094084"/>
        </a:xfrm>
      </xdr:grpSpPr>
      <xdr:pic>
        <xdr:nvPicPr>
          <xdr:cNvPr id="13" name="Picture 1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6858000" cy="4094084"/>
          </a:xfrm>
          <a:prstGeom prst="rect">
            <a:avLst/>
          </a:prstGeom>
          <a:ln>
            <a:solidFill>
              <a:schemeClr val="tx1"/>
            </a:solidFill>
          </a:ln>
        </xdr:spPr>
      </xdr:pic>
      <xdr:sp macro="" textlink="">
        <xdr:nvSpPr>
          <xdr:cNvPr id="14" name="Freeform 13"/>
          <xdr:cNvSpPr/>
        </xdr:nvSpPr>
        <xdr:spPr>
          <a:xfrm>
            <a:off x="2676524" y="897731"/>
            <a:ext cx="1376362" cy="335757"/>
          </a:xfrm>
          <a:custGeom>
            <a:avLst/>
            <a:gdLst>
              <a:gd name="connsiteX0" fmla="*/ 0 w 1376362"/>
              <a:gd name="connsiteY0" fmla="*/ 0 h 335757"/>
              <a:gd name="connsiteX1" fmla="*/ 47624 w 1376362"/>
              <a:gd name="connsiteY1" fmla="*/ 0 h 335757"/>
              <a:gd name="connsiteX2" fmla="*/ 47625 w 1376362"/>
              <a:gd name="connsiteY2" fmla="*/ 0 h 335757"/>
              <a:gd name="connsiteX3" fmla="*/ 209549 w 1376362"/>
              <a:gd name="connsiteY3" fmla="*/ 0 h 335757"/>
              <a:gd name="connsiteX4" fmla="*/ 1376362 w 1376362"/>
              <a:gd name="connsiteY4" fmla="*/ 0 h 335757"/>
              <a:gd name="connsiteX5" fmla="*/ 1376362 w 1376362"/>
              <a:gd name="connsiteY5" fmla="*/ 335757 h 335757"/>
              <a:gd name="connsiteX6" fmla="*/ 209549 w 1376362"/>
              <a:gd name="connsiteY6" fmla="*/ 335757 h 335757"/>
              <a:gd name="connsiteX7" fmla="*/ 47624 w 1376362"/>
              <a:gd name="connsiteY7" fmla="*/ 335757 h 335757"/>
              <a:gd name="connsiteX8" fmla="*/ 47624 w 1376362"/>
              <a:gd name="connsiteY8" fmla="*/ 145258 h 335757"/>
              <a:gd name="connsiteX9" fmla="*/ 0 w 1376362"/>
              <a:gd name="connsiteY9" fmla="*/ 145258 h 335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1376362" h="335757">
                <a:moveTo>
                  <a:pt x="0" y="0"/>
                </a:moveTo>
                <a:lnTo>
                  <a:pt x="47624" y="0"/>
                </a:lnTo>
                <a:lnTo>
                  <a:pt x="47625" y="0"/>
                </a:lnTo>
                <a:lnTo>
                  <a:pt x="209549" y="0"/>
                </a:lnTo>
                <a:lnTo>
                  <a:pt x="1376362" y="0"/>
                </a:lnTo>
                <a:lnTo>
                  <a:pt x="1376362" y="335757"/>
                </a:lnTo>
                <a:lnTo>
                  <a:pt x="209549" y="335757"/>
                </a:lnTo>
                <a:lnTo>
                  <a:pt x="47624" y="335757"/>
                </a:lnTo>
                <a:lnTo>
                  <a:pt x="47624" y="145258"/>
                </a:lnTo>
                <a:lnTo>
                  <a:pt x="0" y="145258"/>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5" name="Freeform 14"/>
          <xdr:cNvSpPr/>
        </xdr:nvSpPr>
        <xdr:spPr>
          <a:xfrm>
            <a:off x="1904999" y="995362"/>
            <a:ext cx="771524" cy="300037"/>
          </a:xfrm>
          <a:custGeom>
            <a:avLst/>
            <a:gdLst>
              <a:gd name="connsiteX0" fmla="*/ 21430 w 771524"/>
              <a:gd name="connsiteY0" fmla="*/ 0 h 300037"/>
              <a:gd name="connsiteX1" fmla="*/ 747713 w 771524"/>
              <a:gd name="connsiteY1" fmla="*/ 0 h 300037"/>
              <a:gd name="connsiteX2" fmla="*/ 747713 w 771524"/>
              <a:gd name="connsiteY2" fmla="*/ 61912 h 300037"/>
              <a:gd name="connsiteX3" fmla="*/ 771524 w 771524"/>
              <a:gd name="connsiteY3" fmla="*/ 61912 h 300037"/>
              <a:gd name="connsiteX4" fmla="*/ 771524 w 771524"/>
              <a:gd name="connsiteY4" fmla="*/ 238126 h 300037"/>
              <a:gd name="connsiteX5" fmla="*/ 747713 w 771524"/>
              <a:gd name="connsiteY5" fmla="*/ 238126 h 300037"/>
              <a:gd name="connsiteX6" fmla="*/ 747713 w 771524"/>
              <a:gd name="connsiteY6" fmla="*/ 300036 h 300037"/>
              <a:gd name="connsiteX7" fmla="*/ 550069 w 771524"/>
              <a:gd name="connsiteY7" fmla="*/ 300036 h 300037"/>
              <a:gd name="connsiteX8" fmla="*/ 550069 w 771524"/>
              <a:gd name="connsiteY8" fmla="*/ 238126 h 300037"/>
              <a:gd name="connsiteX9" fmla="*/ 433387 w 771524"/>
              <a:gd name="connsiteY9" fmla="*/ 238126 h 300037"/>
              <a:gd name="connsiteX10" fmla="*/ 433387 w 771524"/>
              <a:gd name="connsiteY10" fmla="*/ 283845 h 300037"/>
              <a:gd name="connsiteX11" fmla="*/ 154778 w 771524"/>
              <a:gd name="connsiteY11" fmla="*/ 283845 h 300037"/>
              <a:gd name="connsiteX12" fmla="*/ 154778 w 771524"/>
              <a:gd name="connsiteY12" fmla="*/ 238126 h 300037"/>
              <a:gd name="connsiteX13" fmla="*/ 152400 w 771524"/>
              <a:gd name="connsiteY13" fmla="*/ 238126 h 300037"/>
              <a:gd name="connsiteX14" fmla="*/ 152400 w 771524"/>
              <a:gd name="connsiteY14" fmla="*/ 300037 h 300037"/>
              <a:gd name="connsiteX15" fmla="*/ 21430 w 771524"/>
              <a:gd name="connsiteY15" fmla="*/ 300037 h 300037"/>
              <a:gd name="connsiteX16" fmla="*/ 21430 w 771524"/>
              <a:gd name="connsiteY16" fmla="*/ 238126 h 300037"/>
              <a:gd name="connsiteX17" fmla="*/ 0 w 771524"/>
              <a:gd name="connsiteY17" fmla="*/ 238126 h 300037"/>
              <a:gd name="connsiteX18" fmla="*/ 0 w 771524"/>
              <a:gd name="connsiteY18" fmla="*/ 61912 h 300037"/>
              <a:gd name="connsiteX19" fmla="*/ 21430 w 771524"/>
              <a:gd name="connsiteY19" fmla="*/ 61912 h 3000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771524" h="300037">
                <a:moveTo>
                  <a:pt x="21430" y="0"/>
                </a:moveTo>
                <a:lnTo>
                  <a:pt x="747713" y="0"/>
                </a:lnTo>
                <a:lnTo>
                  <a:pt x="747713" y="61912"/>
                </a:lnTo>
                <a:lnTo>
                  <a:pt x="771524" y="61912"/>
                </a:lnTo>
                <a:lnTo>
                  <a:pt x="771524" y="238126"/>
                </a:lnTo>
                <a:lnTo>
                  <a:pt x="747713" y="238126"/>
                </a:lnTo>
                <a:lnTo>
                  <a:pt x="747713" y="300036"/>
                </a:lnTo>
                <a:lnTo>
                  <a:pt x="550069" y="300036"/>
                </a:lnTo>
                <a:lnTo>
                  <a:pt x="550069" y="238126"/>
                </a:lnTo>
                <a:lnTo>
                  <a:pt x="433387" y="238126"/>
                </a:lnTo>
                <a:lnTo>
                  <a:pt x="433387" y="283845"/>
                </a:lnTo>
                <a:lnTo>
                  <a:pt x="154778" y="283845"/>
                </a:lnTo>
                <a:lnTo>
                  <a:pt x="154778" y="238126"/>
                </a:lnTo>
                <a:lnTo>
                  <a:pt x="152400" y="238126"/>
                </a:lnTo>
                <a:lnTo>
                  <a:pt x="152400" y="300037"/>
                </a:lnTo>
                <a:lnTo>
                  <a:pt x="21430" y="300037"/>
                </a:lnTo>
                <a:lnTo>
                  <a:pt x="21430" y="238126"/>
                </a:lnTo>
                <a:lnTo>
                  <a:pt x="0" y="238126"/>
                </a:lnTo>
                <a:lnTo>
                  <a:pt x="0" y="61912"/>
                </a:lnTo>
                <a:lnTo>
                  <a:pt x="21430" y="61912"/>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6" name="Freeform 15"/>
          <xdr:cNvSpPr/>
        </xdr:nvSpPr>
        <xdr:spPr>
          <a:xfrm>
            <a:off x="4333874" y="502443"/>
            <a:ext cx="762000" cy="666750"/>
          </a:xfrm>
          <a:custGeom>
            <a:avLst/>
            <a:gdLst>
              <a:gd name="connsiteX0" fmla="*/ 166687 w 762000"/>
              <a:gd name="connsiteY0" fmla="*/ 664369 h 666750"/>
              <a:gd name="connsiteX1" fmla="*/ 166687 w 762000"/>
              <a:gd name="connsiteY1" fmla="*/ 542925 h 666750"/>
              <a:gd name="connsiteX2" fmla="*/ 278606 w 762000"/>
              <a:gd name="connsiteY2" fmla="*/ 535782 h 666750"/>
              <a:gd name="connsiteX3" fmla="*/ 283368 w 762000"/>
              <a:gd name="connsiteY3" fmla="*/ 476250 h 666750"/>
              <a:gd name="connsiteX4" fmla="*/ 264318 w 762000"/>
              <a:gd name="connsiteY4" fmla="*/ 440532 h 666750"/>
              <a:gd name="connsiteX5" fmla="*/ 207168 w 762000"/>
              <a:gd name="connsiteY5" fmla="*/ 411957 h 666750"/>
              <a:gd name="connsiteX6" fmla="*/ 150018 w 762000"/>
              <a:gd name="connsiteY6" fmla="*/ 500063 h 666750"/>
              <a:gd name="connsiteX7" fmla="*/ 0 w 762000"/>
              <a:gd name="connsiteY7" fmla="*/ 421482 h 666750"/>
              <a:gd name="connsiteX8" fmla="*/ 47625 w 762000"/>
              <a:gd name="connsiteY8" fmla="*/ 328613 h 666750"/>
              <a:gd name="connsiteX9" fmla="*/ 38100 w 762000"/>
              <a:gd name="connsiteY9" fmla="*/ 314325 h 666750"/>
              <a:gd name="connsiteX10" fmla="*/ 223837 w 762000"/>
              <a:gd name="connsiteY10" fmla="*/ 0 h 666750"/>
              <a:gd name="connsiteX11" fmla="*/ 283368 w 762000"/>
              <a:gd name="connsiteY11" fmla="*/ 0 h 666750"/>
              <a:gd name="connsiteX12" fmla="*/ 361950 w 762000"/>
              <a:gd name="connsiteY12" fmla="*/ 45244 h 666750"/>
              <a:gd name="connsiteX13" fmla="*/ 350043 w 762000"/>
              <a:gd name="connsiteY13" fmla="*/ 80963 h 666750"/>
              <a:gd name="connsiteX14" fmla="*/ 376237 w 762000"/>
              <a:gd name="connsiteY14" fmla="*/ 100013 h 666750"/>
              <a:gd name="connsiteX15" fmla="*/ 342900 w 762000"/>
              <a:gd name="connsiteY15" fmla="*/ 166688 h 666750"/>
              <a:gd name="connsiteX16" fmla="*/ 400050 w 762000"/>
              <a:gd name="connsiteY16" fmla="*/ 197644 h 666750"/>
              <a:gd name="connsiteX17" fmla="*/ 385762 w 762000"/>
              <a:gd name="connsiteY17" fmla="*/ 230982 h 666750"/>
              <a:gd name="connsiteX18" fmla="*/ 547687 w 762000"/>
              <a:gd name="connsiteY18" fmla="*/ 228600 h 666750"/>
              <a:gd name="connsiteX19" fmla="*/ 664368 w 762000"/>
              <a:gd name="connsiteY19" fmla="*/ 431007 h 666750"/>
              <a:gd name="connsiteX20" fmla="*/ 647700 w 762000"/>
              <a:gd name="connsiteY20" fmla="*/ 464344 h 666750"/>
              <a:gd name="connsiteX21" fmla="*/ 671512 w 762000"/>
              <a:gd name="connsiteY21" fmla="*/ 478632 h 666750"/>
              <a:gd name="connsiteX22" fmla="*/ 669131 w 762000"/>
              <a:gd name="connsiteY22" fmla="*/ 540544 h 666750"/>
              <a:gd name="connsiteX23" fmla="*/ 762000 w 762000"/>
              <a:gd name="connsiteY23" fmla="*/ 538163 h 666750"/>
              <a:gd name="connsiteX24" fmla="*/ 757237 w 762000"/>
              <a:gd name="connsiteY24" fmla="*/ 666750 h 666750"/>
              <a:gd name="connsiteX25" fmla="*/ 166687 w 762000"/>
              <a:gd name="connsiteY25" fmla="*/ 664369 h 6667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762000" h="666750">
                <a:moveTo>
                  <a:pt x="166687" y="664369"/>
                </a:moveTo>
                <a:lnTo>
                  <a:pt x="166687" y="542925"/>
                </a:lnTo>
                <a:lnTo>
                  <a:pt x="278606" y="535782"/>
                </a:lnTo>
                <a:lnTo>
                  <a:pt x="283368" y="476250"/>
                </a:lnTo>
                <a:lnTo>
                  <a:pt x="264318" y="440532"/>
                </a:lnTo>
                <a:lnTo>
                  <a:pt x="207168" y="411957"/>
                </a:lnTo>
                <a:lnTo>
                  <a:pt x="150018" y="500063"/>
                </a:lnTo>
                <a:lnTo>
                  <a:pt x="0" y="421482"/>
                </a:lnTo>
                <a:lnTo>
                  <a:pt x="47625" y="328613"/>
                </a:lnTo>
                <a:lnTo>
                  <a:pt x="38100" y="314325"/>
                </a:lnTo>
                <a:lnTo>
                  <a:pt x="223837" y="0"/>
                </a:lnTo>
                <a:lnTo>
                  <a:pt x="283368" y="0"/>
                </a:lnTo>
                <a:lnTo>
                  <a:pt x="361950" y="45244"/>
                </a:lnTo>
                <a:lnTo>
                  <a:pt x="350043" y="80963"/>
                </a:lnTo>
                <a:lnTo>
                  <a:pt x="376237" y="100013"/>
                </a:lnTo>
                <a:lnTo>
                  <a:pt x="342900" y="166688"/>
                </a:lnTo>
                <a:lnTo>
                  <a:pt x="400050" y="197644"/>
                </a:lnTo>
                <a:lnTo>
                  <a:pt x="385762" y="230982"/>
                </a:lnTo>
                <a:lnTo>
                  <a:pt x="547687" y="228600"/>
                </a:lnTo>
                <a:lnTo>
                  <a:pt x="664368" y="431007"/>
                </a:lnTo>
                <a:lnTo>
                  <a:pt x="647700" y="464344"/>
                </a:lnTo>
                <a:lnTo>
                  <a:pt x="671512" y="478632"/>
                </a:lnTo>
                <a:cubicBezTo>
                  <a:pt x="670718" y="499269"/>
                  <a:pt x="669925" y="519907"/>
                  <a:pt x="669131" y="540544"/>
                </a:cubicBezTo>
                <a:lnTo>
                  <a:pt x="762000" y="538163"/>
                </a:lnTo>
                <a:lnTo>
                  <a:pt x="757237" y="666750"/>
                </a:lnTo>
                <a:lnTo>
                  <a:pt x="166687" y="664369"/>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7" name="TextBox 38"/>
          <xdr:cNvSpPr txBox="1"/>
        </xdr:nvSpPr>
        <xdr:spPr>
          <a:xfrm>
            <a:off x="4279759" y="1217618"/>
            <a:ext cx="1293747" cy="32730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Building A</a:t>
            </a:r>
            <a:endParaRPr lang="en-IN" b="1">
              <a:solidFill>
                <a:srgbClr val="FF0000"/>
              </a:solidFill>
            </a:endParaRPr>
          </a:p>
        </xdr:txBody>
      </xdr:sp>
      <xdr:sp macro="" textlink="">
        <xdr:nvSpPr>
          <xdr:cNvPr id="18" name="TextBox 39"/>
          <xdr:cNvSpPr txBox="1"/>
        </xdr:nvSpPr>
        <xdr:spPr>
          <a:xfrm>
            <a:off x="2819261" y="1243334"/>
            <a:ext cx="1410772" cy="32461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Building B</a:t>
            </a:r>
            <a:endParaRPr lang="en-IN" b="1">
              <a:solidFill>
                <a:srgbClr val="FF0000"/>
              </a:solidFill>
            </a:endParaRPr>
          </a:p>
        </xdr:txBody>
      </xdr:sp>
      <xdr:sp macro="" textlink="">
        <xdr:nvSpPr>
          <xdr:cNvPr id="19" name="TextBox 40"/>
          <xdr:cNvSpPr txBox="1"/>
        </xdr:nvSpPr>
        <xdr:spPr>
          <a:xfrm>
            <a:off x="1565141" y="1331119"/>
            <a:ext cx="1301147" cy="32086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Building C</a:t>
            </a:r>
            <a:endParaRPr lang="en-IN" b="1">
              <a:solidFill>
                <a:srgbClr val="FF0000"/>
              </a:solidFill>
            </a:endParaRPr>
          </a:p>
        </xdr:txBody>
      </xdr:sp>
      <xdr:pic>
        <xdr:nvPicPr>
          <xdr:cNvPr id="20" name="Picture 19"/>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rot="12663526">
            <a:off x="361390" y="1681245"/>
            <a:ext cx="1080000" cy="1080000"/>
          </a:xfrm>
          <a:prstGeom prst="rect">
            <a:avLst/>
          </a:prstGeom>
        </xdr:spPr>
      </xdr:pic>
    </xdr:grpSp>
    <xdr:clientData/>
  </xdr:twoCellAnchor>
  <xdr:twoCellAnchor editAs="oneCell">
    <xdr:from>
      <xdr:col>8</xdr:col>
      <xdr:colOff>476250</xdr:colOff>
      <xdr:row>14</xdr:row>
      <xdr:rowOff>85831</xdr:rowOff>
    </xdr:from>
    <xdr:to>
      <xdr:col>14</xdr:col>
      <xdr:colOff>43029</xdr:colOff>
      <xdr:row>16</xdr:row>
      <xdr:rowOff>223722</xdr:rowOff>
    </xdr:to>
    <xdr:pic>
      <xdr:nvPicPr>
        <xdr:cNvPr id="4" name="Picture 3"/>
        <xdr:cNvPicPr>
          <a:picLocks noChangeAspect="1"/>
        </xdr:cNvPicPr>
      </xdr:nvPicPr>
      <xdr:blipFill>
        <a:blip xmlns:r="http://schemas.openxmlformats.org/officeDocument/2006/relationships" r:embed="rId8"/>
        <a:stretch>
          <a:fillRect/>
        </a:stretch>
      </xdr:blipFill>
      <xdr:spPr>
        <a:xfrm>
          <a:off x="6791325" y="3267181"/>
          <a:ext cx="4788000" cy="1415841"/>
        </a:xfrm>
        <a:prstGeom prst="rect">
          <a:avLst/>
        </a:prstGeom>
      </xdr:spPr>
    </xdr:pic>
    <xdr:clientData/>
  </xdr:twoCellAnchor>
  <xdr:twoCellAnchor>
    <xdr:from>
      <xdr:col>0</xdr:col>
      <xdr:colOff>229721</xdr:colOff>
      <xdr:row>283</xdr:row>
      <xdr:rowOff>103305</xdr:rowOff>
    </xdr:from>
    <xdr:to>
      <xdr:col>7</xdr:col>
      <xdr:colOff>504265</xdr:colOff>
      <xdr:row>324</xdr:row>
      <xdr:rowOff>16088</xdr:rowOff>
    </xdr:to>
    <xdr:grpSp>
      <xdr:nvGrpSpPr>
        <xdr:cNvPr id="21" name="Group 20"/>
        <xdr:cNvGrpSpPr/>
      </xdr:nvGrpSpPr>
      <xdr:grpSpPr>
        <a:xfrm>
          <a:off x="229721" y="58474746"/>
          <a:ext cx="5855073" cy="8182724"/>
          <a:chOff x="-25618" y="-47348"/>
          <a:chExt cx="6909236" cy="8039260"/>
        </a:xfrm>
      </xdr:grpSpPr>
      <xdr:grpSp>
        <xdr:nvGrpSpPr>
          <xdr:cNvPr id="22" name="Group 21"/>
          <xdr:cNvGrpSpPr/>
        </xdr:nvGrpSpPr>
        <xdr:grpSpPr>
          <a:xfrm>
            <a:off x="353953" y="-47348"/>
            <a:ext cx="5960902" cy="3601637"/>
            <a:chOff x="-73440" y="-12178"/>
            <a:chExt cx="5960902" cy="3601637"/>
          </a:xfrm>
        </xdr:grpSpPr>
        <xdr:grpSp>
          <xdr:nvGrpSpPr>
            <xdr:cNvPr id="31" name="Group 30"/>
            <xdr:cNvGrpSpPr/>
          </xdr:nvGrpSpPr>
          <xdr:grpSpPr>
            <a:xfrm>
              <a:off x="-73440" y="-12178"/>
              <a:ext cx="2894931" cy="3601637"/>
              <a:chOff x="-73440" y="-12178"/>
              <a:chExt cx="2894931" cy="3601637"/>
            </a:xfrm>
          </xdr:grpSpPr>
          <xdr:pic>
            <xdr:nvPicPr>
              <xdr:cNvPr id="38" name="Picture 3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3440" y="-12178"/>
                <a:ext cx="2894931" cy="3601637"/>
              </a:xfrm>
              <a:prstGeom prst="rect">
                <a:avLst/>
              </a:prstGeom>
              <a:ln>
                <a:solidFill>
                  <a:schemeClr val="tx1"/>
                </a:solidFill>
              </a:ln>
            </xdr:spPr>
          </xdr:pic>
          <xdr:sp macro="" textlink="">
            <xdr:nvSpPr>
              <xdr:cNvPr id="39" name="TextBox 3"/>
              <xdr:cNvSpPr txBox="1"/>
            </xdr:nvSpPr>
            <xdr:spPr>
              <a:xfrm>
                <a:off x="1140790" y="87721"/>
                <a:ext cx="1393482" cy="264244"/>
              </a:xfrm>
              <a:prstGeom prst="rect">
                <a:avLst/>
              </a:prstGeom>
              <a:solidFill>
                <a:schemeClr val="bg1"/>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b="1">
                    <a:latin typeface="Times New Roman" panose="02020603050405020304" pitchFamily="18" charset="0"/>
                    <a:cs typeface="Times New Roman" panose="02020603050405020304" pitchFamily="18" charset="0"/>
                  </a:rPr>
                  <a:t>Building A</a:t>
                </a:r>
                <a:endParaRPr lang="en-IN" sz="1100" b="1">
                  <a:latin typeface="Times New Roman" panose="02020603050405020304" pitchFamily="18" charset="0"/>
                  <a:cs typeface="Times New Roman" panose="02020603050405020304" pitchFamily="18" charset="0"/>
                </a:endParaRPr>
              </a:p>
            </xdr:txBody>
          </xdr:sp>
        </xdr:grpSp>
        <xdr:grpSp>
          <xdr:nvGrpSpPr>
            <xdr:cNvPr id="32" name="Group 31"/>
            <xdr:cNvGrpSpPr/>
          </xdr:nvGrpSpPr>
          <xdr:grpSpPr>
            <a:xfrm>
              <a:off x="2992530" y="-12178"/>
              <a:ext cx="2894932" cy="3601637"/>
              <a:chOff x="3643165" y="-12178"/>
              <a:chExt cx="2894932" cy="3601637"/>
            </a:xfrm>
          </xdr:grpSpPr>
          <xdr:pic>
            <xdr:nvPicPr>
              <xdr:cNvPr id="36" name="Picture 35"/>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643165" y="-12178"/>
                <a:ext cx="2894932" cy="3601637"/>
              </a:xfrm>
              <a:prstGeom prst="rect">
                <a:avLst/>
              </a:prstGeom>
              <a:ln>
                <a:solidFill>
                  <a:schemeClr val="tx1"/>
                </a:solidFill>
              </a:ln>
            </xdr:spPr>
          </xdr:pic>
          <xdr:sp macro="" textlink="">
            <xdr:nvSpPr>
              <xdr:cNvPr id="37" name="TextBox 6"/>
              <xdr:cNvSpPr txBox="1"/>
            </xdr:nvSpPr>
            <xdr:spPr>
              <a:xfrm>
                <a:off x="4422681" y="88557"/>
                <a:ext cx="1071425" cy="266824"/>
              </a:xfrm>
              <a:prstGeom prst="rect">
                <a:avLst/>
              </a:prstGeom>
              <a:solidFill>
                <a:schemeClr val="bg1"/>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u="none">
                    <a:latin typeface="Times New Roman" panose="02020603050405020304" pitchFamily="18" charset="0"/>
                    <a:cs typeface="Times New Roman" panose="02020603050405020304" pitchFamily="18" charset="0"/>
                  </a:rPr>
                  <a:t>Building A</a:t>
                </a:r>
                <a:endParaRPr lang="en-IN" sz="1200" b="1" u="none">
                  <a:latin typeface="Times New Roman" panose="02020603050405020304" pitchFamily="18" charset="0"/>
                  <a:cs typeface="Times New Roman" panose="02020603050405020304" pitchFamily="18" charset="0"/>
                </a:endParaRPr>
              </a:p>
            </xdr:txBody>
          </xdr:sp>
        </xdr:grpSp>
      </xdr:grpSp>
      <xdr:grpSp>
        <xdr:nvGrpSpPr>
          <xdr:cNvPr id="23" name="Group 22"/>
          <xdr:cNvGrpSpPr/>
        </xdr:nvGrpSpPr>
        <xdr:grpSpPr>
          <a:xfrm>
            <a:off x="-25618" y="3728492"/>
            <a:ext cx="6909236" cy="2160000"/>
            <a:chOff x="1010237" y="3772034"/>
            <a:chExt cx="6909236" cy="2160000"/>
          </a:xfrm>
        </xdr:grpSpPr>
        <xdr:pic>
          <xdr:nvPicPr>
            <xdr:cNvPr id="27" name="Picture 26"/>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301161" y="3772034"/>
              <a:ext cx="1618312" cy="2160000"/>
            </a:xfrm>
            <a:prstGeom prst="rect">
              <a:avLst/>
            </a:prstGeom>
            <a:ln>
              <a:solidFill>
                <a:schemeClr val="tx1"/>
              </a:solidFill>
            </a:ln>
          </xdr:spPr>
        </xdr:pic>
        <xdr:pic>
          <xdr:nvPicPr>
            <xdr:cNvPr id="28" name="Picture 27"/>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10237" y="3772034"/>
              <a:ext cx="1618312" cy="2160000"/>
            </a:xfrm>
            <a:prstGeom prst="rect">
              <a:avLst/>
            </a:prstGeom>
            <a:ln>
              <a:solidFill>
                <a:schemeClr val="tx1"/>
              </a:solidFill>
            </a:ln>
          </xdr:spPr>
        </xdr:pic>
        <xdr:pic>
          <xdr:nvPicPr>
            <xdr:cNvPr id="29" name="Picture 28"/>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529622" y="3772034"/>
              <a:ext cx="1618312" cy="2160000"/>
            </a:xfrm>
            <a:prstGeom prst="rect">
              <a:avLst/>
            </a:prstGeom>
            <a:ln>
              <a:solidFill>
                <a:schemeClr val="tx1"/>
              </a:solidFill>
            </a:ln>
          </xdr:spPr>
        </xdr:pic>
        <xdr:pic>
          <xdr:nvPicPr>
            <xdr:cNvPr id="30" name="Picture 29"/>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758082" y="3772034"/>
              <a:ext cx="1618312" cy="2160000"/>
            </a:xfrm>
            <a:prstGeom prst="rect">
              <a:avLst/>
            </a:prstGeom>
            <a:ln>
              <a:solidFill>
                <a:schemeClr val="tx1"/>
              </a:solidFill>
            </a:ln>
          </xdr:spPr>
        </xdr:pic>
      </xdr:grpSp>
      <xdr:grpSp>
        <xdr:nvGrpSpPr>
          <xdr:cNvPr id="24" name="Group 23"/>
          <xdr:cNvGrpSpPr/>
        </xdr:nvGrpSpPr>
        <xdr:grpSpPr>
          <a:xfrm>
            <a:off x="1817278" y="6034276"/>
            <a:ext cx="3080464" cy="1957636"/>
            <a:chOff x="3831295" y="8394205"/>
            <a:chExt cx="3080464" cy="1957636"/>
          </a:xfrm>
        </xdr:grpSpPr>
        <xdr:pic>
          <xdr:nvPicPr>
            <xdr:cNvPr id="25" name="Picture 24"/>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831295" y="8394205"/>
              <a:ext cx="1470744" cy="1954882"/>
            </a:xfrm>
            <a:prstGeom prst="rect">
              <a:avLst/>
            </a:prstGeom>
            <a:ln>
              <a:solidFill>
                <a:schemeClr val="tx1"/>
              </a:solidFill>
            </a:ln>
          </xdr:spPr>
        </xdr:pic>
        <xdr:pic>
          <xdr:nvPicPr>
            <xdr:cNvPr id="26" name="Picture 25"/>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447126" y="8396960"/>
              <a:ext cx="1464633" cy="1954881"/>
            </a:xfrm>
            <a:prstGeom prst="rect">
              <a:avLst/>
            </a:prstGeom>
            <a:ln>
              <a:solidFill>
                <a:schemeClr val="tx1"/>
              </a:solidFill>
            </a:ln>
          </xdr:spPr>
        </xdr:pic>
      </xdr:grpSp>
    </xdr:grpSp>
    <xdr:clientData/>
  </xdr:twoCellAnchor>
  <xdr:twoCellAnchor editAs="oneCell">
    <xdr:from>
      <xdr:col>8</xdr:col>
      <xdr:colOff>492499</xdr:colOff>
      <xdr:row>17</xdr:row>
      <xdr:rowOff>187137</xdr:rowOff>
    </xdr:from>
    <xdr:to>
      <xdr:col>18</xdr:col>
      <xdr:colOff>314942</xdr:colOff>
      <xdr:row>29</xdr:row>
      <xdr:rowOff>125879</xdr:rowOff>
    </xdr:to>
    <xdr:pic>
      <xdr:nvPicPr>
        <xdr:cNvPr id="40" name="Picture 39"/>
        <xdr:cNvPicPr>
          <a:picLocks noChangeAspect="1"/>
        </xdr:cNvPicPr>
      </xdr:nvPicPr>
      <xdr:blipFill>
        <a:blip xmlns:r="http://schemas.openxmlformats.org/officeDocument/2006/relationships" r:embed="rId17"/>
        <a:stretch>
          <a:fillRect/>
        </a:stretch>
      </xdr:blipFill>
      <xdr:spPr>
        <a:xfrm>
          <a:off x="6801411" y="5341843"/>
          <a:ext cx="7864265" cy="3270892"/>
        </a:xfrm>
        <a:prstGeom prst="rect">
          <a:avLst/>
        </a:prstGeom>
      </xdr:spPr>
    </xdr:pic>
    <xdr:clientData/>
  </xdr:twoCellAnchor>
  <xdr:twoCellAnchor editAs="oneCell">
    <xdr:from>
      <xdr:col>1</xdr:col>
      <xdr:colOff>425824</xdr:colOff>
      <xdr:row>351</xdr:row>
      <xdr:rowOff>73068</xdr:rowOff>
    </xdr:from>
    <xdr:to>
      <xdr:col>5</xdr:col>
      <xdr:colOff>689161</xdr:colOff>
      <xdr:row>368</xdr:row>
      <xdr:rowOff>106626</xdr:rowOff>
    </xdr:to>
    <xdr:pic>
      <xdr:nvPicPr>
        <xdr:cNvPr id="41" name="Picture 40"/>
        <xdr:cNvPicPr>
          <a:picLocks noChangeAspect="1"/>
        </xdr:cNvPicPr>
      </xdr:nvPicPr>
      <xdr:blipFill>
        <a:blip xmlns:r="http://schemas.openxmlformats.org/officeDocument/2006/relationships" r:embed="rId18"/>
        <a:stretch>
          <a:fillRect/>
        </a:stretch>
      </xdr:blipFill>
      <xdr:spPr>
        <a:xfrm>
          <a:off x="1187824" y="78424597"/>
          <a:ext cx="3597087" cy="3503376"/>
        </a:xfrm>
        <a:prstGeom prst="rect">
          <a:avLst/>
        </a:prstGeom>
        <a:ln>
          <a:solidFill>
            <a:sysClr val="windowText" lastClr="000000"/>
          </a:solidFill>
        </a:ln>
      </xdr:spPr>
    </xdr:pic>
    <xdr:clientData/>
  </xdr:twoCellAnchor>
  <xdr:twoCellAnchor editAs="oneCell">
    <xdr:from>
      <xdr:col>11</xdr:col>
      <xdr:colOff>383113</xdr:colOff>
      <xdr:row>185</xdr:row>
      <xdr:rowOff>171805</xdr:rowOff>
    </xdr:from>
    <xdr:to>
      <xdr:col>26</xdr:col>
      <xdr:colOff>384512</xdr:colOff>
      <xdr:row>213</xdr:row>
      <xdr:rowOff>128444</xdr:rowOff>
    </xdr:to>
    <xdr:pic>
      <xdr:nvPicPr>
        <xdr:cNvPr id="42" name="Picture 41"/>
        <xdr:cNvPicPr>
          <a:picLocks noChangeAspect="1"/>
        </xdr:cNvPicPr>
      </xdr:nvPicPr>
      <xdr:blipFill>
        <a:blip xmlns:r="http://schemas.openxmlformats.org/officeDocument/2006/relationships" r:embed="rId19"/>
        <a:stretch>
          <a:fillRect/>
        </a:stretch>
      </xdr:blipFill>
      <xdr:spPr>
        <a:xfrm>
          <a:off x="9363827" y="38816091"/>
          <a:ext cx="10492506" cy="5671639"/>
        </a:xfrm>
        <a:prstGeom prst="rect">
          <a:avLst/>
        </a:prstGeom>
      </xdr:spPr>
    </xdr:pic>
    <xdr:clientData/>
  </xdr:twoCellAnchor>
  <xdr:twoCellAnchor editAs="oneCell">
    <xdr:from>
      <xdr:col>9</xdr:col>
      <xdr:colOff>454569</xdr:colOff>
      <xdr:row>88</xdr:row>
      <xdr:rowOff>97441</xdr:rowOff>
    </xdr:from>
    <xdr:to>
      <xdr:col>17</xdr:col>
      <xdr:colOff>279118</xdr:colOff>
      <xdr:row>98</xdr:row>
      <xdr:rowOff>99085</xdr:rowOff>
    </xdr:to>
    <xdr:pic>
      <xdr:nvPicPr>
        <xdr:cNvPr id="43" name="Picture 42"/>
        <xdr:cNvPicPr>
          <a:picLocks noChangeAspect="1"/>
        </xdr:cNvPicPr>
      </xdr:nvPicPr>
      <xdr:blipFill>
        <a:blip xmlns:r="http://schemas.openxmlformats.org/officeDocument/2006/relationships" r:embed="rId20"/>
        <a:stretch>
          <a:fillRect/>
        </a:stretch>
      </xdr:blipFill>
      <xdr:spPr>
        <a:xfrm>
          <a:off x="7933765" y="21748180"/>
          <a:ext cx="6094483" cy="1981188"/>
        </a:xfrm>
        <a:prstGeom prst="rect">
          <a:avLst/>
        </a:prstGeom>
      </xdr:spPr>
    </xdr:pic>
    <xdr:clientData/>
  </xdr:twoCellAnchor>
  <xdr:twoCellAnchor editAs="oneCell">
    <xdr:from>
      <xdr:col>11</xdr:col>
      <xdr:colOff>852208</xdr:colOff>
      <xdr:row>130</xdr:row>
      <xdr:rowOff>179295</xdr:rowOff>
    </xdr:from>
    <xdr:to>
      <xdr:col>15</xdr:col>
      <xdr:colOff>564953</xdr:colOff>
      <xdr:row>151</xdr:row>
      <xdr:rowOff>91576</xdr:rowOff>
    </xdr:to>
    <xdr:pic>
      <xdr:nvPicPr>
        <xdr:cNvPr id="11" name="Picture 10"/>
        <xdr:cNvPicPr>
          <a:picLocks noChangeAspect="1"/>
        </xdr:cNvPicPr>
      </xdr:nvPicPr>
      <xdr:blipFill>
        <a:blip xmlns:r="http://schemas.openxmlformats.org/officeDocument/2006/relationships" r:embed="rId21"/>
        <a:stretch>
          <a:fillRect/>
        </a:stretch>
      </xdr:blipFill>
      <xdr:spPr>
        <a:xfrm>
          <a:off x="9839326" y="28261236"/>
          <a:ext cx="3074509" cy="2534457"/>
        </a:xfrm>
        <a:prstGeom prst="rect">
          <a:avLst/>
        </a:prstGeom>
      </xdr:spPr>
    </xdr:pic>
    <xdr:clientData/>
  </xdr:twoCellAnchor>
  <xdr:twoCellAnchor editAs="oneCell">
    <xdr:from>
      <xdr:col>13</xdr:col>
      <xdr:colOff>296155</xdr:colOff>
      <xdr:row>209</xdr:row>
      <xdr:rowOff>41623</xdr:rowOff>
    </xdr:from>
    <xdr:to>
      <xdr:col>19</xdr:col>
      <xdr:colOff>365131</xdr:colOff>
      <xdr:row>223</xdr:row>
      <xdr:rowOff>28007</xdr:rowOff>
    </xdr:to>
    <xdr:pic>
      <xdr:nvPicPr>
        <xdr:cNvPr id="44" name="Picture 43"/>
        <xdr:cNvPicPr>
          <a:picLocks noChangeAspect="1"/>
        </xdr:cNvPicPr>
      </xdr:nvPicPr>
      <xdr:blipFill>
        <a:blip xmlns:r="http://schemas.openxmlformats.org/officeDocument/2006/relationships" r:embed="rId22"/>
        <a:stretch>
          <a:fillRect/>
        </a:stretch>
      </xdr:blipFill>
      <xdr:spPr>
        <a:xfrm>
          <a:off x="10991369" y="43584480"/>
          <a:ext cx="4450476" cy="28438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DkesT8zAKKZhwEWr9"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371"/>
  <sheetViews>
    <sheetView tabSelected="1" view="pageBreakPreview" topLeftCell="A261" zoomScale="85" zoomScaleNormal="100" zoomScaleSheetLayoutView="85" zoomScalePageLayoutView="85" workbookViewId="0">
      <selection activeCell="I269" sqref="I269"/>
    </sheetView>
  </sheetViews>
  <sheetFormatPr defaultColWidth="9.140625" defaultRowHeight="15.75" x14ac:dyDescent="0.25"/>
  <cols>
    <col min="1" max="1" width="11.42578125" style="39" customWidth="1"/>
    <col min="2" max="2" width="12" style="39" customWidth="1"/>
    <col min="3" max="3" width="12.7109375" style="39" customWidth="1"/>
    <col min="4" max="4" width="13.7109375" style="39" customWidth="1"/>
    <col min="5" max="5" width="11.7109375" style="39" customWidth="1"/>
    <col min="6" max="6" width="11.140625" style="39" customWidth="1"/>
    <col min="7" max="8" width="11" style="39" customWidth="1"/>
    <col min="9" max="9" width="17.42578125" style="20" customWidth="1"/>
    <col min="10" max="10" width="11.42578125" style="20" customWidth="1"/>
    <col min="11" max="11" width="11.28515625" style="20" bestFit="1" customWidth="1"/>
    <col min="12" max="12" width="13.85546875" style="20" bestFit="1" customWidth="1"/>
    <col min="13" max="13" width="11.85546875" style="20" customWidth="1"/>
    <col min="14" max="14" width="12.5703125" style="20" customWidth="1"/>
    <col min="15" max="15" width="12.140625" style="20" customWidth="1"/>
    <col min="16" max="16" width="11.7109375" style="20" customWidth="1"/>
    <col min="17" max="18" width="9.140625" style="20"/>
    <col min="19" max="19" width="10.85546875" style="20" bestFit="1" customWidth="1"/>
    <col min="20" max="20" width="10.7109375" style="20" customWidth="1"/>
    <col min="21" max="247" width="9.140625" style="20"/>
    <col min="248" max="248" width="8.7109375" style="20" customWidth="1"/>
    <col min="249" max="249" width="9.85546875" style="20" customWidth="1"/>
    <col min="250" max="250" width="14.42578125" style="20" customWidth="1"/>
    <col min="251" max="251" width="7.28515625" style="20" customWidth="1"/>
    <col min="252" max="252" width="5.5703125" style="20" customWidth="1"/>
    <col min="253" max="253" width="9" style="20" customWidth="1"/>
    <col min="254" max="255" width="9.85546875" style="20" customWidth="1"/>
    <col min="256" max="256" width="11.140625" style="20" customWidth="1"/>
    <col min="257" max="257" width="2.85546875" style="20" customWidth="1"/>
    <col min="258" max="258" width="3.5703125" style="20" customWidth="1"/>
    <col min="259" max="503" width="9.140625" style="20"/>
    <col min="504" max="504" width="8.7109375" style="20" customWidth="1"/>
    <col min="505" max="505" width="9.85546875" style="20" customWidth="1"/>
    <col min="506" max="506" width="14.42578125" style="20" customWidth="1"/>
    <col min="507" max="507" width="7.28515625" style="20" customWidth="1"/>
    <col min="508" max="508" width="5.5703125" style="20" customWidth="1"/>
    <col min="509" max="509" width="9" style="20" customWidth="1"/>
    <col min="510" max="511" width="9.85546875" style="20" customWidth="1"/>
    <col min="512" max="512" width="11.140625" style="20" customWidth="1"/>
    <col min="513" max="513" width="2.85546875" style="20" customWidth="1"/>
    <col min="514" max="514" width="3.5703125" style="20" customWidth="1"/>
    <col min="515" max="759" width="9.140625" style="20"/>
    <col min="760" max="760" width="8.7109375" style="20" customWidth="1"/>
    <col min="761" max="761" width="9.85546875" style="20" customWidth="1"/>
    <col min="762" max="762" width="14.42578125" style="20" customWidth="1"/>
    <col min="763" max="763" width="7.28515625" style="20" customWidth="1"/>
    <col min="764" max="764" width="5.5703125" style="20" customWidth="1"/>
    <col min="765" max="765" width="9" style="20" customWidth="1"/>
    <col min="766" max="767" width="9.85546875" style="20" customWidth="1"/>
    <col min="768" max="768" width="11.140625" style="20" customWidth="1"/>
    <col min="769" max="769" width="2.85546875" style="20" customWidth="1"/>
    <col min="770" max="770" width="3.5703125" style="20" customWidth="1"/>
    <col min="771" max="1015" width="9.140625" style="20"/>
    <col min="1016" max="1016" width="8.7109375" style="20" customWidth="1"/>
    <col min="1017" max="1017" width="9.85546875" style="20" customWidth="1"/>
    <col min="1018" max="1018" width="14.42578125" style="20" customWidth="1"/>
    <col min="1019" max="1019" width="7.28515625" style="20" customWidth="1"/>
    <col min="1020" max="1020" width="5.5703125" style="20" customWidth="1"/>
    <col min="1021" max="1021" width="9" style="20" customWidth="1"/>
    <col min="1022" max="1023" width="9.85546875" style="20" customWidth="1"/>
    <col min="1024" max="1024" width="11.140625" style="20" customWidth="1"/>
    <col min="1025" max="1025" width="2.85546875" style="20" customWidth="1"/>
    <col min="1026" max="1026" width="3.5703125" style="20" customWidth="1"/>
    <col min="1027" max="1271" width="9.140625" style="20"/>
    <col min="1272" max="1272" width="8.7109375" style="20" customWidth="1"/>
    <col min="1273" max="1273" width="9.85546875" style="20" customWidth="1"/>
    <col min="1274" max="1274" width="14.42578125" style="20" customWidth="1"/>
    <col min="1275" max="1275" width="7.28515625" style="20" customWidth="1"/>
    <col min="1276" max="1276" width="5.5703125" style="20" customWidth="1"/>
    <col min="1277" max="1277" width="9" style="20" customWidth="1"/>
    <col min="1278" max="1279" width="9.85546875" style="20" customWidth="1"/>
    <col min="1280" max="1280" width="11.140625" style="20" customWidth="1"/>
    <col min="1281" max="1281" width="2.85546875" style="20" customWidth="1"/>
    <col min="1282" max="1282" width="3.5703125" style="20" customWidth="1"/>
    <col min="1283" max="1527" width="9.140625" style="20"/>
    <col min="1528" max="1528" width="8.7109375" style="20" customWidth="1"/>
    <col min="1529" max="1529" width="9.85546875" style="20" customWidth="1"/>
    <col min="1530" max="1530" width="14.42578125" style="20" customWidth="1"/>
    <col min="1531" max="1531" width="7.28515625" style="20" customWidth="1"/>
    <col min="1532" max="1532" width="5.5703125" style="20" customWidth="1"/>
    <col min="1533" max="1533" width="9" style="20" customWidth="1"/>
    <col min="1534" max="1535" width="9.85546875" style="20" customWidth="1"/>
    <col min="1536" max="1536" width="11.140625" style="20" customWidth="1"/>
    <col min="1537" max="1537" width="2.85546875" style="20" customWidth="1"/>
    <col min="1538" max="1538" width="3.5703125" style="20" customWidth="1"/>
    <col min="1539" max="1783" width="9.140625" style="20"/>
    <col min="1784" max="1784" width="8.7109375" style="20" customWidth="1"/>
    <col min="1785" max="1785" width="9.85546875" style="20" customWidth="1"/>
    <col min="1786" max="1786" width="14.42578125" style="20" customWidth="1"/>
    <col min="1787" max="1787" width="7.28515625" style="20" customWidth="1"/>
    <col min="1788" max="1788" width="5.5703125" style="20" customWidth="1"/>
    <col min="1789" max="1789" width="9" style="20" customWidth="1"/>
    <col min="1790" max="1791" width="9.85546875" style="20" customWidth="1"/>
    <col min="1792" max="1792" width="11.140625" style="20" customWidth="1"/>
    <col min="1793" max="1793" width="2.85546875" style="20" customWidth="1"/>
    <col min="1794" max="1794" width="3.5703125" style="20" customWidth="1"/>
    <col min="1795" max="2039" width="9.140625" style="20"/>
    <col min="2040" max="2040" width="8.7109375" style="20" customWidth="1"/>
    <col min="2041" max="2041" width="9.85546875" style="20" customWidth="1"/>
    <col min="2042" max="2042" width="14.42578125" style="20" customWidth="1"/>
    <col min="2043" max="2043" width="7.28515625" style="20" customWidth="1"/>
    <col min="2044" max="2044" width="5.5703125" style="20" customWidth="1"/>
    <col min="2045" max="2045" width="9" style="20" customWidth="1"/>
    <col min="2046" max="2047" width="9.85546875" style="20" customWidth="1"/>
    <col min="2048" max="2048" width="11.140625" style="20" customWidth="1"/>
    <col min="2049" max="2049" width="2.85546875" style="20" customWidth="1"/>
    <col min="2050" max="2050" width="3.5703125" style="20" customWidth="1"/>
    <col min="2051" max="2295" width="9.140625" style="20"/>
    <col min="2296" max="2296" width="8.7109375" style="20" customWidth="1"/>
    <col min="2297" max="2297" width="9.85546875" style="20" customWidth="1"/>
    <col min="2298" max="2298" width="14.42578125" style="20" customWidth="1"/>
    <col min="2299" max="2299" width="7.28515625" style="20" customWidth="1"/>
    <col min="2300" max="2300" width="5.5703125" style="20" customWidth="1"/>
    <col min="2301" max="2301" width="9" style="20" customWidth="1"/>
    <col min="2302" max="2303" width="9.85546875" style="20" customWidth="1"/>
    <col min="2304" max="2304" width="11.140625" style="20" customWidth="1"/>
    <col min="2305" max="2305" width="2.85546875" style="20" customWidth="1"/>
    <col min="2306" max="2306" width="3.5703125" style="20" customWidth="1"/>
    <col min="2307" max="2551" width="9.140625" style="20"/>
    <col min="2552" max="2552" width="8.7109375" style="20" customWidth="1"/>
    <col min="2553" max="2553" width="9.85546875" style="20" customWidth="1"/>
    <col min="2554" max="2554" width="14.42578125" style="20" customWidth="1"/>
    <col min="2555" max="2555" width="7.28515625" style="20" customWidth="1"/>
    <col min="2556" max="2556" width="5.5703125" style="20" customWidth="1"/>
    <col min="2557" max="2557" width="9" style="20" customWidth="1"/>
    <col min="2558" max="2559" width="9.85546875" style="20" customWidth="1"/>
    <col min="2560" max="2560" width="11.140625" style="20" customWidth="1"/>
    <col min="2561" max="2561" width="2.85546875" style="20" customWidth="1"/>
    <col min="2562" max="2562" width="3.5703125" style="20" customWidth="1"/>
    <col min="2563" max="2807" width="9.140625" style="20"/>
    <col min="2808" max="2808" width="8.7109375" style="20" customWidth="1"/>
    <col min="2809" max="2809" width="9.85546875" style="20" customWidth="1"/>
    <col min="2810" max="2810" width="14.42578125" style="20" customWidth="1"/>
    <col min="2811" max="2811" width="7.28515625" style="20" customWidth="1"/>
    <col min="2812" max="2812" width="5.5703125" style="20" customWidth="1"/>
    <col min="2813" max="2813" width="9" style="20" customWidth="1"/>
    <col min="2814" max="2815" width="9.85546875" style="20" customWidth="1"/>
    <col min="2816" max="2816" width="11.140625" style="20" customWidth="1"/>
    <col min="2817" max="2817" width="2.85546875" style="20" customWidth="1"/>
    <col min="2818" max="2818" width="3.5703125" style="20" customWidth="1"/>
    <col min="2819" max="3063" width="9.140625" style="20"/>
    <col min="3064" max="3064" width="8.7109375" style="20" customWidth="1"/>
    <col min="3065" max="3065" width="9.85546875" style="20" customWidth="1"/>
    <col min="3066" max="3066" width="14.42578125" style="20" customWidth="1"/>
    <col min="3067" max="3067" width="7.28515625" style="20" customWidth="1"/>
    <col min="3068" max="3068" width="5.5703125" style="20" customWidth="1"/>
    <col min="3069" max="3069" width="9" style="20" customWidth="1"/>
    <col min="3070" max="3071" width="9.85546875" style="20" customWidth="1"/>
    <col min="3072" max="3072" width="11.140625" style="20" customWidth="1"/>
    <col min="3073" max="3073" width="2.85546875" style="20" customWidth="1"/>
    <col min="3074" max="3074" width="3.5703125" style="20" customWidth="1"/>
    <col min="3075" max="3319" width="9.140625" style="20"/>
    <col min="3320" max="3320" width="8.7109375" style="20" customWidth="1"/>
    <col min="3321" max="3321" width="9.85546875" style="20" customWidth="1"/>
    <col min="3322" max="3322" width="14.42578125" style="20" customWidth="1"/>
    <col min="3323" max="3323" width="7.28515625" style="20" customWidth="1"/>
    <col min="3324" max="3324" width="5.5703125" style="20" customWidth="1"/>
    <col min="3325" max="3325" width="9" style="20" customWidth="1"/>
    <col min="3326" max="3327" width="9.85546875" style="20" customWidth="1"/>
    <col min="3328" max="3328" width="11.140625" style="20" customWidth="1"/>
    <col min="3329" max="3329" width="2.85546875" style="20" customWidth="1"/>
    <col min="3330" max="3330" width="3.5703125" style="20" customWidth="1"/>
    <col min="3331" max="3575" width="9.140625" style="20"/>
    <col min="3576" max="3576" width="8.7109375" style="20" customWidth="1"/>
    <col min="3577" max="3577" width="9.85546875" style="20" customWidth="1"/>
    <col min="3578" max="3578" width="14.42578125" style="20" customWidth="1"/>
    <col min="3579" max="3579" width="7.28515625" style="20" customWidth="1"/>
    <col min="3580" max="3580" width="5.5703125" style="20" customWidth="1"/>
    <col min="3581" max="3581" width="9" style="20" customWidth="1"/>
    <col min="3582" max="3583" width="9.85546875" style="20" customWidth="1"/>
    <col min="3584" max="3584" width="11.140625" style="20" customWidth="1"/>
    <col min="3585" max="3585" width="2.85546875" style="20" customWidth="1"/>
    <col min="3586" max="3586" width="3.5703125" style="20" customWidth="1"/>
    <col min="3587" max="3831" width="9.140625" style="20"/>
    <col min="3832" max="3832" width="8.7109375" style="20" customWidth="1"/>
    <col min="3833" max="3833" width="9.85546875" style="20" customWidth="1"/>
    <col min="3834" max="3834" width="14.42578125" style="20" customWidth="1"/>
    <col min="3835" max="3835" width="7.28515625" style="20" customWidth="1"/>
    <col min="3836" max="3836" width="5.5703125" style="20" customWidth="1"/>
    <col min="3837" max="3837" width="9" style="20" customWidth="1"/>
    <col min="3838" max="3839" width="9.85546875" style="20" customWidth="1"/>
    <col min="3840" max="3840" width="11.140625" style="20" customWidth="1"/>
    <col min="3841" max="3841" width="2.85546875" style="20" customWidth="1"/>
    <col min="3842" max="3842" width="3.5703125" style="20" customWidth="1"/>
    <col min="3843" max="4087" width="9.140625" style="20"/>
    <col min="4088" max="4088" width="8.7109375" style="20" customWidth="1"/>
    <col min="4089" max="4089" width="9.85546875" style="20" customWidth="1"/>
    <col min="4090" max="4090" width="14.42578125" style="20" customWidth="1"/>
    <col min="4091" max="4091" width="7.28515625" style="20" customWidth="1"/>
    <col min="4092" max="4092" width="5.5703125" style="20" customWidth="1"/>
    <col min="4093" max="4093" width="9" style="20" customWidth="1"/>
    <col min="4094" max="4095" width="9.85546875" style="20" customWidth="1"/>
    <col min="4096" max="4096" width="11.140625" style="20" customWidth="1"/>
    <col min="4097" max="4097" width="2.85546875" style="20" customWidth="1"/>
    <col min="4098" max="4098" width="3.5703125" style="20" customWidth="1"/>
    <col min="4099" max="4343" width="9.140625" style="20"/>
    <col min="4344" max="4344" width="8.7109375" style="20" customWidth="1"/>
    <col min="4345" max="4345" width="9.85546875" style="20" customWidth="1"/>
    <col min="4346" max="4346" width="14.42578125" style="20" customWidth="1"/>
    <col min="4347" max="4347" width="7.28515625" style="20" customWidth="1"/>
    <col min="4348" max="4348" width="5.5703125" style="20" customWidth="1"/>
    <col min="4349" max="4349" width="9" style="20" customWidth="1"/>
    <col min="4350" max="4351" width="9.85546875" style="20" customWidth="1"/>
    <col min="4352" max="4352" width="11.140625" style="20" customWidth="1"/>
    <col min="4353" max="4353" width="2.85546875" style="20" customWidth="1"/>
    <col min="4354" max="4354" width="3.5703125" style="20" customWidth="1"/>
    <col min="4355" max="4599" width="9.140625" style="20"/>
    <col min="4600" max="4600" width="8.7109375" style="20" customWidth="1"/>
    <col min="4601" max="4601" width="9.85546875" style="20" customWidth="1"/>
    <col min="4602" max="4602" width="14.42578125" style="20" customWidth="1"/>
    <col min="4603" max="4603" width="7.28515625" style="20" customWidth="1"/>
    <col min="4604" max="4604" width="5.5703125" style="20" customWidth="1"/>
    <col min="4605" max="4605" width="9" style="20" customWidth="1"/>
    <col min="4606" max="4607" width="9.85546875" style="20" customWidth="1"/>
    <col min="4608" max="4608" width="11.140625" style="20" customWidth="1"/>
    <col min="4609" max="4609" width="2.85546875" style="20" customWidth="1"/>
    <col min="4610" max="4610" width="3.5703125" style="20" customWidth="1"/>
    <col min="4611" max="4855" width="9.140625" style="20"/>
    <col min="4856" max="4856" width="8.7109375" style="20" customWidth="1"/>
    <col min="4857" max="4857" width="9.85546875" style="20" customWidth="1"/>
    <col min="4858" max="4858" width="14.42578125" style="20" customWidth="1"/>
    <col min="4859" max="4859" width="7.28515625" style="20" customWidth="1"/>
    <col min="4860" max="4860" width="5.5703125" style="20" customWidth="1"/>
    <col min="4861" max="4861" width="9" style="20" customWidth="1"/>
    <col min="4862" max="4863" width="9.85546875" style="20" customWidth="1"/>
    <col min="4864" max="4864" width="11.140625" style="20" customWidth="1"/>
    <col min="4865" max="4865" width="2.85546875" style="20" customWidth="1"/>
    <col min="4866" max="4866" width="3.5703125" style="20" customWidth="1"/>
    <col min="4867" max="5111" width="9.140625" style="20"/>
    <col min="5112" max="5112" width="8.7109375" style="20" customWidth="1"/>
    <col min="5113" max="5113" width="9.85546875" style="20" customWidth="1"/>
    <col min="5114" max="5114" width="14.42578125" style="20" customWidth="1"/>
    <col min="5115" max="5115" width="7.28515625" style="20" customWidth="1"/>
    <col min="5116" max="5116" width="5.5703125" style="20" customWidth="1"/>
    <col min="5117" max="5117" width="9" style="20" customWidth="1"/>
    <col min="5118" max="5119" width="9.85546875" style="20" customWidth="1"/>
    <col min="5120" max="5120" width="11.140625" style="20" customWidth="1"/>
    <col min="5121" max="5121" width="2.85546875" style="20" customWidth="1"/>
    <col min="5122" max="5122" width="3.5703125" style="20" customWidth="1"/>
    <col min="5123" max="5367" width="9.140625" style="20"/>
    <col min="5368" max="5368" width="8.7109375" style="20" customWidth="1"/>
    <col min="5369" max="5369" width="9.85546875" style="20" customWidth="1"/>
    <col min="5370" max="5370" width="14.42578125" style="20" customWidth="1"/>
    <col min="5371" max="5371" width="7.28515625" style="20" customWidth="1"/>
    <col min="5372" max="5372" width="5.5703125" style="20" customWidth="1"/>
    <col min="5373" max="5373" width="9" style="20" customWidth="1"/>
    <col min="5374" max="5375" width="9.85546875" style="20" customWidth="1"/>
    <col min="5376" max="5376" width="11.140625" style="20" customWidth="1"/>
    <col min="5377" max="5377" width="2.85546875" style="20" customWidth="1"/>
    <col min="5378" max="5378" width="3.5703125" style="20" customWidth="1"/>
    <col min="5379" max="5623" width="9.140625" style="20"/>
    <col min="5624" max="5624" width="8.7109375" style="20" customWidth="1"/>
    <col min="5625" max="5625" width="9.85546875" style="20" customWidth="1"/>
    <col min="5626" max="5626" width="14.42578125" style="20" customWidth="1"/>
    <col min="5627" max="5627" width="7.28515625" style="20" customWidth="1"/>
    <col min="5628" max="5628" width="5.5703125" style="20" customWidth="1"/>
    <col min="5629" max="5629" width="9" style="20" customWidth="1"/>
    <col min="5630" max="5631" width="9.85546875" style="20" customWidth="1"/>
    <col min="5632" max="5632" width="11.140625" style="20" customWidth="1"/>
    <col min="5633" max="5633" width="2.85546875" style="20" customWidth="1"/>
    <col min="5634" max="5634" width="3.5703125" style="20" customWidth="1"/>
    <col min="5635" max="5879" width="9.140625" style="20"/>
    <col min="5880" max="5880" width="8.7109375" style="20" customWidth="1"/>
    <col min="5881" max="5881" width="9.85546875" style="20" customWidth="1"/>
    <col min="5882" max="5882" width="14.42578125" style="20" customWidth="1"/>
    <col min="5883" max="5883" width="7.28515625" style="20" customWidth="1"/>
    <col min="5884" max="5884" width="5.5703125" style="20" customWidth="1"/>
    <col min="5885" max="5885" width="9" style="20" customWidth="1"/>
    <col min="5886" max="5887" width="9.85546875" style="20" customWidth="1"/>
    <col min="5888" max="5888" width="11.140625" style="20" customWidth="1"/>
    <col min="5889" max="5889" width="2.85546875" style="20" customWidth="1"/>
    <col min="5890" max="5890" width="3.5703125" style="20" customWidth="1"/>
    <col min="5891" max="6135" width="9.140625" style="20"/>
    <col min="6136" max="6136" width="8.7109375" style="20" customWidth="1"/>
    <col min="6137" max="6137" width="9.85546875" style="20" customWidth="1"/>
    <col min="6138" max="6138" width="14.42578125" style="20" customWidth="1"/>
    <col min="6139" max="6139" width="7.28515625" style="20" customWidth="1"/>
    <col min="6140" max="6140" width="5.5703125" style="20" customWidth="1"/>
    <col min="6141" max="6141" width="9" style="20" customWidth="1"/>
    <col min="6142" max="6143" width="9.85546875" style="20" customWidth="1"/>
    <col min="6144" max="6144" width="11.140625" style="20" customWidth="1"/>
    <col min="6145" max="6145" width="2.85546875" style="20" customWidth="1"/>
    <col min="6146" max="6146" width="3.5703125" style="20" customWidth="1"/>
    <col min="6147" max="6391" width="9.140625" style="20"/>
    <col min="6392" max="6392" width="8.7109375" style="20" customWidth="1"/>
    <col min="6393" max="6393" width="9.85546875" style="20" customWidth="1"/>
    <col min="6394" max="6394" width="14.42578125" style="20" customWidth="1"/>
    <col min="6395" max="6395" width="7.28515625" style="20" customWidth="1"/>
    <col min="6396" max="6396" width="5.5703125" style="20" customWidth="1"/>
    <col min="6397" max="6397" width="9" style="20" customWidth="1"/>
    <col min="6398" max="6399" width="9.85546875" style="20" customWidth="1"/>
    <col min="6400" max="6400" width="11.140625" style="20" customWidth="1"/>
    <col min="6401" max="6401" width="2.85546875" style="20" customWidth="1"/>
    <col min="6402" max="6402" width="3.5703125" style="20" customWidth="1"/>
    <col min="6403" max="6647" width="9.140625" style="20"/>
    <col min="6648" max="6648" width="8.7109375" style="20" customWidth="1"/>
    <col min="6649" max="6649" width="9.85546875" style="20" customWidth="1"/>
    <col min="6650" max="6650" width="14.42578125" style="20" customWidth="1"/>
    <col min="6651" max="6651" width="7.28515625" style="20" customWidth="1"/>
    <col min="6652" max="6652" width="5.5703125" style="20" customWidth="1"/>
    <col min="6653" max="6653" width="9" style="20" customWidth="1"/>
    <col min="6654" max="6655" width="9.85546875" style="20" customWidth="1"/>
    <col min="6656" max="6656" width="11.140625" style="20" customWidth="1"/>
    <col min="6657" max="6657" width="2.85546875" style="20" customWidth="1"/>
    <col min="6658" max="6658" width="3.5703125" style="20" customWidth="1"/>
    <col min="6659" max="6903" width="9.140625" style="20"/>
    <col min="6904" max="6904" width="8.7109375" style="20" customWidth="1"/>
    <col min="6905" max="6905" width="9.85546875" style="20" customWidth="1"/>
    <col min="6906" max="6906" width="14.42578125" style="20" customWidth="1"/>
    <col min="6907" max="6907" width="7.28515625" style="20" customWidth="1"/>
    <col min="6908" max="6908" width="5.5703125" style="20" customWidth="1"/>
    <col min="6909" max="6909" width="9" style="20" customWidth="1"/>
    <col min="6910" max="6911" width="9.85546875" style="20" customWidth="1"/>
    <col min="6912" max="6912" width="11.140625" style="20" customWidth="1"/>
    <col min="6913" max="6913" width="2.85546875" style="20" customWidth="1"/>
    <col min="6914" max="6914" width="3.5703125" style="20" customWidth="1"/>
    <col min="6915" max="7159" width="9.140625" style="20"/>
    <col min="7160" max="7160" width="8.7109375" style="20" customWidth="1"/>
    <col min="7161" max="7161" width="9.85546875" style="20" customWidth="1"/>
    <col min="7162" max="7162" width="14.42578125" style="20" customWidth="1"/>
    <col min="7163" max="7163" width="7.28515625" style="20" customWidth="1"/>
    <col min="7164" max="7164" width="5.5703125" style="20" customWidth="1"/>
    <col min="7165" max="7165" width="9" style="20" customWidth="1"/>
    <col min="7166" max="7167" width="9.85546875" style="20" customWidth="1"/>
    <col min="7168" max="7168" width="11.140625" style="20" customWidth="1"/>
    <col min="7169" max="7169" width="2.85546875" style="20" customWidth="1"/>
    <col min="7170" max="7170" width="3.5703125" style="20" customWidth="1"/>
    <col min="7171" max="7415" width="9.140625" style="20"/>
    <col min="7416" max="7416" width="8.7109375" style="20" customWidth="1"/>
    <col min="7417" max="7417" width="9.85546875" style="20" customWidth="1"/>
    <col min="7418" max="7418" width="14.42578125" style="20" customWidth="1"/>
    <col min="7419" max="7419" width="7.28515625" style="20" customWidth="1"/>
    <col min="7420" max="7420" width="5.5703125" style="20" customWidth="1"/>
    <col min="7421" max="7421" width="9" style="20" customWidth="1"/>
    <col min="7422" max="7423" width="9.85546875" style="20" customWidth="1"/>
    <col min="7424" max="7424" width="11.140625" style="20" customWidth="1"/>
    <col min="7425" max="7425" width="2.85546875" style="20" customWidth="1"/>
    <col min="7426" max="7426" width="3.5703125" style="20" customWidth="1"/>
    <col min="7427" max="7671" width="9.140625" style="20"/>
    <col min="7672" max="7672" width="8.7109375" style="20" customWidth="1"/>
    <col min="7673" max="7673" width="9.85546875" style="20" customWidth="1"/>
    <col min="7674" max="7674" width="14.42578125" style="20" customWidth="1"/>
    <col min="7675" max="7675" width="7.28515625" style="20" customWidth="1"/>
    <col min="7676" max="7676" width="5.5703125" style="20" customWidth="1"/>
    <col min="7677" max="7677" width="9" style="20" customWidth="1"/>
    <col min="7678" max="7679" width="9.85546875" style="20" customWidth="1"/>
    <col min="7680" max="7680" width="11.140625" style="20" customWidth="1"/>
    <col min="7681" max="7681" width="2.85546875" style="20" customWidth="1"/>
    <col min="7682" max="7682" width="3.5703125" style="20" customWidth="1"/>
    <col min="7683" max="7927" width="9.140625" style="20"/>
    <col min="7928" max="7928" width="8.7109375" style="20" customWidth="1"/>
    <col min="7929" max="7929" width="9.85546875" style="20" customWidth="1"/>
    <col min="7930" max="7930" width="14.42578125" style="20" customWidth="1"/>
    <col min="7931" max="7931" width="7.28515625" style="20" customWidth="1"/>
    <col min="7932" max="7932" width="5.5703125" style="20" customWidth="1"/>
    <col min="7933" max="7933" width="9" style="20" customWidth="1"/>
    <col min="7934" max="7935" width="9.85546875" style="20" customWidth="1"/>
    <col min="7936" max="7936" width="11.140625" style="20" customWidth="1"/>
    <col min="7937" max="7937" width="2.85546875" style="20" customWidth="1"/>
    <col min="7938" max="7938" width="3.5703125" style="20" customWidth="1"/>
    <col min="7939" max="8183" width="9.140625" style="20"/>
    <col min="8184" max="8184" width="8.7109375" style="20" customWidth="1"/>
    <col min="8185" max="8185" width="9.85546875" style="20" customWidth="1"/>
    <col min="8186" max="8186" width="14.42578125" style="20" customWidth="1"/>
    <col min="8187" max="8187" width="7.28515625" style="20" customWidth="1"/>
    <col min="8188" max="8188" width="5.5703125" style="20" customWidth="1"/>
    <col min="8189" max="8189" width="9" style="20" customWidth="1"/>
    <col min="8190" max="8191" width="9.85546875" style="20" customWidth="1"/>
    <col min="8192" max="8192" width="11.140625" style="20" customWidth="1"/>
    <col min="8193" max="8193" width="2.85546875" style="20" customWidth="1"/>
    <col min="8194" max="8194" width="3.5703125" style="20" customWidth="1"/>
    <col min="8195" max="8439" width="9.140625" style="20"/>
    <col min="8440" max="8440" width="8.7109375" style="20" customWidth="1"/>
    <col min="8441" max="8441" width="9.85546875" style="20" customWidth="1"/>
    <col min="8442" max="8442" width="14.42578125" style="20" customWidth="1"/>
    <col min="8443" max="8443" width="7.28515625" style="20" customWidth="1"/>
    <col min="8444" max="8444" width="5.5703125" style="20" customWidth="1"/>
    <col min="8445" max="8445" width="9" style="20" customWidth="1"/>
    <col min="8446" max="8447" width="9.85546875" style="20" customWidth="1"/>
    <col min="8448" max="8448" width="11.140625" style="20" customWidth="1"/>
    <col min="8449" max="8449" width="2.85546875" style="20" customWidth="1"/>
    <col min="8450" max="8450" width="3.5703125" style="20" customWidth="1"/>
    <col min="8451" max="8695" width="9.140625" style="20"/>
    <col min="8696" max="8696" width="8.7109375" style="20" customWidth="1"/>
    <col min="8697" max="8697" width="9.85546875" style="20" customWidth="1"/>
    <col min="8698" max="8698" width="14.42578125" style="20" customWidth="1"/>
    <col min="8699" max="8699" width="7.28515625" style="20" customWidth="1"/>
    <col min="8700" max="8700" width="5.5703125" style="20" customWidth="1"/>
    <col min="8701" max="8701" width="9" style="20" customWidth="1"/>
    <col min="8702" max="8703" width="9.85546875" style="20" customWidth="1"/>
    <col min="8704" max="8704" width="11.140625" style="20" customWidth="1"/>
    <col min="8705" max="8705" width="2.85546875" style="20" customWidth="1"/>
    <col min="8706" max="8706" width="3.5703125" style="20" customWidth="1"/>
    <col min="8707" max="8951" width="9.140625" style="20"/>
    <col min="8952" max="8952" width="8.7109375" style="20" customWidth="1"/>
    <col min="8953" max="8953" width="9.85546875" style="20" customWidth="1"/>
    <col min="8954" max="8954" width="14.42578125" style="20" customWidth="1"/>
    <col min="8955" max="8955" width="7.28515625" style="20" customWidth="1"/>
    <col min="8956" max="8956" width="5.5703125" style="20" customWidth="1"/>
    <col min="8957" max="8957" width="9" style="20" customWidth="1"/>
    <col min="8958" max="8959" width="9.85546875" style="20" customWidth="1"/>
    <col min="8960" max="8960" width="11.140625" style="20" customWidth="1"/>
    <col min="8961" max="8961" width="2.85546875" style="20" customWidth="1"/>
    <col min="8962" max="8962" width="3.5703125" style="20" customWidth="1"/>
    <col min="8963" max="9207" width="9.140625" style="20"/>
    <col min="9208" max="9208" width="8.7109375" style="20" customWidth="1"/>
    <col min="9209" max="9209" width="9.85546875" style="20" customWidth="1"/>
    <col min="9210" max="9210" width="14.42578125" style="20" customWidth="1"/>
    <col min="9211" max="9211" width="7.28515625" style="20" customWidth="1"/>
    <col min="9212" max="9212" width="5.5703125" style="20" customWidth="1"/>
    <col min="9213" max="9213" width="9" style="20" customWidth="1"/>
    <col min="9214" max="9215" width="9.85546875" style="20" customWidth="1"/>
    <col min="9216" max="9216" width="11.140625" style="20" customWidth="1"/>
    <col min="9217" max="9217" width="2.85546875" style="20" customWidth="1"/>
    <col min="9218" max="9218" width="3.5703125" style="20" customWidth="1"/>
    <col min="9219" max="9463" width="9.140625" style="20"/>
    <col min="9464" max="9464" width="8.7109375" style="20" customWidth="1"/>
    <col min="9465" max="9465" width="9.85546875" style="20" customWidth="1"/>
    <col min="9466" max="9466" width="14.42578125" style="20" customWidth="1"/>
    <col min="9467" max="9467" width="7.28515625" style="20" customWidth="1"/>
    <col min="9468" max="9468" width="5.5703125" style="20" customWidth="1"/>
    <col min="9469" max="9469" width="9" style="20" customWidth="1"/>
    <col min="9470" max="9471" width="9.85546875" style="20" customWidth="1"/>
    <col min="9472" max="9472" width="11.140625" style="20" customWidth="1"/>
    <col min="9473" max="9473" width="2.85546875" style="20" customWidth="1"/>
    <col min="9474" max="9474" width="3.5703125" style="20" customWidth="1"/>
    <col min="9475" max="9719" width="9.140625" style="20"/>
    <col min="9720" max="9720" width="8.7109375" style="20" customWidth="1"/>
    <col min="9721" max="9721" width="9.85546875" style="20" customWidth="1"/>
    <col min="9722" max="9722" width="14.42578125" style="20" customWidth="1"/>
    <col min="9723" max="9723" width="7.28515625" style="20" customWidth="1"/>
    <col min="9724" max="9724" width="5.5703125" style="20" customWidth="1"/>
    <col min="9725" max="9725" width="9" style="20" customWidth="1"/>
    <col min="9726" max="9727" width="9.85546875" style="20" customWidth="1"/>
    <col min="9728" max="9728" width="11.140625" style="20" customWidth="1"/>
    <col min="9729" max="9729" width="2.85546875" style="20" customWidth="1"/>
    <col min="9730" max="9730" width="3.5703125" style="20" customWidth="1"/>
    <col min="9731" max="9975" width="9.140625" style="20"/>
    <col min="9976" max="9976" width="8.7109375" style="20" customWidth="1"/>
    <col min="9977" max="9977" width="9.85546875" style="20" customWidth="1"/>
    <col min="9978" max="9978" width="14.42578125" style="20" customWidth="1"/>
    <col min="9979" max="9979" width="7.28515625" style="20" customWidth="1"/>
    <col min="9980" max="9980" width="5.5703125" style="20" customWidth="1"/>
    <col min="9981" max="9981" width="9" style="20" customWidth="1"/>
    <col min="9982" max="9983" width="9.85546875" style="20" customWidth="1"/>
    <col min="9984" max="9984" width="11.140625" style="20" customWidth="1"/>
    <col min="9985" max="9985" width="2.85546875" style="20" customWidth="1"/>
    <col min="9986" max="9986" width="3.5703125" style="20" customWidth="1"/>
    <col min="9987" max="10231" width="9.140625" style="20"/>
    <col min="10232" max="10232" width="8.7109375" style="20" customWidth="1"/>
    <col min="10233" max="10233" width="9.85546875" style="20" customWidth="1"/>
    <col min="10234" max="10234" width="14.42578125" style="20" customWidth="1"/>
    <col min="10235" max="10235" width="7.28515625" style="20" customWidth="1"/>
    <col min="10236" max="10236" width="5.5703125" style="20" customWidth="1"/>
    <col min="10237" max="10237" width="9" style="20" customWidth="1"/>
    <col min="10238" max="10239" width="9.85546875" style="20" customWidth="1"/>
    <col min="10240" max="10240" width="11.140625" style="20" customWidth="1"/>
    <col min="10241" max="10241" width="2.85546875" style="20" customWidth="1"/>
    <col min="10242" max="10242" width="3.5703125" style="20" customWidth="1"/>
    <col min="10243" max="10487" width="9.140625" style="20"/>
    <col min="10488" max="10488" width="8.7109375" style="20" customWidth="1"/>
    <col min="10489" max="10489" width="9.85546875" style="20" customWidth="1"/>
    <col min="10490" max="10490" width="14.42578125" style="20" customWidth="1"/>
    <col min="10491" max="10491" width="7.28515625" style="20" customWidth="1"/>
    <col min="10492" max="10492" width="5.5703125" style="20" customWidth="1"/>
    <col min="10493" max="10493" width="9" style="20" customWidth="1"/>
    <col min="10494" max="10495" width="9.85546875" style="20" customWidth="1"/>
    <col min="10496" max="10496" width="11.140625" style="20" customWidth="1"/>
    <col min="10497" max="10497" width="2.85546875" style="20" customWidth="1"/>
    <col min="10498" max="10498" width="3.5703125" style="20" customWidth="1"/>
    <col min="10499" max="10743" width="9.140625" style="20"/>
    <col min="10744" max="10744" width="8.7109375" style="20" customWidth="1"/>
    <col min="10745" max="10745" width="9.85546875" style="20" customWidth="1"/>
    <col min="10746" max="10746" width="14.42578125" style="20" customWidth="1"/>
    <col min="10747" max="10747" width="7.28515625" style="20" customWidth="1"/>
    <col min="10748" max="10748" width="5.5703125" style="20" customWidth="1"/>
    <col min="10749" max="10749" width="9" style="20" customWidth="1"/>
    <col min="10750" max="10751" width="9.85546875" style="20" customWidth="1"/>
    <col min="10752" max="10752" width="11.140625" style="20" customWidth="1"/>
    <col min="10753" max="10753" width="2.85546875" style="20" customWidth="1"/>
    <col min="10754" max="10754" width="3.5703125" style="20" customWidth="1"/>
    <col min="10755" max="10999" width="9.140625" style="20"/>
    <col min="11000" max="11000" width="8.7109375" style="20" customWidth="1"/>
    <col min="11001" max="11001" width="9.85546875" style="20" customWidth="1"/>
    <col min="11002" max="11002" width="14.42578125" style="20" customWidth="1"/>
    <col min="11003" max="11003" width="7.28515625" style="20" customWidth="1"/>
    <col min="11004" max="11004" width="5.5703125" style="20" customWidth="1"/>
    <col min="11005" max="11005" width="9" style="20" customWidth="1"/>
    <col min="11006" max="11007" width="9.85546875" style="20" customWidth="1"/>
    <col min="11008" max="11008" width="11.140625" style="20" customWidth="1"/>
    <col min="11009" max="11009" width="2.85546875" style="20" customWidth="1"/>
    <col min="11010" max="11010" width="3.5703125" style="20" customWidth="1"/>
    <col min="11011" max="11255" width="9.140625" style="20"/>
    <col min="11256" max="11256" width="8.7109375" style="20" customWidth="1"/>
    <col min="11257" max="11257" width="9.85546875" style="20" customWidth="1"/>
    <col min="11258" max="11258" width="14.42578125" style="20" customWidth="1"/>
    <col min="11259" max="11259" width="7.28515625" style="20" customWidth="1"/>
    <col min="11260" max="11260" width="5.5703125" style="20" customWidth="1"/>
    <col min="11261" max="11261" width="9" style="20" customWidth="1"/>
    <col min="11262" max="11263" width="9.85546875" style="20" customWidth="1"/>
    <col min="11264" max="11264" width="11.140625" style="20" customWidth="1"/>
    <col min="11265" max="11265" width="2.85546875" style="20" customWidth="1"/>
    <col min="11266" max="11266" width="3.5703125" style="20" customWidth="1"/>
    <col min="11267" max="11511" width="9.140625" style="20"/>
    <col min="11512" max="11512" width="8.7109375" style="20" customWidth="1"/>
    <col min="11513" max="11513" width="9.85546875" style="20" customWidth="1"/>
    <col min="11514" max="11514" width="14.42578125" style="20" customWidth="1"/>
    <col min="11515" max="11515" width="7.28515625" style="20" customWidth="1"/>
    <col min="11516" max="11516" width="5.5703125" style="20" customWidth="1"/>
    <col min="11517" max="11517" width="9" style="20" customWidth="1"/>
    <col min="11518" max="11519" width="9.85546875" style="20" customWidth="1"/>
    <col min="11520" max="11520" width="11.140625" style="20" customWidth="1"/>
    <col min="11521" max="11521" width="2.85546875" style="20" customWidth="1"/>
    <col min="11522" max="11522" width="3.5703125" style="20" customWidth="1"/>
    <col min="11523" max="11767" width="9.140625" style="20"/>
    <col min="11768" max="11768" width="8.7109375" style="20" customWidth="1"/>
    <col min="11769" max="11769" width="9.85546875" style="20" customWidth="1"/>
    <col min="11770" max="11770" width="14.42578125" style="20" customWidth="1"/>
    <col min="11771" max="11771" width="7.28515625" style="20" customWidth="1"/>
    <col min="11772" max="11772" width="5.5703125" style="20" customWidth="1"/>
    <col min="11773" max="11773" width="9" style="20" customWidth="1"/>
    <col min="11774" max="11775" width="9.85546875" style="20" customWidth="1"/>
    <col min="11776" max="11776" width="11.140625" style="20" customWidth="1"/>
    <col min="11777" max="11777" width="2.85546875" style="20" customWidth="1"/>
    <col min="11778" max="11778" width="3.5703125" style="20" customWidth="1"/>
    <col min="11779" max="12023" width="9.140625" style="20"/>
    <col min="12024" max="12024" width="8.7109375" style="20" customWidth="1"/>
    <col min="12025" max="12025" width="9.85546875" style="20" customWidth="1"/>
    <col min="12026" max="12026" width="14.42578125" style="20" customWidth="1"/>
    <col min="12027" max="12027" width="7.28515625" style="20" customWidth="1"/>
    <col min="12028" max="12028" width="5.5703125" style="20" customWidth="1"/>
    <col min="12029" max="12029" width="9" style="20" customWidth="1"/>
    <col min="12030" max="12031" width="9.85546875" style="20" customWidth="1"/>
    <col min="12032" max="12032" width="11.140625" style="20" customWidth="1"/>
    <col min="12033" max="12033" width="2.85546875" style="20" customWidth="1"/>
    <col min="12034" max="12034" width="3.5703125" style="20" customWidth="1"/>
    <col min="12035" max="12279" width="9.140625" style="20"/>
    <col min="12280" max="12280" width="8.7109375" style="20" customWidth="1"/>
    <col min="12281" max="12281" width="9.85546875" style="20" customWidth="1"/>
    <col min="12282" max="12282" width="14.42578125" style="20" customWidth="1"/>
    <col min="12283" max="12283" width="7.28515625" style="20" customWidth="1"/>
    <col min="12284" max="12284" width="5.5703125" style="20" customWidth="1"/>
    <col min="12285" max="12285" width="9" style="20" customWidth="1"/>
    <col min="12286" max="12287" width="9.85546875" style="20" customWidth="1"/>
    <col min="12288" max="12288" width="11.140625" style="20" customWidth="1"/>
    <col min="12289" max="12289" width="2.85546875" style="20" customWidth="1"/>
    <col min="12290" max="12290" width="3.5703125" style="20" customWidth="1"/>
    <col min="12291" max="12535" width="9.140625" style="20"/>
    <col min="12536" max="12536" width="8.7109375" style="20" customWidth="1"/>
    <col min="12537" max="12537" width="9.85546875" style="20" customWidth="1"/>
    <col min="12538" max="12538" width="14.42578125" style="20" customWidth="1"/>
    <col min="12539" max="12539" width="7.28515625" style="20" customWidth="1"/>
    <col min="12540" max="12540" width="5.5703125" style="20" customWidth="1"/>
    <col min="12541" max="12541" width="9" style="20" customWidth="1"/>
    <col min="12542" max="12543" width="9.85546875" style="20" customWidth="1"/>
    <col min="12544" max="12544" width="11.140625" style="20" customWidth="1"/>
    <col min="12545" max="12545" width="2.85546875" style="20" customWidth="1"/>
    <col min="12546" max="12546" width="3.5703125" style="20" customWidth="1"/>
    <col min="12547" max="12791" width="9.140625" style="20"/>
    <col min="12792" max="12792" width="8.7109375" style="20" customWidth="1"/>
    <col min="12793" max="12793" width="9.85546875" style="20" customWidth="1"/>
    <col min="12794" max="12794" width="14.42578125" style="20" customWidth="1"/>
    <col min="12795" max="12795" width="7.28515625" style="20" customWidth="1"/>
    <col min="12796" max="12796" width="5.5703125" style="20" customWidth="1"/>
    <col min="12797" max="12797" width="9" style="20" customWidth="1"/>
    <col min="12798" max="12799" width="9.85546875" style="20" customWidth="1"/>
    <col min="12800" max="12800" width="11.140625" style="20" customWidth="1"/>
    <col min="12801" max="12801" width="2.85546875" style="20" customWidth="1"/>
    <col min="12802" max="12802" width="3.5703125" style="20" customWidth="1"/>
    <col min="12803" max="13047" width="9.140625" style="20"/>
    <col min="13048" max="13048" width="8.7109375" style="20" customWidth="1"/>
    <col min="13049" max="13049" width="9.85546875" style="20" customWidth="1"/>
    <col min="13050" max="13050" width="14.42578125" style="20" customWidth="1"/>
    <col min="13051" max="13051" width="7.28515625" style="20" customWidth="1"/>
    <col min="13052" max="13052" width="5.5703125" style="20" customWidth="1"/>
    <col min="13053" max="13053" width="9" style="20" customWidth="1"/>
    <col min="13054" max="13055" width="9.85546875" style="20" customWidth="1"/>
    <col min="13056" max="13056" width="11.140625" style="20" customWidth="1"/>
    <col min="13057" max="13057" width="2.85546875" style="20" customWidth="1"/>
    <col min="13058" max="13058" width="3.5703125" style="20" customWidth="1"/>
    <col min="13059" max="13303" width="9.140625" style="20"/>
    <col min="13304" max="13304" width="8.7109375" style="20" customWidth="1"/>
    <col min="13305" max="13305" width="9.85546875" style="20" customWidth="1"/>
    <col min="13306" max="13306" width="14.42578125" style="20" customWidth="1"/>
    <col min="13307" max="13307" width="7.28515625" style="20" customWidth="1"/>
    <col min="13308" max="13308" width="5.5703125" style="20" customWidth="1"/>
    <col min="13309" max="13309" width="9" style="20" customWidth="1"/>
    <col min="13310" max="13311" width="9.85546875" style="20" customWidth="1"/>
    <col min="13312" max="13312" width="11.140625" style="20" customWidth="1"/>
    <col min="13313" max="13313" width="2.85546875" style="20" customWidth="1"/>
    <col min="13314" max="13314" width="3.5703125" style="20" customWidth="1"/>
    <col min="13315" max="13559" width="9.140625" style="20"/>
    <col min="13560" max="13560" width="8.7109375" style="20" customWidth="1"/>
    <col min="13561" max="13561" width="9.85546875" style="20" customWidth="1"/>
    <col min="13562" max="13562" width="14.42578125" style="20" customWidth="1"/>
    <col min="13563" max="13563" width="7.28515625" style="20" customWidth="1"/>
    <col min="13564" max="13564" width="5.5703125" style="20" customWidth="1"/>
    <col min="13565" max="13565" width="9" style="20" customWidth="1"/>
    <col min="13566" max="13567" width="9.85546875" style="20" customWidth="1"/>
    <col min="13568" max="13568" width="11.140625" style="20" customWidth="1"/>
    <col min="13569" max="13569" width="2.85546875" style="20" customWidth="1"/>
    <col min="13570" max="13570" width="3.5703125" style="20" customWidth="1"/>
    <col min="13571" max="13815" width="9.140625" style="20"/>
    <col min="13816" max="13816" width="8.7109375" style="20" customWidth="1"/>
    <col min="13817" max="13817" width="9.85546875" style="20" customWidth="1"/>
    <col min="13818" max="13818" width="14.42578125" style="20" customWidth="1"/>
    <col min="13819" max="13819" width="7.28515625" style="20" customWidth="1"/>
    <col min="13820" max="13820" width="5.5703125" style="20" customWidth="1"/>
    <col min="13821" max="13821" width="9" style="20" customWidth="1"/>
    <col min="13822" max="13823" width="9.85546875" style="20" customWidth="1"/>
    <col min="13824" max="13824" width="11.140625" style="20" customWidth="1"/>
    <col min="13825" max="13825" width="2.85546875" style="20" customWidth="1"/>
    <col min="13826" max="13826" width="3.5703125" style="20" customWidth="1"/>
    <col min="13827" max="14071" width="9.140625" style="20"/>
    <col min="14072" max="14072" width="8.7109375" style="20" customWidth="1"/>
    <col min="14073" max="14073" width="9.85546875" style="20" customWidth="1"/>
    <col min="14074" max="14074" width="14.42578125" style="20" customWidth="1"/>
    <col min="14075" max="14075" width="7.28515625" style="20" customWidth="1"/>
    <col min="14076" max="14076" width="5.5703125" style="20" customWidth="1"/>
    <col min="14077" max="14077" width="9" style="20" customWidth="1"/>
    <col min="14078" max="14079" width="9.85546875" style="20" customWidth="1"/>
    <col min="14080" max="14080" width="11.140625" style="20" customWidth="1"/>
    <col min="14081" max="14081" width="2.85546875" style="20" customWidth="1"/>
    <col min="14082" max="14082" width="3.5703125" style="20" customWidth="1"/>
    <col min="14083" max="14327" width="9.140625" style="20"/>
    <col min="14328" max="14328" width="8.7109375" style="20" customWidth="1"/>
    <col min="14329" max="14329" width="9.85546875" style="20" customWidth="1"/>
    <col min="14330" max="14330" width="14.42578125" style="20" customWidth="1"/>
    <col min="14331" max="14331" width="7.28515625" style="20" customWidth="1"/>
    <col min="14332" max="14332" width="5.5703125" style="20" customWidth="1"/>
    <col min="14333" max="14333" width="9" style="20" customWidth="1"/>
    <col min="14334" max="14335" width="9.85546875" style="20" customWidth="1"/>
    <col min="14336" max="14336" width="11.140625" style="20" customWidth="1"/>
    <col min="14337" max="14337" width="2.85546875" style="20" customWidth="1"/>
    <col min="14338" max="14338" width="3.5703125" style="20" customWidth="1"/>
    <col min="14339" max="14583" width="9.140625" style="20"/>
    <col min="14584" max="14584" width="8.7109375" style="20" customWidth="1"/>
    <col min="14585" max="14585" width="9.85546875" style="20" customWidth="1"/>
    <col min="14586" max="14586" width="14.42578125" style="20" customWidth="1"/>
    <col min="14587" max="14587" width="7.28515625" style="20" customWidth="1"/>
    <col min="14588" max="14588" width="5.5703125" style="20" customWidth="1"/>
    <col min="14589" max="14589" width="9" style="20" customWidth="1"/>
    <col min="14590" max="14591" width="9.85546875" style="20" customWidth="1"/>
    <col min="14592" max="14592" width="11.140625" style="20" customWidth="1"/>
    <col min="14593" max="14593" width="2.85546875" style="20" customWidth="1"/>
    <col min="14594" max="14594" width="3.5703125" style="20" customWidth="1"/>
    <col min="14595" max="14839" width="9.140625" style="20"/>
    <col min="14840" max="14840" width="8.7109375" style="20" customWidth="1"/>
    <col min="14841" max="14841" width="9.85546875" style="20" customWidth="1"/>
    <col min="14842" max="14842" width="14.42578125" style="20" customWidth="1"/>
    <col min="14843" max="14843" width="7.28515625" style="20" customWidth="1"/>
    <col min="14844" max="14844" width="5.5703125" style="20" customWidth="1"/>
    <col min="14845" max="14845" width="9" style="20" customWidth="1"/>
    <col min="14846" max="14847" width="9.85546875" style="20" customWidth="1"/>
    <col min="14848" max="14848" width="11.140625" style="20" customWidth="1"/>
    <col min="14849" max="14849" width="2.85546875" style="20" customWidth="1"/>
    <col min="14850" max="14850" width="3.5703125" style="20" customWidth="1"/>
    <col min="14851" max="15095" width="9.140625" style="20"/>
    <col min="15096" max="15096" width="8.7109375" style="20" customWidth="1"/>
    <col min="15097" max="15097" width="9.85546875" style="20" customWidth="1"/>
    <col min="15098" max="15098" width="14.42578125" style="20" customWidth="1"/>
    <col min="15099" max="15099" width="7.28515625" style="20" customWidth="1"/>
    <col min="15100" max="15100" width="5.5703125" style="20" customWidth="1"/>
    <col min="15101" max="15101" width="9" style="20" customWidth="1"/>
    <col min="15102" max="15103" width="9.85546875" style="20" customWidth="1"/>
    <col min="15104" max="15104" width="11.140625" style="20" customWidth="1"/>
    <col min="15105" max="15105" width="2.85546875" style="20" customWidth="1"/>
    <col min="15106" max="15106" width="3.5703125" style="20" customWidth="1"/>
    <col min="15107" max="15351" width="9.140625" style="20"/>
    <col min="15352" max="15352" width="8.7109375" style="20" customWidth="1"/>
    <col min="15353" max="15353" width="9.85546875" style="20" customWidth="1"/>
    <col min="15354" max="15354" width="14.42578125" style="20" customWidth="1"/>
    <col min="15355" max="15355" width="7.28515625" style="20" customWidth="1"/>
    <col min="15356" max="15356" width="5.5703125" style="20" customWidth="1"/>
    <col min="15357" max="15357" width="9" style="20" customWidth="1"/>
    <col min="15358" max="15359" width="9.85546875" style="20" customWidth="1"/>
    <col min="15360" max="15360" width="11.140625" style="20" customWidth="1"/>
    <col min="15361" max="15361" width="2.85546875" style="20" customWidth="1"/>
    <col min="15362" max="15362" width="3.5703125" style="20" customWidth="1"/>
    <col min="15363" max="15607" width="9.140625" style="20"/>
    <col min="15608" max="15608" width="8.7109375" style="20" customWidth="1"/>
    <col min="15609" max="15609" width="9.85546875" style="20" customWidth="1"/>
    <col min="15610" max="15610" width="14.42578125" style="20" customWidth="1"/>
    <col min="15611" max="15611" width="7.28515625" style="20" customWidth="1"/>
    <col min="15612" max="15612" width="5.5703125" style="20" customWidth="1"/>
    <col min="15613" max="15613" width="9" style="20" customWidth="1"/>
    <col min="15614" max="15615" width="9.85546875" style="20" customWidth="1"/>
    <col min="15616" max="15616" width="11.140625" style="20" customWidth="1"/>
    <col min="15617" max="15617" width="2.85546875" style="20" customWidth="1"/>
    <col min="15618" max="15618" width="3.5703125" style="20" customWidth="1"/>
    <col min="15619" max="15863" width="9.140625" style="20"/>
    <col min="15864" max="15864" width="8.7109375" style="20" customWidth="1"/>
    <col min="15865" max="15865" width="9.85546875" style="20" customWidth="1"/>
    <col min="15866" max="15866" width="14.42578125" style="20" customWidth="1"/>
    <col min="15867" max="15867" width="7.28515625" style="20" customWidth="1"/>
    <col min="15868" max="15868" width="5.5703125" style="20" customWidth="1"/>
    <col min="15869" max="15869" width="9" style="20" customWidth="1"/>
    <col min="15870" max="15871" width="9.85546875" style="20" customWidth="1"/>
    <col min="15872" max="15872" width="11.140625" style="20" customWidth="1"/>
    <col min="15873" max="15873" width="2.85546875" style="20" customWidth="1"/>
    <col min="15874" max="15874" width="3.5703125" style="20" customWidth="1"/>
    <col min="15875" max="16119" width="9.140625" style="20"/>
    <col min="16120" max="16120" width="8.7109375" style="20" customWidth="1"/>
    <col min="16121" max="16121" width="9.85546875" style="20" customWidth="1"/>
    <col min="16122" max="16122" width="14.42578125" style="20" customWidth="1"/>
    <col min="16123" max="16123" width="7.28515625" style="20" customWidth="1"/>
    <col min="16124" max="16124" width="5.5703125" style="20" customWidth="1"/>
    <col min="16125" max="16125" width="9" style="20" customWidth="1"/>
    <col min="16126" max="16127" width="9.85546875" style="20" customWidth="1"/>
    <col min="16128" max="16128" width="11.140625" style="20" customWidth="1"/>
    <col min="16129" max="16129" width="2.85546875" style="20" customWidth="1"/>
    <col min="16130" max="16130" width="3.5703125" style="20" customWidth="1"/>
    <col min="16131" max="16384" width="9.140625" style="20"/>
  </cols>
  <sheetData>
    <row r="1" spans="1:26" ht="46.5" customHeight="1" x14ac:dyDescent="0.25">
      <c r="A1" s="293" t="s">
        <v>360</v>
      </c>
      <c r="B1" s="293"/>
      <c r="C1" s="293"/>
      <c r="D1" s="293"/>
      <c r="E1" s="293"/>
      <c r="F1" s="293"/>
      <c r="G1" s="293"/>
      <c r="H1" s="293"/>
    </row>
    <row r="2" spans="1:26" ht="16.5" customHeight="1" x14ac:dyDescent="0.25">
      <c r="A2" s="294" t="s">
        <v>0</v>
      </c>
      <c r="B2" s="294"/>
      <c r="C2" s="294"/>
      <c r="D2" s="294"/>
      <c r="E2" s="294"/>
      <c r="F2" s="294"/>
      <c r="G2" s="294"/>
      <c r="H2" s="294"/>
    </row>
    <row r="3" spans="1:26" x14ac:dyDescent="0.25">
      <c r="A3" s="245" t="s">
        <v>1</v>
      </c>
      <c r="B3" s="245"/>
      <c r="C3" s="245"/>
      <c r="D3" s="245"/>
      <c r="E3" s="245" t="str">
        <f ca="1">TEXT(TODAY(),"DD/MM/YYYY")</f>
        <v>07/08/2025</v>
      </c>
      <c r="F3" s="245"/>
      <c r="G3" s="245"/>
      <c r="H3" s="245"/>
      <c r="K3" s="53" t="s">
        <v>219</v>
      </c>
      <c r="L3" s="52" t="s">
        <v>217</v>
      </c>
      <c r="M3" s="52" t="s">
        <v>222</v>
      </c>
      <c r="N3" s="52" t="s">
        <v>220</v>
      </c>
      <c r="O3" s="52" t="s">
        <v>337</v>
      </c>
      <c r="P3" s="52" t="s">
        <v>363</v>
      </c>
    </row>
    <row r="4" spans="1:26" ht="15" customHeight="1" x14ac:dyDescent="0.25">
      <c r="A4" s="245" t="s">
        <v>216</v>
      </c>
      <c r="B4" s="245"/>
      <c r="C4" s="245"/>
      <c r="D4" s="245"/>
      <c r="E4" s="245" t="s">
        <v>217</v>
      </c>
      <c r="F4" s="245"/>
      <c r="G4" s="245"/>
      <c r="H4" s="245"/>
      <c r="K4" s="51" t="s">
        <v>218</v>
      </c>
      <c r="L4" s="52" t="s">
        <v>158</v>
      </c>
      <c r="M4" s="52" t="s">
        <v>227</v>
      </c>
      <c r="N4" s="52" t="s">
        <v>229</v>
      </c>
      <c r="O4" s="52" t="s">
        <v>324</v>
      </c>
      <c r="P4" s="52" t="s">
        <v>364</v>
      </c>
    </row>
    <row r="5" spans="1:26" ht="15" customHeight="1" x14ac:dyDescent="0.25">
      <c r="A5" s="245" t="s">
        <v>2</v>
      </c>
      <c r="B5" s="245"/>
      <c r="C5" s="245"/>
      <c r="D5" s="245"/>
      <c r="E5" s="245" t="s">
        <v>225</v>
      </c>
      <c r="F5" s="245"/>
      <c r="G5" s="245"/>
      <c r="H5" s="245"/>
      <c r="K5" s="51"/>
      <c r="L5" s="52" t="s">
        <v>224</v>
      </c>
      <c r="M5" s="52" t="s">
        <v>228</v>
      </c>
      <c r="N5" s="52" t="s">
        <v>230</v>
      </c>
      <c r="O5" s="52" t="s">
        <v>325</v>
      </c>
      <c r="P5" s="52"/>
    </row>
    <row r="6" spans="1:26" x14ac:dyDescent="0.25">
      <c r="A6" s="245" t="s">
        <v>3</v>
      </c>
      <c r="B6" s="245"/>
      <c r="C6" s="245"/>
      <c r="D6" s="245"/>
      <c r="E6" s="295">
        <v>45875</v>
      </c>
      <c r="F6" s="245"/>
      <c r="G6" s="245"/>
      <c r="H6" s="245"/>
      <c r="K6" s="51"/>
      <c r="L6" s="52" t="s">
        <v>225</v>
      </c>
      <c r="M6" s="52" t="s">
        <v>335</v>
      </c>
      <c r="N6" s="52"/>
      <c r="O6" s="52" t="s">
        <v>326</v>
      </c>
      <c r="P6" s="52"/>
    </row>
    <row r="7" spans="1:26" ht="16.5" customHeight="1" x14ac:dyDescent="0.25">
      <c r="A7" s="245" t="s">
        <v>4</v>
      </c>
      <c r="B7" s="245"/>
      <c r="C7" s="245"/>
      <c r="D7" s="245"/>
      <c r="E7" s="245" t="s">
        <v>367</v>
      </c>
      <c r="F7" s="245"/>
      <c r="G7" s="245"/>
      <c r="H7" s="245"/>
      <c r="K7" s="51"/>
      <c r="L7" s="52" t="s">
        <v>226</v>
      </c>
      <c r="M7" s="52"/>
      <c r="N7" s="52"/>
      <c r="O7" s="52" t="s">
        <v>326</v>
      </c>
      <c r="P7" s="52"/>
    </row>
    <row r="8" spans="1:26" ht="15" customHeight="1" x14ac:dyDescent="0.25">
      <c r="A8" s="245" t="s">
        <v>5</v>
      </c>
      <c r="B8" s="245"/>
      <c r="C8" s="245"/>
      <c r="D8" s="245"/>
      <c r="E8" s="245" t="str">
        <f>E7</f>
        <v>M/s. LJ Tanna Realty LLP</v>
      </c>
      <c r="F8" s="245"/>
      <c r="G8" s="245"/>
      <c r="H8" s="245"/>
      <c r="K8" s="51"/>
      <c r="L8" s="52"/>
      <c r="M8" s="52"/>
      <c r="N8" s="52"/>
      <c r="O8" s="52" t="s">
        <v>327</v>
      </c>
      <c r="P8" s="52"/>
    </row>
    <row r="9" spans="1:26" x14ac:dyDescent="0.25">
      <c r="A9" s="245" t="s">
        <v>6</v>
      </c>
      <c r="B9" s="245"/>
      <c r="C9" s="245"/>
      <c r="D9" s="245"/>
      <c r="E9" s="142" t="s">
        <v>422</v>
      </c>
      <c r="F9" s="142"/>
      <c r="G9" s="142"/>
      <c r="H9" s="142"/>
      <c r="K9" s="51"/>
      <c r="L9" s="52"/>
      <c r="M9" s="52"/>
      <c r="N9" s="52"/>
      <c r="O9" s="52" t="s">
        <v>328</v>
      </c>
      <c r="P9" s="52"/>
    </row>
    <row r="10" spans="1:26" x14ac:dyDescent="0.25">
      <c r="A10" s="245" t="s">
        <v>155</v>
      </c>
      <c r="B10" s="245"/>
      <c r="C10" s="245"/>
      <c r="D10" s="245"/>
      <c r="E10" s="245">
        <v>9819514963</v>
      </c>
      <c r="F10" s="245"/>
      <c r="G10" s="245"/>
      <c r="H10" s="245"/>
      <c r="K10" s="51"/>
      <c r="L10" s="52"/>
      <c r="M10" s="52"/>
      <c r="N10" s="52"/>
      <c r="O10" s="52" t="s">
        <v>329</v>
      </c>
      <c r="P10" s="52"/>
    </row>
    <row r="11" spans="1:26" x14ac:dyDescent="0.25">
      <c r="A11" s="245" t="s">
        <v>156</v>
      </c>
      <c r="B11" s="245"/>
      <c r="C11" s="245"/>
      <c r="D11" s="245"/>
      <c r="E11" s="245" t="s">
        <v>404</v>
      </c>
      <c r="F11" s="245"/>
      <c r="G11" s="245"/>
      <c r="H11" s="245"/>
      <c r="O11" s="52" t="s">
        <v>330</v>
      </c>
    </row>
    <row r="12" spans="1:26" x14ac:dyDescent="0.25">
      <c r="A12" s="245" t="s">
        <v>7</v>
      </c>
      <c r="B12" s="245"/>
      <c r="C12" s="245"/>
      <c r="D12" s="245"/>
      <c r="E12" s="215" t="s">
        <v>414</v>
      </c>
      <c r="F12" s="245"/>
      <c r="G12" s="245"/>
      <c r="H12" s="245"/>
    </row>
    <row r="13" spans="1:26" x14ac:dyDescent="0.25">
      <c r="A13" s="245" t="s">
        <v>159</v>
      </c>
      <c r="B13" s="245"/>
      <c r="C13" s="245"/>
      <c r="D13" s="245"/>
      <c r="E13" s="245" t="s">
        <v>27</v>
      </c>
      <c r="F13" s="245"/>
      <c r="G13" s="245"/>
      <c r="H13" s="245"/>
      <c r="S13" s="52" t="s">
        <v>164</v>
      </c>
      <c r="T13" s="52" t="s">
        <v>173</v>
      </c>
      <c r="U13" s="52" t="s">
        <v>160</v>
      </c>
      <c r="V13" s="52" t="s">
        <v>178</v>
      </c>
      <c r="W13" s="52" t="s">
        <v>196</v>
      </c>
      <c r="X13"/>
      <c r="Y13" t="s">
        <v>178</v>
      </c>
      <c r="Z13" t="e">
        <f ca="1">OFFSET($S$13,1,MATCH($G22,$S$13:$W$13,0)-1,15,1)</f>
        <v>#VALUE!</v>
      </c>
    </row>
    <row r="14" spans="1:26" x14ac:dyDescent="0.25">
      <c r="A14" s="200" t="s">
        <v>262</v>
      </c>
      <c r="B14" s="200"/>
      <c r="C14" s="200"/>
      <c r="D14" s="200"/>
      <c r="E14" s="215" t="s">
        <v>408</v>
      </c>
      <c r="F14" s="215"/>
      <c r="G14" s="215"/>
      <c r="H14" s="215"/>
      <c r="S14" s="52" t="s">
        <v>164</v>
      </c>
      <c r="T14" s="52" t="s">
        <v>171</v>
      </c>
      <c r="U14" s="52" t="s">
        <v>193</v>
      </c>
      <c r="V14" s="52" t="s">
        <v>179</v>
      </c>
      <c r="W14" s="52" t="s">
        <v>197</v>
      </c>
      <c r="X14"/>
      <c r="Y14"/>
      <c r="Z14"/>
    </row>
    <row r="15" spans="1:26" ht="51.75" customHeight="1" x14ac:dyDescent="0.25">
      <c r="A15" s="284" t="s">
        <v>406</v>
      </c>
      <c r="B15" s="285"/>
      <c r="C15" s="285"/>
      <c r="D15" s="286"/>
      <c r="E15" s="272" t="s">
        <v>454</v>
      </c>
      <c r="F15" s="283"/>
      <c r="G15" s="272" t="s">
        <v>407</v>
      </c>
      <c r="H15" s="283"/>
      <c r="I15" s="319" t="e">
        <f ca="1">OFFSET($D$5,1,MATCH($J13,$D$5:$H$5,0)-1,15,1)</f>
        <v>#N/A</v>
      </c>
      <c r="J15" s="320"/>
      <c r="K15" s="320"/>
      <c r="L15" s="320"/>
      <c r="M15" s="320"/>
      <c r="N15" s="320"/>
      <c r="O15" s="320"/>
      <c r="P15" s="320"/>
      <c r="S15" s="52" t="s">
        <v>165</v>
      </c>
      <c r="T15" s="52" t="s">
        <v>172</v>
      </c>
      <c r="U15" s="52" t="s">
        <v>194</v>
      </c>
      <c r="V15" s="52" t="s">
        <v>180</v>
      </c>
      <c r="W15" s="52" t="s">
        <v>210</v>
      </c>
      <c r="X15"/>
      <c r="Y15"/>
      <c r="Z15"/>
    </row>
    <row r="16" spans="1:26" ht="48.75" customHeight="1" x14ac:dyDescent="0.25">
      <c r="A16" s="287"/>
      <c r="B16" s="288"/>
      <c r="C16" s="288"/>
      <c r="D16" s="289"/>
      <c r="E16" s="272" t="s">
        <v>455</v>
      </c>
      <c r="F16" s="283"/>
      <c r="G16" s="272" t="s">
        <v>451</v>
      </c>
      <c r="H16" s="283"/>
      <c r="S16" s="52" t="s">
        <v>166</v>
      </c>
      <c r="T16" s="52" t="s">
        <v>174</v>
      </c>
      <c r="U16" s="52" t="s">
        <v>195</v>
      </c>
      <c r="V16" s="52" t="s">
        <v>181</v>
      </c>
      <c r="W16" s="52" t="s">
        <v>198</v>
      </c>
      <c r="X16"/>
      <c r="Y16"/>
      <c r="Z16"/>
    </row>
    <row r="17" spans="1:26" ht="53.25" customHeight="1" x14ac:dyDescent="0.25">
      <c r="A17" s="290"/>
      <c r="B17" s="291"/>
      <c r="C17" s="291"/>
      <c r="D17" s="292"/>
      <c r="E17" s="272" t="s">
        <v>456</v>
      </c>
      <c r="F17" s="283"/>
      <c r="G17" s="272" t="s">
        <v>452</v>
      </c>
      <c r="H17" s="283"/>
      <c r="S17" s="52" t="s">
        <v>167</v>
      </c>
      <c r="T17" s="52" t="s">
        <v>175</v>
      </c>
      <c r="U17" s="52" t="s">
        <v>160</v>
      </c>
      <c r="V17" s="52" t="s">
        <v>182</v>
      </c>
      <c r="W17" s="52" t="s">
        <v>199</v>
      </c>
      <c r="X17"/>
      <c r="Y17"/>
      <c r="Z17"/>
    </row>
    <row r="18" spans="1:26" ht="51.75" customHeight="1" x14ac:dyDescent="0.25">
      <c r="A18" s="231" t="s">
        <v>8</v>
      </c>
      <c r="B18" s="231"/>
      <c r="C18" s="231" t="str">
        <f>CONCATENATE((IF(OR(E9="",E9="NA"),"",E9)),", ",(IF(OR(A19="",A19="NA"),"",A19)),".",(IF(OR(C19="",C19="NA"),"",C19)),", near ",(IF(OR(C24="",C24="NA"),"",C24)),", ",(IF(OR(C21="",C21="NA"),"",C21)),", ",(IF(OR(C20="",C20="NA"),"",C20)),", ",(IF(OR(G21="",G21="NA"),"",G21)),", ",(IF(OR(C22="",C22="NA"),"",C22)),", ",(IF(OR(C23="",C23="NA"),"",C23)),", ",(IF(OR(G22="",G22="NA"),"",G22))," - ",(IF(OR(G23="",G23="NA"),"",G23)),".")</f>
        <v>LJ Tanna Panorama A, B &amp; C Wing, Survey No.Old 150/3/2 &amp; New 4/3C/2, near Shivajirao S. Jondhale College Of Engineering, Internal Road, Sonarpada, Sonarpada, Dombivli East, Kalyan, Thane - 421203.</v>
      </c>
      <c r="D18" s="231"/>
      <c r="E18" s="231"/>
      <c r="F18" s="231"/>
      <c r="G18" s="231"/>
      <c r="H18" s="231"/>
      <c r="S18" s="52" t="s">
        <v>168</v>
      </c>
      <c r="T18" s="52" t="s">
        <v>173</v>
      </c>
      <c r="U18" s="52"/>
      <c r="V18" s="52" t="s">
        <v>183</v>
      </c>
      <c r="W18" s="52" t="s">
        <v>200</v>
      </c>
      <c r="X18"/>
      <c r="Y18"/>
      <c r="Z18"/>
    </row>
    <row r="19" spans="1:26" ht="15.75" customHeight="1" x14ac:dyDescent="0.25">
      <c r="A19" s="215" t="s">
        <v>411</v>
      </c>
      <c r="B19" s="215"/>
      <c r="C19" s="215" t="s">
        <v>368</v>
      </c>
      <c r="D19" s="215"/>
      <c r="E19" s="215"/>
      <c r="F19" s="215"/>
      <c r="G19" s="215"/>
      <c r="H19" s="215"/>
      <c r="S19" s="52" t="s">
        <v>169</v>
      </c>
      <c r="T19" s="52" t="s">
        <v>176</v>
      </c>
      <c r="U19" s="52"/>
      <c r="V19" s="52" t="s">
        <v>184</v>
      </c>
      <c r="W19" s="52" t="s">
        <v>201</v>
      </c>
      <c r="X19"/>
      <c r="Y19"/>
      <c r="Z19"/>
    </row>
    <row r="20" spans="1:26" x14ac:dyDescent="0.25">
      <c r="A20" s="215" t="s">
        <v>152</v>
      </c>
      <c r="B20" s="215"/>
      <c r="C20" s="215" t="s">
        <v>369</v>
      </c>
      <c r="D20" s="215"/>
      <c r="E20" s="215"/>
      <c r="F20" s="215"/>
      <c r="G20" s="215"/>
      <c r="H20" s="215"/>
      <c r="S20" s="52" t="s">
        <v>170</v>
      </c>
      <c r="T20" s="52" t="s">
        <v>177</v>
      </c>
      <c r="U20" s="52"/>
      <c r="V20" s="52" t="s">
        <v>185</v>
      </c>
      <c r="W20" s="52" t="s">
        <v>202</v>
      </c>
      <c r="X20"/>
      <c r="Y20"/>
      <c r="Z20"/>
    </row>
    <row r="21" spans="1:26" x14ac:dyDescent="0.25">
      <c r="A21" s="231" t="s">
        <v>9</v>
      </c>
      <c r="B21" s="231"/>
      <c r="C21" s="245" t="s">
        <v>371</v>
      </c>
      <c r="D21" s="245"/>
      <c r="E21" s="231" t="s">
        <v>67</v>
      </c>
      <c r="F21" s="231"/>
      <c r="G21" s="215" t="s">
        <v>369</v>
      </c>
      <c r="H21" s="215"/>
      <c r="S21" s="52"/>
      <c r="T21" s="52"/>
      <c r="U21" s="52"/>
      <c r="V21" s="52" t="s">
        <v>186</v>
      </c>
      <c r="W21" s="52" t="s">
        <v>203</v>
      </c>
      <c r="X21"/>
      <c r="Y21"/>
      <c r="Z21"/>
    </row>
    <row r="22" spans="1:26" x14ac:dyDescent="0.25">
      <c r="A22" s="200" t="s">
        <v>11</v>
      </c>
      <c r="B22" s="200"/>
      <c r="C22" s="215" t="s">
        <v>402</v>
      </c>
      <c r="D22" s="215"/>
      <c r="E22" s="231" t="s">
        <v>10</v>
      </c>
      <c r="F22" s="231"/>
      <c r="G22" s="282" t="s">
        <v>164</v>
      </c>
      <c r="H22" s="282"/>
      <c r="S22" s="52"/>
      <c r="T22" s="52"/>
      <c r="U22" s="52"/>
      <c r="V22" s="52" t="s">
        <v>187</v>
      </c>
      <c r="W22" s="52" t="s">
        <v>204</v>
      </c>
      <c r="X22"/>
      <c r="Y22"/>
      <c r="Z22"/>
    </row>
    <row r="23" spans="1:26" ht="15" customHeight="1" x14ac:dyDescent="0.25">
      <c r="A23" s="200" t="s">
        <v>68</v>
      </c>
      <c r="B23" s="200"/>
      <c r="C23" s="215" t="s">
        <v>166</v>
      </c>
      <c r="D23" s="215"/>
      <c r="E23" s="231" t="s">
        <v>12</v>
      </c>
      <c r="F23" s="231"/>
      <c r="G23" s="215">
        <v>421203</v>
      </c>
      <c r="H23" s="215"/>
      <c r="S23" s="52"/>
      <c r="T23" s="52"/>
      <c r="U23" s="52"/>
      <c r="V23" s="52" t="s">
        <v>188</v>
      </c>
      <c r="W23" s="52" t="s">
        <v>205</v>
      </c>
      <c r="X23"/>
      <c r="Y23"/>
      <c r="Z23"/>
    </row>
    <row r="24" spans="1:26" ht="52.5" customHeight="1" x14ac:dyDescent="0.25">
      <c r="A24" s="200" t="s">
        <v>113</v>
      </c>
      <c r="B24" s="200"/>
      <c r="C24" s="215" t="s">
        <v>370</v>
      </c>
      <c r="D24" s="215"/>
      <c r="E24" s="231" t="s">
        <v>13</v>
      </c>
      <c r="F24" s="231"/>
      <c r="G24" s="215" t="s">
        <v>458</v>
      </c>
      <c r="H24" s="215"/>
      <c r="S24" s="52"/>
      <c r="T24" s="52"/>
      <c r="U24" s="52"/>
      <c r="V24" s="52" t="s">
        <v>189</v>
      </c>
      <c r="W24" s="52" t="s">
        <v>206</v>
      </c>
      <c r="X24"/>
      <c r="Y24"/>
      <c r="Z24"/>
    </row>
    <row r="25" spans="1:26" ht="15" customHeight="1" x14ac:dyDescent="0.25">
      <c r="A25" s="231" t="s">
        <v>69</v>
      </c>
      <c r="B25" s="231"/>
      <c r="C25" s="231"/>
      <c r="D25" s="231"/>
      <c r="E25" s="245" t="s">
        <v>14</v>
      </c>
      <c r="F25" s="245"/>
      <c r="G25" s="245"/>
      <c r="H25" s="245"/>
      <c r="S25" s="52"/>
      <c r="T25" s="52"/>
      <c r="U25" s="52"/>
      <c r="V25" s="52" t="s">
        <v>190</v>
      </c>
      <c r="W25" s="52" t="s">
        <v>207</v>
      </c>
      <c r="X25"/>
      <c r="Y25"/>
      <c r="Z25"/>
    </row>
    <row r="26" spans="1:26" ht="15" customHeight="1" x14ac:dyDescent="0.25">
      <c r="A26" s="231"/>
      <c r="B26" s="231"/>
      <c r="C26" s="231"/>
      <c r="D26" s="231"/>
      <c r="E26" s="245"/>
      <c r="F26" s="245"/>
      <c r="G26" s="245"/>
      <c r="H26" s="245"/>
      <c r="S26" s="52"/>
      <c r="T26" s="52"/>
      <c r="U26" s="52"/>
      <c r="V26" s="52" t="s">
        <v>191</v>
      </c>
      <c r="W26" s="52" t="s">
        <v>208</v>
      </c>
      <c r="X26"/>
      <c r="Y26"/>
      <c r="Z26"/>
    </row>
    <row r="27" spans="1:26" x14ac:dyDescent="0.25">
      <c r="A27" s="231" t="s">
        <v>15</v>
      </c>
      <c r="B27" s="231"/>
      <c r="C27" s="231"/>
      <c r="D27" s="231"/>
      <c r="E27" s="215" t="s">
        <v>16</v>
      </c>
      <c r="F27" s="215"/>
      <c r="G27" s="215"/>
      <c r="H27" s="215"/>
      <c r="S27" s="52"/>
      <c r="T27" s="52"/>
      <c r="U27" s="52"/>
      <c r="V27" s="52" t="s">
        <v>192</v>
      </c>
      <c r="W27" s="52" t="s">
        <v>209</v>
      </c>
      <c r="X27"/>
      <c r="Y27"/>
      <c r="Z27"/>
    </row>
    <row r="28" spans="1:26" ht="15.75" customHeight="1" x14ac:dyDescent="0.25">
      <c r="A28" s="200" t="s">
        <v>17</v>
      </c>
      <c r="B28" s="200"/>
      <c r="C28" s="200"/>
      <c r="D28" s="200"/>
      <c r="E28" s="215" t="str">
        <f>IF(AND(G22="Mumbai"),"Upper Class","Middle Class")</f>
        <v>Middle Class</v>
      </c>
      <c r="F28" s="215"/>
      <c r="G28" s="215"/>
      <c r="H28" s="215"/>
    </row>
    <row r="29" spans="1:26" x14ac:dyDescent="0.25">
      <c r="A29" s="200" t="s">
        <v>18</v>
      </c>
      <c r="B29" s="200"/>
      <c r="C29" s="200"/>
      <c r="D29" s="200"/>
      <c r="E29" s="215" t="s">
        <v>19</v>
      </c>
      <c r="F29" s="215"/>
      <c r="G29" s="215"/>
      <c r="H29" s="215"/>
    </row>
    <row r="30" spans="1:26" ht="15.75" customHeight="1" x14ac:dyDescent="0.25">
      <c r="A30" s="200" t="s">
        <v>20</v>
      </c>
      <c r="B30" s="200"/>
      <c r="C30" s="200"/>
      <c r="D30" s="200"/>
      <c r="E30" s="215" t="str">
        <f>IF(AND(G22="Mumbai"),"Developed","Developing")</f>
        <v>Developing</v>
      </c>
      <c r="F30" s="215"/>
      <c r="G30" s="215"/>
      <c r="H30" s="215"/>
    </row>
    <row r="31" spans="1:26" ht="15" customHeight="1" x14ac:dyDescent="0.25">
      <c r="A31" s="200" t="s">
        <v>21</v>
      </c>
      <c r="B31" s="200"/>
      <c r="C31" s="200"/>
      <c r="D31" s="200"/>
      <c r="E31" s="215" t="s">
        <v>22</v>
      </c>
      <c r="F31" s="215"/>
      <c r="G31" s="215"/>
      <c r="H31" s="215"/>
    </row>
    <row r="32" spans="1:26" ht="15.75" customHeight="1" x14ac:dyDescent="0.25">
      <c r="A32" s="200" t="s">
        <v>74</v>
      </c>
      <c r="B32" s="200"/>
      <c r="C32" s="200"/>
      <c r="D32" s="200"/>
      <c r="E32" s="215" t="s">
        <v>75</v>
      </c>
      <c r="F32" s="215"/>
      <c r="G32" s="215"/>
      <c r="H32" s="215"/>
    </row>
    <row r="33" spans="1:19" s="21" customFormat="1" x14ac:dyDescent="0.25">
      <c r="A33" s="200" t="s">
        <v>29</v>
      </c>
      <c r="B33" s="200"/>
      <c r="C33" s="200"/>
      <c r="D33" s="200"/>
      <c r="E33" s="215" t="str">
        <f>IF(AND(ISNUMBER(SEARCH("Flat",D74)),ISNUMBER(SEARCH("Shop",D74)),ISNUMBER(SEARCH("Office",D74))),"Residential + Commercial",IF(AND(ISNUMBER(SEARCH("Flat",D74)),ISNUMBER(SEARCH("Shop",D74))),"Residential + Commercial",IF(AND(ISNUMBER(SEARCH("Flat",D74)),ISNUMBER(SEARCH("Office",D74))),"Residential + Commercial",IF(AND(ISNUMBER(SEARCH("Shop",D74)),ISNUMBER(SEARCH("Office",D74))),"Commercial",IF(ISNUMBER(SEARCH("Shop",D74)),"Commercial",IF(ISNUMBER(SEARCH("Office",D74)),"Commercial",IF(ISNUMBER(SEARCH("Flat",D74)),"Residential")))))))</f>
        <v>Residential</v>
      </c>
      <c r="F33" s="215"/>
      <c r="G33" s="215"/>
      <c r="H33" s="215"/>
      <c r="S33" s="21" t="e">
        <f ca="1">OFFSET($S$13,1,MATCH($G22,$S$13:$W$13,0)-1,15,1)</f>
        <v>#VALUE!</v>
      </c>
    </row>
    <row r="34" spans="1:19" s="21" customFormat="1" x14ac:dyDescent="0.25">
      <c r="A34" s="200" t="s">
        <v>86</v>
      </c>
      <c r="B34" s="200"/>
      <c r="C34" s="200"/>
      <c r="D34" s="200"/>
      <c r="E34" s="215" t="s">
        <v>30</v>
      </c>
      <c r="F34" s="215"/>
      <c r="G34" s="215"/>
      <c r="H34" s="215"/>
    </row>
    <row r="35" spans="1:19" x14ac:dyDescent="0.25">
      <c r="A35" s="281" t="s">
        <v>87</v>
      </c>
      <c r="B35" s="281"/>
      <c r="C35" s="278" t="s">
        <v>161</v>
      </c>
      <c r="D35" s="279"/>
      <c r="E35" s="280"/>
      <c r="F35" s="278" t="s">
        <v>28</v>
      </c>
      <c r="G35" s="279"/>
      <c r="H35" s="280"/>
    </row>
    <row r="36" spans="1:19" s="21" customFormat="1" x14ac:dyDescent="0.25">
      <c r="A36" s="277" t="s">
        <v>23</v>
      </c>
      <c r="B36" s="277" t="s">
        <v>27</v>
      </c>
      <c r="C36" s="233" t="s">
        <v>396</v>
      </c>
      <c r="D36" s="234"/>
      <c r="E36" s="235"/>
      <c r="F36" s="272" t="s">
        <v>372</v>
      </c>
      <c r="G36" s="234"/>
      <c r="H36" s="235"/>
    </row>
    <row r="37" spans="1:19" x14ac:dyDescent="0.25">
      <c r="A37" s="277" t="s">
        <v>24</v>
      </c>
      <c r="B37" s="277" t="s">
        <v>27</v>
      </c>
      <c r="C37" s="233" t="s">
        <v>395</v>
      </c>
      <c r="D37" s="234"/>
      <c r="E37" s="235"/>
      <c r="F37" s="272" t="s">
        <v>371</v>
      </c>
      <c r="G37" s="234"/>
      <c r="H37" s="235"/>
    </row>
    <row r="38" spans="1:19" x14ac:dyDescent="0.25">
      <c r="A38" s="277" t="s">
        <v>26</v>
      </c>
      <c r="B38" s="277" t="s">
        <v>27</v>
      </c>
      <c r="C38" s="233" t="s">
        <v>396</v>
      </c>
      <c r="D38" s="234"/>
      <c r="E38" s="235"/>
      <c r="F38" s="233" t="s">
        <v>373</v>
      </c>
      <c r="G38" s="234"/>
      <c r="H38" s="235"/>
    </row>
    <row r="39" spans="1:19" ht="15.75" customHeight="1" x14ac:dyDescent="0.25">
      <c r="A39" s="277" t="s">
        <v>25</v>
      </c>
      <c r="B39" s="277" t="s">
        <v>27</v>
      </c>
      <c r="C39" s="233" t="s">
        <v>396</v>
      </c>
      <c r="D39" s="234"/>
      <c r="E39" s="235"/>
      <c r="F39" s="233" t="s">
        <v>374</v>
      </c>
      <c r="G39" s="234"/>
      <c r="H39" s="235"/>
    </row>
    <row r="40" spans="1:19" x14ac:dyDescent="0.25">
      <c r="A40" s="200" t="s">
        <v>263</v>
      </c>
      <c r="B40" s="200"/>
      <c r="C40" s="200"/>
      <c r="D40" s="200"/>
      <c r="E40" s="200"/>
      <c r="F40" s="200"/>
      <c r="G40" s="200"/>
      <c r="H40" s="200"/>
    </row>
    <row r="41" spans="1:19" x14ac:dyDescent="0.25">
      <c r="A41" s="200" t="s">
        <v>154</v>
      </c>
      <c r="B41" s="200"/>
      <c r="C41" s="236" t="s">
        <v>410</v>
      </c>
      <c r="D41" s="236"/>
      <c r="E41" s="236"/>
      <c r="F41" s="236"/>
      <c r="G41" s="236"/>
      <c r="H41" s="236"/>
    </row>
    <row r="42" spans="1:19" x14ac:dyDescent="0.25">
      <c r="A42" s="200" t="s">
        <v>151</v>
      </c>
      <c r="B42" s="200"/>
      <c r="C42" s="214" t="s">
        <v>409</v>
      </c>
      <c r="D42" s="215"/>
      <c r="E42" s="215"/>
      <c r="F42" s="215"/>
      <c r="G42" s="215"/>
      <c r="H42" s="215"/>
      <c r="I42" s="20">
        <f>5353.16</f>
        <v>5353.16</v>
      </c>
    </row>
    <row r="43" spans="1:19" x14ac:dyDescent="0.25">
      <c r="A43" s="236" t="s">
        <v>31</v>
      </c>
      <c r="B43" s="236"/>
      <c r="C43" s="236"/>
      <c r="D43" s="236"/>
      <c r="E43" s="236"/>
      <c r="F43" s="236"/>
      <c r="G43" s="236"/>
      <c r="H43" s="236"/>
    </row>
    <row r="44" spans="1:19" x14ac:dyDescent="0.25">
      <c r="A44" s="200" t="s">
        <v>32</v>
      </c>
      <c r="B44" s="200"/>
      <c r="C44" s="200"/>
      <c r="D44" s="200"/>
      <c r="E44" s="250">
        <f>5353.16</f>
        <v>5353.16</v>
      </c>
      <c r="F44" s="250"/>
      <c r="G44" s="250"/>
      <c r="H44" s="250"/>
    </row>
    <row r="45" spans="1:19" x14ac:dyDescent="0.25">
      <c r="A45" s="200" t="s">
        <v>33</v>
      </c>
      <c r="B45" s="200"/>
      <c r="C45" s="200"/>
      <c r="D45" s="200"/>
      <c r="E45" s="252">
        <f>5888.47/E44</f>
        <v>1.0999988791666979</v>
      </c>
      <c r="F45" s="252"/>
      <c r="G45" s="252"/>
      <c r="H45" s="252"/>
    </row>
    <row r="46" spans="1:19" x14ac:dyDescent="0.25">
      <c r="A46" s="200" t="s">
        <v>34</v>
      </c>
      <c r="B46" s="200"/>
      <c r="C46" s="200"/>
      <c r="D46" s="200"/>
      <c r="E46" s="252">
        <f>E48/E44-E45</f>
        <v>0.9120818357755045</v>
      </c>
      <c r="F46" s="252"/>
      <c r="G46" s="252"/>
      <c r="H46" s="252"/>
    </row>
    <row r="47" spans="1:19" x14ac:dyDescent="0.25">
      <c r="A47" s="200" t="s">
        <v>35</v>
      </c>
      <c r="B47" s="200"/>
      <c r="C47" s="200"/>
      <c r="D47" s="200"/>
      <c r="E47" s="252">
        <f>E45+E46</f>
        <v>2.0120807149422024</v>
      </c>
      <c r="F47" s="252"/>
      <c r="G47" s="252"/>
      <c r="H47" s="252"/>
    </row>
    <row r="48" spans="1:19" x14ac:dyDescent="0.25">
      <c r="A48" s="200" t="s">
        <v>85</v>
      </c>
      <c r="B48" s="200"/>
      <c r="C48" s="200"/>
      <c r="D48" s="200"/>
      <c r="E48" s="253">
        <f>10770.99</f>
        <v>10770.99</v>
      </c>
      <c r="F48" s="253"/>
      <c r="G48" s="253"/>
      <c r="H48" s="253"/>
    </row>
    <row r="49" spans="1:24" x14ac:dyDescent="0.25">
      <c r="A49" s="245" t="s">
        <v>36</v>
      </c>
      <c r="B49" s="245"/>
      <c r="C49" s="245"/>
      <c r="D49" s="245"/>
      <c r="E49" s="245" t="s">
        <v>394</v>
      </c>
      <c r="F49" s="245"/>
      <c r="G49" s="245"/>
      <c r="H49" s="245"/>
      <c r="R49" t="s">
        <v>236</v>
      </c>
      <c r="S49" s="54" t="s">
        <v>160</v>
      </c>
      <c r="T49" s="54" t="s">
        <v>164</v>
      </c>
      <c r="U49" s="54" t="s">
        <v>178</v>
      </c>
      <c r="V49" s="54" t="s">
        <v>173</v>
      </c>
    </row>
    <row r="50" spans="1:24" x14ac:dyDescent="0.25">
      <c r="A50" s="236" t="s">
        <v>37</v>
      </c>
      <c r="B50" s="236"/>
      <c r="C50" s="236"/>
      <c r="D50" s="236"/>
      <c r="E50" s="236"/>
      <c r="F50" s="236"/>
      <c r="G50" s="236"/>
      <c r="H50" s="236"/>
      <c r="R50"/>
      <c r="S50" s="54" t="s">
        <v>237</v>
      </c>
      <c r="T50" s="54" t="s">
        <v>242</v>
      </c>
      <c r="U50" s="54" t="s">
        <v>253</v>
      </c>
      <c r="V50" s="54" t="s">
        <v>258</v>
      </c>
    </row>
    <row r="51" spans="1:24" ht="31.5" customHeight="1" x14ac:dyDescent="0.25">
      <c r="A51" s="228" t="s">
        <v>142</v>
      </c>
      <c r="B51" s="230"/>
      <c r="C51" s="259" t="s">
        <v>244</v>
      </c>
      <c r="D51" s="260"/>
      <c r="E51" s="260"/>
      <c r="F51" s="260"/>
      <c r="G51" s="260"/>
      <c r="H51" s="196"/>
      <c r="R51"/>
      <c r="S51" s="54" t="s">
        <v>238</v>
      </c>
      <c r="T51" s="54" t="s">
        <v>338</v>
      </c>
      <c r="U51" s="54" t="s">
        <v>251</v>
      </c>
      <c r="V51" s="54" t="s">
        <v>259</v>
      </c>
    </row>
    <row r="52" spans="1:24" x14ac:dyDescent="0.25">
      <c r="A52" s="131" t="s">
        <v>415</v>
      </c>
      <c r="B52" s="132"/>
      <c r="C52" s="132"/>
      <c r="D52" s="132"/>
      <c r="E52" s="132"/>
      <c r="F52" s="132"/>
      <c r="G52" s="132"/>
      <c r="H52" s="133"/>
      <c r="R52"/>
      <c r="S52" s="54"/>
      <c r="T52" s="54"/>
      <c r="U52" s="54"/>
      <c r="V52" s="54"/>
    </row>
    <row r="53" spans="1:24" s="22" customFormat="1" x14ac:dyDescent="0.25">
      <c r="A53" s="228" t="s">
        <v>417</v>
      </c>
      <c r="B53" s="230"/>
      <c r="C53" s="228" t="s">
        <v>377</v>
      </c>
      <c r="D53" s="229"/>
      <c r="E53" s="230"/>
      <c r="F53" s="17" t="s">
        <v>39</v>
      </c>
      <c r="G53" s="223">
        <v>45537</v>
      </c>
      <c r="H53" s="224"/>
      <c r="I53" s="21" t="str">
        <f ca="1">IF(G61&gt;EDATE(E3,-48),"NO REMARK","CC REMARK FOR CC")</f>
        <v>CC REMARK FOR CC</v>
      </c>
      <c r="J53" s="73"/>
      <c r="R53"/>
      <c r="S53" s="54" t="s">
        <v>239</v>
      </c>
      <c r="T53" s="54" t="s">
        <v>244</v>
      </c>
      <c r="U53" s="54" t="s">
        <v>241</v>
      </c>
      <c r="V53" s="54" t="s">
        <v>260</v>
      </c>
    </row>
    <row r="54" spans="1:24" s="22" customFormat="1" x14ac:dyDescent="0.25">
      <c r="A54" s="228" t="s">
        <v>418</v>
      </c>
      <c r="B54" s="230"/>
      <c r="C54" s="228" t="str">
        <f>C53</f>
        <v>KDMCC/RB/2024/APL/00065</v>
      </c>
      <c r="D54" s="229"/>
      <c r="E54" s="230"/>
      <c r="F54" s="17" t="s">
        <v>39</v>
      </c>
      <c r="G54" s="223">
        <f>G53</f>
        <v>45537</v>
      </c>
      <c r="H54" s="224"/>
      <c r="R54"/>
      <c r="S54" s="54"/>
      <c r="T54" s="54"/>
      <c r="U54" s="54"/>
      <c r="V54" s="69"/>
    </row>
    <row r="55" spans="1:24" x14ac:dyDescent="0.25">
      <c r="A55" s="240" t="s">
        <v>376</v>
      </c>
      <c r="B55" s="241"/>
      <c r="C55" s="240" t="str">
        <f>C54</f>
        <v>KDMCC/RB/2024/APL/00065</v>
      </c>
      <c r="D55" s="244"/>
      <c r="E55" s="241"/>
      <c r="F55" s="17" t="s">
        <v>39</v>
      </c>
      <c r="G55" s="223">
        <v>45537</v>
      </c>
      <c r="H55" s="224"/>
      <c r="R55"/>
      <c r="S55" s="70"/>
      <c r="T55" s="54" t="s">
        <v>252</v>
      </c>
      <c r="U55" s="70"/>
      <c r="V55" s="70"/>
    </row>
    <row r="56" spans="1:24" ht="35.25" customHeight="1" x14ac:dyDescent="0.25">
      <c r="A56" s="242"/>
      <c r="B56" s="243"/>
      <c r="C56" s="228" t="s">
        <v>419</v>
      </c>
      <c r="D56" s="229"/>
      <c r="E56" s="229"/>
      <c r="F56" s="229"/>
      <c r="G56" s="229"/>
      <c r="H56" s="230"/>
      <c r="R56"/>
      <c r="S56" s="70"/>
      <c r="T56" s="54" t="s">
        <v>252</v>
      </c>
      <c r="U56" s="70"/>
      <c r="V56" s="70"/>
    </row>
    <row r="57" spans="1:24" ht="48" customHeight="1" x14ac:dyDescent="0.25">
      <c r="A57" s="185" t="s">
        <v>412</v>
      </c>
      <c r="B57" s="187"/>
      <c r="C57" s="185" t="s">
        <v>420</v>
      </c>
      <c r="D57" s="186"/>
      <c r="E57" s="187"/>
      <c r="F57" s="96" t="s">
        <v>39</v>
      </c>
      <c r="G57" s="188">
        <v>45680</v>
      </c>
      <c r="H57" s="189"/>
      <c r="R57"/>
      <c r="S57" s="54" t="s">
        <v>237</v>
      </c>
      <c r="T57" s="54" t="s">
        <v>242</v>
      </c>
      <c r="U57" s="54" t="s">
        <v>253</v>
      </c>
      <c r="V57" s="54" t="s">
        <v>258</v>
      </c>
    </row>
    <row r="58" spans="1:24" x14ac:dyDescent="0.25">
      <c r="A58" s="134" t="s">
        <v>416</v>
      </c>
      <c r="B58" s="135"/>
      <c r="C58" s="135"/>
      <c r="D58" s="135"/>
      <c r="E58" s="135"/>
      <c r="F58" s="135"/>
      <c r="G58" s="135"/>
      <c r="H58" s="136"/>
      <c r="R58"/>
      <c r="S58" s="54" t="s">
        <v>238</v>
      </c>
      <c r="T58" s="54" t="s">
        <v>338</v>
      </c>
      <c r="U58" s="54" t="s">
        <v>251</v>
      </c>
      <c r="V58" s="54" t="s">
        <v>259</v>
      </c>
    </row>
    <row r="59" spans="1:24" s="22" customFormat="1" ht="38.25" customHeight="1" x14ac:dyDescent="0.25">
      <c r="A59" s="228" t="s">
        <v>38</v>
      </c>
      <c r="B59" s="230"/>
      <c r="C59" s="228" t="s">
        <v>375</v>
      </c>
      <c r="D59" s="229"/>
      <c r="E59" s="230"/>
      <c r="F59" s="17" t="s">
        <v>39</v>
      </c>
      <c r="G59" s="223">
        <v>43783</v>
      </c>
      <c r="H59" s="224"/>
      <c r="I59" s="21" t="e">
        <f>IF(G55&gt;EDATE(E8,-48),"NO REMARK","CC REMARK FOR CC")</f>
        <v>#VALUE!</v>
      </c>
      <c r="J59" s="73"/>
      <c r="R59"/>
      <c r="S59" s="54" t="s">
        <v>239</v>
      </c>
      <c r="T59" s="54" t="s">
        <v>244</v>
      </c>
      <c r="U59" s="54" t="s">
        <v>241</v>
      </c>
      <c r="V59" s="54" t="s">
        <v>260</v>
      </c>
    </row>
    <row r="60" spans="1:24" s="22" customFormat="1" ht="37.5" customHeight="1" x14ac:dyDescent="0.25">
      <c r="A60" s="228" t="s">
        <v>40</v>
      </c>
      <c r="B60" s="230"/>
      <c r="C60" s="228" t="str">
        <f>C59</f>
        <v>G.NO/KDMP/NRV/BP/27GV/2017-18/25/103</v>
      </c>
      <c r="D60" s="229"/>
      <c r="E60" s="230"/>
      <c r="F60" s="17" t="s">
        <v>39</v>
      </c>
      <c r="G60" s="223">
        <f>G59</f>
        <v>43783</v>
      </c>
      <c r="H60" s="224"/>
      <c r="R60"/>
      <c r="S60" s="54"/>
      <c r="T60" s="54"/>
      <c r="U60" s="54"/>
      <c r="V60" s="69"/>
    </row>
    <row r="61" spans="1:24" s="22" customFormat="1" x14ac:dyDescent="0.25">
      <c r="A61" s="240" t="s">
        <v>376</v>
      </c>
      <c r="B61" s="241"/>
      <c r="C61" s="240" t="str">
        <f>C60</f>
        <v>G.NO/KDMP/NRV/BP/27GV/2017-18/25/103</v>
      </c>
      <c r="D61" s="244"/>
      <c r="E61" s="241"/>
      <c r="F61" s="17" t="s">
        <v>39</v>
      </c>
      <c r="G61" s="223">
        <v>43783</v>
      </c>
      <c r="H61" s="224"/>
      <c r="K61" s="74">
        <f>EDATE(G61,-48)</f>
        <v>42322</v>
      </c>
      <c r="L61" s="22" t="str">
        <f ca="1">IF(G61&gt;EDATE(E3,-48),"NO REMARK","CC REMARK FOR CC")</f>
        <v>CC REMARK FOR CC</v>
      </c>
      <c r="R61"/>
      <c r="S61" s="54" t="s">
        <v>239</v>
      </c>
      <c r="T61" s="54" t="s">
        <v>244</v>
      </c>
      <c r="U61" s="54" t="s">
        <v>241</v>
      </c>
      <c r="V61" s="54" t="s">
        <v>260</v>
      </c>
    </row>
    <row r="62" spans="1:24" s="22" customFormat="1" x14ac:dyDescent="0.25">
      <c r="A62" s="242"/>
      <c r="B62" s="243"/>
      <c r="C62" s="228" t="s">
        <v>421</v>
      </c>
      <c r="D62" s="229"/>
      <c r="E62" s="229"/>
      <c r="F62" s="229"/>
      <c r="G62" s="229"/>
      <c r="H62" s="230"/>
      <c r="R62"/>
      <c r="S62" s="54" t="s">
        <v>241</v>
      </c>
      <c r="T62" s="54" t="s">
        <v>245</v>
      </c>
      <c r="U62" s="54" t="s">
        <v>255</v>
      </c>
      <c r="V62" s="70"/>
      <c r="W62" s="20"/>
      <c r="X62" s="20"/>
    </row>
    <row r="63" spans="1:24" s="22" customFormat="1" ht="39" customHeight="1" x14ac:dyDescent="0.25">
      <c r="A63" s="185" t="s">
        <v>412</v>
      </c>
      <c r="B63" s="187"/>
      <c r="C63" s="185" t="s">
        <v>413</v>
      </c>
      <c r="D63" s="186"/>
      <c r="E63" s="187"/>
      <c r="F63" s="92" t="s">
        <v>39</v>
      </c>
      <c r="G63" s="188">
        <v>44103</v>
      </c>
      <c r="H63" s="189"/>
      <c r="R63"/>
      <c r="S63" s="70"/>
      <c r="T63" s="54" t="s">
        <v>246</v>
      </c>
      <c r="U63" s="54" t="s">
        <v>256</v>
      </c>
      <c r="V63" s="70"/>
      <c r="W63" s="20"/>
      <c r="X63" s="20"/>
    </row>
    <row r="64" spans="1:24" s="22" customFormat="1" ht="41.25" hidden="1" customHeight="1" x14ac:dyDescent="0.25">
      <c r="A64" s="246" t="s">
        <v>264</v>
      </c>
      <c r="B64" s="247"/>
      <c r="C64" s="228"/>
      <c r="D64" s="229"/>
      <c r="E64" s="230"/>
      <c r="F64" s="17" t="s">
        <v>39</v>
      </c>
      <c r="G64" s="223"/>
      <c r="H64" s="224"/>
      <c r="R64"/>
      <c r="S64" s="70"/>
      <c r="T64" s="54" t="s">
        <v>248</v>
      </c>
      <c r="U64" s="54" t="s">
        <v>257</v>
      </c>
      <c r="V64" s="70"/>
      <c r="W64" s="20"/>
      <c r="X64" s="20"/>
    </row>
    <row r="65" spans="1:24" s="22" customFormat="1" ht="15.75" hidden="1" customHeight="1" x14ac:dyDescent="0.25">
      <c r="A65" s="248"/>
      <c r="B65" s="249"/>
      <c r="C65" s="237"/>
      <c r="D65" s="238"/>
      <c r="E65" s="238"/>
      <c r="F65" s="238"/>
      <c r="G65" s="238"/>
      <c r="H65" s="239"/>
      <c r="R65"/>
      <c r="S65" s="70"/>
      <c r="T65" s="54" t="s">
        <v>249</v>
      </c>
      <c r="U65" s="70" t="s">
        <v>279</v>
      </c>
      <c r="V65" s="70"/>
      <c r="W65" s="20"/>
      <c r="X65" s="20"/>
    </row>
    <row r="66" spans="1:24" s="22" customFormat="1" ht="33.75" hidden="1" customHeight="1" x14ac:dyDescent="0.25">
      <c r="A66" s="246" t="s">
        <v>265</v>
      </c>
      <c r="B66" s="247"/>
      <c r="C66" s="228"/>
      <c r="D66" s="229"/>
      <c r="E66" s="230"/>
      <c r="F66" s="17" t="s">
        <v>39</v>
      </c>
      <c r="G66" s="223"/>
      <c r="H66" s="224"/>
      <c r="R66"/>
      <c r="S66" s="70"/>
      <c r="T66" s="54" t="s">
        <v>250</v>
      </c>
      <c r="U66" s="70"/>
      <c r="V66" s="70"/>
      <c r="W66" s="20"/>
      <c r="X66" s="20"/>
    </row>
    <row r="67" spans="1:24" s="22" customFormat="1" ht="33.75" hidden="1" customHeight="1" x14ac:dyDescent="0.25">
      <c r="A67" s="248"/>
      <c r="B67" s="249"/>
      <c r="C67" s="228"/>
      <c r="D67" s="229"/>
      <c r="E67" s="229"/>
      <c r="F67" s="229"/>
      <c r="G67" s="229"/>
      <c r="H67" s="230"/>
      <c r="R67"/>
      <c r="S67" s="70"/>
      <c r="T67" s="54"/>
      <c r="U67" s="70"/>
      <c r="V67" s="70"/>
      <c r="W67" s="20"/>
      <c r="X67" s="20"/>
    </row>
    <row r="68" spans="1:24" hidden="1" x14ac:dyDescent="0.25">
      <c r="A68" s="246" t="s">
        <v>333</v>
      </c>
      <c r="B68" s="247"/>
      <c r="C68" s="312"/>
      <c r="D68" s="313"/>
      <c r="E68" s="314"/>
      <c r="F68" s="17" t="s">
        <v>39</v>
      </c>
      <c r="G68" s="223"/>
      <c r="H68" s="224"/>
      <c r="R68"/>
      <c r="S68" s="70"/>
      <c r="T68" s="54" t="s">
        <v>252</v>
      </c>
      <c r="U68" s="70"/>
      <c r="V68" s="70"/>
    </row>
    <row r="69" spans="1:24" ht="31.5" hidden="1" x14ac:dyDescent="0.25">
      <c r="A69" s="275"/>
      <c r="B69" s="276"/>
      <c r="C69" s="315"/>
      <c r="D69" s="316"/>
      <c r="E69" s="317"/>
      <c r="F69" s="17" t="s">
        <v>334</v>
      </c>
      <c r="G69" s="223"/>
      <c r="H69" s="224"/>
      <c r="S69" s="70"/>
      <c r="T69" s="54" t="s">
        <v>261</v>
      </c>
      <c r="U69" s="70"/>
      <c r="V69" s="70"/>
    </row>
    <row r="70" spans="1:24" hidden="1" x14ac:dyDescent="0.25">
      <c r="A70" s="248"/>
      <c r="B70" s="249"/>
      <c r="C70" s="228" t="s">
        <v>356</v>
      </c>
      <c r="D70" s="229"/>
      <c r="E70" s="229"/>
      <c r="F70" s="229"/>
      <c r="G70" s="229"/>
      <c r="H70" s="230"/>
      <c r="R70"/>
    </row>
    <row r="71" spans="1:24" x14ac:dyDescent="0.25">
      <c r="A71" s="185" t="s">
        <v>41</v>
      </c>
      <c r="B71" s="187"/>
      <c r="C71" s="185" t="s">
        <v>99</v>
      </c>
      <c r="D71" s="186"/>
      <c r="E71" s="187"/>
      <c r="F71" s="43" t="s">
        <v>39</v>
      </c>
      <c r="G71" s="188" t="s">
        <v>27</v>
      </c>
      <c r="H71" s="189"/>
      <c r="I71" s="23"/>
      <c r="R71"/>
    </row>
    <row r="72" spans="1:24" x14ac:dyDescent="0.25">
      <c r="A72" s="271" t="s">
        <v>43</v>
      </c>
      <c r="B72" s="271"/>
      <c r="C72" s="271"/>
      <c r="D72" s="271"/>
      <c r="E72" s="271"/>
      <c r="F72" s="271"/>
      <c r="G72" s="271"/>
      <c r="H72" s="271"/>
      <c r="R72"/>
    </row>
    <row r="73" spans="1:24" ht="15.75" customHeight="1" x14ac:dyDescent="0.25">
      <c r="A73" s="231" t="s">
        <v>84</v>
      </c>
      <c r="B73" s="231"/>
      <c r="C73" s="231"/>
      <c r="D73" s="200">
        <f>E48</f>
        <v>10770.99</v>
      </c>
      <c r="E73" s="200"/>
      <c r="F73" s="200"/>
      <c r="G73" s="200"/>
      <c r="H73" s="200"/>
      <c r="R73"/>
    </row>
    <row r="74" spans="1:24" x14ac:dyDescent="0.25">
      <c r="A74" s="215" t="s">
        <v>44</v>
      </c>
      <c r="B74" s="245"/>
      <c r="C74" s="245"/>
      <c r="D74" s="245" t="s">
        <v>448</v>
      </c>
      <c r="E74" s="245"/>
      <c r="F74" s="245"/>
      <c r="G74" s="245"/>
      <c r="H74" s="245"/>
      <c r="R74"/>
    </row>
    <row r="75" spans="1:24" ht="48.75" customHeight="1" x14ac:dyDescent="0.25">
      <c r="A75" s="256" t="s">
        <v>45</v>
      </c>
      <c r="B75" s="257"/>
      <c r="C75" s="258"/>
      <c r="D75" s="254" t="s">
        <v>429</v>
      </c>
      <c r="E75" s="255"/>
      <c r="F75" s="255"/>
      <c r="G75" s="255"/>
      <c r="H75" s="255"/>
      <c r="I75" s="21" t="s">
        <v>405</v>
      </c>
      <c r="S75"/>
    </row>
    <row r="76" spans="1:24" x14ac:dyDescent="0.25">
      <c r="A76" s="256" t="s">
        <v>82</v>
      </c>
      <c r="B76" s="257"/>
      <c r="C76" s="257"/>
      <c r="D76" s="265" t="s">
        <v>423</v>
      </c>
      <c r="E76" s="266"/>
      <c r="F76" s="266"/>
      <c r="G76" s="266"/>
      <c r="H76" s="267"/>
      <c r="I76" s="21" t="s">
        <v>403</v>
      </c>
      <c r="J76" s="24"/>
      <c r="K76" s="23"/>
      <c r="N76" s="23"/>
      <c r="S76"/>
    </row>
    <row r="77" spans="1:24" ht="15.75" customHeight="1" x14ac:dyDescent="0.25">
      <c r="A77" s="261"/>
      <c r="B77" s="262"/>
      <c r="C77" s="262"/>
      <c r="D77" s="268" t="s">
        <v>424</v>
      </c>
      <c r="E77" s="269"/>
      <c r="F77" s="269"/>
      <c r="G77" s="269"/>
      <c r="H77" s="270"/>
      <c r="N77" s="23"/>
      <c r="S77"/>
    </row>
    <row r="78" spans="1:24" x14ac:dyDescent="0.25">
      <c r="A78" s="263"/>
      <c r="B78" s="264"/>
      <c r="C78" s="264"/>
      <c r="D78" s="308" t="s">
        <v>430</v>
      </c>
      <c r="E78" s="309"/>
      <c r="F78" s="309"/>
      <c r="G78" s="309"/>
      <c r="H78" s="310"/>
      <c r="J78" s="25"/>
      <c r="K78" s="25"/>
      <c r="S78"/>
    </row>
    <row r="79" spans="1:24" ht="36" customHeight="1" x14ac:dyDescent="0.25">
      <c r="A79" s="200" t="s">
        <v>42</v>
      </c>
      <c r="B79" s="200"/>
      <c r="C79" s="200"/>
      <c r="D79" s="232" t="s">
        <v>432</v>
      </c>
      <c r="E79" s="232"/>
      <c r="F79" s="232"/>
      <c r="G79" s="232"/>
      <c r="H79" s="232"/>
      <c r="S79"/>
    </row>
    <row r="80" spans="1:24" x14ac:dyDescent="0.25">
      <c r="A80" s="200" t="s">
        <v>80</v>
      </c>
      <c r="B80" s="200"/>
      <c r="C80" s="200"/>
      <c r="D80" s="251" t="str">
        <f>(IF(G71="NA","60 Years After Completion",IF(G71&lt;&gt;"NA",""&amp;60-ROUNDDOWN((E3-G71)/360,0)&amp;" Years"," ")))</f>
        <v>60 Years After Completion</v>
      </c>
      <c r="E80" s="251"/>
      <c r="F80" s="251"/>
      <c r="G80" s="251"/>
      <c r="H80" s="251"/>
      <c r="I80" s="26"/>
      <c r="J80" s="26"/>
      <c r="K80" s="26"/>
      <c r="L80" s="26"/>
      <c r="M80" s="26"/>
      <c r="N80" s="26"/>
    </row>
    <row r="81" spans="1:19" ht="15.75" customHeight="1" x14ac:dyDescent="0.25">
      <c r="A81" s="200" t="s">
        <v>81</v>
      </c>
      <c r="B81" s="200"/>
      <c r="C81" s="200"/>
      <c r="D81" s="231" t="s">
        <v>22</v>
      </c>
      <c r="E81" s="231"/>
      <c r="F81" s="231"/>
      <c r="G81" s="231"/>
      <c r="H81" s="231"/>
      <c r="J81" s="25"/>
      <c r="S81"/>
    </row>
    <row r="82" spans="1:19" ht="69.75" customHeight="1" x14ac:dyDescent="0.25">
      <c r="A82" s="245" t="s">
        <v>397</v>
      </c>
      <c r="B82" s="245"/>
      <c r="C82" s="245"/>
      <c r="D82" s="215" t="s">
        <v>450</v>
      </c>
      <c r="E82" s="231"/>
      <c r="F82" s="231"/>
      <c r="G82" s="231"/>
      <c r="H82" s="231"/>
      <c r="S82"/>
    </row>
    <row r="83" spans="1:19" ht="15.75" customHeight="1" x14ac:dyDescent="0.25">
      <c r="A83" s="231" t="s">
        <v>139</v>
      </c>
      <c r="B83" s="231"/>
      <c r="C83" s="231"/>
      <c r="D83" s="231" t="s">
        <v>27</v>
      </c>
      <c r="E83" s="231"/>
      <c r="F83" s="231"/>
      <c r="G83" s="231"/>
      <c r="H83" s="231"/>
      <c r="S83"/>
    </row>
    <row r="84" spans="1:19" x14ac:dyDescent="0.25">
      <c r="A84" s="274" t="s">
        <v>79</v>
      </c>
      <c r="B84" s="274"/>
      <c r="C84" s="274"/>
      <c r="D84" s="254" t="str">
        <f ca="1">(IF(G90&gt;95%,"Nothing",IF(G90&gt;0%,"Cement, Aggregate, Steel, etc",IF(G90=0%,"Work not yet Started"))))</f>
        <v>Cement, Aggregate, Steel, etc</v>
      </c>
      <c r="E84" s="254"/>
      <c r="F84" s="254"/>
      <c r="G84" s="254"/>
      <c r="H84" s="254"/>
      <c r="S84"/>
    </row>
    <row r="85" spans="1:19" ht="16.5" thickBot="1" x14ac:dyDescent="0.3">
      <c r="A85" s="273" t="s">
        <v>112</v>
      </c>
      <c r="B85" s="273"/>
      <c r="C85" s="273"/>
      <c r="D85" s="254" t="str">
        <f ca="1">(IF(D84="Nothing","Yes",IF(D84="Cement, Aggregate, Steel, etc","Under Construction",IF(D84="Work not yet Started","Work not yet Started"))))</f>
        <v>Under Construction</v>
      </c>
      <c r="E85" s="254"/>
      <c r="F85" s="254" t="str">
        <f ca="1">(IF(D84="Nothing","Yes",IF(D84="Cement, Aggregate, Steel, etc","Under Construction",IF(D84="Work not yet Started","Work not yet Started"))))</f>
        <v>Under Construction</v>
      </c>
      <c r="G85" s="254"/>
      <c r="H85" s="254"/>
      <c r="S85"/>
    </row>
    <row r="86" spans="1:19" ht="15.75" customHeight="1" x14ac:dyDescent="0.25">
      <c r="A86" s="218" t="s">
        <v>131</v>
      </c>
      <c r="B86" s="219"/>
      <c r="C86" s="220" t="str">
        <f>D76</f>
        <v>Building A = B + G + 1st to 22nd Floor</v>
      </c>
      <c r="D86" s="221"/>
      <c r="E86" s="221"/>
      <c r="F86" s="221"/>
      <c r="G86" s="221"/>
      <c r="H86" s="222"/>
      <c r="I86" s="47" t="str">
        <f ca="1">IF(D99=100%,"All work Completed. Possession granted to the Building.",IF(D98=100%,"All work Completed, Waiting for OC",I87&amp;""&amp;I88&amp;""&amp;J87&amp;""&amp;J86&amp;" "&amp;J88))</f>
        <v>Excavation, Plinth Completed, RCC upto 9 Slab, Brickwork upto 2 Floor Completed</v>
      </c>
      <c r="J86" s="48" t="str">
        <f ca="1">(IF(C92=(D87+F87+H87),"",IF(C92&gt;0,", RCC upto "&amp;C92&amp;" Slab","")))&amp;(IF(C93=H87,"",IF(C93&gt;0,", Brickwork upto "&amp;C93&amp;" Floor","")))&amp;(IF(C94=H87,"",IF(C94&gt;0,", Internal Plaster upto "&amp;C94&amp;" Floor","")))&amp;(IF(C95=H87,"",IF(C95&gt;0,", External Plaster upto "&amp;C95&amp;" Floor","")))&amp;(IF(C96=H87,"",IF(C96&gt;0,", Flooring upto "&amp;C96&amp;" Floor","")))&amp;(IF(C97=H87,"",IF(C97&gt;0,", Painting upto "&amp;C97&amp;" Floor","")))&amp;(IF(C98=H87,"",IF(C98&gt;0,", Finishing upto "&amp;C98&amp;" Floor","")))&amp;(IF(C99=H87,"",IF(C99&gt;0,", Possession upto "&amp;C99&amp;" Floor","")))</f>
        <v>, RCC upto 9 Slab, Brickwork upto 2 Floor</v>
      </c>
      <c r="S86"/>
    </row>
    <row r="87" spans="1:19" x14ac:dyDescent="0.25">
      <c r="A87" s="15" t="s">
        <v>133</v>
      </c>
      <c r="B87" s="45">
        <v>1</v>
      </c>
      <c r="C87" s="45" t="s">
        <v>66</v>
      </c>
      <c r="D87" s="45">
        <v>1</v>
      </c>
      <c r="E87" s="45" t="s">
        <v>65</v>
      </c>
      <c r="F87" s="45">
        <v>0</v>
      </c>
      <c r="G87" s="46" t="s">
        <v>73</v>
      </c>
      <c r="H87" s="16">
        <f ca="1">--TRIM(RIGHT(SUBSTITUTE(LEFT(C86,_xlfn.AGGREGATE(16,6,FIND({0,1,2,3,4,5,6,7,8,9},C86,ROW(INDIRECT("1:"&amp;LEN(C86)))),1))," ",REPT(" ",LEN(C86))),LEN(C86)))</f>
        <v>22</v>
      </c>
      <c r="I87" s="49" t="str">
        <f ca="1">IF(D90=100%,"Excavation","")&amp;IF(D91=100%,", Plinth","")&amp;IF(D92=100%,", RCC Slab","")&amp;IF(D93=100%,", Brickwork","")&amp;IF(D94=100%,", Internal Plaster","")&amp;IF(D95=100%,", External Plaster","")&amp;IF(D96=100%,", Flooring","")&amp;IF(D97=100%,", Painting","")&amp;IF(D98=100%,", Building common Amenities","")</f>
        <v>Excavation, Plinth</v>
      </c>
      <c r="J87" s="50" t="str">
        <f ca="1">(IF(C90=0,"Work not yet Started.",IF(D90=25%,"Piling work in process",IF(D90=50%,"Excavation work in process",IF(D90=100%,"","0")))))&amp;(IF(C91=0%,"",IF(C91=J92,", Footing work is process",IF(C91=J93,", Footing work Completed",IF(C91=J94,", 1st Basement Completed",IF(C91=J95,", 1st &amp; 2nd Basement Completed",IF(C91=J96,", 1st to 3rd Basement Completed",IF(C91=J97,", 1st to 4th Basement Completed",IF(C91=J98,", Plinth work is process",IF(C91=J99,"","0"))))))))))</f>
        <v/>
      </c>
    </row>
    <row r="88" spans="1:19" ht="32.25" customHeight="1" x14ac:dyDescent="0.25">
      <c r="A88" s="195" t="s">
        <v>83</v>
      </c>
      <c r="B88" s="196"/>
      <c r="C88" s="192" t="str">
        <f ca="1">I86</f>
        <v>Excavation, Plinth Completed, RCC upto 9 Slab, Brickwork upto 2 Floor Completed</v>
      </c>
      <c r="D88" s="193"/>
      <c r="E88" s="193"/>
      <c r="F88" s="193"/>
      <c r="G88" s="193"/>
      <c r="H88" s="194"/>
      <c r="I88" s="49" t="str">
        <f ca="1">IF(I87&lt;&gt;""," Completed","")</f>
        <v xml:space="preserve"> Completed</v>
      </c>
      <c r="J88" s="50" t="str">
        <f ca="1">IF(J86&lt;&gt;"","Completed","")</f>
        <v>Completed</v>
      </c>
      <c r="S88"/>
    </row>
    <row r="89" spans="1:19" ht="15.75" customHeight="1" x14ac:dyDescent="0.25">
      <c r="A89" s="190" t="s">
        <v>46</v>
      </c>
      <c r="B89" s="191"/>
      <c r="C89" s="42" t="s">
        <v>130</v>
      </c>
      <c r="D89" s="42" t="s">
        <v>76</v>
      </c>
      <c r="E89" s="225" t="s">
        <v>78</v>
      </c>
      <c r="F89" s="191"/>
      <c r="G89" s="225" t="s">
        <v>77</v>
      </c>
      <c r="H89" s="226"/>
      <c r="I89" s="13" t="s">
        <v>132</v>
      </c>
      <c r="J89" s="27">
        <f ca="1">H87*25%</f>
        <v>5.5</v>
      </c>
      <c r="S89"/>
    </row>
    <row r="90" spans="1:19" ht="15.75" customHeight="1" x14ac:dyDescent="0.25">
      <c r="A90" s="190" t="s">
        <v>119</v>
      </c>
      <c r="B90" s="191"/>
      <c r="C90" s="106">
        <f ca="1">J91</f>
        <v>22</v>
      </c>
      <c r="D90" s="18">
        <f ca="1">((100/H87)*C90)/100</f>
        <v>1.0000000000000002</v>
      </c>
      <c r="E90" s="153">
        <f ca="1">(((C91/H87*10)+(40/(D87+F87+H87)*C92)+(7.5/(H87)*C93)+(7.5/(H87)*C94)+(10/H87*C95)+(10/H87*C96)+(5/H87*C97)+(5/H87*C98)+(5/H87*C99))/100)</f>
        <v>0.26333992094861658</v>
      </c>
      <c r="F90" s="154"/>
      <c r="G90" s="153">
        <f ca="1">((((C90/H87)*20)+((C91/H87)*25)+(30/(H87+F87+D87)*C92)+(5/H87*C93)+(5/H87*C94)+(5/H87*C95)+(5/H87*C96)+(0/H87*C97)+(0/H87*C98)+(5/H87*C99))/100)</f>
        <v>0.57193675889328066</v>
      </c>
      <c r="H90" s="197"/>
      <c r="I90" s="13" t="s">
        <v>94</v>
      </c>
      <c r="J90" s="28">
        <f ca="1">H87*50%</f>
        <v>11</v>
      </c>
    </row>
    <row r="91" spans="1:19" ht="15.75" customHeight="1" x14ac:dyDescent="0.25">
      <c r="A91" s="190" t="s">
        <v>47</v>
      </c>
      <c r="B91" s="191"/>
      <c r="C91" s="106">
        <f ca="1">J99</f>
        <v>22</v>
      </c>
      <c r="D91" s="18">
        <f ca="1">((100/H87)*C91)/100</f>
        <v>1.0000000000000002</v>
      </c>
      <c r="E91" s="155"/>
      <c r="F91" s="156"/>
      <c r="G91" s="155"/>
      <c r="H91" s="198"/>
      <c r="I91" s="13" t="s">
        <v>95</v>
      </c>
      <c r="J91" s="28">
        <f ca="1">H87</f>
        <v>22</v>
      </c>
    </row>
    <row r="92" spans="1:19" ht="15" customHeight="1" x14ac:dyDescent="0.25">
      <c r="A92" s="190" t="s">
        <v>120</v>
      </c>
      <c r="B92" s="191"/>
      <c r="C92" s="106">
        <v>9</v>
      </c>
      <c r="D92" s="18">
        <f ca="1">((100/(D87+F87+H87))*C92)/100</f>
        <v>0.39130434782608697</v>
      </c>
      <c r="E92" s="155"/>
      <c r="F92" s="156"/>
      <c r="G92" s="155"/>
      <c r="H92" s="198"/>
      <c r="I92" s="13" t="s">
        <v>96</v>
      </c>
      <c r="J92" s="29">
        <f ca="1">(IF(B87&gt;1,(H87/(B87+2)),H87/4))</f>
        <v>5.5</v>
      </c>
    </row>
    <row r="93" spans="1:19" ht="15.75" customHeight="1" x14ac:dyDescent="0.25">
      <c r="A93" s="202" t="s">
        <v>127</v>
      </c>
      <c r="B93" s="203"/>
      <c r="C93" s="106">
        <v>2</v>
      </c>
      <c r="D93" s="18">
        <f ca="1">((100/H87)*C93)/100</f>
        <v>9.0909090909090912E-2</v>
      </c>
      <c r="E93" s="155"/>
      <c r="F93" s="156"/>
      <c r="G93" s="155"/>
      <c r="H93" s="198"/>
      <c r="I93" s="13" t="s">
        <v>97</v>
      </c>
      <c r="J93" s="29">
        <f ca="1">(IF(B87&gt;1,(H87/(B87+2)+J92),H87/4+J92))</f>
        <v>11</v>
      </c>
    </row>
    <row r="94" spans="1:19" ht="15.75" customHeight="1" x14ac:dyDescent="0.25">
      <c r="A94" s="202" t="s">
        <v>128</v>
      </c>
      <c r="B94" s="203" t="s">
        <v>121</v>
      </c>
      <c r="C94" s="106">
        <v>0</v>
      </c>
      <c r="D94" s="18">
        <f ca="1">((100/H87)*C94)/100</f>
        <v>0</v>
      </c>
      <c r="E94" s="155"/>
      <c r="F94" s="156"/>
      <c r="G94" s="155"/>
      <c r="H94" s="198"/>
      <c r="I94" s="13" t="s">
        <v>137</v>
      </c>
      <c r="J94" s="29">
        <f>(IF(B87&gt;1,(H87/(B87+2)+J93),0))</f>
        <v>0</v>
      </c>
    </row>
    <row r="95" spans="1:19" ht="15.75" customHeight="1" x14ac:dyDescent="0.25">
      <c r="A95" s="202" t="s">
        <v>126</v>
      </c>
      <c r="B95" s="203" t="s">
        <v>123</v>
      </c>
      <c r="C95" s="106">
        <v>0</v>
      </c>
      <c r="D95" s="18">
        <f ca="1">((100/(H87))*C95)/100</f>
        <v>0</v>
      </c>
      <c r="E95" s="155"/>
      <c r="F95" s="156"/>
      <c r="G95" s="155"/>
      <c r="H95" s="198"/>
      <c r="I95" s="13" t="s">
        <v>134</v>
      </c>
      <c r="J95" s="29">
        <f>(IF(B87&gt;2,(H87/(B87+2)+J94),0))</f>
        <v>0</v>
      </c>
    </row>
    <row r="96" spans="1:19" x14ac:dyDescent="0.25">
      <c r="A96" s="202" t="s">
        <v>122</v>
      </c>
      <c r="B96" s="203" t="s">
        <v>122</v>
      </c>
      <c r="C96" s="106">
        <v>0</v>
      </c>
      <c r="D96" s="18">
        <f ca="1">((100/H87)*C96)/100</f>
        <v>0</v>
      </c>
      <c r="E96" s="155"/>
      <c r="F96" s="156"/>
      <c r="G96" s="155"/>
      <c r="H96" s="198"/>
      <c r="I96" s="13" t="s">
        <v>135</v>
      </c>
      <c r="J96" s="30">
        <f>(IF(B87&gt;3,(H87/(B87+2)+J95),0))</f>
        <v>0</v>
      </c>
    </row>
    <row r="97" spans="1:19" ht="15.75" customHeight="1" x14ac:dyDescent="0.25">
      <c r="A97" s="202" t="s">
        <v>129</v>
      </c>
      <c r="B97" s="203"/>
      <c r="C97" s="106">
        <v>0</v>
      </c>
      <c r="D97" s="18">
        <f ca="1">((100/H87)*C97)/100</f>
        <v>0</v>
      </c>
      <c r="E97" s="155"/>
      <c r="F97" s="156"/>
      <c r="G97" s="155"/>
      <c r="H97" s="198"/>
      <c r="I97" s="13" t="s">
        <v>136</v>
      </c>
      <c r="J97" s="29">
        <f>(IF(B87&gt;4,(H87/(B87+2)+J96),0))</f>
        <v>0</v>
      </c>
      <c r="S97"/>
    </row>
    <row r="98" spans="1:19" x14ac:dyDescent="0.25">
      <c r="A98" s="202" t="s">
        <v>124</v>
      </c>
      <c r="B98" s="203" t="s">
        <v>124</v>
      </c>
      <c r="C98" s="106">
        <v>0</v>
      </c>
      <c r="D98" s="18">
        <f ca="1">((100/(H87))*C98)/100</f>
        <v>0</v>
      </c>
      <c r="E98" s="155"/>
      <c r="F98" s="156"/>
      <c r="G98" s="155"/>
      <c r="H98" s="198"/>
      <c r="I98" s="13" t="s">
        <v>138</v>
      </c>
      <c r="J98" s="29">
        <f ca="1">(IF(B87=1,(H87/(B87+3)+J93),IF(B87=0,(H87/4+J93),IF(B87&gt;1,0))))</f>
        <v>16.5</v>
      </c>
      <c r="S98"/>
    </row>
    <row r="99" spans="1:19" ht="16.5" thickBot="1" x14ac:dyDescent="0.3">
      <c r="A99" s="207" t="s">
        <v>125</v>
      </c>
      <c r="B99" s="208"/>
      <c r="C99" s="107">
        <v>0</v>
      </c>
      <c r="D99" s="19">
        <f ca="1">((100/(H87))*C99)/100</f>
        <v>0</v>
      </c>
      <c r="E99" s="157"/>
      <c r="F99" s="158"/>
      <c r="G99" s="157"/>
      <c r="H99" s="199"/>
      <c r="I99" s="14" t="s">
        <v>98</v>
      </c>
      <c r="J99" s="31">
        <f ca="1">(IF(B87&gt;1.5,(H87/(B87+2)+J93+MAX(0,J94-J93)+MAX(0,J95-J94)+MAX(0,J96-J95)+MAX(0,J97-J96)+MAX(0,J98-J97)),IF(B87=1,(H87/(B87+3)+J98),IF(B87=0,H87/4+J98))))</f>
        <v>22</v>
      </c>
      <c r="S99"/>
    </row>
    <row r="100" spans="1:19" ht="15.75" customHeight="1" x14ac:dyDescent="0.25">
      <c r="A100" s="218" t="s">
        <v>131</v>
      </c>
      <c r="B100" s="219"/>
      <c r="C100" s="220" t="str">
        <f>D77</f>
        <v>Building B = G + 1st to 10th Floor</v>
      </c>
      <c r="D100" s="221"/>
      <c r="E100" s="221"/>
      <c r="F100" s="221"/>
      <c r="G100" s="221"/>
      <c r="H100" s="222"/>
      <c r="I100" s="47" t="str">
        <f ca="1">IF(D113=100%,"All work Completed. Possession granted to the Building.",IF(D112=100%,"All work Completed, Waiting for OC",I101&amp;""&amp;I102&amp;""&amp;J101&amp;""&amp;J100&amp;" "&amp;J102))</f>
        <v>All work Completed. Possession granted to the Building.</v>
      </c>
      <c r="J100" s="48" t="str">
        <f ca="1">(IF(C106=(D101+F101+H101),"",IF(C106&gt;0,", RCC upto "&amp;C106&amp;" Slab","")))&amp;(IF(C107=H101,"",IF(C107&gt;0,", Brickwork upto "&amp;C107&amp;" Floor","")))&amp;(IF(C108=H101,"",IF(C108&gt;0,", Internal Plaster upto "&amp;C108&amp;" Floor","")))&amp;(IF(C109=H101,"",IF(C109&gt;0,", External Plaster upto "&amp;C109&amp;" Floor","")))&amp;(IF(C110=H101,"",IF(C110&gt;0,", Flooring upto "&amp;C110&amp;" Floor","")))&amp;(IF(C111=H101,"",IF(C111&gt;0,", Painting upto "&amp;C111&amp;" Floor","")))&amp;(IF(C112=H101,"",IF(C112&gt;0,", Finishing upto "&amp;C112&amp;" Floor","")))&amp;(IF(C113=H101,"",IF(C113&gt;0,", Possession upto "&amp;C113&amp;" Floor","")))</f>
        <v/>
      </c>
      <c r="S100"/>
    </row>
    <row r="101" spans="1:19" x14ac:dyDescent="0.25">
      <c r="A101" s="15" t="s">
        <v>133</v>
      </c>
      <c r="B101" s="45">
        <f>IF(AND(ISNUMBER(SEARCH("1B",C100))),1,IF(AND(ISNUMBER(SEARCH("2B",C100))),2,IF(AND(ISNUMBER(SEARCH("3B",C100))),3,IF(AND(ISNUMBER(SEARCH("4B",C100))),4,IF(ISNUMBER(SEARCH("5B",C100)),5,0)))))</f>
        <v>0</v>
      </c>
      <c r="C101" s="45" t="s">
        <v>66</v>
      </c>
      <c r="D101" s="45">
        <v>1</v>
      </c>
      <c r="E101" s="45" t="s">
        <v>65</v>
      </c>
      <c r="F101" s="45">
        <v>0</v>
      </c>
      <c r="G101" s="46" t="s">
        <v>73</v>
      </c>
      <c r="H101" s="16">
        <f ca="1">--TRIM(RIGHT(SUBSTITUTE(LEFT(C100,_xlfn.AGGREGATE(16,6,FIND({0,1,2,3,4,5,6,7,8,9},C100,ROW(INDIRECT("1:"&amp;LEN(C100)))),1))," ",REPT(" ",LEN(C100))),LEN(C100)))</f>
        <v>10</v>
      </c>
      <c r="I101" s="49" t="str">
        <f ca="1">IF(D104=100%,"Excavation","")&amp;IF(D105=100%,", Plinth","")&amp;IF(D106=100%,", RCC Slab","")&amp;IF(D107=100%,", Brickwork","")&amp;IF(D108=100%,", Internal Plaster","")&amp;IF(D109=100%,", External Plaster","")&amp;IF(D110=100%,", Flooring","")&amp;IF(D111=100%,", Painting","")&amp;IF(D112=100%,", Building common Amenities","")</f>
        <v>Excavation, Plinth, RCC Slab, Brickwork, Internal Plaster, External Plaster, Flooring, Painting, Building common Amenities</v>
      </c>
      <c r="J101" s="50" t="str">
        <f ca="1">(IF(C104=0,"Work not yet Started.",IF(D104=25%,"Piling work in process",IF(D104=50%,"Excavation work in process",IF(D104=100%,"","0")))))&amp;(IF(C105=0%,"",IF(C105=J106,", Footing work is process",IF(C105=J107,", Footing work Completed",IF(C105=J108,", 1st Basement Completed",IF(C105=J109,", 1st &amp; 2nd Basement Completed",IF(C105=J110,", 1st to 3rd Basement Completed",IF(C105=J111,", 1st to 4th Basement Completed",IF(C105=J112,", Plinth work is process",IF(C105=J113,"","0"))))))))))</f>
        <v/>
      </c>
    </row>
    <row r="102" spans="1:19" x14ac:dyDescent="0.25">
      <c r="A102" s="140" t="s">
        <v>83</v>
      </c>
      <c r="B102" s="141"/>
      <c r="C102" s="142" t="s">
        <v>398</v>
      </c>
      <c r="D102" s="142"/>
      <c r="E102" s="142"/>
      <c r="F102" s="142"/>
      <c r="G102" s="142"/>
      <c r="H102" s="143"/>
      <c r="I102" s="49" t="str">
        <f ca="1">IF(I101&lt;&gt;""," Completed","")</f>
        <v xml:space="preserve"> Completed</v>
      </c>
      <c r="J102" s="50" t="str">
        <f ca="1">IF(J100&lt;&gt;"","Completed","")</f>
        <v/>
      </c>
      <c r="S102"/>
    </row>
    <row r="103" spans="1:19" ht="15.75" customHeight="1" x14ac:dyDescent="0.25">
      <c r="A103" s="202" t="s">
        <v>46</v>
      </c>
      <c r="B103" s="203"/>
      <c r="C103" s="42" t="s">
        <v>130</v>
      </c>
      <c r="D103" s="42" t="s">
        <v>76</v>
      </c>
      <c r="E103" s="203" t="s">
        <v>78</v>
      </c>
      <c r="F103" s="203"/>
      <c r="G103" s="203" t="s">
        <v>77</v>
      </c>
      <c r="H103" s="227"/>
      <c r="I103" s="13" t="s">
        <v>132</v>
      </c>
      <c r="J103" s="27">
        <f ca="1">H101*25%</f>
        <v>2.5</v>
      </c>
      <c r="S103"/>
    </row>
    <row r="104" spans="1:19" ht="15.75" customHeight="1" x14ac:dyDescent="0.25">
      <c r="A104" s="202" t="s">
        <v>119</v>
      </c>
      <c r="B104" s="203"/>
      <c r="C104" s="100">
        <f ca="1">J105</f>
        <v>10</v>
      </c>
      <c r="D104" s="18">
        <f ca="1">((100/H101)*C104)/100</f>
        <v>1</v>
      </c>
      <c r="E104" s="153">
        <f ca="1">(((C105/H101*10)+(40/(D101+F101+H101)*C106)+(7.5/(H101)*C107)+(7.5/(H101)*C108)+(10/H101*C109)+(10/H101*C110)+(5/H101*C111)+(5/H101*C112)+(5/H101*C113))/100)</f>
        <v>1</v>
      </c>
      <c r="F104" s="154"/>
      <c r="G104" s="153">
        <f ca="1">((((C104/H101)*20)+((C105/H101)*25)+(30/(H101+F101+D101)*C106)+(5/H101*C107)+(5/H101*C108)+(5/H101*C109)+(5/H101*C110)+(0/H101*C111)+(0/H101*C112)+(5/H101*C113))/100)</f>
        <v>1</v>
      </c>
      <c r="H104" s="197"/>
      <c r="I104" s="13" t="s">
        <v>94</v>
      </c>
      <c r="J104" s="28">
        <f ca="1">H101*50%</f>
        <v>5</v>
      </c>
    </row>
    <row r="105" spans="1:19" ht="15.75" customHeight="1" x14ac:dyDescent="0.25">
      <c r="A105" s="202" t="s">
        <v>47</v>
      </c>
      <c r="B105" s="203"/>
      <c r="C105" s="100">
        <f ca="1">J113</f>
        <v>10</v>
      </c>
      <c r="D105" s="18">
        <f ca="1">((100/H101)*C105)/100</f>
        <v>1</v>
      </c>
      <c r="E105" s="155"/>
      <c r="F105" s="156"/>
      <c r="G105" s="155"/>
      <c r="H105" s="198"/>
      <c r="I105" s="13" t="s">
        <v>95</v>
      </c>
      <c r="J105" s="28">
        <f ca="1">H101</f>
        <v>10</v>
      </c>
    </row>
    <row r="106" spans="1:19" ht="15" customHeight="1" x14ac:dyDescent="0.25">
      <c r="A106" s="202" t="s">
        <v>120</v>
      </c>
      <c r="B106" s="203"/>
      <c r="C106" s="100">
        <v>11</v>
      </c>
      <c r="D106" s="18">
        <f ca="1">((100/(D101+F101+H101))*C106)/100</f>
        <v>1.0000000000000002</v>
      </c>
      <c r="E106" s="155"/>
      <c r="F106" s="156"/>
      <c r="G106" s="155"/>
      <c r="H106" s="198"/>
      <c r="I106" s="13" t="s">
        <v>96</v>
      </c>
      <c r="J106" s="29">
        <f ca="1">(IF(B101&gt;1,(H101/(B101+2)),H101/4))</f>
        <v>2.5</v>
      </c>
    </row>
    <row r="107" spans="1:19" ht="15.75" customHeight="1" x14ac:dyDescent="0.25">
      <c r="A107" s="202" t="s">
        <v>127</v>
      </c>
      <c r="B107" s="203" t="s">
        <v>121</v>
      </c>
      <c r="C107" s="100">
        <v>10</v>
      </c>
      <c r="D107" s="18">
        <f ca="1">((100/H101)*C107)/100</f>
        <v>1</v>
      </c>
      <c r="E107" s="155"/>
      <c r="F107" s="156"/>
      <c r="G107" s="155"/>
      <c r="H107" s="198"/>
      <c r="I107" s="13" t="s">
        <v>97</v>
      </c>
      <c r="J107" s="29">
        <f ca="1">(IF(B101&gt;1,(H101/(B101+2)+J106),H101/4+J106))</f>
        <v>5</v>
      </c>
    </row>
    <row r="108" spans="1:19" ht="15.75" customHeight="1" x14ac:dyDescent="0.25">
      <c r="A108" s="202" t="s">
        <v>128</v>
      </c>
      <c r="B108" s="203" t="s">
        <v>121</v>
      </c>
      <c r="C108" s="100">
        <v>10</v>
      </c>
      <c r="D108" s="18">
        <f ca="1">((100/H101)*C108)/100</f>
        <v>1</v>
      </c>
      <c r="E108" s="155"/>
      <c r="F108" s="156"/>
      <c r="G108" s="155"/>
      <c r="H108" s="198"/>
      <c r="I108" s="13" t="s">
        <v>137</v>
      </c>
      <c r="J108" s="29">
        <f>(IF(B101&gt;1,(H101/(B101+2)+J107),0))</f>
        <v>0</v>
      </c>
    </row>
    <row r="109" spans="1:19" ht="15.75" customHeight="1" x14ac:dyDescent="0.25">
      <c r="A109" s="202" t="s">
        <v>126</v>
      </c>
      <c r="B109" s="203" t="s">
        <v>123</v>
      </c>
      <c r="C109" s="100">
        <v>10</v>
      </c>
      <c r="D109" s="18">
        <f ca="1">((100/(H101))*C109)/100</f>
        <v>1</v>
      </c>
      <c r="E109" s="155"/>
      <c r="F109" s="156"/>
      <c r="G109" s="155"/>
      <c r="H109" s="198"/>
      <c r="I109" s="13" t="s">
        <v>134</v>
      </c>
      <c r="J109" s="29">
        <f>(IF(B101&gt;2,(H101/(B101+2)+J108),0))</f>
        <v>0</v>
      </c>
    </row>
    <row r="110" spans="1:19" x14ac:dyDescent="0.25">
      <c r="A110" s="202" t="s">
        <v>122</v>
      </c>
      <c r="B110" s="203" t="s">
        <v>122</v>
      </c>
      <c r="C110" s="100">
        <v>10</v>
      </c>
      <c r="D110" s="18">
        <f ca="1">((100/H101)*C110)/100</f>
        <v>1</v>
      </c>
      <c r="E110" s="155"/>
      <c r="F110" s="156"/>
      <c r="G110" s="155"/>
      <c r="H110" s="198"/>
      <c r="I110" s="13" t="s">
        <v>135</v>
      </c>
      <c r="J110" s="30">
        <f>(IF(B101&gt;3,(H101/(B101+2)+J109),0))</f>
        <v>0</v>
      </c>
    </row>
    <row r="111" spans="1:19" ht="15.75" customHeight="1" x14ac:dyDescent="0.25">
      <c r="A111" s="202" t="s">
        <v>129</v>
      </c>
      <c r="B111" s="203"/>
      <c r="C111" s="100">
        <v>10</v>
      </c>
      <c r="D111" s="18">
        <f ca="1">((100/H101)*C111)/100</f>
        <v>1</v>
      </c>
      <c r="E111" s="155"/>
      <c r="F111" s="156"/>
      <c r="G111" s="155"/>
      <c r="H111" s="198"/>
      <c r="I111" s="13" t="s">
        <v>136</v>
      </c>
      <c r="J111" s="29">
        <f>(IF(B101&gt;4,(H101/(B101+2)+J110),0))</f>
        <v>0</v>
      </c>
      <c r="S111"/>
    </row>
    <row r="112" spans="1:19" x14ac:dyDescent="0.25">
      <c r="A112" s="202" t="s">
        <v>124</v>
      </c>
      <c r="B112" s="203" t="s">
        <v>124</v>
      </c>
      <c r="C112" s="100">
        <v>10</v>
      </c>
      <c r="D112" s="18">
        <f ca="1">((100/(H101))*C112)/100</f>
        <v>1</v>
      </c>
      <c r="E112" s="155"/>
      <c r="F112" s="156"/>
      <c r="G112" s="155"/>
      <c r="H112" s="198"/>
      <c r="I112" s="13" t="s">
        <v>138</v>
      </c>
      <c r="J112" s="29">
        <f ca="1">(IF(B101=1,(H101/(B101+3)+J107),IF(B101=0,(H101/4+J107),IF(B101&gt;1,0))))</f>
        <v>7.5</v>
      </c>
      <c r="S112"/>
    </row>
    <row r="113" spans="1:22" ht="16.5" thickBot="1" x14ac:dyDescent="0.3">
      <c r="A113" s="207" t="s">
        <v>125</v>
      </c>
      <c r="B113" s="208"/>
      <c r="C113" s="101">
        <v>10</v>
      </c>
      <c r="D113" s="19">
        <f ca="1">((100/(H101))*C113)/100</f>
        <v>1</v>
      </c>
      <c r="E113" s="157"/>
      <c r="F113" s="158"/>
      <c r="G113" s="157"/>
      <c r="H113" s="199"/>
      <c r="I113" s="14" t="s">
        <v>98</v>
      </c>
      <c r="J113" s="31">
        <f ca="1">(IF(B101&gt;1.5,(H101/(B101+2)+J107+MAX(0,J108-J107)+MAX(0,J109-J108)+MAX(0,J110-J109)+MAX(0,J111-J110)+MAX(0,J112-J111)),IF(B101=1,(H101/(B101+3)+J112),IF(B101=0,H101/4+J112))))</f>
        <v>10</v>
      </c>
      <c r="S113"/>
    </row>
    <row r="114" spans="1:22" ht="15.75" customHeight="1" x14ac:dyDescent="0.25">
      <c r="A114" s="159" t="s">
        <v>131</v>
      </c>
      <c r="B114" s="160"/>
      <c r="C114" s="330" t="str">
        <f>D78</f>
        <v>Building C = G + 1st to 7th Floor</v>
      </c>
      <c r="D114" s="331"/>
      <c r="E114" s="331"/>
      <c r="F114" s="331"/>
      <c r="G114" s="331"/>
      <c r="H114" s="332"/>
      <c r="I114" s="47" t="str">
        <f ca="1">IF(D129=100%,"All work Completed. Possession granted to the Building.",IF(D128=100%,"All work Completed, Waiting for OC",I115&amp;""&amp;I116&amp;""&amp;J115&amp;""&amp;J114&amp;" "&amp;J116))</f>
        <v>All work Completed. Possession granted to the Building.</v>
      </c>
      <c r="J114" s="48" t="str">
        <f ca="1">(IF(C122=(D115+F115+H115),"",IF(C122&gt;0,", RCC upto "&amp;C122&amp;" Slab","")))&amp;(IF(C123=H115,"",IF(C123&gt;0,", Brickwork upto "&amp;C123&amp;" Floor","")))&amp;(IF(C124=H115,"",IF(C124&gt;0,", Internal Plaster upto "&amp;C124&amp;" Floor","")))&amp;(IF(C125=H115,"",IF(C125&gt;0,", External Plaster upto "&amp;C125&amp;" Floor","")))&amp;(IF(C126=H115,"",IF(C126&gt;0,", Flooring upto "&amp;C126&amp;" Floor","")))&amp;(IF(C127=H115,"",IF(C127&gt;0,", Painting upto "&amp;C127&amp;" Floor","")))&amp;(IF(C128=H115,"",IF(C128&gt;0,", Finishing upto "&amp;C128&amp;" Floor","")))&amp;(IF(C129=H115,"",IF(C129&gt;0,", Possession upto "&amp;C129&amp;" Floor","")))</f>
        <v/>
      </c>
      <c r="S114"/>
    </row>
    <row r="115" spans="1:22" x14ac:dyDescent="0.25">
      <c r="A115" s="15" t="s">
        <v>133</v>
      </c>
      <c r="B115" s="45">
        <f>IF(AND(ISNUMBER(SEARCH("1B",C114))),1,IF(AND(ISNUMBER(SEARCH("2B",C114))),2,IF(AND(ISNUMBER(SEARCH("3B",C114))),3,IF(AND(ISNUMBER(SEARCH("4B",C114))),4,IF(ISNUMBER(SEARCH("5B",C114)),5,0)))))</f>
        <v>0</v>
      </c>
      <c r="C115" s="45" t="s">
        <v>66</v>
      </c>
      <c r="D115" s="45">
        <v>1</v>
      </c>
      <c r="E115" s="45" t="s">
        <v>65</v>
      </c>
      <c r="F115" s="45">
        <v>0</v>
      </c>
      <c r="G115" s="45" t="s">
        <v>73</v>
      </c>
      <c r="H115" s="16">
        <f ca="1">--TRIM(RIGHT(SUBSTITUTE(LEFT(C114,_xlfn.AGGREGATE(16,6,FIND({0,1,2,3,4,5,6,7,8,9},C114,ROW(INDIRECT("1:"&amp;LEN(C114)))),1))," ",REPT(" ",LEN(C114))),LEN(C114)))</f>
        <v>7</v>
      </c>
      <c r="I115" s="49" t="str">
        <f ca="1">IF(D120=100%,"Excavation","")&amp;IF(D121=100%,", Plinth","")&amp;IF(D122=100%,", RCC Slab","")&amp;IF(D123=100%,", Brickwork","")&amp;IF(D124=100%,", Internal Plaster","")&amp;IF(D125=100%,", External Plaster","")&amp;IF(D126=100%,", Flooring","")&amp;IF(D127=100%,", Painting","")&amp;IF(D128=100%,", Building common Amenities","")</f>
        <v>Excavation, Plinth, RCC Slab, Brickwork, Internal Plaster, External Plaster, Flooring, Painting, Building common Amenities</v>
      </c>
      <c r="J115" s="50" t="str">
        <f ca="1">(IF(C120=0,"Work not yet Started.",IF(D120=25%,"Piling work in process",IF(D120=50%,"Excavation work in process",IF(D120=100%,"","0")))))&amp;(IF(C121=0%,"",IF(C121=J120,", Footing work is process",IF(C121=J121,", Footing work Completed",IF(C121=J122,", 1st Basement Completed",IF(C121=J123,", 1st &amp; 2nd Basement Completed",IF(C121=J124,", 1st to 3rd Basement Completed",IF(C121=J125,", 1st to 4th Basement Completed",IF(C121=J126,", Plinth work is process",IF(C121=J127,"","0"))))))))))</f>
        <v/>
      </c>
    </row>
    <row r="116" spans="1:22" x14ac:dyDescent="0.25">
      <c r="A116" s="140" t="s">
        <v>83</v>
      </c>
      <c r="B116" s="141"/>
      <c r="C116" s="142" t="s">
        <v>398</v>
      </c>
      <c r="D116" s="142"/>
      <c r="E116" s="142"/>
      <c r="F116" s="142"/>
      <c r="G116" s="142"/>
      <c r="H116" s="143"/>
      <c r="I116" s="49" t="str">
        <f ca="1">IF(I115&lt;&gt;""," Completed","")</f>
        <v xml:space="preserve"> Completed</v>
      </c>
      <c r="J116" s="50" t="str">
        <f ca="1">IF(J114&lt;&gt;"","Completed","")</f>
        <v/>
      </c>
      <c r="L116" s="90"/>
      <c r="S116"/>
    </row>
    <row r="117" spans="1:22" ht="15.75" customHeight="1" x14ac:dyDescent="0.25">
      <c r="A117" s="144" t="s">
        <v>78</v>
      </c>
      <c r="B117" s="145"/>
      <c r="C117" s="148">
        <v>1</v>
      </c>
      <c r="D117" s="145"/>
      <c r="E117" s="152" t="s">
        <v>77</v>
      </c>
      <c r="F117" s="145"/>
      <c r="G117" s="148">
        <v>1</v>
      </c>
      <c r="H117" s="150"/>
      <c r="I117" s="13" t="s">
        <v>132</v>
      </c>
      <c r="J117" s="27">
        <f ca="1">H115*25%</f>
        <v>1.75</v>
      </c>
      <c r="S117"/>
    </row>
    <row r="118" spans="1:22" ht="15.75" customHeight="1" x14ac:dyDescent="0.25">
      <c r="A118" s="146"/>
      <c r="B118" s="147"/>
      <c r="C118" s="149"/>
      <c r="D118" s="147"/>
      <c r="E118" s="149"/>
      <c r="F118" s="147"/>
      <c r="G118" s="149"/>
      <c r="H118" s="151"/>
      <c r="I118" s="13" t="s">
        <v>94</v>
      </c>
      <c r="J118" s="28">
        <f ca="1">H115*50%</f>
        <v>3.5</v>
      </c>
    </row>
    <row r="119" spans="1:22" ht="15.75" hidden="1" customHeight="1" x14ac:dyDescent="0.25">
      <c r="A119" s="161" t="s">
        <v>46</v>
      </c>
      <c r="B119" s="162"/>
      <c r="C119" s="100" t="s">
        <v>130</v>
      </c>
      <c r="D119" s="100" t="s">
        <v>76</v>
      </c>
      <c r="E119" s="162" t="s">
        <v>78</v>
      </c>
      <c r="F119" s="162"/>
      <c r="G119" s="162" t="s">
        <v>77</v>
      </c>
      <c r="H119" s="163"/>
      <c r="I119" s="13" t="s">
        <v>95</v>
      </c>
      <c r="J119" s="28">
        <f ca="1">H115</f>
        <v>7</v>
      </c>
    </row>
    <row r="120" spans="1:22" ht="15" hidden="1" customHeight="1" x14ac:dyDescent="0.25">
      <c r="A120" s="161" t="s">
        <v>119</v>
      </c>
      <c r="B120" s="162"/>
      <c r="C120" s="100">
        <f ca="1">J119</f>
        <v>7</v>
      </c>
      <c r="D120" s="104">
        <f ca="1">((100/H115)*C120)/100</f>
        <v>1</v>
      </c>
      <c r="E120" s="164">
        <f ca="1">(((C121/H115*10)+(40/(D115+F115+H115)*C122)+(7.5/(H115)*C123)+(7.5/(H115)*C124)+(10/H115*C125)+(10/H115*C126)+(5/H115*C127)+(5/H115*C128)+(5/H115*C129))/100)</f>
        <v>1</v>
      </c>
      <c r="F120" s="165"/>
      <c r="G120" s="164">
        <f ca="1">((((C120/H115)*20)+((C121/H115)*25)+(30/(H115+F115+D115)*C122)+(5/H115*C123)+(5/H115*C124)+(5/H115*C125)+(5/H115*C126)+(0/H115*C127)+(0/H115*C128)+(5/H115*C129))/100)</f>
        <v>1</v>
      </c>
      <c r="H120" s="170"/>
      <c r="I120" s="13" t="s">
        <v>96</v>
      </c>
      <c r="J120" s="29">
        <f ca="1">(IF(B115&gt;1,(H115/(B115+2)),H115/4))</f>
        <v>1.75</v>
      </c>
    </row>
    <row r="121" spans="1:22" ht="15.75" hidden="1" customHeight="1" x14ac:dyDescent="0.25">
      <c r="A121" s="161" t="s">
        <v>47</v>
      </c>
      <c r="B121" s="162"/>
      <c r="C121" s="100">
        <f ca="1">J127</f>
        <v>7</v>
      </c>
      <c r="D121" s="104">
        <f ca="1">((100/H115)*C121)/100</f>
        <v>1</v>
      </c>
      <c r="E121" s="166"/>
      <c r="F121" s="167"/>
      <c r="G121" s="166"/>
      <c r="H121" s="171"/>
      <c r="I121" s="13" t="s">
        <v>97</v>
      </c>
      <c r="J121" s="29">
        <f ca="1">(IF(B115&gt;1,(H115/(B115+2)+J120),H115/4+J120))</f>
        <v>3.5</v>
      </c>
    </row>
    <row r="122" spans="1:22" ht="15.75" hidden="1" customHeight="1" x14ac:dyDescent="0.25">
      <c r="A122" s="161" t="s">
        <v>120</v>
      </c>
      <c r="B122" s="162"/>
      <c r="C122" s="100">
        <v>8</v>
      </c>
      <c r="D122" s="104">
        <f ca="1">((100/(D115+F115+H115))*C122)/100</f>
        <v>1</v>
      </c>
      <c r="E122" s="166"/>
      <c r="F122" s="167"/>
      <c r="G122" s="166"/>
      <c r="H122" s="171"/>
      <c r="I122" s="13" t="s">
        <v>137</v>
      </c>
      <c r="J122" s="29">
        <f>(IF(B115&gt;1,(H115/(B115+2)+J121),0))</f>
        <v>0</v>
      </c>
    </row>
    <row r="123" spans="1:22" ht="15.75" hidden="1" customHeight="1" x14ac:dyDescent="0.25">
      <c r="A123" s="161" t="s">
        <v>127</v>
      </c>
      <c r="B123" s="162" t="s">
        <v>121</v>
      </c>
      <c r="C123" s="100">
        <v>7</v>
      </c>
      <c r="D123" s="104">
        <f ca="1">((100/H115)*C123)/100</f>
        <v>1</v>
      </c>
      <c r="E123" s="166"/>
      <c r="F123" s="167"/>
      <c r="G123" s="166"/>
      <c r="H123" s="171"/>
      <c r="I123" s="13" t="s">
        <v>134</v>
      </c>
      <c r="J123" s="29">
        <f>(IF(B115&gt;2,(H115/(B115+2)+J122),0))</f>
        <v>0</v>
      </c>
    </row>
    <row r="124" spans="1:22" ht="15.75" hidden="1" customHeight="1" x14ac:dyDescent="0.25">
      <c r="A124" s="161" t="s">
        <v>128</v>
      </c>
      <c r="B124" s="162" t="s">
        <v>121</v>
      </c>
      <c r="C124" s="100">
        <v>7</v>
      </c>
      <c r="D124" s="104">
        <f ca="1">((100/H115)*C124)/100</f>
        <v>1</v>
      </c>
      <c r="E124" s="166"/>
      <c r="F124" s="167"/>
      <c r="G124" s="166"/>
      <c r="H124" s="171"/>
      <c r="I124" s="13" t="s">
        <v>135</v>
      </c>
      <c r="J124" s="30">
        <f>(IF(B115&gt;3,(H115/(B115+2)+J123),0))</f>
        <v>0</v>
      </c>
    </row>
    <row r="125" spans="1:22" ht="15.75" hidden="1" customHeight="1" x14ac:dyDescent="0.25">
      <c r="A125" s="161" t="s">
        <v>126</v>
      </c>
      <c r="B125" s="162" t="s">
        <v>123</v>
      </c>
      <c r="C125" s="100">
        <v>7</v>
      </c>
      <c r="D125" s="104">
        <f ca="1">((100/(H115))*C125)/100</f>
        <v>1</v>
      </c>
      <c r="E125" s="166"/>
      <c r="F125" s="167"/>
      <c r="G125" s="166"/>
      <c r="H125" s="171"/>
      <c r="I125" s="13" t="s">
        <v>136</v>
      </c>
      <c r="J125" s="29">
        <f>(IF(B115&gt;4,(H115/(B115+2)+J124),0))</f>
        <v>0</v>
      </c>
      <c r="R125" t="s">
        <v>236</v>
      </c>
      <c r="S125" t="s">
        <v>160</v>
      </c>
      <c r="T125" t="s">
        <v>164</v>
      </c>
      <c r="U125" t="s">
        <v>178</v>
      </c>
      <c r="V125" t="s">
        <v>173</v>
      </c>
    </row>
    <row r="126" spans="1:22" ht="15.75" hidden="1" customHeight="1" x14ac:dyDescent="0.25">
      <c r="A126" s="161" t="s">
        <v>122</v>
      </c>
      <c r="B126" s="162" t="s">
        <v>122</v>
      </c>
      <c r="C126" s="100">
        <v>7</v>
      </c>
      <c r="D126" s="104">
        <f ca="1">((100/H115)*C126)/100</f>
        <v>1</v>
      </c>
      <c r="E126" s="166"/>
      <c r="F126" s="167"/>
      <c r="G126" s="166"/>
      <c r="H126" s="171"/>
      <c r="I126" s="13" t="s">
        <v>138</v>
      </c>
      <c r="J126" s="29">
        <f ca="1">(IF(B115=1,(H115/(B115+3)+J121),IF(B115=0,(H115/4+J121),IF(B115&gt;1,0))))</f>
        <v>5.25</v>
      </c>
      <c r="R126"/>
      <c r="S126">
        <v>800000</v>
      </c>
      <c r="T126">
        <v>150000</v>
      </c>
      <c r="U126">
        <v>100000</v>
      </c>
      <c r="V126">
        <v>100000</v>
      </c>
    </row>
    <row r="127" spans="1:22" ht="16.5" hidden="1" customHeight="1" thickBot="1" x14ac:dyDescent="0.3">
      <c r="A127" s="161" t="s">
        <v>129</v>
      </c>
      <c r="B127" s="162"/>
      <c r="C127" s="100">
        <v>7</v>
      </c>
      <c r="D127" s="104">
        <f ca="1">((100/H115)*C127)/100</f>
        <v>1</v>
      </c>
      <c r="E127" s="166"/>
      <c r="F127" s="167"/>
      <c r="G127" s="166"/>
      <c r="H127" s="171"/>
      <c r="I127" s="14" t="s">
        <v>98</v>
      </c>
      <c r="J127" s="31">
        <f ca="1">(IF(B115&gt;1.5,(H115/(B115+2)+J121+MAX(0,J122-J121)+MAX(0,J123-J122)+MAX(0,J124-J123)+MAX(0,J125-J124)+MAX(0,J126-J125)),IF(B115=1,(H115/(B115+3)+J126),IF(B115=0,H115/4+J126))))</f>
        <v>7</v>
      </c>
      <c r="R127"/>
      <c r="S127">
        <v>900000</v>
      </c>
      <c r="T127">
        <v>200000</v>
      </c>
      <c r="U127">
        <v>150000</v>
      </c>
      <c r="V127">
        <v>150000</v>
      </c>
    </row>
    <row r="128" spans="1:22" ht="15.75" hidden="1" customHeight="1" x14ac:dyDescent="0.25">
      <c r="A128" s="161" t="s">
        <v>124</v>
      </c>
      <c r="B128" s="162" t="s">
        <v>124</v>
      </c>
      <c r="C128" s="100">
        <v>7</v>
      </c>
      <c r="D128" s="104">
        <f ca="1">((100/(H115))*C128)/100</f>
        <v>1</v>
      </c>
      <c r="E128" s="166"/>
      <c r="F128" s="167"/>
      <c r="G128" s="166"/>
      <c r="H128" s="171"/>
      <c r="R128"/>
      <c r="S128">
        <v>1000000</v>
      </c>
      <c r="T128">
        <v>250000</v>
      </c>
      <c r="U128">
        <v>200000</v>
      </c>
      <c r="V128">
        <v>200000</v>
      </c>
    </row>
    <row r="129" spans="1:22" s="32" customFormat="1" ht="16.5" hidden="1" customHeight="1" thickBot="1" x14ac:dyDescent="0.3">
      <c r="A129" s="209" t="s">
        <v>125</v>
      </c>
      <c r="B129" s="210"/>
      <c r="C129" s="101">
        <v>7</v>
      </c>
      <c r="D129" s="105">
        <f ca="1">((100/(H115))*C129)/100</f>
        <v>1</v>
      </c>
      <c r="E129" s="168"/>
      <c r="F129" s="169"/>
      <c r="G129" s="168"/>
      <c r="H129" s="172"/>
      <c r="R129"/>
      <c r="S129">
        <v>1100000</v>
      </c>
      <c r="T129">
        <v>300000</v>
      </c>
      <c r="U129">
        <v>250000</v>
      </c>
      <c r="V129" s="22">
        <v>250000</v>
      </c>
    </row>
    <row r="130" spans="1:22" s="32" customFormat="1" x14ac:dyDescent="0.25">
      <c r="A130" s="213" t="s">
        <v>146</v>
      </c>
      <c r="B130" s="213"/>
      <c r="C130" s="213"/>
      <c r="D130" s="213"/>
      <c r="E130" s="213"/>
      <c r="F130" s="307" t="s">
        <v>150</v>
      </c>
      <c r="G130" s="307"/>
      <c r="H130" s="307"/>
      <c r="R130"/>
      <c r="S130">
        <v>1200000</v>
      </c>
      <c r="T130">
        <v>350000</v>
      </c>
      <c r="U130">
        <v>300000</v>
      </c>
      <c r="V130">
        <v>300000</v>
      </c>
    </row>
    <row r="131" spans="1:22" s="32" customFormat="1" x14ac:dyDescent="0.25">
      <c r="A131" s="200" t="s">
        <v>148</v>
      </c>
      <c r="B131" s="200"/>
      <c r="C131" s="200"/>
      <c r="D131" s="200"/>
      <c r="E131" s="200"/>
      <c r="F131" s="201">
        <v>6000</v>
      </c>
      <c r="G131" s="201"/>
      <c r="H131" s="201"/>
      <c r="R131"/>
      <c r="S131">
        <v>1300000</v>
      </c>
      <c r="T131">
        <v>400000</v>
      </c>
      <c r="U131">
        <v>350000</v>
      </c>
      <c r="V131" s="22">
        <v>400000</v>
      </c>
    </row>
    <row r="132" spans="1:22" s="32" customFormat="1" hidden="1" x14ac:dyDescent="0.25">
      <c r="A132" s="200" t="s">
        <v>147</v>
      </c>
      <c r="B132" s="200"/>
      <c r="C132" s="200"/>
      <c r="D132" s="200"/>
      <c r="E132" s="200"/>
      <c r="F132" s="201"/>
      <c r="G132" s="201"/>
      <c r="H132" s="201"/>
      <c r="R132"/>
      <c r="S132">
        <v>1400000</v>
      </c>
      <c r="T132">
        <v>500000</v>
      </c>
      <c r="U132">
        <v>400000</v>
      </c>
      <c r="V132"/>
    </row>
    <row r="133" spans="1:22" s="32" customFormat="1" hidden="1" x14ac:dyDescent="0.25">
      <c r="A133" s="200" t="s">
        <v>149</v>
      </c>
      <c r="B133" s="200"/>
      <c r="C133" s="200"/>
      <c r="D133" s="200"/>
      <c r="E133" s="200"/>
      <c r="F133" s="201"/>
      <c r="G133" s="201"/>
      <c r="H133" s="201"/>
      <c r="R133"/>
      <c r="S133">
        <v>1500000</v>
      </c>
      <c r="T133">
        <v>600000</v>
      </c>
      <c r="U133">
        <v>500000</v>
      </c>
      <c r="V133" s="22"/>
    </row>
    <row r="134" spans="1:22" s="32" customFormat="1" hidden="1" x14ac:dyDescent="0.25">
      <c r="A134" s="200" t="s">
        <v>162</v>
      </c>
      <c r="B134" s="200"/>
      <c r="C134" s="200"/>
      <c r="D134" s="200"/>
      <c r="E134" s="200"/>
      <c r="F134" s="201"/>
      <c r="G134" s="201"/>
      <c r="H134" s="201"/>
      <c r="R134"/>
      <c r="S134">
        <v>1600000</v>
      </c>
      <c r="T134">
        <v>700000</v>
      </c>
      <c r="U134">
        <v>600000</v>
      </c>
      <c r="V134"/>
    </row>
    <row r="135" spans="1:22" s="32" customFormat="1" x14ac:dyDescent="0.25">
      <c r="A135" s="200" t="s">
        <v>88</v>
      </c>
      <c r="B135" s="200"/>
      <c r="C135" s="200"/>
      <c r="D135" s="200"/>
      <c r="E135" s="200"/>
      <c r="F135" s="201">
        <v>150000</v>
      </c>
      <c r="G135" s="201"/>
      <c r="H135" s="201"/>
      <c r="R135"/>
      <c r="S135">
        <v>1700000</v>
      </c>
      <c r="T135">
        <v>800000</v>
      </c>
      <c r="U135"/>
      <c r="V135" s="22"/>
    </row>
    <row r="136" spans="1:22" hidden="1" x14ac:dyDescent="0.25">
      <c r="A136" s="200" t="s">
        <v>89</v>
      </c>
      <c r="B136" s="200"/>
      <c r="C136" s="200"/>
      <c r="D136" s="200"/>
      <c r="E136" s="200"/>
      <c r="F136" s="201"/>
      <c r="G136" s="201"/>
      <c r="H136" s="201"/>
      <c r="R136"/>
      <c r="S136">
        <v>1800000</v>
      </c>
      <c r="T136">
        <v>900000</v>
      </c>
      <c r="U136"/>
    </row>
    <row r="137" spans="1:22" s="33" customFormat="1" hidden="1" x14ac:dyDescent="0.25">
      <c r="A137" s="200" t="s">
        <v>90</v>
      </c>
      <c r="B137" s="200"/>
      <c r="C137" s="200"/>
      <c r="D137" s="200"/>
      <c r="E137" s="200"/>
      <c r="F137" s="201"/>
      <c r="G137" s="201"/>
      <c r="H137" s="201"/>
      <c r="R137" s="20"/>
      <c r="S137" s="20"/>
      <c r="T137">
        <v>1000000</v>
      </c>
      <c r="U137"/>
      <c r="V137" s="20"/>
    </row>
    <row r="138" spans="1:22" s="34" customFormat="1" hidden="1" x14ac:dyDescent="0.25">
      <c r="A138" s="200" t="s">
        <v>91</v>
      </c>
      <c r="B138" s="200"/>
      <c r="C138" s="200"/>
      <c r="D138" s="200"/>
      <c r="E138" s="200"/>
      <c r="F138" s="201"/>
      <c r="G138" s="201"/>
      <c r="H138" s="201"/>
      <c r="T138"/>
    </row>
    <row r="139" spans="1:22" s="34" customFormat="1" ht="15.75" hidden="1" customHeight="1" x14ac:dyDescent="0.25">
      <c r="A139" s="200" t="s">
        <v>92</v>
      </c>
      <c r="B139" s="200"/>
      <c r="C139" s="200"/>
      <c r="D139" s="200"/>
      <c r="E139" s="200"/>
      <c r="F139" s="201"/>
      <c r="G139" s="201"/>
      <c r="H139" s="201"/>
      <c r="T139"/>
    </row>
    <row r="140" spans="1:22" s="34" customFormat="1" hidden="1" x14ac:dyDescent="0.25">
      <c r="A140" s="200" t="s">
        <v>93</v>
      </c>
      <c r="B140" s="200"/>
      <c r="C140" s="200"/>
      <c r="D140" s="200"/>
      <c r="E140" s="200"/>
      <c r="F140" s="201"/>
      <c r="G140" s="201"/>
      <c r="H140" s="201"/>
      <c r="I140" s="97" t="s">
        <v>382</v>
      </c>
      <c r="J140" s="99" t="s">
        <v>385</v>
      </c>
      <c r="T140"/>
    </row>
    <row r="141" spans="1:22" s="34" customFormat="1" x14ac:dyDescent="0.25">
      <c r="A141" s="200" t="s">
        <v>48</v>
      </c>
      <c r="B141" s="200"/>
      <c r="C141" s="200"/>
      <c r="D141" s="200"/>
      <c r="E141" s="200"/>
      <c r="F141" s="201">
        <v>200000</v>
      </c>
      <c r="G141" s="201"/>
      <c r="H141" s="201"/>
      <c r="I141" s="97" t="s">
        <v>382</v>
      </c>
      <c r="T141"/>
    </row>
    <row r="142" spans="1:22" s="34" customFormat="1" x14ac:dyDescent="0.25">
      <c r="A142" s="236" t="s">
        <v>49</v>
      </c>
      <c r="B142" s="236"/>
      <c r="C142" s="236"/>
      <c r="D142" s="236"/>
      <c r="E142" s="236"/>
      <c r="F142" s="201">
        <f>F131*0.8</f>
        <v>4800</v>
      </c>
      <c r="G142" s="201"/>
      <c r="H142" s="201"/>
      <c r="I142" s="97" t="s">
        <v>382</v>
      </c>
      <c r="T142"/>
    </row>
    <row r="143" spans="1:22" s="34" customFormat="1" x14ac:dyDescent="0.25">
      <c r="A143" s="173" t="s">
        <v>427</v>
      </c>
      <c r="B143" s="173"/>
      <c r="C143" s="173"/>
      <c r="D143" s="173"/>
      <c r="E143" s="173"/>
      <c r="F143" s="173"/>
      <c r="G143" s="173"/>
      <c r="H143" s="173"/>
      <c r="T143"/>
    </row>
    <row r="144" spans="1:22" s="34" customFormat="1" x14ac:dyDescent="0.25">
      <c r="A144" s="123" t="s">
        <v>50</v>
      </c>
      <c r="B144" s="123"/>
      <c r="C144" s="124" t="s">
        <v>71</v>
      </c>
      <c r="D144" s="124"/>
      <c r="E144" s="125" t="s">
        <v>51</v>
      </c>
      <c r="F144" s="125"/>
      <c r="G144" s="123" t="s">
        <v>52</v>
      </c>
      <c r="H144" s="123"/>
      <c r="T144"/>
    </row>
    <row r="145" spans="1:20" s="34" customFormat="1" x14ac:dyDescent="0.25">
      <c r="A145" s="176" t="s">
        <v>393</v>
      </c>
      <c r="B145" s="176"/>
      <c r="C145" s="177">
        <f>COUNT(D169:D170)+COUNT(D176:D181)*14+COUNT(D183:D185,D187:D188)*3+COUNT(D190:D195)</f>
        <v>107</v>
      </c>
      <c r="D145" s="177"/>
      <c r="E145" s="177">
        <f>SUM(F169:F170)+SUM(F176:F181)*14+SUM(F183:F185,F187:F188)*3+SUM(F190:F195)</f>
        <v>47973.318119999996</v>
      </c>
      <c r="F145" s="177"/>
      <c r="G145" s="177">
        <f>SUM(H169:H170)+SUM(H176:H181)*14+SUM(H183:H185,H187:H188)*3+SUM(H190:H195)</f>
        <v>76757.308991999977</v>
      </c>
      <c r="H145" s="177"/>
      <c r="I145" s="97">
        <f>98+9</f>
        <v>107</v>
      </c>
      <c r="T145"/>
    </row>
    <row r="146" spans="1:20" s="34" customFormat="1" x14ac:dyDescent="0.25">
      <c r="A146" s="176" t="s">
        <v>426</v>
      </c>
      <c r="B146" s="176"/>
      <c r="C146" s="177">
        <f>COUNT(F199:F206)+COUNT(F217:F224)*4+COUNT(F208:F215)*4+COUNT(F226:F232)</f>
        <v>79</v>
      </c>
      <c r="D146" s="177"/>
      <c r="E146" s="177">
        <f>SUM(F199:F206)+SUM(F217:F224)*4+SUM(F208:F215)*4+SUM(F226:F232)</f>
        <v>31433.032799999994</v>
      </c>
      <c r="F146" s="177"/>
      <c r="G146" s="177">
        <f>SUM(H199:H206)+SUM(H217:H224)*4+SUM(H208:H215)*4+SUM(H226:H232)</f>
        <v>54519.552359999987</v>
      </c>
      <c r="H146" s="177"/>
      <c r="T146"/>
    </row>
    <row r="147" spans="1:20" s="33" customFormat="1" x14ac:dyDescent="0.25">
      <c r="A147" s="211" t="s">
        <v>416</v>
      </c>
      <c r="B147" s="211"/>
      <c r="C147" s="177">
        <f>COUNT(D236:D239)+COUNT(D241:D244)+COUNT(D246:D249)*3+COUNT(D251:D254)*3</f>
        <v>32</v>
      </c>
      <c r="D147" s="177"/>
      <c r="E147" s="177">
        <f t="shared" ref="E147" si="0">SUM(F236:F239)+SUM(F241:F244)+SUM(F246:F249)*3+SUM(F251:F254)*3</f>
        <v>13572.54636</v>
      </c>
      <c r="F147" s="177"/>
      <c r="G147" s="177">
        <f t="shared" ref="G147" si="1">SUM(H236:H239)+SUM(H241:H244)+SUM(H246:H249)*3+SUM(H251:H254)*3</f>
        <v>23439.018295999998</v>
      </c>
      <c r="H147" s="177"/>
      <c r="T147" s="34"/>
    </row>
    <row r="148" spans="1:20" x14ac:dyDescent="0.25">
      <c r="A148" s="173" t="s">
        <v>141</v>
      </c>
      <c r="B148" s="173"/>
      <c r="C148" s="174">
        <f t="shared" ref="C148:G148" si="2">SUM(C145:D147)</f>
        <v>218</v>
      </c>
      <c r="D148" s="124"/>
      <c r="E148" s="178">
        <f t="shared" si="2"/>
        <v>92978.897280000005</v>
      </c>
      <c r="F148" s="125"/>
      <c r="G148" s="123">
        <f t="shared" si="2"/>
        <v>154715.87964799997</v>
      </c>
      <c r="H148" s="123"/>
      <c r="T148" s="34"/>
    </row>
    <row r="149" spans="1:20" x14ac:dyDescent="0.25">
      <c r="A149" s="173" t="s">
        <v>428</v>
      </c>
      <c r="B149" s="173"/>
      <c r="C149" s="173"/>
      <c r="D149" s="173"/>
      <c r="E149" s="173"/>
      <c r="F149" s="173"/>
      <c r="G149" s="173"/>
      <c r="H149" s="173"/>
      <c r="I149" s="103">
        <f>10.764</f>
        <v>10.763999999999999</v>
      </c>
      <c r="T149" s="36"/>
    </row>
    <row r="150" spans="1:20" s="36" customFormat="1" x14ac:dyDescent="0.25">
      <c r="A150" s="123" t="s">
        <v>50</v>
      </c>
      <c r="B150" s="123"/>
      <c r="C150" s="124" t="s">
        <v>71</v>
      </c>
      <c r="D150" s="124"/>
      <c r="E150" s="125" t="s">
        <v>51</v>
      </c>
      <c r="F150" s="125"/>
      <c r="G150" s="123" t="s">
        <v>52</v>
      </c>
      <c r="H150" s="123"/>
      <c r="I150" s="35"/>
    </row>
    <row r="151" spans="1:20" s="93" customFormat="1" x14ac:dyDescent="0.25">
      <c r="A151" s="176" t="s">
        <v>393</v>
      </c>
      <c r="B151" s="176"/>
      <c r="C151" s="177">
        <f>COUNT(D162:D167)*3+COUNT(D171:D174)</f>
        <v>22</v>
      </c>
      <c r="D151" s="177"/>
      <c r="E151" s="177">
        <f>SUM(F162:F167)*3+SUM(F171:F174)</f>
        <v>9718.0082999999995</v>
      </c>
      <c r="F151" s="177"/>
      <c r="G151" s="177">
        <f>SUM(H162:H167)*3+SUM(H171:H174)</f>
        <v>15548.813279999997</v>
      </c>
      <c r="H151" s="177"/>
      <c r="J151" s="35"/>
    </row>
    <row r="152" spans="1:20" s="93" customFormat="1" x14ac:dyDescent="0.25">
      <c r="A152" s="173" t="s">
        <v>141</v>
      </c>
      <c r="B152" s="173"/>
      <c r="C152" s="174">
        <f>SUM(C151)</f>
        <v>22</v>
      </c>
      <c r="D152" s="124"/>
      <c r="E152" s="178">
        <f>SUM(E151)</f>
        <v>9718.0082999999995</v>
      </c>
      <c r="F152" s="125"/>
      <c r="G152" s="123">
        <f>SUM(G151)</f>
        <v>15548.813279999997</v>
      </c>
      <c r="H152" s="123"/>
      <c r="I152" s="35"/>
    </row>
    <row r="153" spans="1:20" s="93" customFormat="1" x14ac:dyDescent="0.25">
      <c r="A153" s="173" t="s">
        <v>436</v>
      </c>
      <c r="B153" s="173"/>
      <c r="C153" s="174">
        <f>C148+C152</f>
        <v>240</v>
      </c>
      <c r="D153" s="124"/>
      <c r="E153" s="174">
        <f>E148+E152</f>
        <v>102696.90558000001</v>
      </c>
      <c r="F153" s="124"/>
      <c r="G153" s="174">
        <f>G148+G152</f>
        <v>170264.69292799997</v>
      </c>
      <c r="H153" s="124"/>
      <c r="I153" s="35">
        <f>1</f>
        <v>1</v>
      </c>
    </row>
    <row r="154" spans="1:20" s="36" customFormat="1" x14ac:dyDescent="0.25">
      <c r="A154" s="212" t="s">
        <v>336</v>
      </c>
      <c r="B154" s="212"/>
      <c r="C154" s="212"/>
      <c r="D154" s="212"/>
      <c r="E154" s="212"/>
      <c r="F154" s="212"/>
      <c r="G154" s="212"/>
      <c r="H154" s="212"/>
      <c r="I154" s="35"/>
    </row>
    <row r="155" spans="1:20" s="36" customFormat="1" x14ac:dyDescent="0.25">
      <c r="A155" s="321" t="s">
        <v>399</v>
      </c>
      <c r="B155" s="321"/>
      <c r="C155" s="321"/>
      <c r="D155" s="321"/>
      <c r="E155" s="321"/>
      <c r="F155" s="321"/>
      <c r="G155" s="321"/>
      <c r="H155" s="321"/>
      <c r="I155" s="35"/>
    </row>
    <row r="156" spans="1:20" s="36" customFormat="1" ht="49.5" customHeight="1" x14ac:dyDescent="0.25">
      <c r="A156" s="299" t="s">
        <v>400</v>
      </c>
      <c r="B156" s="216" t="s">
        <v>390</v>
      </c>
      <c r="C156" s="216" t="s">
        <v>53</v>
      </c>
      <c r="D156" s="216" t="s">
        <v>357</v>
      </c>
      <c r="E156" s="216" t="s">
        <v>449</v>
      </c>
      <c r="F156" s="216" t="s">
        <v>54</v>
      </c>
      <c r="G156" s="216" t="s">
        <v>55</v>
      </c>
      <c r="H156" s="113" t="s">
        <v>140</v>
      </c>
      <c r="I156" s="35"/>
    </row>
    <row r="157" spans="1:20" s="36" customFormat="1" ht="15.75" customHeight="1" x14ac:dyDescent="0.25">
      <c r="A157" s="300"/>
      <c r="B157" s="217"/>
      <c r="C157" s="217"/>
      <c r="D157" s="217"/>
      <c r="E157" s="217"/>
      <c r="F157" s="217"/>
      <c r="G157" s="217"/>
      <c r="H157" s="334">
        <v>0.6</v>
      </c>
      <c r="I157" s="35"/>
    </row>
    <row r="158" spans="1:20" s="36" customFormat="1" ht="15.75" customHeight="1" x14ac:dyDescent="0.25">
      <c r="A158" s="179" t="s">
        <v>393</v>
      </c>
      <c r="B158" s="180"/>
      <c r="C158" s="180"/>
      <c r="D158" s="180"/>
      <c r="E158" s="180"/>
      <c r="F158" s="180"/>
      <c r="G158" s="180"/>
      <c r="H158" s="181"/>
      <c r="I158" s="35"/>
    </row>
    <row r="159" spans="1:20" s="93" customFormat="1" ht="15.75" customHeight="1" x14ac:dyDescent="0.25">
      <c r="A159" s="137" t="s">
        <v>425</v>
      </c>
      <c r="B159" s="138"/>
      <c r="C159" s="138"/>
      <c r="D159" s="138"/>
      <c r="E159" s="138"/>
      <c r="F159" s="138"/>
      <c r="G159" s="138"/>
      <c r="H159" s="139"/>
      <c r="I159" s="35"/>
    </row>
    <row r="160" spans="1:20" s="93" customFormat="1" ht="15.75" customHeight="1" x14ac:dyDescent="0.25">
      <c r="A160" s="137" t="s">
        <v>434</v>
      </c>
      <c r="B160" s="138"/>
      <c r="C160" s="138"/>
      <c r="D160" s="138"/>
      <c r="E160" s="138"/>
      <c r="F160" s="138"/>
      <c r="G160" s="138"/>
      <c r="H160" s="139"/>
      <c r="I160" s="35">
        <f>3.05*4.58+2.8*2.1+3.05*3.65+1.2*(2.15+2.25)+0.9*2.23+1.25*0.9-(3.05*1.52+3.05*1.21+2.1*0.93)</f>
        <v>29.113999999999997</v>
      </c>
      <c r="J160" s="93">
        <f>30+10.28</f>
        <v>40.28</v>
      </c>
      <c r="K160" s="93">
        <f>3.05*1.52+3.05*1.21+2.1*0.93</f>
        <v>10.279499999999999</v>
      </c>
      <c r="L160" s="35">
        <f>I160+K160</f>
        <v>39.393499999999996</v>
      </c>
    </row>
    <row r="161" spans="1:10" s="93" customFormat="1" ht="15.75" customHeight="1" x14ac:dyDescent="0.25">
      <c r="A161" s="137" t="s">
        <v>386</v>
      </c>
      <c r="B161" s="138"/>
      <c r="C161" s="138"/>
      <c r="D161" s="138"/>
      <c r="E161" s="138"/>
      <c r="F161" s="138"/>
      <c r="G161" s="138"/>
      <c r="H161" s="139"/>
      <c r="I161" s="35"/>
    </row>
    <row r="162" spans="1:10" s="94" customFormat="1" x14ac:dyDescent="0.25">
      <c r="A162" s="95">
        <v>1</v>
      </c>
      <c r="B162" s="95" t="s">
        <v>446</v>
      </c>
      <c r="C162" s="95" t="s">
        <v>378</v>
      </c>
      <c r="D162" s="103">
        <f>(30+10.41)*(10.764)</f>
        <v>434.97323999999992</v>
      </c>
      <c r="E162" s="103">
        <f>(0.75*3.05)*(10.764)</f>
        <v>24.622649999999993</v>
      </c>
      <c r="F162" s="41">
        <f t="shared" ref="F162:F167" si="3">D162+E162</f>
        <v>459.59588999999994</v>
      </c>
      <c r="G162" s="41">
        <v>0</v>
      </c>
      <c r="H162" s="41">
        <f t="shared" ref="H162:H167" si="4">F162*(($H$157)+1)+(IF(G162&lt;101,G162,IF(G162&lt;201,G162/2,IF(G162&lt;=301,G162/3,G162/4))))</f>
        <v>735.3534239999999</v>
      </c>
      <c r="I162" s="35">
        <f>4</f>
        <v>4</v>
      </c>
    </row>
    <row r="163" spans="1:10" s="94" customFormat="1" ht="15.75" customHeight="1" x14ac:dyDescent="0.25">
      <c r="A163" s="95">
        <f>A162+1</f>
        <v>2</v>
      </c>
      <c r="B163" s="95" t="s">
        <v>446</v>
      </c>
      <c r="C163" s="95" t="s">
        <v>378</v>
      </c>
      <c r="D163" s="103">
        <f>(30+10.41)*(10.764)</f>
        <v>434.97323999999992</v>
      </c>
      <c r="E163" s="103">
        <f>(0.75*3.05)*(10.764)</f>
        <v>24.622649999999993</v>
      </c>
      <c r="F163" s="41">
        <f t="shared" si="3"/>
        <v>459.59588999999994</v>
      </c>
      <c r="G163" s="41">
        <v>0</v>
      </c>
      <c r="H163" s="41">
        <f t="shared" si="4"/>
        <v>735.3534239999999</v>
      </c>
      <c r="I163" s="35"/>
    </row>
    <row r="164" spans="1:10" s="94" customFormat="1" ht="15.75" customHeight="1" x14ac:dyDescent="0.25">
      <c r="A164" s="95">
        <f>A163+1</f>
        <v>3</v>
      </c>
      <c r="B164" s="95" t="s">
        <v>446</v>
      </c>
      <c r="C164" s="95" t="s">
        <v>378</v>
      </c>
      <c r="D164" s="103">
        <f>(30+10.41)*(10.764)</f>
        <v>434.97323999999992</v>
      </c>
      <c r="E164" s="103">
        <f>0*(10.764)</f>
        <v>0</v>
      </c>
      <c r="F164" s="41">
        <f t="shared" si="3"/>
        <v>434.97323999999992</v>
      </c>
      <c r="G164" s="41">
        <v>0</v>
      </c>
      <c r="H164" s="41">
        <f t="shared" si="4"/>
        <v>695.95718399999987</v>
      </c>
      <c r="I164" s="35"/>
    </row>
    <row r="165" spans="1:10" s="94" customFormat="1" ht="15.75" customHeight="1" x14ac:dyDescent="0.25">
      <c r="A165" s="95">
        <f>A164+1</f>
        <v>4</v>
      </c>
      <c r="B165" s="95" t="s">
        <v>446</v>
      </c>
      <c r="C165" s="95" t="s">
        <v>378</v>
      </c>
      <c r="D165" s="103">
        <f>(30+10.41)*(10.764)</f>
        <v>434.97323999999992</v>
      </c>
      <c r="E165" s="103">
        <f>0*(10.764)</f>
        <v>0</v>
      </c>
      <c r="F165" s="41">
        <f t="shared" si="3"/>
        <v>434.97323999999992</v>
      </c>
      <c r="G165" s="41">
        <v>0</v>
      </c>
      <c r="H165" s="41">
        <f t="shared" si="4"/>
        <v>695.95718399999987</v>
      </c>
      <c r="I165" s="35"/>
    </row>
    <row r="166" spans="1:10" s="94" customFormat="1" ht="15.75" customHeight="1" x14ac:dyDescent="0.25">
      <c r="A166" s="95">
        <f>A165+1</f>
        <v>5</v>
      </c>
      <c r="B166" s="95" t="s">
        <v>446</v>
      </c>
      <c r="C166" s="95" t="s">
        <v>378</v>
      </c>
      <c r="D166" s="103">
        <f>(30+10.42)*(10.764)</f>
        <v>435.08087999999998</v>
      </c>
      <c r="E166" s="103">
        <f>0*(10.764)</f>
        <v>0</v>
      </c>
      <c r="F166" s="95">
        <f t="shared" si="3"/>
        <v>435.08087999999998</v>
      </c>
      <c r="G166" s="95">
        <v>0</v>
      </c>
      <c r="H166" s="95">
        <f t="shared" si="4"/>
        <v>696.12940800000001</v>
      </c>
      <c r="I166" s="35"/>
    </row>
    <row r="167" spans="1:10" s="94" customFormat="1" ht="15.75" customHeight="1" x14ac:dyDescent="0.25">
      <c r="A167" s="95">
        <f>A166+1</f>
        <v>6</v>
      </c>
      <c r="B167" s="95" t="s">
        <v>446</v>
      </c>
      <c r="C167" s="95" t="s">
        <v>378</v>
      </c>
      <c r="D167" s="103">
        <f>(30+10.42)*(10.764)</f>
        <v>435.08087999999998</v>
      </c>
      <c r="E167" s="103">
        <f>0*(10.764)</f>
        <v>0</v>
      </c>
      <c r="F167" s="95">
        <f t="shared" si="3"/>
        <v>435.08087999999998</v>
      </c>
      <c r="G167" s="95">
        <v>0</v>
      </c>
      <c r="H167" s="95">
        <f t="shared" si="4"/>
        <v>696.12940800000001</v>
      </c>
      <c r="I167" s="35"/>
    </row>
    <row r="168" spans="1:10" s="94" customFormat="1" ht="15.75" customHeight="1" x14ac:dyDescent="0.25">
      <c r="A168" s="137" t="s">
        <v>387</v>
      </c>
      <c r="B168" s="138"/>
      <c r="C168" s="138"/>
      <c r="D168" s="138"/>
      <c r="E168" s="138"/>
      <c r="F168" s="138"/>
      <c r="G168" s="138"/>
      <c r="H168" s="139"/>
      <c r="I168" s="35"/>
    </row>
    <row r="169" spans="1:10" s="94" customFormat="1" ht="15.75" customHeight="1" x14ac:dyDescent="0.25">
      <c r="A169" s="95">
        <v>1</v>
      </c>
      <c r="B169" s="95" t="s">
        <v>391</v>
      </c>
      <c r="C169" s="95" t="s">
        <v>378</v>
      </c>
      <c r="D169" s="103">
        <f>(30+10.41)*(10.764)</f>
        <v>434.97323999999992</v>
      </c>
      <c r="E169" s="103">
        <f>(0.75*3.05)*(10.764)</f>
        <v>24.622649999999993</v>
      </c>
      <c r="F169" s="95">
        <f t="shared" ref="F169:F174" si="5">D169+E169</f>
        <v>459.59588999999994</v>
      </c>
      <c r="G169" s="95">
        <v>0</v>
      </c>
      <c r="H169" s="95">
        <f t="shared" ref="H169:H174" si="6">F169*(($H$157)+1)+(IF(G169&lt;101,G169,IF(G169&lt;201,G169/2,IF(G169&lt;=301,G169/3,G169/4))))</f>
        <v>735.3534239999999</v>
      </c>
      <c r="I169" s="35"/>
    </row>
    <row r="170" spans="1:10" s="94" customFormat="1" ht="15.75" customHeight="1" x14ac:dyDescent="0.25">
      <c r="A170" s="95">
        <f>A169+1</f>
        <v>2</v>
      </c>
      <c r="B170" s="95" t="s">
        <v>391</v>
      </c>
      <c r="C170" s="95" t="s">
        <v>378</v>
      </c>
      <c r="D170" s="103">
        <f>(30+10.41)*(10.764)</f>
        <v>434.97323999999992</v>
      </c>
      <c r="E170" s="103">
        <f>(0.75*3.05)*(10.764)</f>
        <v>24.622649999999993</v>
      </c>
      <c r="F170" s="95">
        <f t="shared" si="5"/>
        <v>459.59588999999994</v>
      </c>
      <c r="G170" s="95">
        <v>0</v>
      </c>
      <c r="H170" s="95">
        <f t="shared" si="6"/>
        <v>735.3534239999999</v>
      </c>
      <c r="I170" s="35"/>
    </row>
    <row r="171" spans="1:10" s="94" customFormat="1" x14ac:dyDescent="0.25">
      <c r="A171" s="95">
        <f>A170+1</f>
        <v>3</v>
      </c>
      <c r="B171" s="95" t="s">
        <v>446</v>
      </c>
      <c r="C171" s="95" t="s">
        <v>378</v>
      </c>
      <c r="D171" s="103">
        <f>(30+10.41)*(10.764)</f>
        <v>434.97323999999992</v>
      </c>
      <c r="E171" s="103">
        <f>0*(10.764)</f>
        <v>0</v>
      </c>
      <c r="F171" s="95">
        <f t="shared" si="5"/>
        <v>434.97323999999992</v>
      </c>
      <c r="G171" s="95">
        <v>0</v>
      </c>
      <c r="H171" s="95">
        <f t="shared" si="6"/>
        <v>695.95718399999987</v>
      </c>
      <c r="I171" s="35">
        <f>4</f>
        <v>4</v>
      </c>
    </row>
    <row r="172" spans="1:10" s="94" customFormat="1" ht="15.75" customHeight="1" x14ac:dyDescent="0.25">
      <c r="A172" s="95">
        <f>A171+1</f>
        <v>4</v>
      </c>
      <c r="B172" s="95" t="s">
        <v>446</v>
      </c>
      <c r="C172" s="95" t="s">
        <v>378</v>
      </c>
      <c r="D172" s="103">
        <f>(30+10.41)*(10.764)</f>
        <v>434.97323999999992</v>
      </c>
      <c r="E172" s="103">
        <f>0*(10.764)</f>
        <v>0</v>
      </c>
      <c r="F172" s="95">
        <f t="shared" si="5"/>
        <v>434.97323999999992</v>
      </c>
      <c r="G172" s="95">
        <v>0</v>
      </c>
      <c r="H172" s="95">
        <f t="shared" si="6"/>
        <v>695.95718399999987</v>
      </c>
      <c r="I172" s="35"/>
    </row>
    <row r="173" spans="1:10" s="94" customFormat="1" ht="15.75" customHeight="1" x14ac:dyDescent="0.25">
      <c r="A173" s="95">
        <f>A172+1</f>
        <v>5</v>
      </c>
      <c r="B173" s="95" t="s">
        <v>446</v>
      </c>
      <c r="C173" s="95" t="s">
        <v>378</v>
      </c>
      <c r="D173" s="103">
        <f>(30+10.42)*(10.764)</f>
        <v>435.08087999999998</v>
      </c>
      <c r="E173" s="103">
        <f>0*(10.764)</f>
        <v>0</v>
      </c>
      <c r="F173" s="95">
        <f t="shared" si="5"/>
        <v>435.08087999999998</v>
      </c>
      <c r="G173" s="95">
        <v>0</v>
      </c>
      <c r="H173" s="95">
        <f t="shared" si="6"/>
        <v>696.12940800000001</v>
      </c>
      <c r="I173" s="35"/>
    </row>
    <row r="174" spans="1:10" s="94" customFormat="1" ht="15.75" customHeight="1" x14ac:dyDescent="0.25">
      <c r="A174" s="95">
        <f>A173+1</f>
        <v>6</v>
      </c>
      <c r="B174" s="95" t="s">
        <v>446</v>
      </c>
      <c r="C174" s="95" t="s">
        <v>378</v>
      </c>
      <c r="D174" s="103">
        <f>(30+10.42)*(10.764)</f>
        <v>435.08087999999998</v>
      </c>
      <c r="E174" s="103">
        <f>0*(10.764)</f>
        <v>0</v>
      </c>
      <c r="F174" s="95">
        <f t="shared" si="5"/>
        <v>435.08087999999998</v>
      </c>
      <c r="G174" s="95">
        <v>0</v>
      </c>
      <c r="H174" s="95">
        <f t="shared" si="6"/>
        <v>696.12940800000001</v>
      </c>
      <c r="I174" s="35"/>
      <c r="J174" s="94">
        <v>6000</v>
      </c>
    </row>
    <row r="175" spans="1:10" s="94" customFormat="1" ht="15.75" customHeight="1" x14ac:dyDescent="0.25">
      <c r="A175" s="137" t="s">
        <v>388</v>
      </c>
      <c r="B175" s="138"/>
      <c r="C175" s="138"/>
      <c r="D175" s="138"/>
      <c r="E175" s="138"/>
      <c r="F175" s="138"/>
      <c r="G175" s="138"/>
      <c r="H175" s="139"/>
      <c r="I175" s="35"/>
      <c r="J175" s="94">
        <f>H176*$J$174</f>
        <v>4412120.5439999998</v>
      </c>
    </row>
    <row r="176" spans="1:10" s="94" customFormat="1" ht="15.75" customHeight="1" x14ac:dyDescent="0.25">
      <c r="A176" s="95">
        <v>1</v>
      </c>
      <c r="B176" s="95" t="s">
        <v>391</v>
      </c>
      <c r="C176" s="95" t="s">
        <v>378</v>
      </c>
      <c r="D176" s="103">
        <f>(30+10.41)*(10.764)</f>
        <v>434.97323999999992</v>
      </c>
      <c r="E176" s="103">
        <f>(0.75*3.05)*(10.764)</f>
        <v>24.622649999999993</v>
      </c>
      <c r="F176" s="95">
        <f t="shared" ref="F176:F181" si="7">D176+E176</f>
        <v>459.59588999999994</v>
      </c>
      <c r="G176" s="95">
        <v>0</v>
      </c>
      <c r="H176" s="95">
        <f t="shared" ref="H176:H181" si="8">F176*(($H$157)+1)+(IF(G176&lt;101,G176,IF(G176&lt;201,G176/2,IF(G176&lt;=301,G176/3,G176/4))))</f>
        <v>735.3534239999999</v>
      </c>
      <c r="I176" s="35"/>
      <c r="J176" s="111">
        <f t="shared" ref="J176:J181" si="9">H177*$J$174</f>
        <v>4412120.5439999998</v>
      </c>
    </row>
    <row r="177" spans="1:12" s="94" customFormat="1" ht="15.75" customHeight="1" x14ac:dyDescent="0.25">
      <c r="A177" s="95">
        <f>A176+1</f>
        <v>2</v>
      </c>
      <c r="B177" s="95" t="s">
        <v>391</v>
      </c>
      <c r="C177" s="95" t="s">
        <v>378</v>
      </c>
      <c r="D177" s="103">
        <f>(30+10.41)*(10.764)</f>
        <v>434.97323999999992</v>
      </c>
      <c r="E177" s="103">
        <f>(0.75*3.05)*(10.764)</f>
        <v>24.622649999999993</v>
      </c>
      <c r="F177" s="95">
        <f t="shared" si="7"/>
        <v>459.59588999999994</v>
      </c>
      <c r="G177" s="95">
        <v>0</v>
      </c>
      <c r="H177" s="95">
        <f t="shared" si="8"/>
        <v>735.3534239999999</v>
      </c>
      <c r="I177" s="35"/>
      <c r="J177" s="118">
        <f>H178*$J$174</f>
        <v>4175743.1039999994</v>
      </c>
    </row>
    <row r="178" spans="1:12" s="94" customFormat="1" ht="15.75" customHeight="1" x14ac:dyDescent="0.25">
      <c r="A178" s="95">
        <f>A177+1</f>
        <v>3</v>
      </c>
      <c r="B178" s="95" t="s">
        <v>391</v>
      </c>
      <c r="C178" s="95" t="s">
        <v>378</v>
      </c>
      <c r="D178" s="103">
        <f>(30+10.41)*(10.764)</f>
        <v>434.97323999999992</v>
      </c>
      <c r="E178" s="103">
        <f>0*(10.764)</f>
        <v>0</v>
      </c>
      <c r="F178" s="95">
        <f t="shared" si="7"/>
        <v>434.97323999999992</v>
      </c>
      <c r="G178" s="95">
        <v>0</v>
      </c>
      <c r="H178" s="95">
        <f t="shared" si="8"/>
        <v>695.95718399999987</v>
      </c>
      <c r="I178" s="35"/>
      <c r="J178" s="111">
        <f t="shared" si="9"/>
        <v>4175743.1039999994</v>
      </c>
    </row>
    <row r="179" spans="1:12" s="94" customFormat="1" ht="15.75" customHeight="1" x14ac:dyDescent="0.25">
      <c r="A179" s="95">
        <f>A178+1</f>
        <v>4</v>
      </c>
      <c r="B179" s="95" t="s">
        <v>391</v>
      </c>
      <c r="C179" s="95" t="s">
        <v>378</v>
      </c>
      <c r="D179" s="103">
        <f>(30+10.41)*(10.764)</f>
        <v>434.97323999999992</v>
      </c>
      <c r="E179" s="103">
        <f>0*(10.764)</f>
        <v>0</v>
      </c>
      <c r="F179" s="95">
        <f t="shared" si="7"/>
        <v>434.97323999999992</v>
      </c>
      <c r="G179" s="95">
        <v>0</v>
      </c>
      <c r="H179" s="95">
        <f t="shared" si="8"/>
        <v>695.95718399999987</v>
      </c>
      <c r="I179" s="35"/>
      <c r="J179" s="111">
        <f t="shared" si="9"/>
        <v>4176776.4479999999</v>
      </c>
    </row>
    <row r="180" spans="1:12" s="94" customFormat="1" x14ac:dyDescent="0.25">
      <c r="A180" s="95">
        <f>A179+1</f>
        <v>5</v>
      </c>
      <c r="B180" s="95" t="s">
        <v>391</v>
      </c>
      <c r="C180" s="95" t="s">
        <v>378</v>
      </c>
      <c r="D180" s="103">
        <f>(30+10.42)*(10.764)</f>
        <v>435.08087999999998</v>
      </c>
      <c r="E180" s="103">
        <f>0*(10.764)</f>
        <v>0</v>
      </c>
      <c r="F180" s="95">
        <f t="shared" si="7"/>
        <v>435.08087999999998</v>
      </c>
      <c r="G180" s="95">
        <v>0</v>
      </c>
      <c r="H180" s="95">
        <f t="shared" si="8"/>
        <v>696.12940800000001</v>
      </c>
      <c r="I180" s="35">
        <f>1</f>
        <v>1</v>
      </c>
      <c r="J180" s="111">
        <f t="shared" si="9"/>
        <v>4176776.4479999999</v>
      </c>
    </row>
    <row r="181" spans="1:12" s="94" customFormat="1" ht="15.75" customHeight="1" x14ac:dyDescent="0.25">
      <c r="A181" s="95">
        <f>A180+1</f>
        <v>6</v>
      </c>
      <c r="B181" s="95" t="s">
        <v>391</v>
      </c>
      <c r="C181" s="95" t="s">
        <v>378</v>
      </c>
      <c r="D181" s="103">
        <f>(30+10.42)*(10.764)</f>
        <v>435.08087999999998</v>
      </c>
      <c r="E181" s="103">
        <f>0*(10.764)</f>
        <v>0</v>
      </c>
      <c r="F181" s="95">
        <f t="shared" si="7"/>
        <v>435.08087999999998</v>
      </c>
      <c r="G181" s="95">
        <v>0</v>
      </c>
      <c r="H181" s="95">
        <f t="shared" si="8"/>
        <v>696.12940800000001</v>
      </c>
      <c r="I181" s="35"/>
      <c r="J181" s="114">
        <f t="shared" si="9"/>
        <v>0</v>
      </c>
    </row>
    <row r="182" spans="1:12" s="94" customFormat="1" ht="15.75" customHeight="1" x14ac:dyDescent="0.25">
      <c r="A182" s="318" t="s">
        <v>435</v>
      </c>
      <c r="B182" s="318"/>
      <c r="C182" s="318"/>
      <c r="D182" s="318"/>
      <c r="E182" s="318"/>
      <c r="F182" s="318"/>
      <c r="G182" s="318"/>
      <c r="H182" s="318"/>
      <c r="I182" s="35"/>
    </row>
    <row r="183" spans="1:12" s="94" customFormat="1" ht="15.75" customHeight="1" x14ac:dyDescent="0.25">
      <c r="A183" s="95">
        <v>1</v>
      </c>
      <c r="B183" s="95" t="s">
        <v>391</v>
      </c>
      <c r="C183" s="95" t="s">
        <v>378</v>
      </c>
      <c r="D183" s="103">
        <f>(30+10.41)*(10.764)</f>
        <v>434.97323999999992</v>
      </c>
      <c r="E183" s="103">
        <f>(0.75*3.05)*(10.764)</f>
        <v>24.622649999999993</v>
      </c>
      <c r="F183" s="41">
        <f>D183+E183</f>
        <v>459.59588999999994</v>
      </c>
      <c r="G183" s="41">
        <v>0</v>
      </c>
      <c r="H183" s="41">
        <f>F183*(($H$157)+1)+(IF(G183&lt;101,G183,IF(G183&lt;201,G183/2,IF(G183&lt;=301,G183/3,G183/4))))</f>
        <v>735.3534239999999</v>
      </c>
      <c r="I183" s="35"/>
    </row>
    <row r="184" spans="1:12" s="94" customFormat="1" ht="15.75" customHeight="1" x14ac:dyDescent="0.25">
      <c r="A184" s="95">
        <f>A183+1</f>
        <v>2</v>
      </c>
      <c r="B184" s="95" t="s">
        <v>391</v>
      </c>
      <c r="C184" s="95" t="s">
        <v>378</v>
      </c>
      <c r="D184" s="103">
        <f>(30+10.41)*(10.764)</f>
        <v>434.97323999999992</v>
      </c>
      <c r="E184" s="103">
        <f>(0.75*3.05)*(10.764)</f>
        <v>24.622649999999993</v>
      </c>
      <c r="F184" s="41">
        <f>D184+E184</f>
        <v>459.59588999999994</v>
      </c>
      <c r="G184" s="41">
        <v>0</v>
      </c>
      <c r="H184" s="41">
        <f>F184*(($H$157)+1)+(IF(G184&lt;101,G184,IF(G184&lt;201,G184/2,IF(G184&lt;=301,G184/3,G184/4))))</f>
        <v>735.3534239999999</v>
      </c>
      <c r="I184" s="35"/>
    </row>
    <row r="185" spans="1:12" s="94" customFormat="1" ht="15.75" customHeight="1" x14ac:dyDescent="0.25">
      <c r="A185" s="95">
        <f>A184+1</f>
        <v>3</v>
      </c>
      <c r="B185" s="95" t="s">
        <v>391</v>
      </c>
      <c r="C185" s="95" t="s">
        <v>392</v>
      </c>
      <c r="D185" s="103">
        <f>(36.53+15.14)*(10.764)</f>
        <v>556.17588000000001</v>
      </c>
      <c r="E185" s="103">
        <f>0*(10.764)</f>
        <v>0</v>
      </c>
      <c r="F185" s="41">
        <f>D185+E185</f>
        <v>556.17588000000001</v>
      </c>
      <c r="G185" s="41">
        <v>0</v>
      </c>
      <c r="H185" s="41">
        <f>F185*(($H$157)+1)+(IF(G185&lt;101,G185,IF(G185&lt;201,G185/2,IF(G185&lt;=301,G185/3,G185/4))))</f>
        <v>889.88140800000008</v>
      </c>
      <c r="I185" s="35"/>
    </row>
    <row r="186" spans="1:12" s="94" customFormat="1" ht="15.75" customHeight="1" x14ac:dyDescent="0.25">
      <c r="A186" s="95" t="s">
        <v>383</v>
      </c>
      <c r="B186" s="128" t="s">
        <v>384</v>
      </c>
      <c r="C186" s="129"/>
      <c r="D186" s="129"/>
      <c r="E186" s="129"/>
      <c r="F186" s="129"/>
      <c r="G186" s="129"/>
      <c r="H186" s="130"/>
      <c r="I186" s="35"/>
    </row>
    <row r="187" spans="1:12" s="94" customFormat="1" ht="15.75" customHeight="1" x14ac:dyDescent="0.25">
      <c r="A187" s="95">
        <v>5</v>
      </c>
      <c r="B187" s="95" t="s">
        <v>391</v>
      </c>
      <c r="C187" s="95" t="s">
        <v>378</v>
      </c>
      <c r="D187" s="103">
        <f>(30+10.42)*(10.764)</f>
        <v>435.08087999999998</v>
      </c>
      <c r="E187" s="103">
        <f>0*(10.764)</f>
        <v>0</v>
      </c>
      <c r="F187" s="41">
        <f>D187+E187</f>
        <v>435.08087999999998</v>
      </c>
      <c r="G187" s="41">
        <v>0</v>
      </c>
      <c r="H187" s="41">
        <f>F187*(($H$157)+1)+(IF(G187&lt;101,G187,IF(G187&lt;201,G187/2,IF(G187&lt;=301,G187/3,G187/4))))</f>
        <v>696.12940800000001</v>
      </c>
      <c r="I187" s="35"/>
    </row>
    <row r="188" spans="1:12" s="94" customFormat="1" ht="15.75" customHeight="1" x14ac:dyDescent="0.25">
      <c r="A188" s="95">
        <f>A187+1</f>
        <v>6</v>
      </c>
      <c r="B188" s="95" t="s">
        <v>391</v>
      </c>
      <c r="C188" s="95" t="s">
        <v>378</v>
      </c>
      <c r="D188" s="103">
        <f>(30+10.42)*(10.764)</f>
        <v>435.08087999999998</v>
      </c>
      <c r="E188" s="103">
        <f>0*(10.764)</f>
        <v>0</v>
      </c>
      <c r="F188" s="95">
        <f>D188+E188</f>
        <v>435.08087999999998</v>
      </c>
      <c r="G188" s="95">
        <v>0</v>
      </c>
      <c r="H188" s="95">
        <f>F188*(($H$157)+1)+(IF(G188&lt;101,G188,IF(G188&lt;201,G188/2,IF(G188&lt;=301,G188/3,G188/4))))</f>
        <v>696.12940800000001</v>
      </c>
      <c r="I188" s="110">
        <f>3.05*4.58+2.8*2.1+3.05*3.65+1.2*(2.15+2.25)+0.9*2.23+1.25*0.9-(3.05*1.52+3.05*1.21+2.1*0.93)+3.05*0.9</f>
        <v>31.858999999999998</v>
      </c>
      <c r="J188" s="108">
        <f>3.05*1.52+3.05*1.21+2.1*0.93+3.05*0.9</f>
        <v>13.0245</v>
      </c>
      <c r="K188" s="110">
        <f>I188+J188</f>
        <v>44.883499999999998</v>
      </c>
      <c r="L188" s="94">
        <f>31.88+11.28</f>
        <v>43.16</v>
      </c>
    </row>
    <row r="189" spans="1:12" s="93" customFormat="1" x14ac:dyDescent="0.25">
      <c r="A189" s="137" t="s">
        <v>389</v>
      </c>
      <c r="B189" s="138"/>
      <c r="C189" s="138"/>
      <c r="D189" s="138"/>
      <c r="E189" s="138"/>
      <c r="F189" s="138"/>
      <c r="G189" s="138"/>
      <c r="H189" s="139"/>
      <c r="J189" s="35"/>
    </row>
    <row r="190" spans="1:12" s="93" customFormat="1" x14ac:dyDescent="0.25">
      <c r="A190" s="95">
        <v>1</v>
      </c>
      <c r="B190" s="95" t="s">
        <v>391</v>
      </c>
      <c r="C190" s="95" t="s">
        <v>378</v>
      </c>
      <c r="D190" s="103">
        <f>(30+10.41)*(10.764)</f>
        <v>434.97323999999992</v>
      </c>
      <c r="E190" s="103">
        <f>(3.05*0.9)*(10.764)</f>
        <v>29.547180000000001</v>
      </c>
      <c r="F190" s="95">
        <f t="shared" ref="F190:F195" si="10">D190+E190</f>
        <v>464.52041999999994</v>
      </c>
      <c r="G190" s="95">
        <v>0</v>
      </c>
      <c r="H190" s="95">
        <f t="shared" ref="H190:H195" si="11">F190*(($H$157)+1)+(IF(G190&lt;101,G190,IF(G190&lt;201,G190/2,IF(G190&lt;=301,G190/3,G190/4))))</f>
        <v>743.23267199999998</v>
      </c>
      <c r="I190" s="35"/>
    </row>
    <row r="191" spans="1:12" s="36" customFormat="1" ht="15.75" customHeight="1" x14ac:dyDescent="0.25">
      <c r="A191" s="95">
        <f>A190+1</f>
        <v>2</v>
      </c>
      <c r="B191" s="95" t="s">
        <v>391</v>
      </c>
      <c r="C191" s="95" t="s">
        <v>378</v>
      </c>
      <c r="D191" s="103">
        <f>(30+10.41)*(10.764)</f>
        <v>434.97323999999992</v>
      </c>
      <c r="E191" s="103">
        <f t="shared" ref="E191:E195" si="12">(3.05*0.9)*(10.764)</f>
        <v>29.547180000000001</v>
      </c>
      <c r="F191" s="95">
        <f t="shared" si="10"/>
        <v>464.52041999999994</v>
      </c>
      <c r="G191" s="95">
        <v>0</v>
      </c>
      <c r="H191" s="95">
        <f t="shared" si="11"/>
        <v>743.23267199999998</v>
      </c>
      <c r="I191" s="35"/>
    </row>
    <row r="192" spans="1:12" s="36" customFormat="1" ht="15.75" customHeight="1" x14ac:dyDescent="0.25">
      <c r="A192" s="95">
        <f>A191+1</f>
        <v>3</v>
      </c>
      <c r="B192" s="95" t="s">
        <v>391</v>
      </c>
      <c r="C192" s="95" t="s">
        <v>378</v>
      </c>
      <c r="D192" s="103">
        <f>(30+10.41)*(10.764)</f>
        <v>434.97323999999992</v>
      </c>
      <c r="E192" s="103">
        <f t="shared" si="12"/>
        <v>29.547180000000001</v>
      </c>
      <c r="F192" s="95">
        <f t="shared" si="10"/>
        <v>464.52041999999994</v>
      </c>
      <c r="G192" s="95">
        <v>0</v>
      </c>
      <c r="H192" s="95">
        <f t="shared" si="11"/>
        <v>743.23267199999998</v>
      </c>
      <c r="I192" s="35"/>
    </row>
    <row r="193" spans="1:10" s="36" customFormat="1" ht="15.75" customHeight="1" x14ac:dyDescent="0.25">
      <c r="A193" s="95">
        <f>A192+1</f>
        <v>4</v>
      </c>
      <c r="B193" s="95" t="s">
        <v>391</v>
      </c>
      <c r="C193" s="95" t="s">
        <v>378</v>
      </c>
      <c r="D193" s="103">
        <f>(30+10.41)*(10.764)</f>
        <v>434.97323999999992</v>
      </c>
      <c r="E193" s="103">
        <f t="shared" si="12"/>
        <v>29.547180000000001</v>
      </c>
      <c r="F193" s="95">
        <f t="shared" si="10"/>
        <v>464.52041999999994</v>
      </c>
      <c r="G193" s="95">
        <v>0</v>
      </c>
      <c r="H193" s="95">
        <f t="shared" si="11"/>
        <v>743.23267199999998</v>
      </c>
      <c r="I193" s="35"/>
    </row>
    <row r="194" spans="1:10" s="36" customFormat="1" ht="15.75" customHeight="1" x14ac:dyDescent="0.25">
      <c r="A194" s="95">
        <f>A193+1</f>
        <v>5</v>
      </c>
      <c r="B194" s="95" t="s">
        <v>391</v>
      </c>
      <c r="C194" s="95" t="s">
        <v>378</v>
      </c>
      <c r="D194" s="103">
        <f>(30+10.42)*(10.764)</f>
        <v>435.08087999999998</v>
      </c>
      <c r="E194" s="103">
        <f t="shared" si="12"/>
        <v>29.547180000000001</v>
      </c>
      <c r="F194" s="95">
        <f t="shared" si="10"/>
        <v>464.62806</v>
      </c>
      <c r="G194" s="95">
        <v>0</v>
      </c>
      <c r="H194" s="95">
        <f t="shared" si="11"/>
        <v>743.40489600000001</v>
      </c>
      <c r="I194" s="35"/>
    </row>
    <row r="195" spans="1:10" s="93" customFormat="1" x14ac:dyDescent="0.25">
      <c r="A195" s="95">
        <f>A194+1</f>
        <v>6</v>
      </c>
      <c r="B195" s="95" t="s">
        <v>391</v>
      </c>
      <c r="C195" s="95" t="s">
        <v>378</v>
      </c>
      <c r="D195" s="103">
        <f>(30+10.42)*(10.764)</f>
        <v>435.08087999999998</v>
      </c>
      <c r="E195" s="103">
        <f t="shared" si="12"/>
        <v>29.547180000000001</v>
      </c>
      <c r="F195" s="95">
        <f t="shared" si="10"/>
        <v>464.62806</v>
      </c>
      <c r="G195" s="95">
        <v>0</v>
      </c>
      <c r="H195" s="95">
        <f t="shared" si="11"/>
        <v>743.40489600000001</v>
      </c>
      <c r="I195" s="35">
        <f>1</f>
        <v>1</v>
      </c>
    </row>
    <row r="196" spans="1:10" s="93" customFormat="1" ht="15.75" customHeight="1" x14ac:dyDescent="0.25">
      <c r="A196" s="179" t="s">
        <v>426</v>
      </c>
      <c r="B196" s="180"/>
      <c r="C196" s="180"/>
      <c r="D196" s="180"/>
      <c r="E196" s="180"/>
      <c r="F196" s="180"/>
      <c r="G196" s="180"/>
      <c r="H196" s="181"/>
      <c r="I196" s="35"/>
    </row>
    <row r="197" spans="1:10" s="93" customFormat="1" ht="15.75" customHeight="1" x14ac:dyDescent="0.25">
      <c r="A197" s="137" t="s">
        <v>433</v>
      </c>
      <c r="B197" s="138"/>
      <c r="C197" s="138"/>
      <c r="D197" s="138"/>
      <c r="E197" s="138"/>
      <c r="F197" s="138"/>
      <c r="G197" s="138"/>
      <c r="H197" s="139"/>
      <c r="I197" s="35"/>
    </row>
    <row r="198" spans="1:10" s="93" customFormat="1" ht="15.75" customHeight="1" x14ac:dyDescent="0.25">
      <c r="A198" s="182" t="s">
        <v>441</v>
      </c>
      <c r="B198" s="183"/>
      <c r="C198" s="183"/>
      <c r="D198" s="183"/>
      <c r="E198" s="183"/>
      <c r="F198" s="183"/>
      <c r="G198" s="183"/>
      <c r="H198" s="184"/>
      <c r="I198" s="117"/>
    </row>
    <row r="199" spans="1:10" s="93" customFormat="1" ht="15.75" customHeight="1" x14ac:dyDescent="0.25">
      <c r="A199" s="126">
        <v>1</v>
      </c>
      <c r="B199" s="127"/>
      <c r="C199" s="116" t="s">
        <v>378</v>
      </c>
      <c r="D199" s="103">
        <f>(2.75*3.8+2.25*2.45+2.75*3.35+1.2*2+1.5*1.75+1.5*0.9+2.25*1.2)*(10.764)</f>
        <v>368.66699999999997</v>
      </c>
      <c r="E199" s="103">
        <f>(2.75*0.75)*(10.764)</f>
        <v>22.200749999999999</v>
      </c>
      <c r="F199" s="116">
        <f t="shared" ref="F199:F206" si="13">D199+E199</f>
        <v>390.86775</v>
      </c>
      <c r="G199" s="116">
        <f>(2.75*1.8)*10.764</f>
        <v>53.281799999999997</v>
      </c>
      <c r="H199" s="116">
        <f t="shared" ref="H199:H206" si="14">F199*(($H$157)+1)+(IF(G199&lt;101,G199,IF(G199&lt;201,G199/2,IF(G199&lt;=301,G199/3,G199/4))))</f>
        <v>678.67020000000002</v>
      </c>
      <c r="I199" s="333">
        <f>724/F199</f>
        <v>1.8522889135775464</v>
      </c>
    </row>
    <row r="200" spans="1:10" s="93" customFormat="1" x14ac:dyDescent="0.25">
      <c r="A200" s="126">
        <v>2</v>
      </c>
      <c r="B200" s="127"/>
      <c r="C200" s="116" t="s">
        <v>378</v>
      </c>
      <c r="D200" s="115">
        <f>(2.75*3.8+1.8*3.1+2.75*3.35+1.8*1.2+1.8*1.2+1.2*0.9+1.3*1.8)*(10.764)</f>
        <v>355.02362999999997</v>
      </c>
      <c r="E200" s="103">
        <f t="shared" ref="E200:E205" si="15">(2.75*0.75)*(10.764)</f>
        <v>22.200749999999999</v>
      </c>
      <c r="F200" s="116">
        <f t="shared" si="13"/>
        <v>377.22438</v>
      </c>
      <c r="G200" s="116">
        <f>(2.75*1.8+0.9*1.8)*10.764</f>
        <v>70.719480000000004</v>
      </c>
      <c r="H200" s="116">
        <f t="shared" si="14"/>
        <v>674.27848800000004</v>
      </c>
      <c r="I200" s="333">
        <f>713/F200</f>
        <v>1.8901217360341345</v>
      </c>
    </row>
    <row r="201" spans="1:10" s="93" customFormat="1" ht="15.75" customHeight="1" x14ac:dyDescent="0.25">
      <c r="A201" s="126">
        <v>3</v>
      </c>
      <c r="B201" s="127"/>
      <c r="C201" s="116" t="s">
        <v>378</v>
      </c>
      <c r="D201" s="103">
        <f>(2.75*3.8+2.55*2.2+2.75*3.35+1.8*1.2+1.85*1.2+1.5*1.2+1.3*2.55)*(10.764)</f>
        <v>374.23736999999994</v>
      </c>
      <c r="E201" s="103">
        <f t="shared" si="15"/>
        <v>22.200749999999999</v>
      </c>
      <c r="F201" s="116">
        <f t="shared" si="13"/>
        <v>396.43811999999991</v>
      </c>
      <c r="G201" s="116">
        <f t="shared" ref="G201:G206" si="16">(2.75*1.8)*10.764</f>
        <v>53.281799999999997</v>
      </c>
      <c r="H201" s="116">
        <f t="shared" si="14"/>
        <v>687.58279199999993</v>
      </c>
      <c r="I201" s="333">
        <f>699/F201</f>
        <v>1.7632007739316293</v>
      </c>
    </row>
    <row r="202" spans="1:10" s="93" customFormat="1" ht="15.75" customHeight="1" x14ac:dyDescent="0.25">
      <c r="A202" s="126">
        <v>4</v>
      </c>
      <c r="B202" s="127"/>
      <c r="C202" s="116" t="s">
        <v>378</v>
      </c>
      <c r="D202" s="103">
        <f>(2.75*3.8+2.25*2.45+2.75*3.35+1.2*2+0.9*2+1.5*0.9+0.9*2+2.25*1.2)*(10.764)</f>
        <v>379.1619</v>
      </c>
      <c r="E202" s="103">
        <f t="shared" si="15"/>
        <v>22.200749999999999</v>
      </c>
      <c r="F202" s="116">
        <f t="shared" si="13"/>
        <v>401.36265000000003</v>
      </c>
      <c r="G202" s="116">
        <f t="shared" si="16"/>
        <v>53.281799999999997</v>
      </c>
      <c r="H202" s="116">
        <f t="shared" si="14"/>
        <v>695.46204000000012</v>
      </c>
      <c r="I202" s="333">
        <f>700/F202</f>
        <v>1.7440586462143399</v>
      </c>
    </row>
    <row r="203" spans="1:10" s="93" customFormat="1" ht="15.75" customHeight="1" x14ac:dyDescent="0.25">
      <c r="A203" s="126">
        <v>5</v>
      </c>
      <c r="B203" s="127"/>
      <c r="C203" s="116" t="s">
        <v>378</v>
      </c>
      <c r="D203" s="103">
        <f>(2.75*3.8+2.25*2.45+2.75*3.05+1.2*2+1.5*1.8+1.5*0.9+1.5*2+2.25*1.2)*(10.764)</f>
        <v>392.88599999999997</v>
      </c>
      <c r="E203" s="103">
        <f>(2.75*0.75)*(10.764)</f>
        <v>22.200749999999999</v>
      </c>
      <c r="F203" s="116">
        <f t="shared" si="13"/>
        <v>415.08674999999994</v>
      </c>
      <c r="G203" s="116">
        <f t="shared" si="16"/>
        <v>53.281799999999997</v>
      </c>
      <c r="H203" s="116">
        <f t="shared" si="14"/>
        <v>717.42059999999992</v>
      </c>
      <c r="I203" s="333">
        <f>718/F203</f>
        <v>1.7297588997962476</v>
      </c>
    </row>
    <row r="204" spans="1:10" s="93" customFormat="1" ht="15.75" customHeight="1" x14ac:dyDescent="0.25">
      <c r="A204" s="126">
        <v>6</v>
      </c>
      <c r="B204" s="127"/>
      <c r="C204" s="116" t="s">
        <v>378</v>
      </c>
      <c r="D204" s="103">
        <f>(2.75*3.8+2.55*2.2+2.75*3.35+1.8*1.2+1.85*1.2+1.5*1.2+1.3*2.55)*(10.764)</f>
        <v>374.23736999999994</v>
      </c>
      <c r="E204" s="103">
        <f t="shared" si="15"/>
        <v>22.200749999999999</v>
      </c>
      <c r="F204" s="116">
        <f t="shared" si="13"/>
        <v>396.43811999999991</v>
      </c>
      <c r="G204" s="116">
        <f t="shared" si="16"/>
        <v>53.281799999999997</v>
      </c>
      <c r="H204" s="116">
        <f t="shared" si="14"/>
        <v>687.58279199999993</v>
      </c>
      <c r="I204" s="333">
        <f>699/F204</f>
        <v>1.7632007739316293</v>
      </c>
    </row>
    <row r="205" spans="1:10" s="93" customFormat="1" x14ac:dyDescent="0.25">
      <c r="A205" s="126">
        <v>7</v>
      </c>
      <c r="B205" s="127"/>
      <c r="C205" s="116" t="s">
        <v>378</v>
      </c>
      <c r="D205" s="103">
        <f>(2.75*3.8+2.55*2.2+2.75*3.35+1.8*1.2+1.85*1.2+1.5*1.2+1.3*2.55)*(10.764)</f>
        <v>374.23736999999994</v>
      </c>
      <c r="E205" s="103">
        <f t="shared" si="15"/>
        <v>22.200749999999999</v>
      </c>
      <c r="F205" s="116">
        <f t="shared" si="13"/>
        <v>396.43811999999991</v>
      </c>
      <c r="G205" s="116">
        <f t="shared" si="16"/>
        <v>53.281799999999997</v>
      </c>
      <c r="H205" s="116">
        <f t="shared" si="14"/>
        <v>687.58279199999993</v>
      </c>
      <c r="I205" s="333">
        <f>732/F205</f>
        <v>1.8464420121859122</v>
      </c>
    </row>
    <row r="206" spans="1:10" s="109" customFormat="1" ht="15.75" customHeight="1" x14ac:dyDescent="0.25">
      <c r="A206" s="126">
        <v>8</v>
      </c>
      <c r="B206" s="127"/>
      <c r="C206" s="116" t="s">
        <v>378</v>
      </c>
      <c r="D206" s="103">
        <f>(2.75*3.8+2.25*2.45+2.75*3.35+1.2*2+1.5*1.75+1.5*0.9+2.25*1.2)*(10.764)</f>
        <v>368.66699999999997</v>
      </c>
      <c r="E206" s="103">
        <f>(2.75*0.75)*(10.764)</f>
        <v>22.200749999999999</v>
      </c>
      <c r="F206" s="116">
        <f t="shared" si="13"/>
        <v>390.86775</v>
      </c>
      <c r="G206" s="116">
        <f t="shared" si="16"/>
        <v>53.281799999999997</v>
      </c>
      <c r="H206" s="116">
        <f t="shared" si="14"/>
        <v>678.67020000000002</v>
      </c>
      <c r="I206" s="333">
        <f>724/F206</f>
        <v>1.8522889135775464</v>
      </c>
    </row>
    <row r="207" spans="1:10" s="109" customFormat="1" ht="15.75" customHeight="1" x14ac:dyDescent="0.25">
      <c r="A207" s="182" t="s">
        <v>440</v>
      </c>
      <c r="B207" s="183"/>
      <c r="C207" s="183"/>
      <c r="D207" s="183"/>
      <c r="E207" s="183"/>
      <c r="F207" s="183"/>
      <c r="G207" s="183"/>
      <c r="H207" s="184"/>
      <c r="I207" s="35"/>
      <c r="J207" s="109">
        <v>6000</v>
      </c>
    </row>
    <row r="208" spans="1:10" s="109" customFormat="1" ht="15.75" customHeight="1" x14ac:dyDescent="0.25">
      <c r="A208" s="128">
        <v>1</v>
      </c>
      <c r="B208" s="130"/>
      <c r="C208" s="95" t="s">
        <v>378</v>
      </c>
      <c r="D208" s="103">
        <f>(2.75*3.8+2.25*2.45+2.75*3.35+1.2*2+1.5*1.75+1.5*0.9+2.25*1.2)*(10.764)</f>
        <v>368.66699999999997</v>
      </c>
      <c r="E208" s="103">
        <f>(2.75*0.75)*(10.764)</f>
        <v>22.200749999999999</v>
      </c>
      <c r="F208" s="95">
        <f t="shared" ref="F208:F215" si="17">D208+E208</f>
        <v>390.86775</v>
      </c>
      <c r="G208" s="95">
        <f>(2.75*1.8)*10.764</f>
        <v>53.281799999999997</v>
      </c>
      <c r="H208" s="95">
        <f t="shared" ref="H208:H215" si="18">F208*(($H$157)+1)+(IF(G208&lt;101,G208,IF(G208&lt;201,G208/2,IF(G208&lt;=301,G208/3,G208/4))))</f>
        <v>678.67020000000002</v>
      </c>
      <c r="I208" s="35"/>
      <c r="J208" s="111">
        <f>H217*$J$207</f>
        <v>4072021.2</v>
      </c>
    </row>
    <row r="209" spans="1:14" s="109" customFormat="1" x14ac:dyDescent="0.25">
      <c r="A209" s="128">
        <v>2</v>
      </c>
      <c r="B209" s="130"/>
      <c r="C209" s="95" t="s">
        <v>378</v>
      </c>
      <c r="D209" s="115">
        <f>(2.75*3.8+1.8*3.1+2.75*3.35+1.8*1.2+1.8*1.2+1.2*0.9+1.3*1.8)*(10.764)</f>
        <v>355.02362999999997</v>
      </c>
      <c r="E209" s="103">
        <f t="shared" ref="E209:E214" si="19">(2.75*0.75)*(10.764)</f>
        <v>22.200749999999999</v>
      </c>
      <c r="F209" s="95">
        <f t="shared" si="17"/>
        <v>377.22438</v>
      </c>
      <c r="G209" s="95">
        <f>(2.75*1.8)*10.764</f>
        <v>53.281799999999997</v>
      </c>
      <c r="H209" s="95">
        <f t="shared" si="18"/>
        <v>656.84080800000004</v>
      </c>
      <c r="I209" s="35">
        <f>3</f>
        <v>3</v>
      </c>
      <c r="J209" s="118">
        <f t="shared" ref="J209:J215" si="20">H218*$J$207</f>
        <v>3941044.8480000002</v>
      </c>
    </row>
    <row r="210" spans="1:14" s="109" customFormat="1" ht="15.75" customHeight="1" x14ac:dyDescent="0.25">
      <c r="A210" s="128">
        <v>3</v>
      </c>
      <c r="B210" s="130"/>
      <c r="C210" s="95" t="s">
        <v>378</v>
      </c>
      <c r="D210" s="103">
        <f>(2.75*3.8+2.55*2.2+2.75*3.35+1.8*1.2+1.85*1.2+1.5*1.2+1.3*2.55)*(10.764)</f>
        <v>374.23736999999994</v>
      </c>
      <c r="E210" s="103">
        <f t="shared" si="19"/>
        <v>22.200749999999999</v>
      </c>
      <c r="F210" s="95">
        <f t="shared" si="17"/>
        <v>396.43811999999991</v>
      </c>
      <c r="G210" s="95">
        <f t="shared" ref="G210:G215" si="21">(2.75*1.8)*10.764</f>
        <v>53.281799999999997</v>
      </c>
      <c r="H210" s="95">
        <f t="shared" si="18"/>
        <v>687.58279199999993</v>
      </c>
      <c r="I210" s="35"/>
      <c r="J210" s="111">
        <f t="shared" si="20"/>
        <v>4125496.7519999994</v>
      </c>
    </row>
    <row r="211" spans="1:14" s="109" customFormat="1" ht="15.75" customHeight="1" x14ac:dyDescent="0.25">
      <c r="A211" s="128">
        <v>4</v>
      </c>
      <c r="B211" s="130"/>
      <c r="C211" s="95" t="s">
        <v>378</v>
      </c>
      <c r="D211" s="103">
        <f>(2.75*3.8+2.25*2.45+2.75*3.35+1.2*2+0.9*2+1.5*0.9+0.9*2+2.25*1.2)*(10.764)</f>
        <v>379.1619</v>
      </c>
      <c r="E211" s="103">
        <f t="shared" si="19"/>
        <v>22.200749999999999</v>
      </c>
      <c r="F211" s="95">
        <f t="shared" si="17"/>
        <v>401.36265000000003</v>
      </c>
      <c r="G211" s="95">
        <f t="shared" si="21"/>
        <v>53.281799999999997</v>
      </c>
      <c r="H211" s="95">
        <f t="shared" si="18"/>
        <v>695.46204000000012</v>
      </c>
      <c r="I211" s="35"/>
      <c r="J211" s="111">
        <f t="shared" si="20"/>
        <v>4172772.2400000007</v>
      </c>
    </row>
    <row r="212" spans="1:14" s="109" customFormat="1" ht="15.75" customHeight="1" x14ac:dyDescent="0.25">
      <c r="A212" s="128">
        <v>5</v>
      </c>
      <c r="B212" s="130"/>
      <c r="C212" s="95" t="s">
        <v>378</v>
      </c>
      <c r="D212" s="103">
        <f>(2.75*3.8+2.25*2.45+2.75*3.05+1.2*2+1.5*1.8+1.5*0.9+1.5*2+2.25*1.2)*(10.764)</f>
        <v>392.88599999999997</v>
      </c>
      <c r="E212" s="103">
        <f>(2.75*0.75)*(10.764)</f>
        <v>22.200749999999999</v>
      </c>
      <c r="F212" s="95">
        <f t="shared" si="17"/>
        <v>415.08674999999994</v>
      </c>
      <c r="G212" s="95">
        <f t="shared" si="21"/>
        <v>53.281799999999997</v>
      </c>
      <c r="H212" s="95">
        <f t="shared" si="18"/>
        <v>717.42059999999992</v>
      </c>
      <c r="I212" s="35"/>
      <c r="J212" s="111">
        <f t="shared" si="20"/>
        <v>4304523.5999999996</v>
      </c>
    </row>
    <row r="213" spans="1:14" s="109" customFormat="1" ht="15.75" customHeight="1" x14ac:dyDescent="0.25">
      <c r="A213" s="128">
        <v>6</v>
      </c>
      <c r="B213" s="130"/>
      <c r="C213" s="95" t="s">
        <v>378</v>
      </c>
      <c r="D213" s="103">
        <f>(2.75*3.8+2.55*2.2+2.75*3.35+1.8*1.2+1.85*1.2+1.5*1.2+1.3*2.55)*(10.764)</f>
        <v>374.23736999999994</v>
      </c>
      <c r="E213" s="103">
        <f t="shared" si="19"/>
        <v>22.200749999999999</v>
      </c>
      <c r="F213" s="95">
        <f t="shared" si="17"/>
        <v>396.43811999999991</v>
      </c>
      <c r="G213" s="95">
        <f t="shared" si="21"/>
        <v>53.281799999999997</v>
      </c>
      <c r="H213" s="95">
        <f t="shared" si="18"/>
        <v>687.58279199999993</v>
      </c>
      <c r="I213" s="35"/>
      <c r="J213" s="111">
        <f t="shared" si="20"/>
        <v>4125496.7519999994</v>
      </c>
    </row>
    <row r="214" spans="1:14" s="109" customFormat="1" x14ac:dyDescent="0.25">
      <c r="A214" s="128">
        <v>7</v>
      </c>
      <c r="B214" s="130"/>
      <c r="C214" s="95" t="s">
        <v>378</v>
      </c>
      <c r="D214" s="103">
        <f>(2.75*3.8+2.55*2.2+2.75*3.35+1.8*1.2+1.85*1.2+1.5*1.2+1.3*2.55)*(10.764)</f>
        <v>374.23736999999994</v>
      </c>
      <c r="E214" s="103">
        <f t="shared" si="19"/>
        <v>22.200749999999999</v>
      </c>
      <c r="F214" s="95">
        <f t="shared" si="17"/>
        <v>396.43811999999991</v>
      </c>
      <c r="G214" s="95">
        <f t="shared" si="21"/>
        <v>53.281799999999997</v>
      </c>
      <c r="H214" s="95">
        <f t="shared" si="18"/>
        <v>687.58279199999993</v>
      </c>
      <c r="I214" s="35">
        <f>3</f>
        <v>3</v>
      </c>
      <c r="J214" s="111">
        <f t="shared" si="20"/>
        <v>4125496.7519999994</v>
      </c>
    </row>
    <row r="215" spans="1:14" s="93" customFormat="1" ht="15.75" customHeight="1" x14ac:dyDescent="0.25">
      <c r="A215" s="128">
        <v>8</v>
      </c>
      <c r="B215" s="130"/>
      <c r="C215" s="95" t="s">
        <v>378</v>
      </c>
      <c r="D215" s="103">
        <f>(2.75*3.8+2.25*2.45+2.75*3.35+1.2*2+1.5*1.75+1.5*0.9+2.25*1.2)*(10.764)</f>
        <v>368.66699999999997</v>
      </c>
      <c r="E215" s="103">
        <f>(2.75*0.75)*(10.764)</f>
        <v>22.200749999999999</v>
      </c>
      <c r="F215" s="95">
        <f t="shared" si="17"/>
        <v>390.86775</v>
      </c>
      <c r="G215" s="95">
        <f t="shared" si="21"/>
        <v>53.281799999999997</v>
      </c>
      <c r="H215" s="95">
        <f t="shared" si="18"/>
        <v>678.67020000000002</v>
      </c>
      <c r="I215" s="35"/>
      <c r="J215" s="111">
        <f t="shared" si="20"/>
        <v>4072021.2</v>
      </c>
    </row>
    <row r="216" spans="1:14" s="93" customFormat="1" ht="15.75" customHeight="1" x14ac:dyDescent="0.25">
      <c r="A216" s="182" t="s">
        <v>459</v>
      </c>
      <c r="B216" s="183"/>
      <c r="C216" s="183"/>
      <c r="D216" s="183"/>
      <c r="E216" s="183"/>
      <c r="F216" s="183"/>
      <c r="G216" s="183"/>
      <c r="H216" s="184"/>
      <c r="I216" s="35"/>
    </row>
    <row r="217" spans="1:14" s="93" customFormat="1" ht="15.75" customHeight="1" x14ac:dyDescent="0.25">
      <c r="A217" s="128">
        <v>1</v>
      </c>
      <c r="B217" s="130"/>
      <c r="C217" s="41" t="s">
        <v>378</v>
      </c>
      <c r="D217" s="103">
        <f>(2.75*3.8+2.25*2.45+2.75*3.35+1.2*2+1.5*1.75+1.5*0.9+2.25*1.2)*(10.764)</f>
        <v>368.66699999999997</v>
      </c>
      <c r="E217" s="103">
        <f>(2.75*0.75)*(10.764)</f>
        <v>22.200749999999999</v>
      </c>
      <c r="F217" s="41">
        <f t="shared" ref="F217:F224" si="22">D217+E217</f>
        <v>390.86775</v>
      </c>
      <c r="G217" s="41">
        <f>(2.75*1.8)*10.764</f>
        <v>53.281799999999997</v>
      </c>
      <c r="H217" s="41">
        <f t="shared" ref="H217:H224" si="23">F217*(($H$157)+1)+(IF(G217&lt;101,G217,IF(G217&lt;201,G217/2,IF(G217&lt;=301,G217/3,G217/4))))</f>
        <v>678.67020000000002</v>
      </c>
      <c r="I217" s="35"/>
    </row>
    <row r="218" spans="1:14" s="93" customFormat="1" ht="15.75" customHeight="1" x14ac:dyDescent="0.25">
      <c r="A218" s="128">
        <v>2</v>
      </c>
      <c r="B218" s="130"/>
      <c r="C218" s="91" t="s">
        <v>378</v>
      </c>
      <c r="D218" s="115">
        <f>(2.75*3.8+1.8*3.1+2.75*3.35+1.8*1.2+1.8*1.2+1.2*0.9+1.3*1.8)*(10.764)</f>
        <v>355.02362999999997</v>
      </c>
      <c r="E218" s="103">
        <f t="shared" ref="E218:E223" si="24">(2.75*0.75)*(10.764)</f>
        <v>22.200749999999999</v>
      </c>
      <c r="F218" s="41">
        <f t="shared" si="22"/>
        <v>377.22438</v>
      </c>
      <c r="G218" s="95">
        <f>(2.75*1.8)*10.764</f>
        <v>53.281799999999997</v>
      </c>
      <c r="H218" s="41">
        <f t="shared" si="23"/>
        <v>656.84080800000004</v>
      </c>
      <c r="I218" s="35"/>
    </row>
    <row r="219" spans="1:14" s="94" customFormat="1" x14ac:dyDescent="0.25">
      <c r="A219" s="128">
        <v>3</v>
      </c>
      <c r="B219" s="130"/>
      <c r="C219" s="91" t="s">
        <v>378</v>
      </c>
      <c r="D219" s="103">
        <f>(2.75*3.8+2.55*2.2+2.75*3.35+1.8*1.2+1.85*1.2+1.5*1.2+1.3*2.55)*(10.764)</f>
        <v>374.23736999999994</v>
      </c>
      <c r="E219" s="103">
        <f t="shared" si="24"/>
        <v>22.200749999999999</v>
      </c>
      <c r="F219" s="41">
        <f t="shared" si="22"/>
        <v>396.43811999999991</v>
      </c>
      <c r="G219" s="95">
        <f t="shared" ref="G219:G224" si="25">(2.75*1.8)*10.764</f>
        <v>53.281799999999997</v>
      </c>
      <c r="H219" s="41">
        <f t="shared" si="23"/>
        <v>687.58279199999993</v>
      </c>
      <c r="J219" s="35"/>
    </row>
    <row r="220" spans="1:14" s="94" customFormat="1" x14ac:dyDescent="0.25">
      <c r="A220" s="128">
        <v>4</v>
      </c>
      <c r="B220" s="130"/>
      <c r="C220" s="91" t="s">
        <v>378</v>
      </c>
      <c r="D220" s="103">
        <f>(2.75*3.8+2.25*2.45+2.75*3.35+1.2*2+0.9*2+1.5*0.9+0.9*2+2.25*1.2)*(10.764)</f>
        <v>379.1619</v>
      </c>
      <c r="E220" s="103">
        <f t="shared" si="24"/>
        <v>22.200749999999999</v>
      </c>
      <c r="F220" s="41">
        <f t="shared" si="22"/>
        <v>401.36265000000003</v>
      </c>
      <c r="G220" s="95">
        <f t="shared" si="25"/>
        <v>53.281799999999997</v>
      </c>
      <c r="H220" s="41">
        <f t="shared" si="23"/>
        <v>695.46204000000012</v>
      </c>
      <c r="J220" s="35"/>
    </row>
    <row r="221" spans="1:14" s="36" customFormat="1" x14ac:dyDescent="0.25">
      <c r="A221" s="128">
        <v>5</v>
      </c>
      <c r="B221" s="130"/>
      <c r="C221" s="91" t="s">
        <v>378</v>
      </c>
      <c r="D221" s="103">
        <f>(2.75*3.8+2.25*2.45+2.75*3.05+1.2*2+1.5*1.8+1.5*0.9+1.5*2+2.25*1.2)*(10.764)</f>
        <v>392.88599999999997</v>
      </c>
      <c r="E221" s="103">
        <f>(2.75*0.75)*(10.764)</f>
        <v>22.200749999999999</v>
      </c>
      <c r="F221" s="41">
        <f t="shared" si="22"/>
        <v>415.08674999999994</v>
      </c>
      <c r="G221" s="95">
        <f t="shared" si="25"/>
        <v>53.281799999999997</v>
      </c>
      <c r="H221" s="41">
        <f t="shared" si="23"/>
        <v>717.42059999999992</v>
      </c>
      <c r="I221" s="36">
        <f>3</f>
        <v>3</v>
      </c>
      <c r="J221" s="102"/>
    </row>
    <row r="222" spans="1:14" s="36" customFormat="1" ht="15.75" customHeight="1" x14ac:dyDescent="0.25">
      <c r="A222" s="128">
        <v>6</v>
      </c>
      <c r="B222" s="130"/>
      <c r="C222" s="91" t="s">
        <v>378</v>
      </c>
      <c r="D222" s="103">
        <f>(2.75*3.8+2.55*2.2+2.75*3.35+1.8*1.2+1.85*1.2+1.5*1.2+1.3*2.55)*(10.764)</f>
        <v>374.23736999999994</v>
      </c>
      <c r="E222" s="103">
        <f t="shared" si="24"/>
        <v>22.200749999999999</v>
      </c>
      <c r="F222" s="91">
        <f t="shared" si="22"/>
        <v>396.43811999999991</v>
      </c>
      <c r="G222" s="95">
        <f t="shared" si="25"/>
        <v>53.281799999999997</v>
      </c>
      <c r="H222" s="91">
        <f t="shared" si="23"/>
        <v>687.58279199999993</v>
      </c>
      <c r="I222" s="35">
        <f>30</f>
        <v>30</v>
      </c>
      <c r="J222" s="36">
        <f>10.28</f>
        <v>10.28</v>
      </c>
      <c r="L222" s="175"/>
      <c r="M222" s="175"/>
      <c r="N222" s="35"/>
    </row>
    <row r="223" spans="1:14" s="36" customFormat="1" ht="15.75" customHeight="1" x14ac:dyDescent="0.25">
      <c r="A223" s="128">
        <v>7</v>
      </c>
      <c r="B223" s="130"/>
      <c r="C223" s="91" t="s">
        <v>378</v>
      </c>
      <c r="D223" s="103">
        <f>(2.75*3.8+2.55*2.2+2.75*3.35+1.8*1.2+1.85*1.2+1.5*1.2+1.3*2.55)*(10.764)</f>
        <v>374.23736999999994</v>
      </c>
      <c r="E223" s="103">
        <f t="shared" si="24"/>
        <v>22.200749999999999</v>
      </c>
      <c r="F223" s="91">
        <f t="shared" si="22"/>
        <v>396.43811999999991</v>
      </c>
      <c r="G223" s="95">
        <f t="shared" si="25"/>
        <v>53.281799999999997</v>
      </c>
      <c r="H223" s="91">
        <f t="shared" si="23"/>
        <v>687.58279199999993</v>
      </c>
      <c r="I223" s="35"/>
      <c r="L223" s="175"/>
      <c r="M223" s="175"/>
      <c r="N223" s="35"/>
    </row>
    <row r="224" spans="1:14" s="36" customFormat="1" x14ac:dyDescent="0.25">
      <c r="A224" s="128">
        <v>8</v>
      </c>
      <c r="B224" s="130"/>
      <c r="C224" s="91" t="s">
        <v>378</v>
      </c>
      <c r="D224" s="103">
        <f>(2.75*3.8+2.25*2.45+2.75*3.35+1.2*2+1.5*1.75+1.5*0.9+2.25*1.2)*(10.764)</f>
        <v>368.66699999999997</v>
      </c>
      <c r="E224" s="103">
        <f>(2.75*0.75)*(10.764)</f>
        <v>22.200749999999999</v>
      </c>
      <c r="F224" s="91">
        <f t="shared" si="22"/>
        <v>390.86775</v>
      </c>
      <c r="G224" s="95">
        <f t="shared" si="25"/>
        <v>53.281799999999997</v>
      </c>
      <c r="H224" s="91">
        <f t="shared" si="23"/>
        <v>678.67020000000002</v>
      </c>
      <c r="I224" s="35"/>
      <c r="N224" s="35"/>
    </row>
    <row r="225" spans="1:20" s="36" customFormat="1" x14ac:dyDescent="0.25">
      <c r="A225" s="182" t="s">
        <v>439</v>
      </c>
      <c r="B225" s="183"/>
      <c r="C225" s="183"/>
      <c r="D225" s="183"/>
      <c r="E225" s="183"/>
      <c r="F225" s="183"/>
      <c r="G225" s="183"/>
      <c r="H225" s="184"/>
      <c r="I225" s="35"/>
      <c r="N225" s="35"/>
    </row>
    <row r="226" spans="1:20" s="36" customFormat="1" x14ac:dyDescent="0.25">
      <c r="A226" s="128">
        <v>1</v>
      </c>
      <c r="B226" s="130"/>
      <c r="C226" s="95" t="s">
        <v>378</v>
      </c>
      <c r="D226" s="103">
        <f>(2.75*3.8+2.25*2.45+2.75*3.35+1.2*2+1.5*1.75+1.5*0.9+2.25*1.2)*(10.764)</f>
        <v>368.66699999999997</v>
      </c>
      <c r="E226" s="103">
        <f>(2.75*0.75)*(10.764)</f>
        <v>22.200749999999999</v>
      </c>
      <c r="F226" s="95">
        <f t="shared" ref="F226:F232" si="26">D226+E226</f>
        <v>390.86775</v>
      </c>
      <c r="G226" s="95">
        <f>(2.75*1.8)*10.764</f>
        <v>53.281799999999997</v>
      </c>
      <c r="H226" s="95">
        <f t="shared" ref="H226:H232" si="27">F226*(($H$157)+1)+(IF(G226&lt;101,G226,IF(G226&lt;201,G226/2,IF(G226&lt;=301,G226/3,G226/4))))</f>
        <v>678.67020000000002</v>
      </c>
      <c r="I226" s="35">
        <f>36.53</f>
        <v>36.53</v>
      </c>
      <c r="J226" s="36">
        <f>15.14</f>
        <v>15.14</v>
      </c>
      <c r="N226" s="35"/>
    </row>
    <row r="227" spans="1:20" s="36" customFormat="1" x14ac:dyDescent="0.25">
      <c r="A227" s="128">
        <v>2</v>
      </c>
      <c r="B227" s="130"/>
      <c r="C227" s="95" t="s">
        <v>378</v>
      </c>
      <c r="D227" s="115">
        <f>(2.75*3.8+1.8*3.1+2.75*3.35+1.8*1.2+1.8*1.2+1.2*0.9+1.3*1.8)*(10.764)</f>
        <v>355.02362999999997</v>
      </c>
      <c r="E227" s="103">
        <f t="shared" ref="E227:E231" si="28">(2.75*0.75)*(10.764)</f>
        <v>22.200749999999999</v>
      </c>
      <c r="F227" s="95">
        <f t="shared" si="26"/>
        <v>377.22438</v>
      </c>
      <c r="G227" s="95">
        <f>(2.75*1.8)*10.764</f>
        <v>53.281799999999997</v>
      </c>
      <c r="H227" s="95">
        <f t="shared" si="27"/>
        <v>656.84080800000004</v>
      </c>
      <c r="I227" s="35"/>
      <c r="N227" s="35"/>
    </row>
    <row r="228" spans="1:20" s="36" customFormat="1" x14ac:dyDescent="0.25">
      <c r="A228" s="128">
        <v>3</v>
      </c>
      <c r="B228" s="130"/>
      <c r="C228" s="95" t="s">
        <v>378</v>
      </c>
      <c r="D228" s="103">
        <f>(2.75*3.8+2.55*2.2+2.75*3.35+1.8*1.2+1.85*1.2+1.5*1.2+1.3*2.55)*(10.764)</f>
        <v>374.23736999999994</v>
      </c>
      <c r="E228" s="103">
        <f t="shared" si="28"/>
        <v>22.200749999999999</v>
      </c>
      <c r="F228" s="95">
        <f t="shared" si="26"/>
        <v>396.43811999999991</v>
      </c>
      <c r="G228" s="95">
        <f t="shared" ref="G228:G232" si="29">(2.75*1.8)*10.764</f>
        <v>53.281799999999997</v>
      </c>
      <c r="H228" s="95">
        <f t="shared" si="27"/>
        <v>687.58279199999993</v>
      </c>
      <c r="I228" s="35"/>
      <c r="N228" s="35"/>
    </row>
    <row r="229" spans="1:20" s="94" customFormat="1" x14ac:dyDescent="0.25">
      <c r="A229" s="128">
        <v>4</v>
      </c>
      <c r="B229" s="130"/>
      <c r="C229" s="95" t="s">
        <v>378</v>
      </c>
      <c r="D229" s="103">
        <f>(2.75*3.8+2.25*2.45+2.75*3.35+1.2*2+0.9*2+1.5*0.9+0.9*2+2.25*1.2)*(10.764)</f>
        <v>379.1619</v>
      </c>
      <c r="E229" s="103">
        <f t="shared" si="28"/>
        <v>22.200749999999999</v>
      </c>
      <c r="F229" s="95">
        <f t="shared" si="26"/>
        <v>401.36265000000003</v>
      </c>
      <c r="G229" s="95">
        <f t="shared" si="29"/>
        <v>53.281799999999997</v>
      </c>
      <c r="H229" s="95">
        <f t="shared" si="27"/>
        <v>695.46204000000012</v>
      </c>
      <c r="I229" s="35"/>
      <c r="N229" s="35"/>
    </row>
    <row r="230" spans="1:20" s="94" customFormat="1" x14ac:dyDescent="0.25">
      <c r="A230" s="128">
        <v>5</v>
      </c>
      <c r="B230" s="130"/>
      <c r="C230" s="95" t="s">
        <v>378</v>
      </c>
      <c r="D230" s="103">
        <f>(2.75*3.8+2.25*2.45+2.75*3.05+1.2*2+1.5*1.8+1.5*0.9+1.5*2+2.25*1.2)*(10.764)</f>
        <v>392.88599999999997</v>
      </c>
      <c r="E230" s="103">
        <f>(2.75*0.75)*(10.764)</f>
        <v>22.200749999999999</v>
      </c>
      <c r="F230" s="95">
        <f t="shared" si="26"/>
        <v>415.08674999999994</v>
      </c>
      <c r="G230" s="95">
        <f t="shared" si="29"/>
        <v>53.281799999999997</v>
      </c>
      <c r="H230" s="95">
        <f t="shared" si="27"/>
        <v>717.42059999999992</v>
      </c>
      <c r="I230" s="94">
        <f>1</f>
        <v>1</v>
      </c>
      <c r="J230" s="102"/>
    </row>
    <row r="231" spans="1:20" s="94" customFormat="1" ht="15.75" customHeight="1" x14ac:dyDescent="0.25">
      <c r="A231" s="128">
        <v>6</v>
      </c>
      <c r="B231" s="130"/>
      <c r="C231" s="95" t="s">
        <v>378</v>
      </c>
      <c r="D231" s="103">
        <f>(2.75*3.8+2.55*2.2+2.75*3.35+1.8*1.2+1.85*1.2+1.5*1.2+1.3*2.55)*(10.764)</f>
        <v>374.23736999999994</v>
      </c>
      <c r="E231" s="103">
        <f t="shared" si="28"/>
        <v>22.200749999999999</v>
      </c>
      <c r="F231" s="95">
        <f t="shared" si="26"/>
        <v>396.43811999999991</v>
      </c>
      <c r="G231" s="95">
        <f t="shared" si="29"/>
        <v>53.281799999999997</v>
      </c>
      <c r="H231" s="95">
        <f t="shared" si="27"/>
        <v>687.58279199999993</v>
      </c>
      <c r="I231" s="35"/>
      <c r="L231" s="175"/>
      <c r="M231" s="175"/>
      <c r="N231" s="35"/>
    </row>
    <row r="232" spans="1:20" s="94" customFormat="1" ht="15.75" customHeight="1" x14ac:dyDescent="0.25">
      <c r="A232" s="128">
        <v>7</v>
      </c>
      <c r="B232" s="130"/>
      <c r="C232" s="95" t="s">
        <v>392</v>
      </c>
      <c r="D232" s="103">
        <f>(2.75*3.8+2.55*2.2+2.75*3.35+2.75*3.8+1.5*1+1.2*2+1.8*1.2+1.85*1.2+1.5*1.2+1.3*2.55)*(10.764)</f>
        <v>528.70076999999992</v>
      </c>
      <c r="E232" s="103">
        <f>(0.75*(2.75*2))*(10.764)</f>
        <v>44.401499999999999</v>
      </c>
      <c r="F232" s="95">
        <f t="shared" si="26"/>
        <v>573.10226999999986</v>
      </c>
      <c r="G232" s="95">
        <f t="shared" si="29"/>
        <v>53.281799999999997</v>
      </c>
      <c r="H232" s="95">
        <f t="shared" si="27"/>
        <v>970.24543199999982</v>
      </c>
      <c r="I232" s="35"/>
      <c r="L232" s="175"/>
      <c r="M232" s="175"/>
      <c r="N232" s="35"/>
    </row>
    <row r="233" spans="1:20" s="94" customFormat="1" ht="15.75" customHeight="1" x14ac:dyDescent="0.25">
      <c r="A233" s="128" t="s">
        <v>383</v>
      </c>
      <c r="B233" s="130"/>
      <c r="C233" s="128" t="s">
        <v>384</v>
      </c>
      <c r="D233" s="129"/>
      <c r="E233" s="129"/>
      <c r="F233" s="129"/>
      <c r="G233" s="129"/>
      <c r="H233" s="130"/>
      <c r="I233" s="35"/>
      <c r="L233" s="175"/>
      <c r="M233" s="175"/>
      <c r="N233" s="35"/>
    </row>
    <row r="234" spans="1:20" s="94" customFormat="1" ht="15.75" customHeight="1" x14ac:dyDescent="0.25">
      <c r="A234" s="179" t="s">
        <v>431</v>
      </c>
      <c r="B234" s="180"/>
      <c r="C234" s="180"/>
      <c r="D234" s="180"/>
      <c r="E234" s="180"/>
      <c r="F234" s="180"/>
      <c r="G234" s="180"/>
      <c r="H234" s="181"/>
      <c r="I234" s="35"/>
      <c r="L234" s="175"/>
      <c r="M234" s="175"/>
      <c r="N234" s="35"/>
      <c r="T234" s="20"/>
    </row>
    <row r="235" spans="1:20" s="94" customFormat="1" ht="15.75" customHeight="1" x14ac:dyDescent="0.25">
      <c r="A235" s="204" t="s">
        <v>437</v>
      </c>
      <c r="B235" s="205"/>
      <c r="C235" s="205"/>
      <c r="D235" s="205"/>
      <c r="E235" s="205"/>
      <c r="F235" s="205"/>
      <c r="G235" s="205"/>
      <c r="H235" s="206"/>
      <c r="I235" s="35"/>
      <c r="L235" s="175"/>
      <c r="M235" s="175"/>
      <c r="N235" s="35"/>
    </row>
    <row r="236" spans="1:20" s="94" customFormat="1" ht="15.75" customHeight="1" x14ac:dyDescent="0.25">
      <c r="A236" s="128">
        <v>1</v>
      </c>
      <c r="B236" s="130"/>
      <c r="C236" s="41" t="s">
        <v>378</v>
      </c>
      <c r="D236" s="41">
        <f>328.52</f>
        <v>328.52</v>
      </c>
      <c r="E236" s="41">
        <v>0</v>
      </c>
      <c r="F236" s="41">
        <f>D236+E236</f>
        <v>328.52</v>
      </c>
      <c r="G236" s="41">
        <v>0</v>
      </c>
      <c r="H236" s="41">
        <f>F236*(($H$157)+1)+(IF(G236&lt;101,G236,IF(G236&lt;201,G236/2,IF(G236&lt;=301,G236/3,G236/4))))</f>
        <v>525.63199999999995</v>
      </c>
      <c r="I236" s="35"/>
      <c r="L236" s="175"/>
      <c r="M236" s="175"/>
      <c r="N236" s="35"/>
      <c r="T236" s="20"/>
    </row>
    <row r="237" spans="1:20" s="34" customFormat="1" x14ac:dyDescent="0.25">
      <c r="A237" s="128">
        <v>2</v>
      </c>
      <c r="B237" s="130"/>
      <c r="C237" s="91" t="s">
        <v>378</v>
      </c>
      <c r="D237" s="41">
        <f>317</f>
        <v>317</v>
      </c>
      <c r="E237" s="41">
        <v>0</v>
      </c>
      <c r="F237" s="41">
        <f>D237+E237</f>
        <v>317</v>
      </c>
      <c r="G237" s="41">
        <v>0</v>
      </c>
      <c r="H237" s="41">
        <f>F237*(($H$157)+1)+(IF(G237&lt;101,G237,IF(G237&lt;201,G237/2,IF(G237&lt;=301,G237/3,G237/4))))</f>
        <v>507.20000000000005</v>
      </c>
      <c r="T237" s="36"/>
    </row>
    <row r="238" spans="1:20" s="34" customFormat="1" x14ac:dyDescent="0.25">
      <c r="A238" s="128">
        <v>3</v>
      </c>
      <c r="B238" s="130"/>
      <c r="C238" s="91" t="s">
        <v>378</v>
      </c>
      <c r="D238" s="91">
        <f>317</f>
        <v>317</v>
      </c>
      <c r="E238" s="41">
        <v>0</v>
      </c>
      <c r="F238" s="41">
        <f>D238+E238</f>
        <v>317</v>
      </c>
      <c r="G238" s="41">
        <v>0</v>
      </c>
      <c r="H238" s="41">
        <f>F238*(($H$157)+1)+(IF(G238&lt;101,G238,IF(G238&lt;201,G238/2,IF(G238&lt;=301,G238/3,G238/4))))</f>
        <v>507.20000000000005</v>
      </c>
      <c r="T238" s="36"/>
    </row>
    <row r="239" spans="1:20" s="34" customFormat="1" x14ac:dyDescent="0.25">
      <c r="A239" s="128">
        <v>4</v>
      </c>
      <c r="B239" s="130"/>
      <c r="C239" s="91" t="s">
        <v>378</v>
      </c>
      <c r="D239" s="91">
        <f>317</f>
        <v>317</v>
      </c>
      <c r="E239" s="41">
        <v>0</v>
      </c>
      <c r="F239" s="41">
        <f>D239+E239</f>
        <v>317</v>
      </c>
      <c r="G239" s="41">
        <v>0</v>
      </c>
      <c r="H239" s="41">
        <f>F239*(($H$157)+1)+(IF(G239&lt;101,G239,IF(G239&lt;201,G239/2,IF(G239&lt;=301,G239/3,G239/4))))</f>
        <v>507.20000000000005</v>
      </c>
      <c r="T239" s="36"/>
    </row>
    <row r="240" spans="1:20" s="34" customFormat="1" x14ac:dyDescent="0.25">
      <c r="A240" s="137" t="s">
        <v>379</v>
      </c>
      <c r="B240" s="138"/>
      <c r="C240" s="138"/>
      <c r="D240" s="138"/>
      <c r="E240" s="138"/>
      <c r="F240" s="138"/>
      <c r="G240" s="138"/>
      <c r="H240" s="139"/>
      <c r="T240" s="36"/>
    </row>
    <row r="241" spans="1:20" s="34" customFormat="1" x14ac:dyDescent="0.25">
      <c r="A241" s="128">
        <v>1</v>
      </c>
      <c r="B241" s="130"/>
      <c r="C241" s="91" t="s">
        <v>378</v>
      </c>
      <c r="D241" s="91">
        <f>422.81</f>
        <v>422.81</v>
      </c>
      <c r="E241" s="91">
        <v>0</v>
      </c>
      <c r="F241" s="91">
        <f>D241+E241</f>
        <v>422.81</v>
      </c>
      <c r="G241" s="91">
        <f>92.68</f>
        <v>92.68</v>
      </c>
      <c r="H241" s="91">
        <f>F241*(($H$157)+1)+(IF(G241&lt;101,G241,IF(G241&lt;201,G241/2,IF(G241&lt;=301,G241/3,G241/4))))</f>
        <v>769.17600000000016</v>
      </c>
      <c r="T241" s="36"/>
    </row>
    <row r="242" spans="1:20" s="34" customFormat="1" x14ac:dyDescent="0.25">
      <c r="A242" s="128">
        <v>2</v>
      </c>
      <c r="B242" s="130"/>
      <c r="C242" s="91" t="s">
        <v>378</v>
      </c>
      <c r="D242" s="91">
        <f>(45.87-5.51)*10.764</f>
        <v>434.43503999999996</v>
      </c>
      <c r="E242" s="91">
        <v>0</v>
      </c>
      <c r="F242" s="91">
        <f>D242+E242</f>
        <v>434.43503999999996</v>
      </c>
      <c r="G242" s="91">
        <f>(5.51)*10.764</f>
        <v>59.309639999999995</v>
      </c>
      <c r="H242" s="91">
        <f>F242*(($H$157)+1)+(IF(G242&lt;101,G242,IF(G242&lt;201,G242/2,IF(G242&lt;=301,G242/3,G242/4))))</f>
        <v>754.4057039999999</v>
      </c>
    </row>
    <row r="243" spans="1:20" s="34" customFormat="1" x14ac:dyDescent="0.25">
      <c r="A243" s="128">
        <v>3</v>
      </c>
      <c r="B243" s="130"/>
      <c r="C243" s="91" t="s">
        <v>378</v>
      </c>
      <c r="D243" s="91">
        <f>(45.87-5.51)*10.764</f>
        <v>434.43503999999996</v>
      </c>
      <c r="E243" s="91">
        <v>0</v>
      </c>
      <c r="F243" s="91">
        <f>D243+E243</f>
        <v>434.43503999999996</v>
      </c>
      <c r="G243" s="91">
        <f>(5.51)*10.764</f>
        <v>59.309639999999995</v>
      </c>
      <c r="H243" s="91">
        <f>F243*(($H$157)+1)+(IF(G243&lt;101,G243,IF(G243&lt;201,G243/2,IF(G243&lt;=301,G243/3,G243/4))))</f>
        <v>754.4057039999999</v>
      </c>
    </row>
    <row r="244" spans="1:20" s="34" customFormat="1" x14ac:dyDescent="0.25">
      <c r="A244" s="128">
        <v>4</v>
      </c>
      <c r="B244" s="130"/>
      <c r="C244" s="91" t="s">
        <v>378</v>
      </c>
      <c r="D244" s="91">
        <f>422.81</f>
        <v>422.81</v>
      </c>
      <c r="E244" s="91">
        <v>0</v>
      </c>
      <c r="F244" s="91">
        <f>D244+E244</f>
        <v>422.81</v>
      </c>
      <c r="G244" s="91">
        <f>148.01</f>
        <v>148.01</v>
      </c>
      <c r="H244" s="91">
        <f>F244*(($H$157)+1)+(IF(G244&lt;101,G244,IF(G244&lt;201,G244/2,IF(G244&lt;=301,G244/3,G244/4))))</f>
        <v>750.50100000000009</v>
      </c>
    </row>
    <row r="245" spans="1:20" s="34" customFormat="1" x14ac:dyDescent="0.25">
      <c r="A245" s="137" t="s">
        <v>380</v>
      </c>
      <c r="B245" s="138"/>
      <c r="C245" s="138"/>
      <c r="D245" s="138"/>
      <c r="E245" s="138"/>
      <c r="F245" s="138"/>
      <c r="G245" s="138"/>
      <c r="H245" s="139"/>
    </row>
    <row r="246" spans="1:20" s="34" customFormat="1" x14ac:dyDescent="0.25">
      <c r="A246" s="128">
        <v>1</v>
      </c>
      <c r="B246" s="130"/>
      <c r="C246" s="91" t="s">
        <v>378</v>
      </c>
      <c r="D246" s="91">
        <f>(47.12-5.4)*10.764</f>
        <v>449.07407999999998</v>
      </c>
      <c r="E246" s="91">
        <v>0</v>
      </c>
      <c r="F246" s="91">
        <f>D246+E246</f>
        <v>449.07407999999998</v>
      </c>
      <c r="G246" s="91">
        <f>5.4*10.764</f>
        <v>58.125599999999999</v>
      </c>
      <c r="H246" s="91">
        <f>F246*(($H$157)+1)+(IF(G246&lt;101,G246,IF(G246&lt;201,G246/2,IF(G246&lt;=301,G246/3,G246/4))))</f>
        <v>776.64412800000002</v>
      </c>
    </row>
    <row r="247" spans="1:20" s="34" customFormat="1" x14ac:dyDescent="0.25">
      <c r="A247" s="128">
        <v>2</v>
      </c>
      <c r="B247" s="130"/>
      <c r="C247" s="91" t="s">
        <v>378</v>
      </c>
      <c r="D247" s="91">
        <f>(45.59-5.4)*10.764</f>
        <v>432.60516000000001</v>
      </c>
      <c r="E247" s="91">
        <v>0</v>
      </c>
      <c r="F247" s="91">
        <f>D247+E247</f>
        <v>432.60516000000001</v>
      </c>
      <c r="G247" s="91">
        <f>5.4*10.764</f>
        <v>58.125599999999999</v>
      </c>
      <c r="H247" s="91">
        <f>F247*(($H$157)+1)+(IF(G247&lt;101,G247,IF(G247&lt;201,G247/2,IF(G247&lt;=301,G247/3,G247/4))))</f>
        <v>750.29385600000001</v>
      </c>
    </row>
    <row r="248" spans="1:20" s="34" customFormat="1" x14ac:dyDescent="0.25">
      <c r="A248" s="128">
        <v>3</v>
      </c>
      <c r="B248" s="130"/>
      <c r="C248" s="91" t="s">
        <v>378</v>
      </c>
      <c r="D248" s="91">
        <f>(45.59-5.4)*10.764</f>
        <v>432.60516000000001</v>
      </c>
      <c r="E248" s="91">
        <v>0</v>
      </c>
      <c r="F248" s="91">
        <f>D248+E248</f>
        <v>432.60516000000001</v>
      </c>
      <c r="G248" s="91">
        <f>5.4*10.764</f>
        <v>58.125599999999999</v>
      </c>
      <c r="H248" s="91">
        <f>F248*(($H$157)+1)+(IF(G248&lt;101,G248,IF(G248&lt;201,G248/2,IF(G248&lt;=301,G248/3,G248/4))))</f>
        <v>750.29385600000001</v>
      </c>
    </row>
    <row r="249" spans="1:20" s="34" customFormat="1" x14ac:dyDescent="0.25">
      <c r="A249" s="128">
        <v>4</v>
      </c>
      <c r="B249" s="130"/>
      <c r="C249" s="91" t="s">
        <v>378</v>
      </c>
      <c r="D249" s="91">
        <f>(47.11-5.4)*10.764</f>
        <v>448.96643999999998</v>
      </c>
      <c r="E249" s="91">
        <v>0</v>
      </c>
      <c r="F249" s="91">
        <f>D249+E249</f>
        <v>448.96643999999998</v>
      </c>
      <c r="G249" s="91">
        <f>5.4*10.764</f>
        <v>58.125599999999999</v>
      </c>
      <c r="H249" s="91">
        <f>F249*(($H$157)+1)+(IF(G249&lt;101,G249,IF(G249&lt;201,G249/2,IF(G249&lt;=301,G249/3,G249/4))))</f>
        <v>776.47190399999999</v>
      </c>
    </row>
    <row r="250" spans="1:20" s="34" customFormat="1" x14ac:dyDescent="0.25">
      <c r="A250" s="137" t="s">
        <v>381</v>
      </c>
      <c r="B250" s="138"/>
      <c r="C250" s="138"/>
      <c r="D250" s="138"/>
      <c r="E250" s="138"/>
      <c r="F250" s="138"/>
      <c r="G250" s="138"/>
      <c r="H250" s="139"/>
    </row>
    <row r="251" spans="1:20" s="34" customFormat="1" x14ac:dyDescent="0.25">
      <c r="A251" s="128">
        <v>1</v>
      </c>
      <c r="B251" s="130"/>
      <c r="C251" s="91" t="s">
        <v>378</v>
      </c>
      <c r="D251" s="91">
        <f>(47.48-5.95)*10.764</f>
        <v>447.02891999999991</v>
      </c>
      <c r="E251" s="91">
        <v>0</v>
      </c>
      <c r="F251" s="91">
        <f>D251+E251</f>
        <v>447.02891999999991</v>
      </c>
      <c r="G251" s="91">
        <f>5.95*10.764</f>
        <v>64.0458</v>
      </c>
      <c r="H251" s="91">
        <f>F251*(($H$157)+1)+(IF(G251&lt;101,G251,IF(G251&lt;201,G251/2,IF(G251&lt;=301,G251/3,G251/4))))</f>
        <v>779.29207199999985</v>
      </c>
    </row>
    <row r="252" spans="1:20" x14ac:dyDescent="0.25">
      <c r="A252" s="128">
        <v>2</v>
      </c>
      <c r="B252" s="130"/>
      <c r="C252" s="91" t="s">
        <v>378</v>
      </c>
      <c r="D252" s="91">
        <f>(45.87-5.51)*10.764</f>
        <v>434.43503999999996</v>
      </c>
      <c r="E252" s="91">
        <v>0</v>
      </c>
      <c r="F252" s="91">
        <f>D252+E252</f>
        <v>434.43503999999996</v>
      </c>
      <c r="G252" s="91">
        <f>5.51*10.764</f>
        <v>59.309639999999995</v>
      </c>
      <c r="H252" s="91">
        <f>F252*(($H$157)+1)+(IF(G252&lt;101,G252,IF(G252&lt;201,G252/2,IF(G252&lt;=301,G252/3,G252/4))))</f>
        <v>754.4057039999999</v>
      </c>
      <c r="T252" s="34"/>
    </row>
    <row r="253" spans="1:20" x14ac:dyDescent="0.25">
      <c r="A253" s="128">
        <v>3</v>
      </c>
      <c r="B253" s="130"/>
      <c r="C253" s="91" t="s">
        <v>378</v>
      </c>
      <c r="D253" s="91">
        <f>(45.87-5.51)*10.764</f>
        <v>434.43503999999996</v>
      </c>
      <c r="E253" s="91">
        <v>0</v>
      </c>
      <c r="F253" s="91">
        <f>D253+E253</f>
        <v>434.43503999999996</v>
      </c>
      <c r="G253" s="91">
        <f>5.51*10.764</f>
        <v>59.309639999999995</v>
      </c>
      <c r="H253" s="91">
        <f>F253*(($H$157)+1)+(IF(G253&lt;101,G253,IF(G253&lt;201,G253/2,IF(G253&lt;=301,G253/3,G253/4))))</f>
        <v>754.4057039999999</v>
      </c>
      <c r="T253" s="34"/>
    </row>
    <row r="254" spans="1:20" ht="15.75" customHeight="1" x14ac:dyDescent="0.25">
      <c r="A254" s="128">
        <v>4</v>
      </c>
      <c r="B254" s="130"/>
      <c r="C254" s="91" t="s">
        <v>378</v>
      </c>
      <c r="D254" s="91">
        <f>(47.48-5.95)*10.764</f>
        <v>447.02891999999991</v>
      </c>
      <c r="E254" s="91">
        <v>0</v>
      </c>
      <c r="F254" s="91">
        <f>D254+E254</f>
        <v>447.02891999999991</v>
      </c>
      <c r="G254" s="91">
        <f>5.95*10.764</f>
        <v>64.0458</v>
      </c>
      <c r="H254" s="91">
        <f>F254*(($H$157)+1)+(IF(G254&lt;101,G254,IF(G254&lt;201,G254/2,IF(G254&lt;=301,G254/3,G254/4))))</f>
        <v>779.29207199999985</v>
      </c>
      <c r="T254" s="34"/>
    </row>
    <row r="255" spans="1:20" x14ac:dyDescent="0.25">
      <c r="A255" s="311" t="s">
        <v>63</v>
      </c>
      <c r="B255" s="311"/>
      <c r="C255" s="311"/>
      <c r="D255" s="311"/>
      <c r="E255" s="311"/>
      <c r="F255" s="311"/>
      <c r="G255" s="311"/>
      <c r="H255" s="311"/>
      <c r="T255" s="34"/>
    </row>
    <row r="256" spans="1:20" ht="32.25" customHeight="1" x14ac:dyDescent="0.25">
      <c r="A256" s="44" t="s">
        <v>144</v>
      </c>
      <c r="B256" s="120" t="s">
        <v>447</v>
      </c>
      <c r="C256" s="121"/>
      <c r="D256" s="121"/>
      <c r="E256" s="121"/>
      <c r="F256" s="121"/>
      <c r="G256" s="121"/>
      <c r="H256" s="122"/>
      <c r="T256" s="34"/>
    </row>
    <row r="257" spans="1:20" x14ac:dyDescent="0.25">
      <c r="A257" s="44" t="s">
        <v>144</v>
      </c>
      <c r="B257" s="120" t="str">
        <f>(IF(H156="Saleable area Loading :","We have considered Saleable area of Flats as per our Calculation.","We considered Saleable area of Flat as per Builder area Sheet."))</f>
        <v>We have considered Saleable area of Flats as per our Calculation.</v>
      </c>
      <c r="C257" s="121"/>
      <c r="D257" s="121"/>
      <c r="E257" s="121"/>
      <c r="F257" s="121"/>
      <c r="G257" s="121"/>
      <c r="H257" s="122"/>
      <c r="T257" s="34"/>
    </row>
    <row r="258" spans="1:20" x14ac:dyDescent="0.25">
      <c r="A258" s="44" t="s">
        <v>144</v>
      </c>
      <c r="B258" s="303" t="s">
        <v>114</v>
      </c>
      <c r="C258" s="304"/>
      <c r="D258" s="304"/>
      <c r="E258" s="304"/>
      <c r="F258" s="304"/>
      <c r="G258" s="304"/>
      <c r="H258" s="305"/>
    </row>
    <row r="259" spans="1:20" x14ac:dyDescent="0.25">
      <c r="A259" s="44" t="s">
        <v>144</v>
      </c>
      <c r="B259" s="120" t="s">
        <v>442</v>
      </c>
      <c r="C259" s="121"/>
      <c r="D259" s="121"/>
      <c r="E259" s="121"/>
      <c r="F259" s="121"/>
      <c r="G259" s="121"/>
      <c r="H259" s="122"/>
    </row>
    <row r="260" spans="1:20" x14ac:dyDescent="0.25">
      <c r="A260" s="44" t="s">
        <v>144</v>
      </c>
      <c r="B260" s="303" t="s">
        <v>143</v>
      </c>
      <c r="C260" s="304"/>
      <c r="D260" s="304"/>
      <c r="E260" s="304"/>
      <c r="F260" s="304"/>
      <c r="G260" s="304"/>
      <c r="H260" s="305"/>
    </row>
    <row r="261" spans="1:20" x14ac:dyDescent="0.25">
      <c r="A261" s="44" t="s">
        <v>144</v>
      </c>
      <c r="B261" s="303" t="s">
        <v>115</v>
      </c>
      <c r="C261" s="304"/>
      <c r="D261" s="304"/>
      <c r="E261" s="304"/>
      <c r="F261" s="304"/>
      <c r="G261" s="304"/>
      <c r="H261" s="305"/>
    </row>
    <row r="262" spans="1:20" ht="31.5" customHeight="1" x14ac:dyDescent="0.25">
      <c r="A262" s="44" t="s">
        <v>144</v>
      </c>
      <c r="B262" s="120" t="s">
        <v>145</v>
      </c>
      <c r="C262" s="121"/>
      <c r="D262" s="121"/>
      <c r="E262" s="121"/>
      <c r="F262" s="121"/>
      <c r="G262" s="121"/>
      <c r="H262" s="122"/>
    </row>
    <row r="263" spans="1:20" x14ac:dyDescent="0.25">
      <c r="A263" s="44" t="s">
        <v>144</v>
      </c>
      <c r="B263" s="120" t="s">
        <v>116</v>
      </c>
      <c r="C263" s="121"/>
      <c r="D263" s="121"/>
      <c r="E263" s="121"/>
      <c r="F263" s="121"/>
      <c r="G263" s="121"/>
      <c r="H263" s="122"/>
    </row>
    <row r="264" spans="1:20" x14ac:dyDescent="0.25">
      <c r="A264" s="44" t="s">
        <v>144</v>
      </c>
      <c r="B264" s="120" t="s">
        <v>457</v>
      </c>
      <c r="C264" s="121"/>
      <c r="D264" s="121"/>
      <c r="E264" s="121"/>
      <c r="F264" s="121"/>
      <c r="G264" s="121"/>
      <c r="H264" s="122"/>
    </row>
    <row r="265" spans="1:20" ht="15.75" customHeight="1" x14ac:dyDescent="0.25">
      <c r="A265" s="98" t="s">
        <v>144</v>
      </c>
      <c r="B265" s="322" t="s">
        <v>443</v>
      </c>
      <c r="C265" s="323"/>
      <c r="D265" s="323"/>
      <c r="E265" s="323"/>
      <c r="F265" s="323"/>
      <c r="G265" s="323"/>
      <c r="H265" s="324"/>
    </row>
    <row r="266" spans="1:20" x14ac:dyDescent="0.25">
      <c r="A266" s="112" t="s">
        <v>144</v>
      </c>
      <c r="B266" s="120" t="s">
        <v>444</v>
      </c>
      <c r="C266" s="121"/>
      <c r="D266" s="121"/>
      <c r="E266" s="121"/>
      <c r="F266" s="121"/>
      <c r="G266" s="121"/>
      <c r="H266" s="122"/>
    </row>
    <row r="267" spans="1:20" ht="15.75" customHeight="1" x14ac:dyDescent="0.25">
      <c r="A267" s="119" t="s">
        <v>144</v>
      </c>
      <c r="B267" s="120" t="s">
        <v>453</v>
      </c>
      <c r="C267" s="121"/>
      <c r="D267" s="121"/>
      <c r="E267" s="121"/>
      <c r="F267" s="121"/>
      <c r="G267" s="121"/>
      <c r="H267" s="122"/>
    </row>
    <row r="268" spans="1:20" x14ac:dyDescent="0.25">
      <c r="A268" s="119" t="s">
        <v>144</v>
      </c>
      <c r="B268" s="120" t="s">
        <v>460</v>
      </c>
      <c r="C268" s="121"/>
      <c r="D268" s="121"/>
      <c r="E268" s="121"/>
      <c r="F268" s="121"/>
      <c r="G268" s="121"/>
      <c r="H268" s="122"/>
    </row>
    <row r="269" spans="1:20" x14ac:dyDescent="0.25">
      <c r="A269" s="119" t="s">
        <v>144</v>
      </c>
      <c r="B269" s="120" t="s">
        <v>445</v>
      </c>
      <c r="C269" s="121"/>
      <c r="D269" s="121"/>
      <c r="E269" s="121"/>
      <c r="F269" s="121"/>
      <c r="G269" s="121"/>
      <c r="H269" s="122"/>
    </row>
    <row r="270" spans="1:20" hidden="1" x14ac:dyDescent="0.25">
      <c r="A270" s="44" t="s">
        <v>144</v>
      </c>
      <c r="B270" s="296" t="s">
        <v>332</v>
      </c>
      <c r="C270" s="297"/>
      <c r="D270" s="297"/>
      <c r="E270" s="297"/>
      <c r="F270" s="297"/>
      <c r="G270" s="297"/>
      <c r="H270" s="298"/>
    </row>
    <row r="271" spans="1:20" x14ac:dyDescent="0.25">
      <c r="A271" s="271" t="s">
        <v>56</v>
      </c>
      <c r="B271" s="271"/>
      <c r="C271" s="271"/>
      <c r="D271" s="271"/>
      <c r="E271" s="271"/>
      <c r="F271" s="271"/>
      <c r="G271" s="271"/>
      <c r="H271" s="271"/>
    </row>
    <row r="272" spans="1:20" x14ac:dyDescent="0.25">
      <c r="A272" s="200" t="s">
        <v>57</v>
      </c>
      <c r="B272" s="200"/>
      <c r="C272" s="200"/>
      <c r="D272" s="200"/>
      <c r="E272" s="200"/>
      <c r="F272" s="200"/>
      <c r="G272" s="200"/>
      <c r="H272" s="200"/>
    </row>
    <row r="273" spans="1:8" x14ac:dyDescent="0.25">
      <c r="A273" s="306" t="s">
        <v>58</v>
      </c>
      <c r="B273" s="306"/>
      <c r="C273" s="306"/>
      <c r="D273" s="306"/>
      <c r="E273" s="306"/>
      <c r="F273" s="306"/>
      <c r="G273" s="306"/>
      <c r="H273" s="306"/>
    </row>
    <row r="274" spans="1:8" x14ac:dyDescent="0.25">
      <c r="A274" s="200" t="s">
        <v>59</v>
      </c>
      <c r="B274" s="200"/>
      <c r="C274" s="200"/>
      <c r="D274" s="200"/>
      <c r="E274" s="200"/>
      <c r="F274" s="200"/>
      <c r="G274" s="200"/>
      <c r="H274" s="200"/>
    </row>
    <row r="275" spans="1:8" x14ac:dyDescent="0.25">
      <c r="A275" s="200" t="s">
        <v>60</v>
      </c>
      <c r="B275" s="200"/>
      <c r="C275" s="200"/>
      <c r="D275" s="200"/>
      <c r="E275" s="200"/>
      <c r="F275" s="200"/>
      <c r="G275" s="200"/>
      <c r="H275" s="200"/>
    </row>
    <row r="276" spans="1:8" x14ac:dyDescent="0.25">
      <c r="A276" s="200" t="s">
        <v>117</v>
      </c>
      <c r="B276" s="200"/>
      <c r="C276" s="200"/>
      <c r="D276" s="200"/>
      <c r="E276" s="200"/>
      <c r="F276" s="200"/>
      <c r="G276" s="200"/>
      <c r="H276" s="200"/>
    </row>
    <row r="277" spans="1:8" x14ac:dyDescent="0.25">
      <c r="A277" s="231" t="s">
        <v>118</v>
      </c>
      <c r="B277" s="231"/>
      <c r="C277" s="231"/>
      <c r="D277" s="231"/>
      <c r="E277" s="231"/>
      <c r="F277" s="231"/>
      <c r="G277" s="231"/>
      <c r="H277" s="231"/>
    </row>
    <row r="278" spans="1:8" x14ac:dyDescent="0.25">
      <c r="A278" s="302" t="s">
        <v>70</v>
      </c>
      <c r="B278" s="302"/>
      <c r="C278" s="302" t="s">
        <v>438</v>
      </c>
      <c r="D278" s="302"/>
      <c r="E278" s="302" t="s">
        <v>100</v>
      </c>
      <c r="F278" s="302"/>
      <c r="G278" s="302" t="s">
        <v>401</v>
      </c>
      <c r="H278" s="302"/>
    </row>
    <row r="279" spans="1:8" x14ac:dyDescent="0.25">
      <c r="A279" s="301" t="s">
        <v>72</v>
      </c>
      <c r="B279" s="301"/>
      <c r="C279" s="301"/>
      <c r="D279" s="301"/>
      <c r="E279" s="301"/>
      <c r="F279" s="301"/>
      <c r="G279" s="301"/>
      <c r="H279" s="301"/>
    </row>
    <row r="280" spans="1:8" x14ac:dyDescent="0.25">
      <c r="A280" s="301"/>
      <c r="B280" s="301"/>
      <c r="C280" s="301"/>
      <c r="D280" s="301"/>
      <c r="E280" s="301"/>
      <c r="F280" s="301"/>
      <c r="G280" s="301"/>
      <c r="H280" s="301"/>
    </row>
    <row r="281" spans="1:8" x14ac:dyDescent="0.25">
      <c r="A281" s="301"/>
      <c r="B281" s="301"/>
      <c r="C281" s="301"/>
      <c r="D281" s="301"/>
      <c r="E281" s="301"/>
      <c r="F281" s="301"/>
      <c r="G281" s="301"/>
      <c r="H281" s="301"/>
    </row>
    <row r="282" spans="1:8" x14ac:dyDescent="0.25">
      <c r="A282" s="301"/>
      <c r="B282" s="301"/>
      <c r="C282" s="301"/>
      <c r="D282" s="301"/>
      <c r="E282" s="301"/>
      <c r="F282" s="301"/>
      <c r="G282" s="301"/>
      <c r="H282" s="301"/>
    </row>
    <row r="283" spans="1:8" x14ac:dyDescent="0.25">
      <c r="A283" s="37" t="s">
        <v>61</v>
      </c>
      <c r="B283" s="38"/>
      <c r="C283" s="38"/>
      <c r="D283" s="37" t="str">
        <f>E9</f>
        <v>LJ Tanna Panorama A, B &amp; C Wing</v>
      </c>
      <c r="F283" s="38"/>
      <c r="G283" s="38"/>
      <c r="H283" s="38"/>
    </row>
    <row r="284" spans="1:8" x14ac:dyDescent="0.25">
      <c r="A284" s="38"/>
      <c r="B284" s="38"/>
      <c r="C284" s="38"/>
      <c r="D284" s="38"/>
      <c r="E284" s="38"/>
      <c r="F284" s="38"/>
      <c r="G284" s="38"/>
      <c r="H284" s="38"/>
    </row>
    <row r="285" spans="1:8" x14ac:dyDescent="0.25">
      <c r="A285" s="38"/>
      <c r="B285" s="38"/>
      <c r="C285" s="38"/>
      <c r="D285" s="38"/>
      <c r="E285" s="38"/>
      <c r="F285" s="38"/>
      <c r="G285" s="38"/>
      <c r="H285" s="38"/>
    </row>
    <row r="327" spans="1:1" x14ac:dyDescent="0.25">
      <c r="A327" s="40" t="s">
        <v>153</v>
      </c>
    </row>
    <row r="371" spans="1:1" x14ac:dyDescent="0.25">
      <c r="A371" s="40" t="s">
        <v>62</v>
      </c>
    </row>
  </sheetData>
  <mergeCells count="418">
    <mergeCell ref="A211:B211"/>
    <mergeCell ref="A212:B212"/>
    <mergeCell ref="A213:B213"/>
    <mergeCell ref="A214:B214"/>
    <mergeCell ref="A215:B215"/>
    <mergeCell ref="A252:B252"/>
    <mergeCell ref="B263:H263"/>
    <mergeCell ref="B262:H262"/>
    <mergeCell ref="A237:B237"/>
    <mergeCell ref="B256:H256"/>
    <mergeCell ref="B257:H257"/>
    <mergeCell ref="B258:H258"/>
    <mergeCell ref="A230:B230"/>
    <mergeCell ref="A231:B231"/>
    <mergeCell ref="A232:B232"/>
    <mergeCell ref="A233:B233"/>
    <mergeCell ref="B261:H261"/>
    <mergeCell ref="I15:P15"/>
    <mergeCell ref="F140:H140"/>
    <mergeCell ref="F138:H138"/>
    <mergeCell ref="A218:B218"/>
    <mergeCell ref="A155:H155"/>
    <mergeCell ref="A139:E139"/>
    <mergeCell ref="A71:B71"/>
    <mergeCell ref="C71:E71"/>
    <mergeCell ref="D73:H73"/>
    <mergeCell ref="F139:H139"/>
    <mergeCell ref="C144:D144"/>
    <mergeCell ref="D83:H83"/>
    <mergeCell ref="D74:H74"/>
    <mergeCell ref="G71:H71"/>
    <mergeCell ref="A64:B65"/>
    <mergeCell ref="A59:B59"/>
    <mergeCell ref="A161:H161"/>
    <mergeCell ref="D78:H78"/>
    <mergeCell ref="A255:H255"/>
    <mergeCell ref="C56:H56"/>
    <mergeCell ref="C68:E69"/>
    <mergeCell ref="A182:H182"/>
    <mergeCell ref="A239:B239"/>
    <mergeCell ref="A253:B253"/>
    <mergeCell ref="A222:B222"/>
    <mergeCell ref="A223:B223"/>
    <mergeCell ref="A224:B224"/>
    <mergeCell ref="A227:B227"/>
    <mergeCell ref="A228:B228"/>
    <mergeCell ref="A229:B229"/>
    <mergeCell ref="A219:B219"/>
    <mergeCell ref="A143:H143"/>
    <mergeCell ref="G144:H144"/>
    <mergeCell ref="A238:B238"/>
    <mergeCell ref="A221:B221"/>
    <mergeCell ref="A160:H160"/>
    <mergeCell ref="G145:H145"/>
    <mergeCell ref="F133:H133"/>
    <mergeCell ref="A137:E137"/>
    <mergeCell ref="A250:H250"/>
    <mergeCell ref="A251:B251"/>
    <mergeCell ref="A276:H276"/>
    <mergeCell ref="A273:H273"/>
    <mergeCell ref="B270:H270"/>
    <mergeCell ref="F130:H130"/>
    <mergeCell ref="F135:H135"/>
    <mergeCell ref="F136:H136"/>
    <mergeCell ref="A138:E138"/>
    <mergeCell ref="A144:B144"/>
    <mergeCell ref="D156:D157"/>
    <mergeCell ref="E156:E157"/>
    <mergeCell ref="F131:H131"/>
    <mergeCell ref="F137:H137"/>
    <mergeCell ref="C148:D148"/>
    <mergeCell ref="A141:E141"/>
    <mergeCell ref="F141:H141"/>
    <mergeCell ref="A142:E142"/>
    <mergeCell ref="F142:H142"/>
    <mergeCell ref="A146:B146"/>
    <mergeCell ref="B156:B157"/>
    <mergeCell ref="B269:H269"/>
    <mergeCell ref="B264:H264"/>
    <mergeCell ref="A220:B220"/>
    <mergeCell ref="B259:H259"/>
    <mergeCell ref="A272:H272"/>
    <mergeCell ref="B267:H267"/>
    <mergeCell ref="F156:F157"/>
    <mergeCell ref="G147:H147"/>
    <mergeCell ref="A234:H234"/>
    <mergeCell ref="A156:A157"/>
    <mergeCell ref="B186:H186"/>
    <mergeCell ref="A279:H282"/>
    <mergeCell ref="A278:B278"/>
    <mergeCell ref="E278:F278"/>
    <mergeCell ref="C278:D278"/>
    <mergeCell ref="G278:H278"/>
    <mergeCell ref="A240:H240"/>
    <mergeCell ref="A241:B241"/>
    <mergeCell ref="A242:B242"/>
    <mergeCell ref="A243:B243"/>
    <mergeCell ref="A244:B244"/>
    <mergeCell ref="A245:H245"/>
    <mergeCell ref="A274:H274"/>
    <mergeCell ref="A277:H277"/>
    <mergeCell ref="A275:H275"/>
    <mergeCell ref="A271:H271"/>
    <mergeCell ref="B260:H260"/>
    <mergeCell ref="A254:B254"/>
    <mergeCell ref="B268:H268"/>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11:D11"/>
    <mergeCell ref="E11:H11"/>
    <mergeCell ref="A25:D26"/>
    <mergeCell ref="A12:D12"/>
    <mergeCell ref="E12:H12"/>
    <mergeCell ref="A19:B19"/>
    <mergeCell ref="A14:D14"/>
    <mergeCell ref="A21:B21"/>
    <mergeCell ref="C21:D21"/>
    <mergeCell ref="E21:F21"/>
    <mergeCell ref="G21:H21"/>
    <mergeCell ref="A22:B22"/>
    <mergeCell ref="C22:D22"/>
    <mergeCell ref="A18:B18"/>
    <mergeCell ref="C18:H18"/>
    <mergeCell ref="C19:H19"/>
    <mergeCell ref="A20:B20"/>
    <mergeCell ref="C20:H20"/>
    <mergeCell ref="A13:D13"/>
    <mergeCell ref="E13:H13"/>
    <mergeCell ref="E25:H26"/>
    <mergeCell ref="E15:F15"/>
    <mergeCell ref="E16:F16"/>
    <mergeCell ref="E29:H29"/>
    <mergeCell ref="A31:D31"/>
    <mergeCell ref="E31:H31"/>
    <mergeCell ref="A28:D28"/>
    <mergeCell ref="E28:H28"/>
    <mergeCell ref="A30:D30"/>
    <mergeCell ref="E30:H30"/>
    <mergeCell ref="E14:H14"/>
    <mergeCell ref="E22:F22"/>
    <mergeCell ref="G22:H22"/>
    <mergeCell ref="A23:B23"/>
    <mergeCell ref="C23:D23"/>
    <mergeCell ref="E23:F23"/>
    <mergeCell ref="G23:H23"/>
    <mergeCell ref="A24:B24"/>
    <mergeCell ref="C24:D24"/>
    <mergeCell ref="E24:F24"/>
    <mergeCell ref="G24:H24"/>
    <mergeCell ref="G15:H15"/>
    <mergeCell ref="G16:H16"/>
    <mergeCell ref="A15:D17"/>
    <mergeCell ref="E17:F17"/>
    <mergeCell ref="G17:H17"/>
    <mergeCell ref="A39:B39"/>
    <mergeCell ref="C39:E39"/>
    <mergeCell ref="A44:D44"/>
    <mergeCell ref="A40:H40"/>
    <mergeCell ref="A27:D27"/>
    <mergeCell ref="E27:H27"/>
    <mergeCell ref="A32:D32"/>
    <mergeCell ref="E32:H32"/>
    <mergeCell ref="A29:D29"/>
    <mergeCell ref="A38:B38"/>
    <mergeCell ref="C38:E38"/>
    <mergeCell ref="A33:D33"/>
    <mergeCell ref="E33:H33"/>
    <mergeCell ref="A34:D34"/>
    <mergeCell ref="E34:H34"/>
    <mergeCell ref="C35:E35"/>
    <mergeCell ref="F38:H38"/>
    <mergeCell ref="F35:H35"/>
    <mergeCell ref="A36:B36"/>
    <mergeCell ref="A35:B35"/>
    <mergeCell ref="C36:E36"/>
    <mergeCell ref="A37:B37"/>
    <mergeCell ref="C37:E37"/>
    <mergeCell ref="F36:H36"/>
    <mergeCell ref="F37:H37"/>
    <mergeCell ref="A81:C81"/>
    <mergeCell ref="D81:H81"/>
    <mergeCell ref="A82:C82"/>
    <mergeCell ref="D82:H82"/>
    <mergeCell ref="A85:C85"/>
    <mergeCell ref="D85:H85"/>
    <mergeCell ref="A84:C84"/>
    <mergeCell ref="E45:H45"/>
    <mergeCell ref="A45:D45"/>
    <mergeCell ref="A83:C83"/>
    <mergeCell ref="D84:H84"/>
    <mergeCell ref="A68:B70"/>
    <mergeCell ref="C70:H70"/>
    <mergeCell ref="A63:B63"/>
    <mergeCell ref="C63:E63"/>
    <mergeCell ref="G63:H63"/>
    <mergeCell ref="A53:B53"/>
    <mergeCell ref="C53:E53"/>
    <mergeCell ref="G53:H53"/>
    <mergeCell ref="A54:B54"/>
    <mergeCell ref="C54:E54"/>
    <mergeCell ref="G54:H54"/>
    <mergeCell ref="A55:B56"/>
    <mergeCell ref="C55:E55"/>
    <mergeCell ref="E44:H44"/>
    <mergeCell ref="A43:H43"/>
    <mergeCell ref="A48:D48"/>
    <mergeCell ref="A49:D49"/>
    <mergeCell ref="D80:H80"/>
    <mergeCell ref="A46:D46"/>
    <mergeCell ref="E46:H46"/>
    <mergeCell ref="E47:H47"/>
    <mergeCell ref="E48:H48"/>
    <mergeCell ref="E49:H49"/>
    <mergeCell ref="C67:H67"/>
    <mergeCell ref="A50:H50"/>
    <mergeCell ref="D75:H75"/>
    <mergeCell ref="A75:C75"/>
    <mergeCell ref="A47:D47"/>
    <mergeCell ref="A51:B51"/>
    <mergeCell ref="C51:H51"/>
    <mergeCell ref="A76:C78"/>
    <mergeCell ref="D76:H76"/>
    <mergeCell ref="D77:H77"/>
    <mergeCell ref="G61:H61"/>
    <mergeCell ref="A57:B57"/>
    <mergeCell ref="A72:H72"/>
    <mergeCell ref="G55:H55"/>
    <mergeCell ref="C62:H62"/>
    <mergeCell ref="A73:C73"/>
    <mergeCell ref="A79:C79"/>
    <mergeCell ref="A80:C80"/>
    <mergeCell ref="D79:H79"/>
    <mergeCell ref="F39:H39"/>
    <mergeCell ref="C60:E60"/>
    <mergeCell ref="C59:E59"/>
    <mergeCell ref="G59:H59"/>
    <mergeCell ref="A60:B60"/>
    <mergeCell ref="G66:H66"/>
    <mergeCell ref="G68:H68"/>
    <mergeCell ref="G60:H60"/>
    <mergeCell ref="A41:B41"/>
    <mergeCell ref="C41:H41"/>
    <mergeCell ref="C65:H65"/>
    <mergeCell ref="A61:B62"/>
    <mergeCell ref="C64:E64"/>
    <mergeCell ref="C61:E61"/>
    <mergeCell ref="A74:C74"/>
    <mergeCell ref="C66:E66"/>
    <mergeCell ref="G64:H64"/>
    <mergeCell ref="A66:B67"/>
    <mergeCell ref="G89:H89"/>
    <mergeCell ref="A99:B99"/>
    <mergeCell ref="E89:F89"/>
    <mergeCell ref="A91:B91"/>
    <mergeCell ref="A109:B109"/>
    <mergeCell ref="G103:H103"/>
    <mergeCell ref="A111:B111"/>
    <mergeCell ref="A97:B97"/>
    <mergeCell ref="A103:B103"/>
    <mergeCell ref="E103:F103"/>
    <mergeCell ref="G104:H113"/>
    <mergeCell ref="A107:B107"/>
    <mergeCell ref="A42:B42"/>
    <mergeCell ref="C42:H42"/>
    <mergeCell ref="C156:C157"/>
    <mergeCell ref="G156:G157"/>
    <mergeCell ref="L222:M222"/>
    <mergeCell ref="L223:M223"/>
    <mergeCell ref="A124:B124"/>
    <mergeCell ref="C146:D146"/>
    <mergeCell ref="E146:F146"/>
    <mergeCell ref="G146:H146"/>
    <mergeCell ref="A131:E131"/>
    <mergeCell ref="A100:B100"/>
    <mergeCell ref="C100:H100"/>
    <mergeCell ref="A104:B104"/>
    <mergeCell ref="C86:H86"/>
    <mergeCell ref="A86:B86"/>
    <mergeCell ref="A158:H158"/>
    <mergeCell ref="G69:H69"/>
    <mergeCell ref="C102:H102"/>
    <mergeCell ref="A105:B105"/>
    <mergeCell ref="A106:B106"/>
    <mergeCell ref="A123:B123"/>
    <mergeCell ref="F132:H132"/>
    <mergeCell ref="A132:E132"/>
    <mergeCell ref="A92:B92"/>
    <mergeCell ref="E90:F99"/>
    <mergeCell ref="A135:E135"/>
    <mergeCell ref="A148:B148"/>
    <mergeCell ref="E148:F148"/>
    <mergeCell ref="A140:E140"/>
    <mergeCell ref="G148:H148"/>
    <mergeCell ref="A145:B145"/>
    <mergeCell ref="C145:D145"/>
    <mergeCell ref="E145:F145"/>
    <mergeCell ref="A147:B147"/>
    <mergeCell ref="C147:D147"/>
    <mergeCell ref="E147:F147"/>
    <mergeCell ref="E144:F144"/>
    <mergeCell ref="A126:B126"/>
    <mergeCell ref="A128:B128"/>
    <mergeCell ref="A102:B102"/>
    <mergeCell ref="A112:B112"/>
    <mergeCell ref="A130:E130"/>
    <mergeCell ref="A136:E136"/>
    <mergeCell ref="C57:E57"/>
    <mergeCell ref="G57:H57"/>
    <mergeCell ref="L235:M235"/>
    <mergeCell ref="A89:B89"/>
    <mergeCell ref="C88:H88"/>
    <mergeCell ref="A88:B88"/>
    <mergeCell ref="G90:H99"/>
    <mergeCell ref="A133:E133"/>
    <mergeCell ref="F134:H134"/>
    <mergeCell ref="A175:H175"/>
    <mergeCell ref="A93:B93"/>
    <mergeCell ref="A94:B94"/>
    <mergeCell ref="A95:B95"/>
    <mergeCell ref="A96:B96"/>
    <mergeCell ref="A98:B98"/>
    <mergeCell ref="A235:H235"/>
    <mergeCell ref="A134:E134"/>
    <mergeCell ref="A127:B127"/>
    <mergeCell ref="A108:B108"/>
    <mergeCell ref="A110:B110"/>
    <mergeCell ref="A113:B113"/>
    <mergeCell ref="A129:B129"/>
    <mergeCell ref="A90:B90"/>
    <mergeCell ref="A125:B125"/>
    <mergeCell ref="L236:M236"/>
    <mergeCell ref="A149:H149"/>
    <mergeCell ref="A151:B151"/>
    <mergeCell ref="C151:D151"/>
    <mergeCell ref="E151:F151"/>
    <mergeCell ref="G151:H151"/>
    <mergeCell ref="A152:B152"/>
    <mergeCell ref="C152:D152"/>
    <mergeCell ref="E152:F152"/>
    <mergeCell ref="G152:H152"/>
    <mergeCell ref="A189:H189"/>
    <mergeCell ref="L231:M231"/>
    <mergeCell ref="L232:M232"/>
    <mergeCell ref="L233:M233"/>
    <mergeCell ref="L234:M234"/>
    <mergeCell ref="A168:H168"/>
    <mergeCell ref="A196:H196"/>
    <mergeCell ref="A197:H197"/>
    <mergeCell ref="A216:H216"/>
    <mergeCell ref="A217:B217"/>
    <mergeCell ref="A207:H207"/>
    <mergeCell ref="A208:B208"/>
    <mergeCell ref="A209:B209"/>
    <mergeCell ref="A210:B210"/>
    <mergeCell ref="A52:H52"/>
    <mergeCell ref="A58:H58"/>
    <mergeCell ref="A159:H159"/>
    <mergeCell ref="A116:B116"/>
    <mergeCell ref="C116:H116"/>
    <mergeCell ref="A117:B118"/>
    <mergeCell ref="C117:D118"/>
    <mergeCell ref="G117:H118"/>
    <mergeCell ref="E117:F118"/>
    <mergeCell ref="E104:F113"/>
    <mergeCell ref="A114:B114"/>
    <mergeCell ref="C114:H114"/>
    <mergeCell ref="A119:B119"/>
    <mergeCell ref="E119:F119"/>
    <mergeCell ref="G119:H119"/>
    <mergeCell ref="A120:B120"/>
    <mergeCell ref="E120:F129"/>
    <mergeCell ref="G120:H129"/>
    <mergeCell ref="A121:B121"/>
    <mergeCell ref="A122:B122"/>
    <mergeCell ref="A153:B153"/>
    <mergeCell ref="C153:D153"/>
    <mergeCell ref="E153:F153"/>
    <mergeCell ref="G153:H153"/>
    <mergeCell ref="B266:H266"/>
    <mergeCell ref="A150:B150"/>
    <mergeCell ref="C150:D150"/>
    <mergeCell ref="E150:F150"/>
    <mergeCell ref="G150:H150"/>
    <mergeCell ref="A199:B199"/>
    <mergeCell ref="A200:B200"/>
    <mergeCell ref="A201:B201"/>
    <mergeCell ref="A202:B202"/>
    <mergeCell ref="A203:B203"/>
    <mergeCell ref="A204:B204"/>
    <mergeCell ref="A205:B205"/>
    <mergeCell ref="A206:B206"/>
    <mergeCell ref="C233:H233"/>
    <mergeCell ref="A236:B236"/>
    <mergeCell ref="A225:H225"/>
    <mergeCell ref="A226:B226"/>
    <mergeCell ref="A154:H154"/>
    <mergeCell ref="A198:H198"/>
    <mergeCell ref="B265:H265"/>
    <mergeCell ref="A246:B246"/>
    <mergeCell ref="A247:B247"/>
    <mergeCell ref="A248:B248"/>
    <mergeCell ref="A249:B249"/>
  </mergeCells>
  <dataValidations disablePrompts="1" count="15">
    <dataValidation type="list" allowBlank="1" showInputMessage="1" showErrorMessage="1" sqref="E5:H5">
      <formula1>OFFSET($L$3,1,MATCH($E4,$L$3:$P$3,0)-1,10,1)</formula1>
    </dataValidation>
    <dataValidation type="list" allowBlank="1" showInputMessage="1" showErrorMessage="1" sqref="A19:B19">
      <formula1>"CTS No,Survey No,Plot No,Gut No,FP No,"</formula1>
    </dataValidation>
    <dataValidation type="list" allowBlank="1" showInputMessage="1" showErrorMessage="1" sqref="G22:H22">
      <formula1>$S$13:$W$13</formula1>
    </dataValidation>
    <dataValidation type="list" allowBlank="1" showInputMessage="1" showErrorMessage="1" sqref="G278:H278">
      <formula1>"Kunal Kadam,Pranita Mhatre,Shruti Fule,Pooja Kawale,Gaurav Panchal,Shruti Tathare, Dipti Gothawade,Saurav Panse, Sachin Sawant"</formula1>
    </dataValidation>
    <dataValidation type="list" allowBlank="1" showInputMessage="1" showErrorMessage="1" sqref="F130:H130">
      <formula1>"On Saleable Area,On Builtup Area,On Carpet Area,On Plot Area"</formula1>
    </dataValidation>
    <dataValidation type="list" allowBlank="1" showInputMessage="1" showErrorMessage="1" sqref="B156:B157">
      <formula1>"Flat No. (Sale Plan),Sale / Rehab,Sale / Mhada"</formula1>
    </dataValidation>
    <dataValidation type="list" allowBlank="1" showInputMessage="1" showErrorMessage="1" sqref="Y13">
      <formula1>$D$5:$H$5</formula1>
    </dataValidation>
    <dataValidation type="list" allowBlank="1" showInputMessage="1" showErrorMessage="1" sqref="E156:E157">
      <formula1>"Fungible area,Balcony + A.P + E.P Area,Chajja Area,Cornice Area,AP Area,WS Area"</formula1>
    </dataValidation>
    <dataValidation type="list" allowBlank="1" showInputMessage="1" showErrorMessage="1" sqref="H157">
      <formula1>".45,.50,.55,.60"</formula1>
    </dataValidation>
    <dataValidation type="list" allowBlank="1" showInputMessage="1" showErrorMessage="1" sqref="E4:H4">
      <formula1>$L$3:$P$3</formula1>
    </dataValidation>
    <dataValidation type="list" allowBlank="1" showInputMessage="1" showErrorMessage="1" sqref="H156">
      <formula1>"Saleable area Loading :,Builder Saleable Area"</formula1>
    </dataValidation>
    <dataValidation type="list" allowBlank="1" showInputMessage="1" showErrorMessage="1" sqref="D156:D157">
      <formula1>"Carpet Area,Carpet + Encl Balcony Area,RERA Carpet area"</formula1>
    </dataValidation>
    <dataValidation type="list" allowBlank="1" showInputMessage="1" showErrorMessage="1" sqref="C23:D23">
      <formula1>OFFSET($S$13,1,MATCH($G22,$S$13:$W$13,0)-1,15,1)</formula1>
    </dataValidation>
    <dataValidation type="list" allowBlank="1" showInputMessage="1" showErrorMessage="1" sqref="C51:H51">
      <formula1>OFFSET($S$49,1,MATCH($G22,$S$49:$W$49,0)-1,15,1)</formula1>
    </dataValidation>
    <dataValidation type="list" allowBlank="1" showInputMessage="1" showErrorMessage="1" sqref="F141:H141">
      <formula1>OFFSET($S$125,1,MATCH($G22,$S$125:$W$125,0)-1,15,1)</formula1>
    </dataValidation>
  </dataValidations>
  <hyperlinks>
    <hyperlink ref="C42" r:id="rId1"/>
  </hyperlinks>
  <printOptions horizontalCentered="1"/>
  <pageMargins left="0.39370078740157483" right="0.39370078740157483" top="0.82677165354330717" bottom="0.78740157480314965" header="0.15748031496062992" footer="0.19685039370078741"/>
  <pageSetup paperSize="9" fitToHeight="0" orientation="portrait" r:id="rId2"/>
  <headerFooter>
    <oddHeader>&amp;C&amp;G</oddHeader>
    <oddFooter>&amp;L&amp;"Times New Roman,Bold"&amp;12Ref No: &amp;F&amp;C&amp;G&amp;R&amp;"Times New Roman,Bold"&amp;12&amp;P</oddFooter>
  </headerFooter>
  <rowBreaks count="5" manualBreakCount="5">
    <brk id="181" max="7" man="1"/>
    <brk id="270" max="7" man="1"/>
    <brk id="282" max="7" man="1"/>
    <brk id="326" max="7" man="1"/>
    <brk id="370" max="7"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325" t="s">
        <v>101</v>
      </c>
      <c r="C3" s="325"/>
      <c r="D3" s="325"/>
      <c r="E3" s="325"/>
      <c r="F3" s="325"/>
      <c r="G3" s="325"/>
      <c r="H3" s="325"/>
    </row>
    <row r="4" spans="1:9" x14ac:dyDescent="0.25">
      <c r="A4" s="2"/>
      <c r="B4" s="3" t="s">
        <v>102</v>
      </c>
      <c r="C4" s="3" t="s">
        <v>103</v>
      </c>
      <c r="D4" s="3" t="s">
        <v>64</v>
      </c>
      <c r="E4" s="3" t="s">
        <v>104</v>
      </c>
      <c r="F4" s="3" t="s">
        <v>110</v>
      </c>
      <c r="G4" s="3" t="s">
        <v>111</v>
      </c>
      <c r="H4" s="3" t="s">
        <v>105</v>
      </c>
    </row>
    <row r="5" spans="1:9" ht="15" customHeight="1" x14ac:dyDescent="0.25">
      <c r="A5" s="2"/>
      <c r="B5" s="5" t="s">
        <v>106</v>
      </c>
      <c r="C5" s="6"/>
      <c r="D5" s="5"/>
      <c r="E5" s="5"/>
      <c r="F5" s="7">
        <f>E5*1.6</f>
        <v>0</v>
      </c>
      <c r="G5" s="7" t="e">
        <f>H5/F5</f>
        <v>#DIV/0!</v>
      </c>
      <c r="H5" s="8"/>
    </row>
    <row r="6" spans="1:9" x14ac:dyDescent="0.25">
      <c r="A6" s="2"/>
      <c r="B6" s="5" t="s">
        <v>106</v>
      </c>
      <c r="C6" s="9"/>
      <c r="D6" s="5"/>
      <c r="E6" s="5"/>
      <c r="F6" s="7">
        <f t="shared" ref="F6:F11" si="0">E6*1.6</f>
        <v>0</v>
      </c>
      <c r="G6" s="7" t="e">
        <f t="shared" ref="G6:G11" si="1">H6/F6</f>
        <v>#DIV/0!</v>
      </c>
      <c r="H6" s="8"/>
    </row>
    <row r="7" spans="1:9" ht="15" customHeight="1" x14ac:dyDescent="0.25">
      <c r="A7" s="2"/>
      <c r="B7" s="5" t="s">
        <v>106</v>
      </c>
      <c r="C7" s="6"/>
      <c r="D7" s="5"/>
      <c r="E7" s="5"/>
      <c r="F7" s="7">
        <f t="shared" si="0"/>
        <v>0</v>
      </c>
      <c r="G7" s="7" t="e">
        <f t="shared" si="1"/>
        <v>#DIV/0!</v>
      </c>
      <c r="H7" s="8"/>
    </row>
    <row r="8" spans="1:9" x14ac:dyDescent="0.25">
      <c r="A8" s="2"/>
      <c r="B8" s="5" t="s">
        <v>106</v>
      </c>
      <c r="C8" s="9"/>
      <c r="D8" s="5"/>
      <c r="E8" s="5"/>
      <c r="F8" s="7">
        <f t="shared" si="0"/>
        <v>0</v>
      </c>
      <c r="G8" s="7" t="e">
        <f t="shared" si="1"/>
        <v>#DIV/0!</v>
      </c>
      <c r="H8" s="8"/>
    </row>
    <row r="9" spans="1:9" ht="15" customHeight="1" x14ac:dyDescent="0.25">
      <c r="A9" s="2"/>
      <c r="B9" s="5" t="s">
        <v>106</v>
      </c>
      <c r="C9" s="9"/>
      <c r="D9" s="5"/>
      <c r="E9" s="5"/>
      <c r="F9" s="7">
        <f t="shared" si="0"/>
        <v>0</v>
      </c>
      <c r="G9" s="7" t="e">
        <f t="shared" si="1"/>
        <v>#DIV/0!</v>
      </c>
      <c r="H9" s="8"/>
    </row>
    <row r="10" spans="1:9" ht="15" customHeight="1" x14ac:dyDescent="0.25">
      <c r="A10" s="2"/>
      <c r="B10" s="5" t="s">
        <v>107</v>
      </c>
      <c r="C10" s="6"/>
      <c r="D10" s="5"/>
      <c r="E10" s="5"/>
      <c r="F10" s="7">
        <f t="shared" si="0"/>
        <v>0</v>
      </c>
      <c r="G10" s="7" t="e">
        <f t="shared" si="1"/>
        <v>#DIV/0!</v>
      </c>
      <c r="H10" s="8"/>
    </row>
    <row r="11" spans="1:9" ht="15" customHeight="1" x14ac:dyDescent="0.25">
      <c r="A11" s="2"/>
      <c r="B11" s="5" t="s">
        <v>107</v>
      </c>
      <c r="C11" s="6"/>
      <c r="D11" s="5"/>
      <c r="E11" s="5"/>
      <c r="F11" s="7">
        <f t="shared" si="0"/>
        <v>0</v>
      </c>
      <c r="G11" s="7" t="e">
        <f t="shared" si="1"/>
        <v>#DIV/0!</v>
      </c>
      <c r="H11" s="8"/>
    </row>
    <row r="12" spans="1:9" ht="15" customHeight="1" x14ac:dyDescent="0.25">
      <c r="A12" s="2"/>
      <c r="B12" s="10" t="s">
        <v>108</v>
      </c>
      <c r="C12" s="5"/>
      <c r="D12" s="5"/>
      <c r="E12" s="5"/>
      <c r="F12" s="5"/>
      <c r="G12" s="11" t="e">
        <f>AVERAGE(G5:G11)</f>
        <v>#DIV/0!</v>
      </c>
      <c r="H12" s="5"/>
    </row>
    <row r="13" spans="1:9" ht="15" customHeight="1" x14ac:dyDescent="0.25">
      <c r="B13" s="10" t="s">
        <v>109</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1"/>
      <c r="C4" s="51" t="s">
        <v>10</v>
      </c>
      <c r="D4" s="52" t="s">
        <v>163</v>
      </c>
      <c r="E4" s="52" t="s">
        <v>173</v>
      </c>
      <c r="F4" s="52" t="s">
        <v>160</v>
      </c>
      <c r="G4" s="52" t="s">
        <v>178</v>
      </c>
      <c r="H4" s="52" t="s">
        <v>196</v>
      </c>
      <c r="J4" t="s">
        <v>178</v>
      </c>
      <c r="K4" t="s">
        <v>194</v>
      </c>
    </row>
    <row r="5" spans="2:11" x14ac:dyDescent="0.25">
      <c r="B5" s="51"/>
      <c r="C5" s="51"/>
      <c r="D5" s="52" t="s">
        <v>164</v>
      </c>
      <c r="E5" s="52" t="s">
        <v>171</v>
      </c>
      <c r="F5" s="52" t="s">
        <v>193</v>
      </c>
      <c r="G5" s="52" t="s">
        <v>179</v>
      </c>
      <c r="H5" s="52" t="s">
        <v>197</v>
      </c>
    </row>
    <row r="6" spans="2:11" x14ac:dyDescent="0.25">
      <c r="B6" s="51"/>
      <c r="C6" s="51"/>
      <c r="D6" s="52" t="s">
        <v>165</v>
      </c>
      <c r="E6" s="52" t="s">
        <v>172</v>
      </c>
      <c r="F6" s="52" t="s">
        <v>194</v>
      </c>
      <c r="G6" s="52" t="s">
        <v>180</v>
      </c>
      <c r="H6" s="52" t="s">
        <v>210</v>
      </c>
    </row>
    <row r="7" spans="2:11" x14ac:dyDescent="0.25">
      <c r="B7" s="51"/>
      <c r="C7" s="51"/>
      <c r="D7" s="52" t="s">
        <v>166</v>
      </c>
      <c r="E7" s="52" t="s">
        <v>174</v>
      </c>
      <c r="F7" s="52" t="s">
        <v>195</v>
      </c>
      <c r="G7" s="52" t="s">
        <v>181</v>
      </c>
      <c r="H7" s="52" t="s">
        <v>198</v>
      </c>
    </row>
    <row r="8" spans="2:11" x14ac:dyDescent="0.25">
      <c r="B8" s="51"/>
      <c r="C8" s="51"/>
      <c r="D8" s="52" t="s">
        <v>167</v>
      </c>
      <c r="E8" s="52" t="s">
        <v>175</v>
      </c>
      <c r="F8" s="52"/>
      <c r="G8" s="52" t="s">
        <v>182</v>
      </c>
      <c r="H8" s="52" t="s">
        <v>199</v>
      </c>
    </row>
    <row r="9" spans="2:11" x14ac:dyDescent="0.25">
      <c r="B9" s="51"/>
      <c r="C9" s="51"/>
      <c r="D9" s="52" t="s">
        <v>168</v>
      </c>
      <c r="E9" s="52" t="s">
        <v>173</v>
      </c>
      <c r="F9" s="52"/>
      <c r="G9" s="52" t="s">
        <v>183</v>
      </c>
      <c r="H9" s="52" t="s">
        <v>200</v>
      </c>
    </row>
    <row r="10" spans="2:11" x14ac:dyDescent="0.25">
      <c r="B10" s="51"/>
      <c r="C10" s="51"/>
      <c r="D10" s="52" t="s">
        <v>169</v>
      </c>
      <c r="E10" s="52" t="s">
        <v>176</v>
      </c>
      <c r="F10" s="52"/>
      <c r="G10" s="52" t="s">
        <v>184</v>
      </c>
      <c r="H10" s="52" t="s">
        <v>201</v>
      </c>
    </row>
    <row r="11" spans="2:11" x14ac:dyDescent="0.25">
      <c r="B11" s="51"/>
      <c r="C11" s="51"/>
      <c r="D11" s="52" t="s">
        <v>170</v>
      </c>
      <c r="E11" s="52" t="s">
        <v>177</v>
      </c>
      <c r="F11" s="52"/>
      <c r="G11" s="52" t="s">
        <v>185</v>
      </c>
      <c r="H11" s="52" t="s">
        <v>202</v>
      </c>
    </row>
    <row r="12" spans="2:11" x14ac:dyDescent="0.25">
      <c r="B12" s="51"/>
      <c r="C12" s="51"/>
      <c r="D12" s="52"/>
      <c r="E12" s="52"/>
      <c r="F12" s="52"/>
      <c r="G12" s="52" t="s">
        <v>186</v>
      </c>
      <c r="H12" s="52" t="s">
        <v>203</v>
      </c>
    </row>
    <row r="13" spans="2:11" x14ac:dyDescent="0.25">
      <c r="B13" s="51"/>
      <c r="C13" s="51"/>
      <c r="D13" s="52"/>
      <c r="E13" s="52"/>
      <c r="F13" s="52"/>
      <c r="G13" s="52" t="s">
        <v>187</v>
      </c>
      <c r="H13" s="52" t="s">
        <v>204</v>
      </c>
    </row>
    <row r="14" spans="2:11" x14ac:dyDescent="0.25">
      <c r="B14" s="51"/>
      <c r="C14" s="51"/>
      <c r="D14" s="52"/>
      <c r="E14" s="52"/>
      <c r="F14" s="52"/>
      <c r="G14" s="52" t="s">
        <v>188</v>
      </c>
      <c r="H14" s="52" t="s">
        <v>205</v>
      </c>
    </row>
    <row r="15" spans="2:11" x14ac:dyDescent="0.25">
      <c r="B15" s="51"/>
      <c r="C15" s="51"/>
      <c r="D15" s="52"/>
      <c r="E15" s="52"/>
      <c r="F15" s="52"/>
      <c r="G15" s="52" t="s">
        <v>189</v>
      </c>
      <c r="H15" s="52" t="s">
        <v>206</v>
      </c>
    </row>
    <row r="16" spans="2:11" x14ac:dyDescent="0.25">
      <c r="B16" s="51"/>
      <c r="C16" s="51"/>
      <c r="D16" s="52"/>
      <c r="E16" s="52"/>
      <c r="F16" s="52"/>
      <c r="G16" s="52" t="s">
        <v>190</v>
      </c>
      <c r="H16" s="52" t="s">
        <v>207</v>
      </c>
    </row>
    <row r="17" spans="2:8" x14ac:dyDescent="0.25">
      <c r="B17" s="51"/>
      <c r="C17" s="51"/>
      <c r="D17" s="52"/>
      <c r="E17" s="52"/>
      <c r="F17" s="52"/>
      <c r="G17" s="52" t="s">
        <v>191</v>
      </c>
      <c r="H17" s="52" t="s">
        <v>208</v>
      </c>
    </row>
    <row r="18" spans="2:8" x14ac:dyDescent="0.25">
      <c r="B18" s="51"/>
      <c r="C18" s="51"/>
      <c r="D18" s="52"/>
      <c r="E18" s="52"/>
      <c r="F18" s="52"/>
      <c r="G18" s="52" t="s">
        <v>192</v>
      </c>
      <c r="H18" s="52" t="s">
        <v>209</v>
      </c>
    </row>
    <row r="24" spans="2:8" x14ac:dyDescent="0.25">
      <c r="C24" t="s">
        <v>157</v>
      </c>
    </row>
    <row r="25" spans="2:8" x14ac:dyDescent="0.25">
      <c r="C25" t="s">
        <v>211</v>
      </c>
    </row>
    <row r="26" spans="2:8" x14ac:dyDescent="0.25">
      <c r="C26" t="s">
        <v>212</v>
      </c>
    </row>
    <row r="27" spans="2:8" x14ac:dyDescent="0.25">
      <c r="C27" t="s">
        <v>213</v>
      </c>
    </row>
    <row r="28" spans="2:8" x14ac:dyDescent="0.25">
      <c r="C28" t="s">
        <v>214</v>
      </c>
    </row>
    <row r="29" spans="2:8" x14ac:dyDescent="0.25">
      <c r="C29" t="s">
        <v>215</v>
      </c>
    </row>
    <row r="30" spans="2:8" x14ac:dyDescent="0.25">
      <c r="C30" t="s">
        <v>157</v>
      </c>
    </row>
    <row r="33" spans="3:11" x14ac:dyDescent="0.25">
      <c r="J33">
        <v>1</v>
      </c>
      <c r="K33">
        <v>2</v>
      </c>
    </row>
    <row r="34" spans="3:11" x14ac:dyDescent="0.25">
      <c r="C34" s="53" t="s">
        <v>219</v>
      </c>
      <c r="D34" s="52" t="s">
        <v>217</v>
      </c>
      <c r="E34" s="52" t="s">
        <v>222</v>
      </c>
      <c r="F34" s="52" t="s">
        <v>220</v>
      </c>
      <c r="G34" s="52" t="s">
        <v>221</v>
      </c>
      <c r="H34" s="52" t="s">
        <v>223</v>
      </c>
      <c r="J34" t="s">
        <v>178</v>
      </c>
      <c r="K34" t="s">
        <v>194</v>
      </c>
    </row>
    <row r="35" spans="3:11" x14ac:dyDescent="0.25">
      <c r="C35" s="51" t="s">
        <v>218</v>
      </c>
      <c r="D35" s="52" t="s">
        <v>158</v>
      </c>
      <c r="E35" s="52" t="s">
        <v>227</v>
      </c>
      <c r="F35" s="52" t="s">
        <v>229</v>
      </c>
      <c r="G35" s="52" t="s">
        <v>231</v>
      </c>
      <c r="H35" s="52"/>
    </row>
    <row r="36" spans="3:11" x14ac:dyDescent="0.25">
      <c r="C36" s="51"/>
      <c r="D36" s="52" t="s">
        <v>224</v>
      </c>
      <c r="E36" s="52" t="s">
        <v>228</v>
      </c>
      <c r="F36" s="52" t="s">
        <v>230</v>
      </c>
      <c r="G36" s="52" t="s">
        <v>232</v>
      </c>
      <c r="H36" s="52"/>
    </row>
    <row r="37" spans="3:11" x14ac:dyDescent="0.25">
      <c r="C37" s="51"/>
      <c r="D37" s="52" t="s">
        <v>225</v>
      </c>
      <c r="E37" s="52"/>
      <c r="F37" s="52"/>
      <c r="G37" s="52" t="s">
        <v>233</v>
      </c>
      <c r="H37" s="52"/>
    </row>
    <row r="38" spans="3:11" x14ac:dyDescent="0.25">
      <c r="C38" s="51"/>
      <c r="D38" s="52" t="s">
        <v>226</v>
      </c>
      <c r="E38" s="52"/>
      <c r="F38" s="52"/>
      <c r="G38" s="52" t="s">
        <v>233</v>
      </c>
      <c r="H38" s="52"/>
    </row>
    <row r="39" spans="3:11" x14ac:dyDescent="0.25">
      <c r="C39" s="51"/>
      <c r="D39" s="52"/>
      <c r="E39" s="52"/>
      <c r="F39" s="52"/>
      <c r="G39" s="52" t="s">
        <v>234</v>
      </c>
      <c r="H39" s="52"/>
    </row>
    <row r="40" spans="3:11" x14ac:dyDescent="0.25">
      <c r="C40" s="51"/>
      <c r="D40" s="52"/>
      <c r="E40" s="52"/>
      <c r="F40" s="52"/>
      <c r="G40" s="52" t="s">
        <v>235</v>
      </c>
      <c r="H40" s="52"/>
    </row>
    <row r="41" spans="3:11" x14ac:dyDescent="0.25">
      <c r="C41" s="51"/>
      <c r="D41" s="52"/>
      <c r="E41" s="52"/>
      <c r="F41" s="52"/>
      <c r="G41" s="52"/>
      <c r="H41" s="52"/>
    </row>
    <row r="43" spans="3:11" x14ac:dyDescent="0.25">
      <c r="C43" t="s">
        <v>236</v>
      </c>
    </row>
    <row r="44" spans="3:11" x14ac:dyDescent="0.25">
      <c r="C44" t="s">
        <v>160</v>
      </c>
      <c r="D44" t="s">
        <v>237</v>
      </c>
    </row>
    <row r="45" spans="3:11" x14ac:dyDescent="0.25">
      <c r="D45" t="s">
        <v>238</v>
      </c>
    </row>
    <row r="46" spans="3:11" x14ac:dyDescent="0.25">
      <c r="D46" t="s">
        <v>239</v>
      </c>
    </row>
    <row r="47" spans="3:11" x14ac:dyDescent="0.25">
      <c r="D47" t="s">
        <v>240</v>
      </c>
    </row>
    <row r="48" spans="3:11" x14ac:dyDescent="0.25">
      <c r="D48" t="s">
        <v>241</v>
      </c>
    </row>
    <row r="49" spans="3:4" x14ac:dyDescent="0.25">
      <c r="C49" t="s">
        <v>163</v>
      </c>
      <c r="D49" t="s">
        <v>242</v>
      </c>
    </row>
    <row r="50" spans="3:4" x14ac:dyDescent="0.25">
      <c r="D50" t="s">
        <v>243</v>
      </c>
    </row>
    <row r="51" spans="3:4" x14ac:dyDescent="0.25">
      <c r="D51" t="s">
        <v>244</v>
      </c>
    </row>
    <row r="52" spans="3:4" x14ac:dyDescent="0.25">
      <c r="D52" t="s">
        <v>247</v>
      </c>
    </row>
    <row r="53" spans="3:4" x14ac:dyDescent="0.25">
      <c r="D53" t="s">
        <v>245</v>
      </c>
    </row>
    <row r="54" spans="3:4" x14ac:dyDescent="0.25">
      <c r="D54" t="s">
        <v>246</v>
      </c>
    </row>
    <row r="55" spans="3:4" x14ac:dyDescent="0.25">
      <c r="D55" t="s">
        <v>248</v>
      </c>
    </row>
    <row r="56" spans="3:4" x14ac:dyDescent="0.25">
      <c r="D56" t="s">
        <v>249</v>
      </c>
    </row>
    <row r="57" spans="3:4" x14ac:dyDescent="0.25">
      <c r="D57" t="s">
        <v>250</v>
      </c>
    </row>
    <row r="58" spans="3:4" x14ac:dyDescent="0.25">
      <c r="D58" t="s">
        <v>252</v>
      </c>
    </row>
    <row r="59" spans="3:4" x14ac:dyDescent="0.25">
      <c r="D59" t="s">
        <v>261</v>
      </c>
    </row>
    <row r="60" spans="3:4" x14ac:dyDescent="0.25">
      <c r="C60" t="s">
        <v>178</v>
      </c>
      <c r="D60" t="s">
        <v>253</v>
      </c>
    </row>
    <row r="61" spans="3:4" x14ac:dyDescent="0.25">
      <c r="D61" t="s">
        <v>251</v>
      </c>
    </row>
    <row r="62" spans="3:4" x14ac:dyDescent="0.25">
      <c r="D62" t="s">
        <v>241</v>
      </c>
    </row>
    <row r="63" spans="3:4" x14ac:dyDescent="0.25">
      <c r="D63" t="s">
        <v>254</v>
      </c>
    </row>
    <row r="64" spans="3:4" x14ac:dyDescent="0.25">
      <c r="D64" t="s">
        <v>255</v>
      </c>
    </row>
    <row r="65" spans="3:4" x14ac:dyDescent="0.25">
      <c r="D65" t="s">
        <v>256</v>
      </c>
    </row>
    <row r="66" spans="3:4" x14ac:dyDescent="0.25">
      <c r="D66" t="s">
        <v>257</v>
      </c>
    </row>
    <row r="67" spans="3:4" x14ac:dyDescent="0.25">
      <c r="C67" t="s">
        <v>173</v>
      </c>
      <c r="D67" t="s">
        <v>258</v>
      </c>
    </row>
    <row r="68" spans="3:4" x14ac:dyDescent="0.25">
      <c r="D68" t="s">
        <v>259</v>
      </c>
    </row>
    <row r="69" spans="3:4" x14ac:dyDescent="0.25">
      <c r="D69" t="s">
        <v>260</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54"/>
  <sheetViews>
    <sheetView topLeftCell="A40" zoomScaleNormal="100" workbookViewId="0">
      <selection activeCell="C47" sqref="C47"/>
    </sheetView>
  </sheetViews>
  <sheetFormatPr defaultRowHeight="15" x14ac:dyDescent="0.25"/>
  <cols>
    <col min="2" max="2" width="3" bestFit="1" customWidth="1"/>
    <col min="3" max="3" width="155.28515625" customWidth="1"/>
  </cols>
  <sheetData>
    <row r="2" spans="2:3" ht="15" customHeight="1" x14ac:dyDescent="0.25">
      <c r="B2" s="54">
        <v>1</v>
      </c>
      <c r="C2" s="56" t="s">
        <v>266</v>
      </c>
    </row>
    <row r="3" spans="2:3" x14ac:dyDescent="0.25">
      <c r="B3" s="54">
        <v>2</v>
      </c>
      <c r="C3" s="55" t="s">
        <v>267</v>
      </c>
    </row>
    <row r="4" spans="2:3" x14ac:dyDescent="0.25">
      <c r="B4" s="54">
        <v>3</v>
      </c>
      <c r="C4" s="54" t="s">
        <v>268</v>
      </c>
    </row>
    <row r="5" spans="2:3" x14ac:dyDescent="0.25">
      <c r="B5" s="54">
        <v>4</v>
      </c>
      <c r="C5" s="55" t="s">
        <v>269</v>
      </c>
    </row>
    <row r="6" spans="2:3" x14ac:dyDescent="0.25">
      <c r="B6" s="54">
        <v>5</v>
      </c>
      <c r="C6" s="54" t="s">
        <v>270</v>
      </c>
    </row>
    <row r="7" spans="2:3" ht="30" x14ac:dyDescent="0.25">
      <c r="B7" s="54">
        <v>6</v>
      </c>
      <c r="C7" s="55" t="s">
        <v>271</v>
      </c>
    </row>
    <row r="8" spans="2:3" ht="75" x14ac:dyDescent="0.25">
      <c r="B8" s="54">
        <v>7</v>
      </c>
      <c r="C8" s="55" t="s">
        <v>272</v>
      </c>
    </row>
    <row r="9" spans="2:3" x14ac:dyDescent="0.25">
      <c r="B9" s="54">
        <v>8</v>
      </c>
      <c r="C9" s="54" t="s">
        <v>273</v>
      </c>
    </row>
    <row r="10" spans="2:3" x14ac:dyDescent="0.25">
      <c r="B10" s="54">
        <v>9</v>
      </c>
      <c r="C10" s="54" t="s">
        <v>274</v>
      </c>
    </row>
    <row r="11" spans="2:3" x14ac:dyDescent="0.25">
      <c r="B11" s="54">
        <v>10</v>
      </c>
      <c r="C11" s="54" t="s">
        <v>275</v>
      </c>
    </row>
    <row r="12" spans="2:3" x14ac:dyDescent="0.25">
      <c r="B12" s="54">
        <v>11</v>
      </c>
      <c r="C12" s="54" t="s">
        <v>276</v>
      </c>
    </row>
    <row r="13" spans="2:3" x14ac:dyDescent="0.25">
      <c r="B13" s="54">
        <v>12</v>
      </c>
      <c r="C13" s="54" t="s">
        <v>277</v>
      </c>
    </row>
    <row r="14" spans="2:3" x14ac:dyDescent="0.25">
      <c r="B14" s="54">
        <v>13</v>
      </c>
      <c r="C14" s="54" t="s">
        <v>278</v>
      </c>
    </row>
    <row r="15" spans="2:3" x14ac:dyDescent="0.25">
      <c r="B15" s="54">
        <v>14</v>
      </c>
      <c r="C15" s="54" t="s">
        <v>268</v>
      </c>
    </row>
    <row r="16" spans="2:3" x14ac:dyDescent="0.25">
      <c r="B16" s="54">
        <v>15</v>
      </c>
      <c r="C16" s="54" t="s">
        <v>280</v>
      </c>
    </row>
    <row r="17" spans="2:3" x14ac:dyDescent="0.25">
      <c r="B17" s="72">
        <v>16</v>
      </c>
      <c r="C17" s="59" t="s">
        <v>281</v>
      </c>
    </row>
    <row r="18" spans="2:3" x14ac:dyDescent="0.25">
      <c r="B18" s="58">
        <v>17</v>
      </c>
      <c r="C18" s="59" t="s">
        <v>282</v>
      </c>
    </row>
    <row r="19" spans="2:3" x14ac:dyDescent="0.25">
      <c r="B19" s="57">
        <v>18</v>
      </c>
      <c r="C19" s="54" t="s">
        <v>283</v>
      </c>
    </row>
    <row r="20" spans="2:3" x14ac:dyDescent="0.25">
      <c r="B20" s="58">
        <v>19</v>
      </c>
      <c r="C20" s="54" t="s">
        <v>319</v>
      </c>
    </row>
    <row r="21" spans="2:3" x14ac:dyDescent="0.25">
      <c r="B21" s="54">
        <v>20</v>
      </c>
      <c r="C21" s="54" t="s">
        <v>284</v>
      </c>
    </row>
    <row r="22" spans="2:3" x14ac:dyDescent="0.25">
      <c r="B22" s="58">
        <v>21</v>
      </c>
      <c r="C22" s="54" t="s">
        <v>283</v>
      </c>
    </row>
    <row r="23" spans="2:3" s="67" customFormat="1" ht="29.25" customHeight="1" x14ac:dyDescent="0.25">
      <c r="B23" s="66">
        <v>22</v>
      </c>
      <c r="C23" s="56" t="s">
        <v>311</v>
      </c>
    </row>
    <row r="24" spans="2:3" s="67" customFormat="1" ht="30.75" customHeight="1" x14ac:dyDescent="0.25">
      <c r="B24" s="68">
        <v>23</v>
      </c>
      <c r="C24" s="56" t="s">
        <v>312</v>
      </c>
    </row>
    <row r="25" spans="2:3" x14ac:dyDescent="0.25">
      <c r="B25" s="54">
        <v>24</v>
      </c>
      <c r="C25" s="54" t="s">
        <v>315</v>
      </c>
    </row>
    <row r="26" spans="2:3" x14ac:dyDescent="0.25">
      <c r="B26" s="58">
        <v>25</v>
      </c>
      <c r="C26" s="54" t="s">
        <v>313</v>
      </c>
    </row>
    <row r="27" spans="2:3" x14ac:dyDescent="0.25">
      <c r="B27" s="68">
        <v>26</v>
      </c>
      <c r="C27" s="54" t="s">
        <v>314</v>
      </c>
    </row>
    <row r="28" spans="2:3" x14ac:dyDescent="0.25">
      <c r="B28" s="58">
        <v>27</v>
      </c>
      <c r="C28" s="54" t="s">
        <v>316</v>
      </c>
    </row>
    <row r="29" spans="2:3" ht="60" x14ac:dyDescent="0.25">
      <c r="B29" s="71">
        <v>28</v>
      </c>
      <c r="C29" s="55" t="s">
        <v>317</v>
      </c>
    </row>
    <row r="30" spans="2:3" x14ac:dyDescent="0.25">
      <c r="B30" s="68">
        <v>29</v>
      </c>
      <c r="C30" s="54" t="s">
        <v>318</v>
      </c>
    </row>
    <row r="31" spans="2:3" ht="30" x14ac:dyDescent="0.25">
      <c r="B31" s="68">
        <v>30</v>
      </c>
      <c r="C31" s="55" t="s">
        <v>320</v>
      </c>
    </row>
    <row r="32" spans="2:3" x14ac:dyDescent="0.25">
      <c r="B32" s="68">
        <v>31</v>
      </c>
      <c r="C32" s="54" t="s">
        <v>321</v>
      </c>
    </row>
    <row r="33" spans="2:4" x14ac:dyDescent="0.25">
      <c r="B33" s="68">
        <v>32</v>
      </c>
      <c r="C33" s="54" t="s">
        <v>322</v>
      </c>
    </row>
    <row r="34" spans="2:4" ht="36.75" customHeight="1" x14ac:dyDescent="0.25">
      <c r="B34" s="68">
        <v>33</v>
      </c>
      <c r="C34" s="59" t="s">
        <v>323</v>
      </c>
    </row>
    <row r="35" spans="2:4" x14ac:dyDescent="0.25">
      <c r="B35" s="66">
        <v>34</v>
      </c>
      <c r="C35" s="54" t="s">
        <v>331</v>
      </c>
    </row>
    <row r="36" spans="2:4" ht="60" x14ac:dyDescent="0.25">
      <c r="B36" s="66">
        <v>35</v>
      </c>
      <c r="C36" s="55" t="s">
        <v>332</v>
      </c>
    </row>
    <row r="37" spans="2:4" x14ac:dyDescent="0.25">
      <c r="B37" s="54">
        <v>36</v>
      </c>
      <c r="C37" s="55" t="s">
        <v>343</v>
      </c>
    </row>
    <row r="38" spans="2:4" x14ac:dyDescent="0.25">
      <c r="B38" s="54">
        <f t="shared" ref="B38:B44" si="0">B37+1</f>
        <v>37</v>
      </c>
      <c r="C38" s="54" t="s">
        <v>339</v>
      </c>
    </row>
    <row r="39" spans="2:4" x14ac:dyDescent="0.25">
      <c r="B39" s="54">
        <f t="shared" si="0"/>
        <v>38</v>
      </c>
      <c r="C39" s="54" t="s">
        <v>340</v>
      </c>
    </row>
    <row r="40" spans="2:4" x14ac:dyDescent="0.25">
      <c r="B40" s="54">
        <f t="shared" si="0"/>
        <v>39</v>
      </c>
      <c r="C40" s="54" t="s">
        <v>341</v>
      </c>
    </row>
    <row r="41" spans="2:4" x14ac:dyDescent="0.25">
      <c r="B41" s="54">
        <f t="shared" si="0"/>
        <v>40</v>
      </c>
      <c r="C41" s="54" t="s">
        <v>342</v>
      </c>
    </row>
    <row r="42" spans="2:4" ht="30.75" thickBot="1" x14ac:dyDescent="0.3">
      <c r="B42" s="75">
        <f t="shared" si="0"/>
        <v>41</v>
      </c>
      <c r="C42" s="76" t="s">
        <v>344</v>
      </c>
    </row>
    <row r="43" spans="2:4" ht="30" x14ac:dyDescent="0.25">
      <c r="B43" s="79">
        <f t="shared" si="0"/>
        <v>42</v>
      </c>
      <c r="C43" s="84" t="s">
        <v>349</v>
      </c>
      <c r="D43" t="s">
        <v>350</v>
      </c>
    </row>
    <row r="44" spans="2:4" ht="15.75" thickBot="1" x14ac:dyDescent="0.3">
      <c r="B44" s="81">
        <f t="shared" si="0"/>
        <v>43</v>
      </c>
      <c r="C44" s="83" t="s">
        <v>345</v>
      </c>
    </row>
    <row r="45" spans="2:4" ht="15.75" thickBot="1" x14ac:dyDescent="0.3">
      <c r="B45" s="77">
        <f t="shared" ref="B45:B54" si="1">B44+1</f>
        <v>44</v>
      </c>
      <c r="C45" s="78" t="s">
        <v>346</v>
      </c>
    </row>
    <row r="46" spans="2:4" ht="30" x14ac:dyDescent="0.25">
      <c r="B46" s="79">
        <f t="shared" si="1"/>
        <v>45</v>
      </c>
      <c r="C46" s="80" t="s">
        <v>347</v>
      </c>
    </row>
    <row r="47" spans="2:4" ht="15.75" thickBot="1" x14ac:dyDescent="0.3">
      <c r="B47" s="81">
        <f t="shared" si="1"/>
        <v>46</v>
      </c>
      <c r="C47" s="82" t="s">
        <v>348</v>
      </c>
    </row>
    <row r="48" spans="2:4" x14ac:dyDescent="0.25">
      <c r="B48" s="85">
        <f t="shared" si="1"/>
        <v>47</v>
      </c>
      <c r="C48" s="86" t="s">
        <v>351</v>
      </c>
    </row>
    <row r="49" spans="2:4" x14ac:dyDescent="0.25">
      <c r="B49" s="85">
        <f t="shared" si="1"/>
        <v>48</v>
      </c>
      <c r="C49" s="86" t="s">
        <v>352</v>
      </c>
    </row>
    <row r="50" spans="2:4" x14ac:dyDescent="0.25">
      <c r="B50" s="85">
        <f t="shared" si="1"/>
        <v>49</v>
      </c>
      <c r="C50" s="86" t="s">
        <v>354</v>
      </c>
      <c r="D50" t="s">
        <v>353</v>
      </c>
    </row>
    <row r="51" spans="2:4" ht="30" x14ac:dyDescent="0.25">
      <c r="B51" s="87">
        <f t="shared" si="1"/>
        <v>50</v>
      </c>
      <c r="C51" s="88" t="s">
        <v>355</v>
      </c>
    </row>
    <row r="52" spans="2:4" x14ac:dyDescent="0.25">
      <c r="B52" s="87">
        <f t="shared" si="1"/>
        <v>51</v>
      </c>
      <c r="C52" s="89" t="s">
        <v>358</v>
      </c>
      <c r="D52" t="s">
        <v>359</v>
      </c>
    </row>
    <row r="53" spans="2:4" x14ac:dyDescent="0.25">
      <c r="B53" s="87">
        <f t="shared" si="1"/>
        <v>52</v>
      </c>
      <c r="C53" s="89" t="s">
        <v>361</v>
      </c>
      <c r="D53" t="s">
        <v>362</v>
      </c>
    </row>
    <row r="54" spans="2:4" ht="45" x14ac:dyDescent="0.25">
      <c r="B54" s="87">
        <f t="shared" si="1"/>
        <v>53</v>
      </c>
      <c r="C54" s="59" t="s">
        <v>366</v>
      </c>
      <c r="D54" t="s">
        <v>365</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ColWidth="9.140625" defaultRowHeight="15" x14ac:dyDescent="0.25"/>
  <cols>
    <col min="1" max="1" width="9.140625" style="51"/>
    <col min="2" max="2" width="12.28515625" style="51" customWidth="1"/>
    <col min="3" max="16384" width="9.140625" style="51"/>
  </cols>
  <sheetData>
    <row r="2" spans="1:12" x14ac:dyDescent="0.25">
      <c r="B2" s="60" t="s">
        <v>285</v>
      </c>
      <c r="C2" s="326"/>
      <c r="D2" s="326"/>
    </row>
    <row r="3" spans="1:12" x14ac:dyDescent="0.25">
      <c r="D3" s="61"/>
      <c r="E3" s="61"/>
      <c r="F3" s="61"/>
      <c r="G3" s="61"/>
      <c r="H3" s="61"/>
      <c r="I3" s="61"/>
    </row>
    <row r="4" spans="1:12" x14ac:dyDescent="0.25">
      <c r="A4" s="60" t="s">
        <v>64</v>
      </c>
      <c r="B4" s="62" t="s">
        <v>286</v>
      </c>
      <c r="C4" s="327" t="s">
        <v>287</v>
      </c>
      <c r="D4" s="327"/>
      <c r="E4" s="327"/>
      <c r="F4" s="62"/>
      <c r="G4" s="328" t="s">
        <v>288</v>
      </c>
      <c r="H4" s="328"/>
      <c r="I4" s="328"/>
      <c r="J4" s="329" t="s">
        <v>289</v>
      </c>
      <c r="K4" s="329"/>
      <c r="L4" s="329"/>
    </row>
    <row r="5" spans="1:12" x14ac:dyDescent="0.25">
      <c r="A5" s="60"/>
      <c r="B5" s="62"/>
      <c r="C5" s="62" t="s">
        <v>290</v>
      </c>
      <c r="D5" s="62" t="s">
        <v>291</v>
      </c>
      <c r="E5" s="62" t="s">
        <v>292</v>
      </c>
      <c r="F5" s="62"/>
      <c r="G5" s="62" t="s">
        <v>290</v>
      </c>
      <c r="H5" s="62" t="s">
        <v>291</v>
      </c>
      <c r="I5" s="62" t="s">
        <v>292</v>
      </c>
      <c r="J5" s="62" t="s">
        <v>290</v>
      </c>
      <c r="K5" s="62" t="s">
        <v>291</v>
      </c>
      <c r="L5" s="62" t="s">
        <v>292</v>
      </c>
    </row>
    <row r="6" spans="1:12" x14ac:dyDescent="0.25">
      <c r="B6" s="52" t="s">
        <v>293</v>
      </c>
      <c r="C6" s="52"/>
      <c r="D6" s="52"/>
      <c r="E6" s="52">
        <f>C6*D6</f>
        <v>0</v>
      </c>
      <c r="F6" s="52" t="s">
        <v>310</v>
      </c>
      <c r="G6" s="52"/>
      <c r="H6" s="52"/>
      <c r="I6" s="52">
        <f>G6*H6</f>
        <v>0</v>
      </c>
      <c r="J6" s="52"/>
      <c r="K6" s="52"/>
      <c r="L6" s="52">
        <f>J6*K6</f>
        <v>0</v>
      </c>
    </row>
    <row r="7" spans="1:12" x14ac:dyDescent="0.25">
      <c r="B7" s="52"/>
      <c r="C7" s="52"/>
      <c r="D7" s="52"/>
      <c r="E7" s="52">
        <f t="shared" ref="E7:E41" si="0">C7*D7</f>
        <v>0</v>
      </c>
      <c r="F7" s="52" t="s">
        <v>310</v>
      </c>
      <c r="G7" s="52"/>
      <c r="H7" s="52"/>
      <c r="I7" s="52">
        <f t="shared" ref="I7:I35" si="1">G7*H7</f>
        <v>0</v>
      </c>
      <c r="J7" s="52"/>
      <c r="K7" s="52"/>
      <c r="L7" s="52">
        <f t="shared" ref="L7:L35" si="2">J7*K7</f>
        <v>0</v>
      </c>
    </row>
    <row r="8" spans="1:12" x14ac:dyDescent="0.25">
      <c r="B8" s="52"/>
      <c r="C8" s="52"/>
      <c r="D8" s="52"/>
      <c r="E8" s="52">
        <f t="shared" si="0"/>
        <v>0</v>
      </c>
      <c r="F8" s="52"/>
      <c r="G8" s="52"/>
      <c r="H8" s="52"/>
      <c r="I8" s="52">
        <f t="shared" si="1"/>
        <v>0</v>
      </c>
      <c r="J8" s="52"/>
      <c r="K8" s="52"/>
      <c r="L8" s="52">
        <f t="shared" si="2"/>
        <v>0</v>
      </c>
    </row>
    <row r="9" spans="1:12" x14ac:dyDescent="0.25">
      <c r="B9" s="52"/>
      <c r="C9" s="52"/>
      <c r="D9" s="52"/>
      <c r="E9" s="52">
        <f t="shared" si="0"/>
        <v>0</v>
      </c>
      <c r="F9" s="52" t="s">
        <v>294</v>
      </c>
      <c r="G9" s="52"/>
      <c r="H9" s="52"/>
      <c r="I9" s="52">
        <f t="shared" si="1"/>
        <v>0</v>
      </c>
      <c r="J9" s="52"/>
      <c r="K9" s="52"/>
      <c r="L9" s="52">
        <f t="shared" si="2"/>
        <v>0</v>
      </c>
    </row>
    <row r="10" spans="1:12" x14ac:dyDescent="0.25">
      <c r="B10" s="52" t="s">
        <v>295</v>
      </c>
      <c r="C10" s="52"/>
      <c r="D10" s="52"/>
      <c r="E10" s="52">
        <f t="shared" si="0"/>
        <v>0</v>
      </c>
      <c r="F10" s="52" t="s">
        <v>294</v>
      </c>
      <c r="G10" s="52"/>
      <c r="H10" s="52"/>
      <c r="I10" s="52">
        <f t="shared" si="1"/>
        <v>0</v>
      </c>
      <c r="J10" s="52"/>
      <c r="K10" s="52"/>
      <c r="L10" s="52">
        <f t="shared" si="2"/>
        <v>0</v>
      </c>
    </row>
    <row r="11" spans="1:12" x14ac:dyDescent="0.25">
      <c r="B11" s="52"/>
      <c r="C11" s="52"/>
      <c r="D11" s="52"/>
      <c r="E11" s="52">
        <f t="shared" si="0"/>
        <v>0</v>
      </c>
      <c r="F11" s="52" t="s">
        <v>296</v>
      </c>
      <c r="G11" s="52"/>
      <c r="H11" s="52"/>
      <c r="I11" s="52">
        <f t="shared" si="1"/>
        <v>0</v>
      </c>
      <c r="J11" s="52"/>
      <c r="K11" s="52"/>
      <c r="L11" s="52">
        <f t="shared" si="2"/>
        <v>0</v>
      </c>
    </row>
    <row r="12" spans="1:12" x14ac:dyDescent="0.25">
      <c r="B12" s="52"/>
      <c r="C12" s="52"/>
      <c r="D12" s="52"/>
      <c r="E12" s="52">
        <f t="shared" si="0"/>
        <v>0</v>
      </c>
      <c r="F12" s="52"/>
      <c r="G12" s="52"/>
      <c r="H12" s="52"/>
      <c r="I12" s="52">
        <f t="shared" si="1"/>
        <v>0</v>
      </c>
      <c r="J12" s="52"/>
      <c r="K12" s="52"/>
      <c r="L12" s="52">
        <f t="shared" si="2"/>
        <v>0</v>
      </c>
    </row>
    <row r="13" spans="1:12" x14ac:dyDescent="0.25">
      <c r="B13" s="52"/>
      <c r="C13" s="52"/>
      <c r="D13" s="52"/>
      <c r="E13" s="52">
        <f t="shared" si="0"/>
        <v>0</v>
      </c>
      <c r="F13" s="52"/>
      <c r="G13" s="52"/>
      <c r="H13" s="52"/>
      <c r="I13" s="52">
        <f t="shared" si="1"/>
        <v>0</v>
      </c>
      <c r="J13" s="52"/>
      <c r="K13" s="52"/>
      <c r="L13" s="52">
        <f t="shared" si="2"/>
        <v>0</v>
      </c>
    </row>
    <row r="14" spans="1:12" x14ac:dyDescent="0.25">
      <c r="B14" s="52" t="s">
        <v>297</v>
      </c>
      <c r="C14" s="52"/>
      <c r="D14" s="52"/>
      <c r="E14" s="52">
        <f t="shared" si="0"/>
        <v>0</v>
      </c>
      <c r="F14" s="52" t="s">
        <v>294</v>
      </c>
      <c r="G14" s="52"/>
      <c r="H14" s="52"/>
      <c r="I14" s="52">
        <f t="shared" si="1"/>
        <v>0</v>
      </c>
      <c r="J14" s="52"/>
      <c r="K14" s="52"/>
      <c r="L14" s="52">
        <f t="shared" si="2"/>
        <v>0</v>
      </c>
    </row>
    <row r="15" spans="1:12" x14ac:dyDescent="0.25">
      <c r="B15" s="52"/>
      <c r="C15" s="52"/>
      <c r="D15" s="52"/>
      <c r="E15" s="52">
        <f t="shared" si="0"/>
        <v>0</v>
      </c>
      <c r="F15" s="52" t="s">
        <v>296</v>
      </c>
      <c r="G15" s="52"/>
      <c r="H15" s="52"/>
      <c r="I15" s="52">
        <f t="shared" si="1"/>
        <v>0</v>
      </c>
      <c r="J15" s="52"/>
      <c r="K15" s="52"/>
      <c r="L15" s="52">
        <f t="shared" si="2"/>
        <v>0</v>
      </c>
    </row>
    <row r="16" spans="1:12" x14ac:dyDescent="0.25">
      <c r="B16" s="52"/>
      <c r="C16" s="52"/>
      <c r="D16" s="52"/>
      <c r="E16" s="52">
        <f t="shared" si="0"/>
        <v>0</v>
      </c>
      <c r="F16" s="52"/>
      <c r="G16" s="52"/>
      <c r="H16" s="52"/>
      <c r="I16" s="52">
        <f t="shared" si="1"/>
        <v>0</v>
      </c>
      <c r="J16" s="52"/>
      <c r="K16" s="52"/>
      <c r="L16" s="52">
        <f t="shared" si="2"/>
        <v>0</v>
      </c>
    </row>
    <row r="17" spans="2:12" x14ac:dyDescent="0.25">
      <c r="B17" s="52"/>
      <c r="C17" s="52"/>
      <c r="D17" s="52"/>
      <c r="E17" s="52">
        <f t="shared" si="0"/>
        <v>0</v>
      </c>
      <c r="F17" s="52"/>
      <c r="G17" s="52"/>
      <c r="H17" s="52"/>
      <c r="I17" s="52">
        <f t="shared" si="1"/>
        <v>0</v>
      </c>
      <c r="J17" s="52"/>
      <c r="K17" s="52"/>
      <c r="L17" s="52">
        <f t="shared" si="2"/>
        <v>0</v>
      </c>
    </row>
    <row r="18" spans="2:12" x14ac:dyDescent="0.25">
      <c r="B18" s="52" t="s">
        <v>298</v>
      </c>
      <c r="C18" s="52"/>
      <c r="D18" s="52"/>
      <c r="E18" s="52">
        <f t="shared" si="0"/>
        <v>0</v>
      </c>
      <c r="F18" s="52" t="s">
        <v>294</v>
      </c>
      <c r="G18" s="52"/>
      <c r="H18" s="52"/>
      <c r="I18" s="52">
        <f t="shared" si="1"/>
        <v>0</v>
      </c>
      <c r="J18" s="52"/>
      <c r="K18" s="52"/>
      <c r="L18" s="52">
        <f t="shared" si="2"/>
        <v>0</v>
      </c>
    </row>
    <row r="19" spans="2:12" x14ac:dyDescent="0.25">
      <c r="B19" s="52"/>
      <c r="C19" s="52"/>
      <c r="D19" s="52"/>
      <c r="E19" s="52">
        <f t="shared" si="0"/>
        <v>0</v>
      </c>
      <c r="F19" s="52" t="s">
        <v>296</v>
      </c>
      <c r="G19" s="52"/>
      <c r="H19" s="52"/>
      <c r="I19" s="52">
        <f t="shared" si="1"/>
        <v>0</v>
      </c>
      <c r="J19" s="52"/>
      <c r="K19" s="52"/>
      <c r="L19" s="52">
        <f t="shared" si="2"/>
        <v>0</v>
      </c>
    </row>
    <row r="20" spans="2:12" x14ac:dyDescent="0.25">
      <c r="B20" s="52"/>
      <c r="C20" s="52"/>
      <c r="D20" s="52"/>
      <c r="E20" s="52">
        <f t="shared" si="0"/>
        <v>0</v>
      </c>
      <c r="F20" s="52"/>
      <c r="G20" s="52"/>
      <c r="H20" s="52"/>
      <c r="I20" s="52">
        <f t="shared" si="1"/>
        <v>0</v>
      </c>
      <c r="J20" s="52"/>
      <c r="K20" s="52"/>
      <c r="L20" s="52">
        <f t="shared" si="2"/>
        <v>0</v>
      </c>
    </row>
    <row r="21" spans="2:12" x14ac:dyDescent="0.25">
      <c r="B21" s="52" t="s">
        <v>299</v>
      </c>
      <c r="C21" s="52"/>
      <c r="D21" s="52"/>
      <c r="E21" s="52">
        <f t="shared" si="0"/>
        <v>0</v>
      </c>
      <c r="F21" s="52" t="s">
        <v>294</v>
      </c>
      <c r="G21" s="52"/>
      <c r="H21" s="52"/>
      <c r="I21" s="52">
        <f t="shared" si="1"/>
        <v>0</v>
      </c>
      <c r="J21" s="52"/>
      <c r="K21" s="52"/>
      <c r="L21" s="52">
        <f t="shared" si="2"/>
        <v>0</v>
      </c>
    </row>
    <row r="22" spans="2:12" x14ac:dyDescent="0.25">
      <c r="B22" s="52"/>
      <c r="C22" s="52"/>
      <c r="D22" s="52"/>
      <c r="E22" s="52">
        <f t="shared" si="0"/>
        <v>0</v>
      </c>
      <c r="F22" s="52" t="s">
        <v>296</v>
      </c>
      <c r="G22" s="52"/>
      <c r="H22" s="52"/>
      <c r="I22" s="52">
        <f t="shared" si="1"/>
        <v>0</v>
      </c>
      <c r="J22" s="52"/>
      <c r="K22" s="52"/>
      <c r="L22" s="52">
        <f t="shared" si="2"/>
        <v>0</v>
      </c>
    </row>
    <row r="23" spans="2:12" x14ac:dyDescent="0.25">
      <c r="B23" s="52"/>
      <c r="C23" s="52"/>
      <c r="D23" s="52"/>
      <c r="E23" s="52">
        <f t="shared" si="0"/>
        <v>0</v>
      </c>
      <c r="F23" s="52"/>
      <c r="G23" s="52"/>
      <c r="H23" s="52"/>
      <c r="I23" s="52">
        <f t="shared" si="1"/>
        <v>0</v>
      </c>
      <c r="J23" s="52"/>
      <c r="K23" s="52"/>
      <c r="L23" s="52">
        <f t="shared" si="2"/>
        <v>0</v>
      </c>
    </row>
    <row r="24" spans="2:12" x14ac:dyDescent="0.25">
      <c r="B24" s="52" t="s">
        <v>300</v>
      </c>
      <c r="C24" s="52"/>
      <c r="D24" s="52"/>
      <c r="E24" s="52">
        <f t="shared" si="0"/>
        <v>0</v>
      </c>
      <c r="F24" s="52" t="s">
        <v>301</v>
      </c>
      <c r="G24" s="52"/>
      <c r="H24" s="52"/>
      <c r="I24" s="52">
        <f t="shared" si="1"/>
        <v>0</v>
      </c>
      <c r="J24" s="52"/>
      <c r="K24" s="52"/>
      <c r="L24" s="52">
        <f t="shared" si="2"/>
        <v>0</v>
      </c>
    </row>
    <row r="25" spans="2:12" x14ac:dyDescent="0.25">
      <c r="B25" s="52"/>
      <c r="C25" s="52"/>
      <c r="D25" s="52"/>
      <c r="E25" s="52">
        <f>C25*D25</f>
        <v>0</v>
      </c>
      <c r="F25" s="52" t="s">
        <v>301</v>
      </c>
      <c r="G25" s="52"/>
      <c r="H25" s="52"/>
      <c r="I25" s="52">
        <f>G25*H25</f>
        <v>0</v>
      </c>
      <c r="J25" s="52"/>
      <c r="K25" s="52"/>
      <c r="L25" s="52">
        <f>J25*K25</f>
        <v>0</v>
      </c>
    </row>
    <row r="26" spans="2:12" x14ac:dyDescent="0.25">
      <c r="B26" s="52"/>
      <c r="C26" s="52"/>
      <c r="D26" s="52"/>
      <c r="E26" s="52">
        <f>C26*D26</f>
        <v>0</v>
      </c>
      <c r="F26" s="52" t="s">
        <v>301</v>
      </c>
      <c r="G26" s="52"/>
      <c r="H26" s="52"/>
      <c r="I26" s="52">
        <f>G26*H26</f>
        <v>0</v>
      </c>
      <c r="J26" s="52"/>
      <c r="K26" s="52"/>
      <c r="L26" s="52">
        <f>J26*K26</f>
        <v>0</v>
      </c>
    </row>
    <row r="27" spans="2:12" x14ac:dyDescent="0.25">
      <c r="B27" s="52"/>
      <c r="C27" s="52"/>
      <c r="D27" s="52"/>
      <c r="E27" s="52">
        <f>C27*D27</f>
        <v>0</v>
      </c>
      <c r="F27" s="52" t="s">
        <v>301</v>
      </c>
      <c r="G27" s="52"/>
      <c r="H27" s="52"/>
      <c r="I27" s="52">
        <f>G27*H27</f>
        <v>0</v>
      </c>
      <c r="J27" s="52"/>
      <c r="K27" s="52"/>
      <c r="L27" s="52">
        <f>J27*K27</f>
        <v>0</v>
      </c>
    </row>
    <row r="28" spans="2:12" x14ac:dyDescent="0.25">
      <c r="B28" s="52" t="s">
        <v>302</v>
      </c>
      <c r="C28" s="52"/>
      <c r="D28" s="52"/>
      <c r="E28" s="52">
        <f t="shared" si="0"/>
        <v>0</v>
      </c>
      <c r="F28" s="52" t="s">
        <v>301</v>
      </c>
      <c r="G28" s="52"/>
      <c r="H28" s="52"/>
      <c r="I28" s="52">
        <f t="shared" si="1"/>
        <v>0</v>
      </c>
      <c r="J28" s="52"/>
      <c r="K28" s="52"/>
      <c r="L28" s="52">
        <f t="shared" si="2"/>
        <v>0</v>
      </c>
    </row>
    <row r="29" spans="2:12" x14ac:dyDescent="0.25">
      <c r="B29" s="52" t="s">
        <v>303</v>
      </c>
      <c r="C29" s="52"/>
      <c r="D29" s="52"/>
      <c r="E29" s="52">
        <f t="shared" si="0"/>
        <v>0</v>
      </c>
      <c r="F29" s="52" t="s">
        <v>301</v>
      </c>
      <c r="G29" s="52"/>
      <c r="H29" s="52"/>
      <c r="I29" s="52">
        <f t="shared" si="1"/>
        <v>0</v>
      </c>
      <c r="J29" s="52"/>
      <c r="K29" s="52"/>
      <c r="L29" s="52">
        <f t="shared" si="2"/>
        <v>0</v>
      </c>
    </row>
    <row r="30" spans="2:12" x14ac:dyDescent="0.25">
      <c r="B30" s="52" t="s">
        <v>307</v>
      </c>
      <c r="C30" s="52"/>
      <c r="D30" s="52"/>
      <c r="E30" s="52">
        <f t="shared" si="0"/>
        <v>0</v>
      </c>
      <c r="F30" s="52"/>
      <c r="G30" s="52"/>
      <c r="H30" s="52"/>
      <c r="I30" s="52">
        <f t="shared" si="1"/>
        <v>0</v>
      </c>
      <c r="J30" s="52"/>
      <c r="K30" s="52"/>
      <c r="L30" s="52">
        <f t="shared" si="2"/>
        <v>0</v>
      </c>
    </row>
    <row r="31" spans="2:12" x14ac:dyDescent="0.25">
      <c r="B31" s="52"/>
      <c r="C31" s="52"/>
      <c r="D31" s="52"/>
      <c r="E31" s="52">
        <f>C31*D31</f>
        <v>0</v>
      </c>
      <c r="F31" s="52"/>
      <c r="G31" s="52"/>
      <c r="H31" s="52"/>
      <c r="I31" s="52">
        <f>G31*H31</f>
        <v>0</v>
      </c>
      <c r="J31" s="52"/>
      <c r="K31" s="52"/>
      <c r="L31" s="52">
        <f>J31*K31</f>
        <v>0</v>
      </c>
    </row>
    <row r="32" spans="2:12" x14ac:dyDescent="0.25">
      <c r="B32" s="52"/>
      <c r="C32" s="52"/>
      <c r="D32" s="52"/>
      <c r="E32" s="52">
        <f>C32*D32</f>
        <v>0</v>
      </c>
      <c r="F32" s="52"/>
      <c r="G32" s="52"/>
      <c r="H32" s="52"/>
      <c r="I32" s="52">
        <f>G32*H32</f>
        <v>0</v>
      </c>
      <c r="J32" s="52"/>
      <c r="K32" s="52"/>
      <c r="L32" s="52">
        <f>J32*K32</f>
        <v>0</v>
      </c>
    </row>
    <row r="33" spans="2:12" x14ac:dyDescent="0.25">
      <c r="B33" s="52" t="s">
        <v>304</v>
      </c>
      <c r="C33" s="52"/>
      <c r="D33" s="52"/>
      <c r="E33" s="52">
        <f t="shared" si="0"/>
        <v>0</v>
      </c>
      <c r="F33" s="52"/>
      <c r="G33" s="52"/>
      <c r="H33" s="52"/>
      <c r="I33" s="52">
        <f t="shared" si="1"/>
        <v>0</v>
      </c>
      <c r="J33" s="52"/>
      <c r="K33" s="52"/>
      <c r="L33" s="52">
        <f t="shared" si="2"/>
        <v>0</v>
      </c>
    </row>
    <row r="34" spans="2:12" x14ac:dyDescent="0.25">
      <c r="B34" s="52" t="s">
        <v>308</v>
      </c>
      <c r="C34" s="52"/>
      <c r="D34" s="52"/>
      <c r="E34" s="52">
        <f t="shared" si="0"/>
        <v>0</v>
      </c>
      <c r="F34" s="52"/>
      <c r="G34" s="52"/>
      <c r="H34" s="52"/>
      <c r="I34" s="52">
        <f t="shared" si="1"/>
        <v>0</v>
      </c>
      <c r="J34" s="52"/>
      <c r="K34" s="52"/>
      <c r="L34" s="52">
        <f t="shared" si="2"/>
        <v>0</v>
      </c>
    </row>
    <row r="35" spans="2:12" x14ac:dyDescent="0.25">
      <c r="B35" s="52" t="s">
        <v>305</v>
      </c>
      <c r="C35" s="52"/>
      <c r="D35" s="52"/>
      <c r="E35" s="52">
        <f t="shared" si="0"/>
        <v>0</v>
      </c>
      <c r="F35" s="52"/>
      <c r="G35" s="52"/>
      <c r="H35" s="52"/>
      <c r="I35" s="52">
        <f t="shared" si="1"/>
        <v>0</v>
      </c>
      <c r="J35" s="52"/>
      <c r="K35" s="52"/>
      <c r="L35" s="52">
        <f t="shared" si="2"/>
        <v>0</v>
      </c>
    </row>
    <row r="36" spans="2:12" x14ac:dyDescent="0.25">
      <c r="B36" s="52" t="s">
        <v>306</v>
      </c>
      <c r="C36" s="52"/>
      <c r="D36" s="52"/>
      <c r="E36" s="52">
        <f t="shared" si="0"/>
        <v>0</v>
      </c>
      <c r="F36" s="52"/>
      <c r="G36" s="52"/>
      <c r="H36" s="52"/>
      <c r="I36" s="52">
        <f t="shared" ref="I36:I41" si="3">G36*H36</f>
        <v>0</v>
      </c>
      <c r="J36" s="52"/>
      <c r="K36" s="52"/>
      <c r="L36" s="52">
        <f t="shared" ref="L36:L41" si="4">J36*K36</f>
        <v>0</v>
      </c>
    </row>
    <row r="37" spans="2:12" x14ac:dyDescent="0.25">
      <c r="B37" s="52"/>
      <c r="C37" s="52"/>
      <c r="D37" s="52"/>
      <c r="E37" s="52">
        <f>C37*D37</f>
        <v>0</v>
      </c>
      <c r="F37" s="52"/>
      <c r="G37" s="52"/>
      <c r="H37" s="52"/>
      <c r="I37" s="52">
        <f t="shared" si="3"/>
        <v>0</v>
      </c>
      <c r="J37" s="52"/>
      <c r="K37" s="52"/>
      <c r="L37" s="52">
        <f t="shared" si="4"/>
        <v>0</v>
      </c>
    </row>
    <row r="38" spans="2:12" x14ac:dyDescent="0.25">
      <c r="B38" s="52" t="s">
        <v>309</v>
      </c>
      <c r="C38" s="52"/>
      <c r="D38" s="52"/>
      <c r="E38" s="52">
        <f>C38*D38</f>
        <v>0</v>
      </c>
      <c r="F38" s="52"/>
      <c r="G38" s="52"/>
      <c r="H38" s="52"/>
      <c r="I38" s="52">
        <f t="shared" si="3"/>
        <v>0</v>
      </c>
      <c r="J38" s="52"/>
      <c r="K38" s="52"/>
      <c r="L38" s="52">
        <f t="shared" si="4"/>
        <v>0</v>
      </c>
    </row>
    <row r="39" spans="2:12" x14ac:dyDescent="0.25">
      <c r="B39" s="52"/>
      <c r="C39" s="52"/>
      <c r="D39" s="52"/>
      <c r="E39" s="52">
        <f t="shared" si="0"/>
        <v>0</v>
      </c>
      <c r="F39" s="52"/>
      <c r="G39" s="52"/>
      <c r="H39" s="52"/>
      <c r="I39" s="52">
        <f t="shared" si="3"/>
        <v>0</v>
      </c>
      <c r="J39" s="52"/>
      <c r="K39" s="52"/>
      <c r="L39" s="52">
        <f t="shared" si="4"/>
        <v>0</v>
      </c>
    </row>
    <row r="40" spans="2:12" x14ac:dyDescent="0.25">
      <c r="B40" s="52"/>
      <c r="C40" s="52"/>
      <c r="D40" s="52"/>
      <c r="E40" s="52">
        <f t="shared" si="0"/>
        <v>0</v>
      </c>
      <c r="F40" s="52"/>
      <c r="G40" s="52"/>
      <c r="H40" s="52"/>
      <c r="I40" s="52">
        <f t="shared" si="3"/>
        <v>0</v>
      </c>
      <c r="J40" s="52"/>
      <c r="K40" s="52"/>
      <c r="L40" s="52">
        <f t="shared" si="4"/>
        <v>0</v>
      </c>
    </row>
    <row r="41" spans="2:12" x14ac:dyDescent="0.25">
      <c r="B41" s="52"/>
      <c r="C41" s="52"/>
      <c r="D41" s="52"/>
      <c r="E41" s="52">
        <f t="shared" si="0"/>
        <v>0</v>
      </c>
      <c r="F41" s="52"/>
      <c r="G41" s="52"/>
      <c r="H41" s="52"/>
      <c r="I41" s="52">
        <f t="shared" si="3"/>
        <v>0</v>
      </c>
      <c r="J41" s="52"/>
      <c r="K41" s="52"/>
      <c r="L41" s="52">
        <f t="shared" si="4"/>
        <v>0</v>
      </c>
    </row>
    <row r="42" spans="2:12" x14ac:dyDescent="0.25">
      <c r="B42" s="52" t="s">
        <v>141</v>
      </c>
      <c r="C42" s="52"/>
      <c r="D42" s="52">
        <f>E42*10.764</f>
        <v>0</v>
      </c>
      <c r="E42" s="65">
        <f>SUM(E6:E41)</f>
        <v>0</v>
      </c>
      <c r="F42" s="52"/>
      <c r="G42" s="52"/>
      <c r="H42" s="52">
        <f>I42*10.764</f>
        <v>0</v>
      </c>
      <c r="I42" s="64">
        <f>SUM(I6:I41)</f>
        <v>0</v>
      </c>
      <c r="J42" s="52"/>
      <c r="K42" s="52">
        <f>L42*10.764</f>
        <v>0</v>
      </c>
      <c r="L42" s="63">
        <f>SUM(L6:L41)</f>
        <v>0</v>
      </c>
    </row>
    <row r="44" spans="2:12" x14ac:dyDescent="0.25">
      <c r="D44" s="51">
        <f>D42+H42</f>
        <v>0</v>
      </c>
      <c r="E44" s="51">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VSJC-06</cp:lastModifiedBy>
  <cp:lastPrinted>2025-08-07T10:34:48Z</cp:lastPrinted>
  <dcterms:created xsi:type="dcterms:W3CDTF">2019-07-16T09:29:46Z</dcterms:created>
  <dcterms:modified xsi:type="dcterms:W3CDTF">2025-08-07T10:40:55Z</dcterms:modified>
</cp:coreProperties>
</file>