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Aug 25\RBL Old\"/>
    </mc:Choice>
  </mc:AlternateContent>
  <bookViews>
    <workbookView xWindow="0" yWindow="0" windowWidth="20490" windowHeight="7755"/>
  </bookViews>
  <sheets>
    <sheet name="Sheet1" sheetId="1" r:id="rId1"/>
    <sheet name="Sheet2" sheetId="2" r:id="rId2"/>
  </sheets>
  <definedNames>
    <definedName name="_xlnm.Print_Area" localSheetId="0">Sheet1!$A$1:$F$647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3" i="1" l="1"/>
  <c r="G62" i="1"/>
  <c r="C57" i="1"/>
  <c r="C56" i="1"/>
  <c r="G45" i="1"/>
  <c r="G46" i="1"/>
  <c r="C47" i="1"/>
  <c r="C46" i="1"/>
  <c r="E383" i="1"/>
  <c r="G383" i="1"/>
  <c r="C376" i="1"/>
  <c r="H194" i="1" l="1"/>
  <c r="H193" i="1"/>
  <c r="H192" i="1"/>
  <c r="H191" i="1"/>
  <c r="F184" i="1"/>
  <c r="D196" i="1" l="1"/>
  <c r="D190" i="1"/>
  <c r="H189" i="1"/>
  <c r="D193" i="1"/>
  <c r="H195" i="1"/>
  <c r="D187" i="1"/>
  <c r="D192" i="1"/>
  <c r="D195" i="1"/>
  <c r="D189" i="1"/>
  <c r="D194" i="1"/>
  <c r="H196" i="1"/>
  <c r="C188" i="1" s="1"/>
  <c r="D191" i="1"/>
  <c r="H190" i="1"/>
  <c r="E187" i="1" l="1"/>
  <c r="D188" i="1"/>
  <c r="G183" i="1" l="1"/>
  <c r="B185" i="1" s="1"/>
  <c r="B17" i="1"/>
  <c r="C61" i="1" l="1"/>
  <c r="C53" i="1"/>
  <c r="C58" i="1" s="1"/>
  <c r="H152" i="1" l="1"/>
  <c r="H151" i="1"/>
  <c r="H150" i="1"/>
  <c r="H149" i="1"/>
  <c r="H166" i="1"/>
  <c r="H165" i="1"/>
  <c r="H164" i="1"/>
  <c r="H163" i="1"/>
  <c r="H180" i="1"/>
  <c r="H179" i="1"/>
  <c r="H178" i="1"/>
  <c r="H177" i="1"/>
  <c r="C485" i="1"/>
  <c r="C473" i="1"/>
  <c r="C482" i="1"/>
  <c r="C470" i="1"/>
  <c r="C479" i="1"/>
  <c r="C484" i="1"/>
  <c r="C486" i="1"/>
  <c r="C483" i="1"/>
  <c r="C481" i="1"/>
  <c r="C480" i="1"/>
  <c r="C477" i="1"/>
  <c r="C476" i="1"/>
  <c r="C475" i="1"/>
  <c r="C474" i="1"/>
  <c r="C472" i="1"/>
  <c r="C471" i="1"/>
  <c r="F468" i="1"/>
  <c r="C467" i="1"/>
  <c r="F467" i="1" s="1"/>
  <c r="C466" i="1"/>
  <c r="F466" i="1" s="1"/>
  <c r="G465" i="1"/>
  <c r="F465" i="1"/>
  <c r="F464" i="1"/>
  <c r="F463" i="1"/>
  <c r="F462" i="1"/>
  <c r="F461" i="1"/>
  <c r="C458" i="1"/>
  <c r="D458" i="1" s="1"/>
  <c r="C457" i="1"/>
  <c r="F142" i="1"/>
  <c r="F156" i="1"/>
  <c r="F170" i="1"/>
  <c r="B217" i="1" l="1"/>
  <c r="D466" i="1"/>
  <c r="D147" i="1"/>
  <c r="D154" i="1"/>
  <c r="D150" i="1"/>
  <c r="H146" i="1"/>
  <c r="C146" i="1" s="1"/>
  <c r="E145" i="1" s="1"/>
  <c r="D153" i="1"/>
  <c r="D149" i="1"/>
  <c r="H145" i="1"/>
  <c r="H144" i="1"/>
  <c r="D152" i="1"/>
  <c r="D148" i="1"/>
  <c r="D145" i="1"/>
  <c r="J147" i="1"/>
  <c r="D151" i="1"/>
  <c r="H147" i="1"/>
  <c r="H148" i="1" s="1"/>
  <c r="H153" i="1" s="1"/>
  <c r="H154" i="1" s="1"/>
  <c r="D161" i="1"/>
  <c r="D168" i="1"/>
  <c r="D164" i="1"/>
  <c r="H160" i="1"/>
  <c r="C160" i="1" s="1"/>
  <c r="D160" i="1" s="1"/>
  <c r="D167" i="1"/>
  <c r="D163" i="1"/>
  <c r="H159" i="1"/>
  <c r="H158" i="1"/>
  <c r="D166" i="1"/>
  <c r="D162" i="1"/>
  <c r="D159" i="1"/>
  <c r="J161" i="1"/>
  <c r="D165" i="1"/>
  <c r="H161" i="1"/>
  <c r="H162" i="1" s="1"/>
  <c r="H167" i="1" s="1"/>
  <c r="H168" i="1" s="1"/>
  <c r="D467" i="1"/>
  <c r="C217" i="1"/>
  <c r="D182" i="1"/>
  <c r="D178" i="1"/>
  <c r="H174" i="1"/>
  <c r="C174" i="1" s="1"/>
  <c r="D174" i="1" s="1"/>
  <c r="D177" i="1"/>
  <c r="H173" i="1"/>
  <c r="D175" i="1"/>
  <c r="D181" i="1"/>
  <c r="J175" i="1"/>
  <c r="D180" i="1"/>
  <c r="D176" i="1"/>
  <c r="D173" i="1"/>
  <c r="H172" i="1"/>
  <c r="D179" i="1"/>
  <c r="H175" i="1"/>
  <c r="H176" i="1" s="1"/>
  <c r="H181" i="1" s="1"/>
  <c r="H182" i="1" s="1"/>
  <c r="F486" i="1"/>
  <c r="D486" i="1"/>
  <c r="F477" i="1"/>
  <c r="F459" i="1"/>
  <c r="D485" i="1"/>
  <c r="F484" i="1"/>
  <c r="F483" i="1"/>
  <c r="D483" i="1"/>
  <c r="F482" i="1"/>
  <c r="F481" i="1"/>
  <c r="D480" i="1"/>
  <c r="F479" i="1"/>
  <c r="D476" i="1"/>
  <c r="F476" i="1"/>
  <c r="D475" i="1"/>
  <c r="F474" i="1"/>
  <c r="D473" i="1"/>
  <c r="D472" i="1"/>
  <c r="F472" i="1"/>
  <c r="F471" i="1"/>
  <c r="F470" i="1"/>
  <c r="F458" i="1"/>
  <c r="D457" i="1"/>
  <c r="F457" i="1"/>
  <c r="G456" i="1"/>
  <c r="F456" i="1"/>
  <c r="F455" i="1"/>
  <c r="F454" i="1"/>
  <c r="F453" i="1"/>
  <c r="F452" i="1"/>
  <c r="C447" i="1"/>
  <c r="D447" i="1" s="1"/>
  <c r="C448" i="1"/>
  <c r="F448" i="1" s="1"/>
  <c r="C446" i="1"/>
  <c r="D446" i="1" s="1"/>
  <c r="C445" i="1"/>
  <c r="F445" i="1" s="1"/>
  <c r="C444" i="1"/>
  <c r="F444" i="1" s="1"/>
  <c r="C443" i="1"/>
  <c r="F443" i="1" s="1"/>
  <c r="C442" i="1"/>
  <c r="F442" i="1" s="1"/>
  <c r="C440" i="1"/>
  <c r="F440" i="1" s="1"/>
  <c r="C439" i="1"/>
  <c r="F439" i="1" s="1"/>
  <c r="C438" i="1"/>
  <c r="D438" i="1" s="1"/>
  <c r="C436" i="1"/>
  <c r="D436" i="1" s="1"/>
  <c r="C435" i="1"/>
  <c r="D435" i="1" s="1"/>
  <c r="C434" i="1"/>
  <c r="F434" i="1" s="1"/>
  <c r="F432" i="1"/>
  <c r="C431" i="1"/>
  <c r="F431" i="1" s="1"/>
  <c r="G430" i="1"/>
  <c r="C430" i="1"/>
  <c r="F430" i="1" s="1"/>
  <c r="C429" i="1"/>
  <c r="F429" i="1" s="1"/>
  <c r="F428" i="1"/>
  <c r="F427" i="1"/>
  <c r="F426" i="1"/>
  <c r="C423" i="1"/>
  <c r="F423" i="1" s="1"/>
  <c r="C422" i="1"/>
  <c r="F422" i="1" s="1"/>
  <c r="C421" i="1"/>
  <c r="C437" i="1"/>
  <c r="D437" i="1" s="1"/>
  <c r="F424" i="1"/>
  <c r="G422" i="1"/>
  <c r="F420" i="1"/>
  <c r="F419" i="1"/>
  <c r="F418" i="1"/>
  <c r="C414" i="1"/>
  <c r="F414" i="1" s="1"/>
  <c r="C413" i="1"/>
  <c r="F413" i="1" s="1"/>
  <c r="C412" i="1"/>
  <c r="F412" i="1" s="1"/>
  <c r="C411" i="1"/>
  <c r="F411" i="1" s="1"/>
  <c r="C408" i="1"/>
  <c r="F408" i="1" s="1"/>
  <c r="C409" i="1"/>
  <c r="F409" i="1" s="1"/>
  <c r="C407" i="1"/>
  <c r="F407" i="1" s="1"/>
  <c r="C406" i="1"/>
  <c r="D406" i="1" s="1"/>
  <c r="C404" i="1"/>
  <c r="E404" i="1"/>
  <c r="E401" i="1"/>
  <c r="C401" i="1"/>
  <c r="F403" i="1"/>
  <c r="F402" i="1"/>
  <c r="C302" i="1"/>
  <c r="C301" i="1"/>
  <c r="C300" i="1"/>
  <c r="C299" i="1"/>
  <c r="C298" i="1"/>
  <c r="C396" i="1"/>
  <c r="C398" i="1"/>
  <c r="C397" i="1"/>
  <c r="C395" i="1"/>
  <c r="C394" i="1"/>
  <c r="C393" i="1"/>
  <c r="C391" i="1"/>
  <c r="C390" i="1"/>
  <c r="C389" i="1"/>
  <c r="C388" i="1"/>
  <c r="C387" i="1"/>
  <c r="C386" i="1"/>
  <c r="C383" i="1"/>
  <c r="F383" i="1" s="1"/>
  <c r="E382" i="1"/>
  <c r="E381" i="1"/>
  <c r="E380" i="1"/>
  <c r="C382" i="1"/>
  <c r="C381" i="1"/>
  <c r="C380" i="1"/>
  <c r="F435" i="1" l="1"/>
  <c r="G141" i="1"/>
  <c r="B143" i="1" s="1"/>
  <c r="D434" i="1"/>
  <c r="D444" i="1"/>
  <c r="D430" i="1"/>
  <c r="F436" i="1"/>
  <c r="D445" i="1"/>
  <c r="E173" i="1"/>
  <c r="E159" i="1"/>
  <c r="G155" i="1" s="1"/>
  <c r="I163" i="1" s="1"/>
  <c r="D146" i="1"/>
  <c r="F404" i="1"/>
  <c r="D380" i="1"/>
  <c r="C214" i="1"/>
  <c r="B214" i="1"/>
  <c r="D448" i="1"/>
  <c r="F421" i="1"/>
  <c r="C216" i="1"/>
  <c r="B216" i="1"/>
  <c r="B215" i="1"/>
  <c r="C215" i="1"/>
  <c r="D431" i="1"/>
  <c r="F473" i="1"/>
  <c r="D429" i="1"/>
  <c r="D470" i="1"/>
  <c r="D474" i="1"/>
  <c r="F480" i="1"/>
  <c r="F485" i="1"/>
  <c r="D484" i="1"/>
  <c r="F475" i="1"/>
  <c r="F447" i="1"/>
  <c r="D477" i="1"/>
  <c r="D471" i="1"/>
  <c r="D481" i="1"/>
  <c r="D479" i="1"/>
  <c r="D482" i="1"/>
  <c r="D443" i="1"/>
  <c r="D439" i="1"/>
  <c r="F438" i="1"/>
  <c r="D423" i="1"/>
  <c r="F437" i="1"/>
  <c r="D440" i="1"/>
  <c r="F446" i="1"/>
  <c r="D422" i="1"/>
  <c r="D421" i="1"/>
  <c r="D442" i="1"/>
  <c r="D408" i="1"/>
  <c r="D404" i="1"/>
  <c r="F401" i="1"/>
  <c r="D401" i="1"/>
  <c r="D412" i="1"/>
  <c r="D413" i="1"/>
  <c r="F406" i="1"/>
  <c r="D409" i="1"/>
  <c r="D407" i="1"/>
  <c r="D411" i="1"/>
  <c r="D414" i="1"/>
  <c r="F398" i="1"/>
  <c r="D397" i="1"/>
  <c r="F396" i="1"/>
  <c r="D395" i="1"/>
  <c r="F394" i="1"/>
  <c r="F393" i="1"/>
  <c r="D391" i="1"/>
  <c r="F390" i="1"/>
  <c r="D389" i="1"/>
  <c r="F388" i="1"/>
  <c r="D387" i="1"/>
  <c r="D386" i="1"/>
  <c r="F384" i="1"/>
  <c r="D382" i="1"/>
  <c r="F380" i="1"/>
  <c r="F379" i="1"/>
  <c r="C283" i="1"/>
  <c r="F283" i="1" s="1"/>
  <c r="C282" i="1"/>
  <c r="F282" i="1" s="1"/>
  <c r="C281" i="1"/>
  <c r="D281" i="1" s="1"/>
  <c r="C280" i="1"/>
  <c r="D280" i="1" s="1"/>
  <c r="C279" i="1"/>
  <c r="F279" i="1" s="1"/>
  <c r="C278" i="1"/>
  <c r="F278" i="1" s="1"/>
  <c r="C277" i="1"/>
  <c r="F277" i="1" s="1"/>
  <c r="C276" i="1"/>
  <c r="F276" i="1" s="1"/>
  <c r="C275" i="1"/>
  <c r="F275" i="1" s="1"/>
  <c r="C274" i="1"/>
  <c r="F274" i="1" s="1"/>
  <c r="C273" i="1"/>
  <c r="F376" i="1"/>
  <c r="C375" i="1"/>
  <c r="F375" i="1" s="1"/>
  <c r="C374" i="1"/>
  <c r="F374" i="1" s="1"/>
  <c r="C373" i="1"/>
  <c r="F373" i="1" s="1"/>
  <c r="C371" i="1"/>
  <c r="F371" i="1" s="1"/>
  <c r="C370" i="1"/>
  <c r="F370" i="1" s="1"/>
  <c r="C369" i="1"/>
  <c r="F369" i="1" s="1"/>
  <c r="C368" i="1"/>
  <c r="C357" i="1"/>
  <c r="D357" i="1" s="1"/>
  <c r="C362" i="1"/>
  <c r="F362" i="1" s="1"/>
  <c r="C361" i="1"/>
  <c r="D361" i="1" s="1"/>
  <c r="C360" i="1"/>
  <c r="D360" i="1" s="1"/>
  <c r="C359" i="1"/>
  <c r="F359" i="1" s="1"/>
  <c r="C358" i="1"/>
  <c r="D358" i="1" s="1"/>
  <c r="C356" i="1"/>
  <c r="F356" i="1" s="1"/>
  <c r="C354" i="1"/>
  <c r="D354" i="1" s="1"/>
  <c r="C353" i="1"/>
  <c r="D353" i="1" s="1"/>
  <c r="C352" i="1"/>
  <c r="D352" i="1" s="1"/>
  <c r="C351" i="1"/>
  <c r="D351" i="1" s="1"/>
  <c r="C350" i="1"/>
  <c r="D350" i="1" s="1"/>
  <c r="C349" i="1"/>
  <c r="D349" i="1" s="1"/>
  <c r="C348" i="1"/>
  <c r="F346" i="1"/>
  <c r="E344" i="1"/>
  <c r="E343" i="1"/>
  <c r="G344" i="1"/>
  <c r="C344" i="1"/>
  <c r="D344" i="1" s="1"/>
  <c r="C343" i="1"/>
  <c r="D343" i="1" s="1"/>
  <c r="E342" i="1"/>
  <c r="C342" i="1"/>
  <c r="F341" i="1"/>
  <c r="F345" i="1"/>
  <c r="C267" i="1"/>
  <c r="F267" i="1" s="1"/>
  <c r="C336" i="1"/>
  <c r="D336" i="1" s="1"/>
  <c r="C332" i="1"/>
  <c r="D332" i="1" s="1"/>
  <c r="C331" i="1"/>
  <c r="C324" i="1"/>
  <c r="D324" i="1" s="1"/>
  <c r="C323" i="1"/>
  <c r="D323" i="1" s="1"/>
  <c r="C337" i="1"/>
  <c r="C335" i="1"/>
  <c r="C334" i="1"/>
  <c r="D334" i="1" s="1"/>
  <c r="C333" i="1"/>
  <c r="C329" i="1"/>
  <c r="C328" i="1"/>
  <c r="D328" i="1" s="1"/>
  <c r="C327" i="1"/>
  <c r="F327" i="1" s="1"/>
  <c r="C326" i="1"/>
  <c r="C325" i="1"/>
  <c r="D325" i="1" s="1"/>
  <c r="G323" i="1"/>
  <c r="E318" i="1"/>
  <c r="C320" i="1"/>
  <c r="D320" i="1" s="1"/>
  <c r="C319" i="1"/>
  <c r="D319" i="1" s="1"/>
  <c r="C318" i="1"/>
  <c r="G319" i="1"/>
  <c r="G318" i="1"/>
  <c r="F316" i="1"/>
  <c r="F317" i="1"/>
  <c r="F321" i="1"/>
  <c r="E320" i="1"/>
  <c r="E319" i="1"/>
  <c r="C308" i="1"/>
  <c r="F308" i="1" s="1"/>
  <c r="C307" i="1"/>
  <c r="F307" i="1" s="1"/>
  <c r="C306" i="1"/>
  <c r="D306" i="1" s="1"/>
  <c r="C305" i="1"/>
  <c r="D305" i="1" s="1"/>
  <c r="C304" i="1"/>
  <c r="F304" i="1" s="1"/>
  <c r="F302" i="1"/>
  <c r="D301" i="1"/>
  <c r="F300" i="1"/>
  <c r="F299" i="1"/>
  <c r="F298" i="1"/>
  <c r="F306" i="1"/>
  <c r="C295" i="1"/>
  <c r="D295" i="1" s="1"/>
  <c r="C294" i="1"/>
  <c r="F294" i="1" s="1"/>
  <c r="C293" i="1"/>
  <c r="D293" i="1" s="1"/>
  <c r="C292" i="1"/>
  <c r="F292" i="1" s="1"/>
  <c r="C291" i="1"/>
  <c r="F291" i="1" s="1"/>
  <c r="C290" i="1"/>
  <c r="D290" i="1" s="1"/>
  <c r="C289" i="1"/>
  <c r="F289" i="1" s="1"/>
  <c r="C288" i="1"/>
  <c r="F288" i="1" s="1"/>
  <c r="C287" i="1"/>
  <c r="F287" i="1" s="1"/>
  <c r="C286" i="1"/>
  <c r="D286" i="1" s="1"/>
  <c r="C285" i="1"/>
  <c r="D285" i="1" s="1"/>
  <c r="C270" i="1"/>
  <c r="F270" i="1" s="1"/>
  <c r="C269" i="1"/>
  <c r="F269" i="1" s="1"/>
  <c r="C268" i="1"/>
  <c r="F268" i="1" s="1"/>
  <c r="C266" i="1"/>
  <c r="F266" i="1" s="1"/>
  <c r="C265" i="1"/>
  <c r="F265" i="1" s="1"/>
  <c r="C264" i="1"/>
  <c r="F264" i="1" s="1"/>
  <c r="C263" i="1"/>
  <c r="F263" i="1" s="1"/>
  <c r="C262" i="1"/>
  <c r="F262" i="1" s="1"/>
  <c r="C261" i="1"/>
  <c r="D261" i="1" s="1"/>
  <c r="C259" i="1"/>
  <c r="F259" i="1" s="1"/>
  <c r="C258" i="1"/>
  <c r="F258" i="1" s="1"/>
  <c r="C257" i="1"/>
  <c r="D257" i="1" s="1"/>
  <c r="C256" i="1"/>
  <c r="D256" i="1" s="1"/>
  <c r="C255" i="1"/>
  <c r="F255" i="1" s="1"/>
  <c r="C254" i="1"/>
  <c r="F254" i="1" s="1"/>
  <c r="C253" i="1"/>
  <c r="F253" i="1" s="1"/>
  <c r="C252" i="1"/>
  <c r="F252" i="1" s="1"/>
  <c r="C251" i="1"/>
  <c r="F251" i="1" s="1"/>
  <c r="C250" i="1"/>
  <c r="C247" i="1"/>
  <c r="C246" i="1"/>
  <c r="C245" i="1"/>
  <c r="C244" i="1"/>
  <c r="C243" i="1"/>
  <c r="C242" i="1"/>
  <c r="C241" i="1"/>
  <c r="C240" i="1"/>
  <c r="C239" i="1"/>
  <c r="C238" i="1"/>
  <c r="E197" i="1" l="1"/>
  <c r="C135" i="1" s="1"/>
  <c r="G169" i="1"/>
  <c r="B171" i="1" s="1"/>
  <c r="E217" i="1"/>
  <c r="F250" i="1"/>
  <c r="B205" i="1"/>
  <c r="C205" i="1"/>
  <c r="F368" i="1"/>
  <c r="E213" i="1" s="1"/>
  <c r="C213" i="1"/>
  <c r="B213" i="1"/>
  <c r="F273" i="1"/>
  <c r="B206" i="1"/>
  <c r="C206" i="1"/>
  <c r="E216" i="1"/>
  <c r="C211" i="1"/>
  <c r="B211" i="1"/>
  <c r="C212" i="1"/>
  <c r="B212" i="1"/>
  <c r="B207" i="1"/>
  <c r="E215" i="1"/>
  <c r="C207" i="1"/>
  <c r="D265" i="1"/>
  <c r="F305" i="1"/>
  <c r="D359" i="1"/>
  <c r="D369" i="1"/>
  <c r="F350" i="1"/>
  <c r="F301" i="1"/>
  <c r="F336" i="1"/>
  <c r="F381" i="1"/>
  <c r="D374" i="1"/>
  <c r="F386" i="1"/>
  <c r="F395" i="1"/>
  <c r="D356" i="1"/>
  <c r="D373" i="1"/>
  <c r="F391" i="1"/>
  <c r="F387" i="1"/>
  <c r="F280" i="1"/>
  <c r="D371" i="1"/>
  <c r="D398" i="1"/>
  <c r="D394" i="1"/>
  <c r="D390" i="1"/>
  <c r="D381" i="1"/>
  <c r="D383" i="1"/>
  <c r="F389" i="1"/>
  <c r="F397" i="1"/>
  <c r="D393" i="1"/>
  <c r="D388" i="1"/>
  <c r="D396" i="1"/>
  <c r="F382" i="1"/>
  <c r="D375" i="1"/>
  <c r="D376" i="1"/>
  <c r="D370" i="1"/>
  <c r="D368" i="1"/>
  <c r="F354" i="1"/>
  <c r="D362" i="1"/>
  <c r="F344" i="1"/>
  <c r="F285" i="1"/>
  <c r="F293" i="1"/>
  <c r="F329" i="1"/>
  <c r="F351" i="1"/>
  <c r="F357" i="1"/>
  <c r="F342" i="1"/>
  <c r="D279" i="1"/>
  <c r="F348" i="1"/>
  <c r="F290" i="1"/>
  <c r="D327" i="1"/>
  <c r="F352" i="1"/>
  <c r="D291" i="1"/>
  <c r="F343" i="1"/>
  <c r="F353" i="1"/>
  <c r="F331" i="1"/>
  <c r="D276" i="1"/>
  <c r="F328" i="1"/>
  <c r="F335" i="1"/>
  <c r="D268" i="1"/>
  <c r="F281" i="1"/>
  <c r="F318" i="1"/>
  <c r="D329" i="1"/>
  <c r="F358" i="1"/>
  <c r="F361" i="1"/>
  <c r="D273" i="1"/>
  <c r="F286" i="1"/>
  <c r="D318" i="1"/>
  <c r="F333" i="1"/>
  <c r="F337" i="1"/>
  <c r="F326" i="1"/>
  <c r="F349" i="1"/>
  <c r="D326" i="1"/>
  <c r="F360" i="1"/>
  <c r="D342" i="1"/>
  <c r="F340" i="1"/>
  <c r="D348" i="1"/>
  <c r="F332" i="1"/>
  <c r="F334" i="1"/>
  <c r="D331" i="1"/>
  <c r="D333" i="1"/>
  <c r="D335" i="1"/>
  <c r="D337" i="1"/>
  <c r="F323" i="1"/>
  <c r="F324" i="1"/>
  <c r="F325" i="1"/>
  <c r="F320" i="1"/>
  <c r="F319" i="1"/>
  <c r="D298" i="1"/>
  <c r="D302" i="1"/>
  <c r="F256" i="1"/>
  <c r="D274" i="1"/>
  <c r="D275" i="1"/>
  <c r="D283" i="1"/>
  <c r="D299" i="1"/>
  <c r="F295" i="1"/>
  <c r="D282" i="1"/>
  <c r="D300" i="1"/>
  <c r="D278" i="1"/>
  <c r="D307" i="1"/>
  <c r="D304" i="1"/>
  <c r="D308" i="1"/>
  <c r="D292" i="1"/>
  <c r="D289" i="1"/>
  <c r="D287" i="1"/>
  <c r="D288" i="1"/>
  <c r="D277" i="1"/>
  <c r="D294" i="1"/>
  <c r="D259" i="1"/>
  <c r="D263" i="1"/>
  <c r="D250" i="1"/>
  <c r="D266" i="1"/>
  <c r="F257" i="1"/>
  <c r="D269" i="1"/>
  <c r="D252" i="1"/>
  <c r="D255" i="1"/>
  <c r="F261" i="1"/>
  <c r="D264" i="1"/>
  <c r="D254" i="1"/>
  <c r="D258" i="1"/>
  <c r="D267" i="1"/>
  <c r="D251" i="1"/>
  <c r="D253" i="1"/>
  <c r="D262" i="1"/>
  <c r="D270" i="1"/>
  <c r="D247" i="1"/>
  <c r="F243" i="1"/>
  <c r="D242" i="1"/>
  <c r="D241" i="1"/>
  <c r="D240" i="1"/>
  <c r="D239" i="1"/>
  <c r="F246" i="1"/>
  <c r="D246" i="1"/>
  <c r="F245" i="1"/>
  <c r="D245" i="1"/>
  <c r="F244" i="1"/>
  <c r="F242" i="1"/>
  <c r="F238" i="1"/>
  <c r="D238" i="1"/>
  <c r="C236" i="1"/>
  <c r="D236" i="1" s="1"/>
  <c r="C235" i="1"/>
  <c r="D235" i="1" s="1"/>
  <c r="C234" i="1"/>
  <c r="F234" i="1" s="1"/>
  <c r="C233" i="1"/>
  <c r="D233" i="1" s="1"/>
  <c r="C232" i="1"/>
  <c r="D232" i="1" s="1"/>
  <c r="C231" i="1"/>
  <c r="D231" i="1" s="1"/>
  <c r="C230" i="1"/>
  <c r="D230" i="1" s="1"/>
  <c r="C229" i="1"/>
  <c r="F229" i="1" s="1"/>
  <c r="C228" i="1"/>
  <c r="F228" i="1" s="1"/>
  <c r="C227" i="1"/>
  <c r="C37" i="1" l="1"/>
  <c r="E207" i="1"/>
  <c r="E214" i="1"/>
  <c r="E206" i="1"/>
  <c r="E212" i="1"/>
  <c r="B218" i="1"/>
  <c r="E211" i="1"/>
  <c r="C218" i="1"/>
  <c r="B204" i="1"/>
  <c r="B208" i="1" s="1"/>
  <c r="C204" i="1"/>
  <c r="C208" i="1" s="1"/>
  <c r="E205" i="1"/>
  <c r="D229" i="1"/>
  <c r="F230" i="1"/>
  <c r="F232" i="1"/>
  <c r="F231" i="1"/>
  <c r="F233" i="1"/>
  <c r="F236" i="1"/>
  <c r="D228" i="1"/>
  <c r="F235" i="1"/>
  <c r="D234" i="1"/>
  <c r="F240" i="1"/>
  <c r="F241" i="1"/>
  <c r="F239" i="1"/>
  <c r="F247" i="1"/>
  <c r="D243" i="1"/>
  <c r="D244" i="1"/>
  <c r="G229" i="1"/>
  <c r="G228" i="1"/>
  <c r="G227" i="1"/>
  <c r="B13" i="1"/>
  <c r="C219" i="1" l="1"/>
  <c r="B219" i="1"/>
  <c r="E218" i="1"/>
  <c r="J495" i="1"/>
  <c r="K495" i="1"/>
  <c r="L495" i="1"/>
  <c r="B124" i="2"/>
  <c r="M65" i="1" l="1"/>
  <c r="C516" i="1" l="1"/>
  <c r="F315" i="1" l="1"/>
  <c r="D227" i="1" l="1"/>
  <c r="F227" i="1"/>
  <c r="E204" i="1" s="1"/>
  <c r="E208" i="1" s="1"/>
  <c r="E219" i="1" s="1"/>
  <c r="K116" i="2" l="1"/>
  <c r="K115" i="2"/>
  <c r="K114" i="2"/>
  <c r="K113" i="2"/>
  <c r="D107" i="2"/>
  <c r="F106" i="2"/>
  <c r="E116" i="2" l="1"/>
  <c r="E115" i="2"/>
  <c r="K109" i="2"/>
  <c r="E111" i="2"/>
  <c r="E114" i="2"/>
  <c r="E113" i="2"/>
  <c r="K108" i="2"/>
  <c r="E112" i="2"/>
  <c r="E118" i="2"/>
  <c r="K111" i="2"/>
  <c r="K112" i="2" s="1"/>
  <c r="K117" i="2" s="1"/>
  <c r="K118" i="2" s="1"/>
  <c r="D110" i="2" s="1"/>
  <c r="E117" i="2"/>
  <c r="K110" i="2"/>
  <c r="D109" i="2" s="1"/>
  <c r="H109" i="2" l="1"/>
  <c r="F109" i="2"/>
  <c r="J105" i="2" s="1"/>
  <c r="E110" i="2"/>
  <c r="E109" i="2"/>
</calcChain>
</file>

<file path=xl/sharedStrings.xml><?xml version="1.0" encoding="utf-8"?>
<sst xmlns="http://schemas.openxmlformats.org/spreadsheetml/2006/main" count="884" uniqueCount="386">
  <si>
    <t>PROJECT TECHNICAL REPORT</t>
  </si>
  <si>
    <t>RBL BRANCH NAME</t>
  </si>
  <si>
    <t>TDR FSI</t>
  </si>
  <si>
    <t>QUALITY, SPECS</t>
  </si>
  <si>
    <t>YES</t>
  </si>
  <si>
    <t>NO</t>
  </si>
  <si>
    <t>ZONE II</t>
  </si>
  <si>
    <t>NOT APPLICABLE</t>
  </si>
  <si>
    <t>Construction details:</t>
  </si>
  <si>
    <t>Basement</t>
  </si>
  <si>
    <t>Ground</t>
  </si>
  <si>
    <t>Podium</t>
  </si>
  <si>
    <t>Floors</t>
  </si>
  <si>
    <t xml:space="preserve">Stage of construction: </t>
  </si>
  <si>
    <t>All work Completed. OC Received.</t>
  </si>
  <si>
    <t>Type of Work</t>
  </si>
  <si>
    <t>Project Progress %</t>
  </si>
  <si>
    <t>Slab/Floor</t>
  </si>
  <si>
    <t>Complition %</t>
  </si>
  <si>
    <t>Progress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</si>
  <si>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</si>
  <si>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</si>
  <si>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</si>
  <si>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</si>
  <si>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</si>
  <si>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</si>
  <si>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</si>
  <si>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</si>
  <si>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</si>
  <si>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</si>
  <si>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</si>
  <si>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</si>
  <si>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</si>
  <si>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</si>
  <si>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</si>
  <si>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</si>
  <si>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</si>
  <si>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</si>
  <si>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</si>
  <si>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</si>
  <si>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</si>
  <si>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Completion %</t>
  </si>
  <si>
    <t>Plaster</t>
  </si>
  <si>
    <t>Electrical &amp; Plumbing</t>
  </si>
  <si>
    <t>Finishing</t>
  </si>
  <si>
    <t>Disbursement %</t>
  </si>
  <si>
    <t>Brickwork &amp; Internal Plaster</t>
  </si>
  <si>
    <t>External Plaster &amp; Plumbing</t>
  </si>
  <si>
    <t>g +7</t>
  </si>
  <si>
    <t>BUILDING/TOWERWISE UNIT - AREA DETAILS</t>
  </si>
  <si>
    <t>Commercial Area Details :</t>
  </si>
  <si>
    <t>Building &amp; Wing</t>
  </si>
  <si>
    <t>No. of Units</t>
  </si>
  <si>
    <t>Total Carpet Area</t>
  </si>
  <si>
    <t>Total Saleable Area</t>
  </si>
  <si>
    <t>Wing A</t>
  </si>
  <si>
    <t>Wing B</t>
  </si>
  <si>
    <t>Total</t>
  </si>
  <si>
    <t>Residential Area Details :</t>
  </si>
  <si>
    <t>Building details Floor Wise</t>
  </si>
  <si>
    <t xml:space="preserve">Details of Flats in Building   </t>
  </si>
  <si>
    <t>Description</t>
  </si>
  <si>
    <t>Gross Carpet area</t>
  </si>
  <si>
    <t>Attached Terrace area</t>
  </si>
  <si>
    <t>Shop</t>
  </si>
  <si>
    <t>Builtup Area</t>
  </si>
  <si>
    <t>Saleable area
Loading:</t>
  </si>
  <si>
    <t xml:space="preserve">Details of Commercial in Building   </t>
  </si>
  <si>
    <t>VALUE PARAMETERS</t>
  </si>
  <si>
    <t>Remarks:</t>
  </si>
  <si>
    <t>Photographs Of Property :</t>
  </si>
  <si>
    <t>Layout Of Property :</t>
  </si>
  <si>
    <t xml:space="preserve">Google Map : </t>
  </si>
  <si>
    <t>Name of Engineer Visited the property</t>
  </si>
  <si>
    <t xml:space="preserve">Authorized Signatory
Name &amp; Seal of the agency
                                               </t>
  </si>
  <si>
    <r>
      <t xml:space="preserve">Shop No.
</t>
    </r>
    <r>
      <rPr>
        <b/>
        <sz val="9"/>
        <color rgb="FF000000"/>
        <rFont val="Garamond"/>
        <family val="1"/>
      </rPr>
      <t>(Approved Plan)</t>
    </r>
  </si>
  <si>
    <t>UNIT CONFIG</t>
  </si>
  <si>
    <t>Project Name</t>
  </si>
  <si>
    <t>Valuer Details</t>
  </si>
  <si>
    <t xml:space="preserve">Name Of Valuer </t>
  </si>
  <si>
    <t>Official Email Id</t>
  </si>
  <si>
    <t>Rvo Name Of Which Valuer Is Member</t>
  </si>
  <si>
    <t>Address Of Valution Agency</t>
  </si>
  <si>
    <t>Contact Person Name  &amp; Number</t>
  </si>
  <si>
    <t>Name Of Valuation Agency/Firm</t>
  </si>
  <si>
    <t>Apf Technical Report Assignment Details</t>
  </si>
  <si>
    <t>Builder Company/Entity Details - Seller Of The Project</t>
  </si>
  <si>
    <t>Name Of Entity Formed For Current Project</t>
  </si>
  <si>
    <t>Project Address Details</t>
  </si>
  <si>
    <t>Date of Assignment</t>
  </si>
  <si>
    <t>Date of Visit</t>
  </si>
  <si>
    <t>Date of Valuation</t>
  </si>
  <si>
    <t>Street Name &amp;/No.</t>
  </si>
  <si>
    <t>Village/Location</t>
  </si>
  <si>
    <t>City / Taluka/Town</t>
  </si>
  <si>
    <t>State</t>
  </si>
  <si>
    <t>Pincode</t>
  </si>
  <si>
    <t>Nearest Rbl Bank Location</t>
  </si>
  <si>
    <t>Landmark</t>
  </si>
  <si>
    <t>District</t>
  </si>
  <si>
    <t>Country</t>
  </si>
  <si>
    <t>Lat, Long</t>
  </si>
  <si>
    <t>Distance From Rbl Bank Location (Kms.)</t>
  </si>
  <si>
    <t>Assigned By</t>
  </si>
  <si>
    <t>Assignment Reference No</t>
  </si>
  <si>
    <t>Property Visited By (Name)</t>
  </si>
  <si>
    <t>Report Prepared By (Name)</t>
  </si>
  <si>
    <t>North</t>
  </si>
  <si>
    <t>South</t>
  </si>
  <si>
    <t>East</t>
  </si>
  <si>
    <t>West</t>
  </si>
  <si>
    <t>As Per Ownership Docs</t>
  </si>
  <si>
    <t>As Per Approved Plan</t>
  </si>
  <si>
    <t>As Per Site Investigation</t>
  </si>
  <si>
    <t>Project Boundaries Verification</t>
  </si>
  <si>
    <t>General Details</t>
  </si>
  <si>
    <t>Municipal Limit</t>
  </si>
  <si>
    <t>Municipal Authority (Name)</t>
  </si>
  <si>
    <t>Approach Road To Project</t>
  </si>
  <si>
    <t>Location Type*</t>
  </si>
  <si>
    <t>Quality Of Construction*</t>
  </si>
  <si>
    <t>Overall % Completion Of Project</t>
  </si>
  <si>
    <t>Project Falling In Caution Area</t>
  </si>
  <si>
    <t>Reason For Caution</t>
  </si>
  <si>
    <t>Project Architect Name</t>
  </si>
  <si>
    <t>Square Meter</t>
  </si>
  <si>
    <t>Project Area Details ( As Per Approved Plan )</t>
  </si>
  <si>
    <t>Area Type</t>
  </si>
  <si>
    <t>Total Plot Area</t>
  </si>
  <si>
    <t>Total Built Up Area</t>
  </si>
  <si>
    <t>Area Under Road</t>
  </si>
  <si>
    <t>Area Under D.P. Reservation</t>
  </si>
  <si>
    <t>Area Under R.G./Garden</t>
  </si>
  <si>
    <t>FSI / FAR Details</t>
  </si>
  <si>
    <t>Plot FSI / FAR</t>
  </si>
  <si>
    <t>Premium FSI / FAR</t>
  </si>
  <si>
    <t>Fungible FSI</t>
  </si>
  <si>
    <t>Total FSI/FAR</t>
  </si>
  <si>
    <t>Overall Remarks on Project Area &amp; FSI /FAR</t>
  </si>
  <si>
    <t>Total No. Of Units/Tenaments</t>
  </si>
  <si>
    <t>Total No. Of Parking</t>
  </si>
  <si>
    <t>Residential /Commercial Ratio</t>
  </si>
  <si>
    <t>Surrounding External Amenities</t>
  </si>
  <si>
    <t>Nearestr Bus Stop</t>
  </si>
  <si>
    <t>Nearest Bank</t>
  </si>
  <si>
    <t>Nearest Hospital</t>
  </si>
  <si>
    <t>Name Of The Premises/Description</t>
  </si>
  <si>
    <t>Approx. Distance From Property (In Kms)</t>
  </si>
  <si>
    <t>Nearest Multiplex / Mall/ Market</t>
  </si>
  <si>
    <t>Nearest School/ College</t>
  </si>
  <si>
    <t>Internal Project Specs - Comment On Availability &amp; Quality</t>
  </si>
  <si>
    <t>Structural Elements &amp; Wall Thickness</t>
  </si>
  <si>
    <t>Plaster &amp; Painting</t>
  </si>
  <si>
    <t>Electrification</t>
  </si>
  <si>
    <t>Plumbing &amp; Bath Fittings</t>
  </si>
  <si>
    <t>Door, Windows</t>
  </si>
  <si>
    <t>Availability (Y/N)</t>
  </si>
  <si>
    <t>Potable Water Connection</t>
  </si>
  <si>
    <t>Sewerage System</t>
  </si>
  <si>
    <t>Lift</t>
  </si>
  <si>
    <t>Power Backup</t>
  </si>
  <si>
    <t>Parking</t>
  </si>
  <si>
    <t>Clubhouse</t>
  </si>
  <si>
    <t>Gym</t>
  </si>
  <si>
    <t>Swimming Pool</t>
  </si>
  <si>
    <t>Garden</t>
  </si>
  <si>
    <t>Community Hall</t>
  </si>
  <si>
    <t>Any Additional Amenities, To Above, Pls Specify</t>
  </si>
  <si>
    <t>Technical Documents Details</t>
  </si>
  <si>
    <t>Document Name</t>
  </si>
  <si>
    <t>Approved Layout Plan</t>
  </si>
  <si>
    <t>Approved Floor Plan</t>
  </si>
  <si>
    <t>Construction  / Building Permission / Commencement Certificate</t>
  </si>
  <si>
    <t>Non Agricultural Permission / Land Conversion / Diversion</t>
  </si>
  <si>
    <t>Building Completion / Occupation Permission / Use Permission</t>
  </si>
  <si>
    <t>Location Sketch/ Certificate</t>
  </si>
  <si>
    <t>Authority Allotment Letter</t>
  </si>
  <si>
    <t>Fire Noc &amp; Plans (As Applicable)</t>
  </si>
  <si>
    <t>Environmental Clearance ( As Applicable)</t>
  </si>
  <si>
    <t>Coastal Regulatory Zone ( Crz ) Noc
(As Applicable)</t>
  </si>
  <si>
    <t>Ownership Doc 1</t>
  </si>
  <si>
    <t>Ownership Doc 2</t>
  </si>
  <si>
    <t>Remarks On Documents Verified</t>
  </si>
  <si>
    <t>Approving Authority Name</t>
  </si>
  <si>
    <t>Applicability &amp; Availability</t>
  </si>
  <si>
    <t>Approving Authority</t>
  </si>
  <si>
    <t>Details Of Approval</t>
  </si>
  <si>
    <t>Rera Details ( If Applicable)</t>
  </si>
  <si>
    <t>Rera Applicable</t>
  </si>
  <si>
    <t>Rera Registration No</t>
  </si>
  <si>
    <t>Project Start Date As Per Rera</t>
  </si>
  <si>
    <t>If Any Litigation Record On Project As Per Rera</t>
  </si>
  <si>
    <t>If Applicable, Rera Registration Status</t>
  </si>
  <si>
    <t>Project Completion Date As Per Rera</t>
  </si>
  <si>
    <t xml:space="preserve">Litigation Details As Per Rera Website </t>
  </si>
  <si>
    <t>Critical Parameters</t>
  </si>
  <si>
    <t>Flood Prone Area</t>
  </si>
  <si>
    <t>Coastal Regulatory Zone</t>
  </si>
  <si>
    <t>Falling In Present Or Proposed Road Widening</t>
  </si>
  <si>
    <t>Property Near High/Low Tension (Ht)/(Lt) Lines ?</t>
  </si>
  <si>
    <t>Presence Of Nallah/ Lake / Water Body Nearby</t>
  </si>
  <si>
    <t>Unit Deviation</t>
  </si>
  <si>
    <t>Seismic Zone</t>
  </si>
  <si>
    <t>Zoning As Per Development Plan</t>
  </si>
  <si>
    <t>Falling In Reservation As Per Development Plan</t>
  </si>
  <si>
    <t>Property Within 30 Mtrs From Railway Boundary ?</t>
  </si>
  <si>
    <t>Fsi Deviation</t>
  </si>
  <si>
    <t>Vertical Deviation</t>
  </si>
  <si>
    <t>Habitation In ( % ) Within 1 Kms Around Project</t>
  </si>
  <si>
    <t>Remarks In Case Project Affected By Any Of Critical Parameter</t>
  </si>
  <si>
    <t>Technical Deviations Observed In Project</t>
  </si>
  <si>
    <t>Demolition Risk</t>
  </si>
  <si>
    <t>Detail Of Deviation, If Any</t>
  </si>
  <si>
    <t>Total Phases</t>
  </si>
  <si>
    <t>Total No. Of Buildings</t>
  </si>
  <si>
    <t>Total No. Of Wings</t>
  </si>
  <si>
    <t>Total No. Of Approved Units (A)</t>
  </si>
  <si>
    <t>Total No. Of Unapproved Units (B)</t>
  </si>
  <si>
    <t>Total No. Of (A+B) Units</t>
  </si>
  <si>
    <t>Is The Project Technically Acceptable ?</t>
  </si>
  <si>
    <t>Is The Project Marketable ?</t>
  </si>
  <si>
    <t>Comment On Builder Group Involved In Project Development</t>
  </si>
  <si>
    <t>Overall Comments On Project Acceptability &amp; Marketablity</t>
  </si>
  <si>
    <t>FOUNDATION WIP</t>
  </si>
  <si>
    <t>PLINTH WIP</t>
  </si>
  <si>
    <t>YET TO START</t>
  </si>
  <si>
    <t>Sr.No.</t>
  </si>
  <si>
    <t>Building/Wing - Name/No</t>
  </si>
  <si>
    <t>Base Rate Psf Rs.</t>
  </si>
  <si>
    <t xml:space="preserve">Base Rate Considered On Area - Carpet/Bua/Saleale </t>
  </si>
  <si>
    <t>Floor Rise
(If Applicable)</t>
  </si>
  <si>
    <t>In Rs. Psf
(If Applicable)</t>
  </si>
  <si>
    <t>In Lumpsum Basis
(If Applicable)</t>
  </si>
  <si>
    <t>Applicable From Floor No.</t>
  </si>
  <si>
    <t>Applicable To Floor No.</t>
  </si>
  <si>
    <t>Applicable To Building /W ing</t>
  </si>
  <si>
    <t xml:space="preserve">Floor Rise 1 </t>
  </si>
  <si>
    <t>Floor Rise 2</t>
  </si>
  <si>
    <t>Floor Rise 3</t>
  </si>
  <si>
    <t>Floor Rise 4</t>
  </si>
  <si>
    <t>Plc Charges
(If Applicable)</t>
  </si>
  <si>
    <t>Details Of Plc/View</t>
  </si>
  <si>
    <t>List Of Unit Nos - Plc Applicable</t>
  </si>
  <si>
    <t>PLC Type 1</t>
  </si>
  <si>
    <t>PLC Type 2</t>
  </si>
  <si>
    <t>PLC Type 3</t>
  </si>
  <si>
    <t>Amenities Details</t>
  </si>
  <si>
    <t>Details Of Amenity Cost - Optional/Compulsory To Buyer, No Of Years, Etc</t>
  </si>
  <si>
    <t>Remarks, If Any</t>
  </si>
  <si>
    <t>Clubhouse &amp; 
Recreational</t>
  </si>
  <si>
    <t>Electricity &amp; Water Con.</t>
  </si>
  <si>
    <t>Infra</t>
  </si>
  <si>
    <t>Development</t>
  </si>
  <si>
    <t>Maintenance</t>
  </si>
  <si>
    <t>Any Other Amenity 1</t>
  </si>
  <si>
    <t>Any Other Amenity 2</t>
  </si>
  <si>
    <t>Any Other Amenity 3</t>
  </si>
  <si>
    <t>Sector I - Building No.9</t>
  </si>
  <si>
    <t>Airoli</t>
  </si>
  <si>
    <t>V.S Jadon &amp; Co.Valuers LLP</t>
  </si>
  <si>
    <t>Mr. V. S. Jadon</t>
  </si>
  <si>
    <t>vsjc.apf@gmail.com</t>
  </si>
  <si>
    <t>Mr. Sachin Sawant 9820058999</t>
  </si>
  <si>
    <t>NA</t>
  </si>
  <si>
    <t>Imperial Lifestyle Private Limited</t>
  </si>
  <si>
    <t>Gohkiware</t>
  </si>
  <si>
    <t>Vasai</t>
  </si>
  <si>
    <t>Palghar</t>
  </si>
  <si>
    <t>India</t>
  </si>
  <si>
    <t>Maharashtra</t>
  </si>
  <si>
    <t>19.392703, 72.847879</t>
  </si>
  <si>
    <t xml:space="preserve">Sterling Heights Gokhivare
</t>
  </si>
  <si>
    <t>RBL Bank Ltd, Ambadi Rd, Sai Nagar, Vasai West, Vasai-Virar, Maharashtra 401202</t>
  </si>
  <si>
    <t>3.8Km</t>
  </si>
  <si>
    <t>Open Plot/ Nicon Infinity</t>
  </si>
  <si>
    <t>Ditya Luxuria, Ditya construction company</t>
  </si>
  <si>
    <t>Olympus</t>
  </si>
  <si>
    <t>Rd/Sterling Heights Gokhivare</t>
  </si>
  <si>
    <t>Vasai-Virar City Municipal Corporation</t>
  </si>
  <si>
    <t>Internal Rd</t>
  </si>
  <si>
    <t>Golani Naka,</t>
  </si>
  <si>
    <t>1.6Km</t>
  </si>
  <si>
    <t>IndusInd Bank,</t>
  </si>
  <si>
    <t>1.9Km</t>
  </si>
  <si>
    <t>J.B. Ludhani High School</t>
  </si>
  <si>
    <t>1.8Km</t>
  </si>
  <si>
    <t>Shree Siddhivinayak Multispecality Hospital</t>
  </si>
  <si>
    <t>Dmart</t>
  </si>
  <si>
    <t>3.9Km</t>
  </si>
  <si>
    <t>1.4Km</t>
  </si>
  <si>
    <t>Ground Floor For Entrance Lobby, Meter Room, Commercial &amp; Parking</t>
  </si>
  <si>
    <t>1st Floor Commercial &amp; Parking</t>
  </si>
  <si>
    <t>Wing D</t>
  </si>
  <si>
    <t>Wing E</t>
  </si>
  <si>
    <t>1BHK</t>
  </si>
  <si>
    <t>2BHK</t>
  </si>
  <si>
    <t>2nd Floor For Residential &amp; Parking</t>
  </si>
  <si>
    <t>3rd to 7th, 9th to 11th, 13th to 15th, 17th to 19th &amp; 21st &amp; 22nd Floor</t>
  </si>
  <si>
    <t>3BHK</t>
  </si>
  <si>
    <t>8th, 12th, 16th &amp; 20th Floor (Part Refuge Area)</t>
  </si>
  <si>
    <t>1st Floor Entrance Lobby, Meter Room, Commercial &amp; Parking</t>
  </si>
  <si>
    <t>?</t>
  </si>
  <si>
    <t>Wing C</t>
  </si>
  <si>
    <t>Ground Floor For Entrance Lobby, Meter Room &amp; parking</t>
  </si>
  <si>
    <t>1st Floor For Entrance Lobby &amp; parking</t>
  </si>
  <si>
    <t>2nd Floor For Entrance Lobby &amp; parking</t>
  </si>
  <si>
    <t>Ground Floor For Entrance Lobby, Commercial &amp; Parking</t>
  </si>
  <si>
    <t>Wing G</t>
  </si>
  <si>
    <t>1st Floor For Residential &amp; Parking</t>
  </si>
  <si>
    <t>Wing H</t>
  </si>
  <si>
    <t>Ground Floor For Entrance Lobby, Meter Room, Driver Room &amp; parking</t>
  </si>
  <si>
    <t>1st Floor For Entrance Lobby, Society Office, Residential &amp; Parking</t>
  </si>
  <si>
    <t>Society Office</t>
  </si>
  <si>
    <t>Indoor Game</t>
  </si>
  <si>
    <t>Wing C =  Gr + 1st + 22nd Floor</t>
  </si>
  <si>
    <t>Wing E =  Gr + 1st + 22nd Floor</t>
  </si>
  <si>
    <t>Mr. Navnath Bhatkar</t>
  </si>
  <si>
    <t>VVCMC</t>
  </si>
  <si>
    <t xml:space="preserve">VVCMC/TP/Amend/VP-0329/0815 &amp; 0509/253/2022-23
Date : 29/07/2022
</t>
  </si>
  <si>
    <t>A, B and D Wing = P99000027833
C &amp; E Wing = P99000032506
G &amp; H Wing = P99000049245</t>
  </si>
  <si>
    <t>Building No.9  Wing A</t>
  </si>
  <si>
    <t xml:space="preserve">VVCMC/TP/RDP/VP-0329, 0815 &amp; 0509/253/2022-23
Date : 29/07/2022
Valid Upto: Wing A = Gr + 1st to 22nd Floor
</t>
  </si>
  <si>
    <t>Building No.9  Wing B</t>
  </si>
  <si>
    <t xml:space="preserve">VVCMC/TP/Amend/VP-0329/0815 &amp; 0509/254/2022-23
Date : 29/07/2022
</t>
  </si>
  <si>
    <t xml:space="preserve">VVCMC/TP/RDP/VP-0329, 0815 &amp; 0509/254/2022-23
Date : 29/07/2022
Valid Upto: Wing B = Gr + 1st to 22nd Floor
</t>
  </si>
  <si>
    <t>Building No.9  Wing C</t>
  </si>
  <si>
    <t xml:space="preserve">VVCMC/TP/Amend/VP-0329/0815 &amp; 0509/255/2022-23
Date : 29/07/2022
</t>
  </si>
  <si>
    <t>VVCMC/TP/RDP/VP-0329, 0815 &amp; 0509/255/2022-23
Date : 29/07/2022
Valid Upto: Wing C = Gr + 1st to 22nd Floor</t>
  </si>
  <si>
    <t>Building No.9  Wing D</t>
  </si>
  <si>
    <t xml:space="preserve">VVCMC/TP/Amend/VP-0329/0815 &amp; 0509/256/2022-23
Date : 29/07/2022
</t>
  </si>
  <si>
    <t xml:space="preserve">VVCMC/TP/RDP/VP-0329, 0815 &amp; 0509/256/2022-23
Date : 29/07/2022
Valid Upto: Wing D= Gr + 1st to 22nd Floor
</t>
  </si>
  <si>
    <t>Building No.9  Wing E</t>
  </si>
  <si>
    <t xml:space="preserve">VVCMC/TP/Amend/VP-0329/0815 &amp; 0509/257/2022-23
Date : 29/07/2022
</t>
  </si>
  <si>
    <t xml:space="preserve">VVCMC/TP/Amend/VP-0329/0815 &amp; 0509/259/2022-23
Date : 29/07/2022
</t>
  </si>
  <si>
    <t>Building No.9  Wing G</t>
  </si>
  <si>
    <t xml:space="preserve">VVCMC/TP/RDP/VP-0329, 0815 &amp; 0509/259/2022-23
Date : 29/07/2022
Valid Upto: Wing G= Gr + 1st to 22nd Floor
</t>
  </si>
  <si>
    <t>Building No.9  Wing H</t>
  </si>
  <si>
    <t>VVCMC/TP/RDP/VP-0329, 0815 &amp; 0509/260/2022-23
Date : 29/07/2022
Valid Upto: Wing H= Gr + 1st to 22nd Floor</t>
  </si>
  <si>
    <t xml:space="preserve">VVCMC/TP/Amend/VP-0329/0815 &amp; 0509/260/2022-23
Date : 29/07/2022
</t>
  </si>
  <si>
    <t xml:space="preserve">VVCMC/TP/RDP/VP-0329, 0815 &amp; 0509/257/2022-23
Date : 29/07/2022
Valid Upto: Wing E= Gr + 1st to 22nd Floor
</t>
  </si>
  <si>
    <t xml:space="preserve">275 &amp; H No.1
</t>
  </si>
  <si>
    <t xml:space="preserve">Survey No. </t>
  </si>
  <si>
    <t>Sector/Ward No.</t>
  </si>
  <si>
    <t>-</t>
  </si>
  <si>
    <t>Developing</t>
  </si>
  <si>
    <t>Good</t>
  </si>
  <si>
    <t xml:space="preserve">No </t>
  </si>
  <si>
    <t>Mr. Sanat Mehera</t>
  </si>
  <si>
    <t>Yes</t>
  </si>
  <si>
    <t>No</t>
  </si>
  <si>
    <t xml:space="preserve">Sky Jogging Track,  Yoga Deck, Senior-Citizen-Lawn, Multipurpose-Activity-Room, Recreation Studio Room, Fire-Sprinklers-in-Apartment, Fire Sprinklers, Grand-Lobby, 24×7-Security, Live CCTV Surveillance, Automatic Lift, Automatic Lifts, ndoor-Games, 
Kids Play Area, Podium Garden
</t>
  </si>
  <si>
    <t>Not Applicable</t>
  </si>
  <si>
    <t>Approved no of Floors</t>
  </si>
  <si>
    <t>Proposed no of Floors</t>
  </si>
  <si>
    <t>Wing A, B, C, D, E, G &amp; H = Gr + 1st to 22nd Floor</t>
  </si>
  <si>
    <t>Wing A, B, C, D, E, G &amp; H</t>
  </si>
  <si>
    <t>Saleable Area</t>
  </si>
  <si>
    <t>Net Plot Area</t>
  </si>
  <si>
    <t xml:space="preserve">VVCMC/TP/Amend/VP/0329/0815 &amp; 0509/241/2022-23
Date : 29/07/2022
</t>
  </si>
  <si>
    <t>Applicable and Received</t>
  </si>
  <si>
    <t>Verified by Adv. Bharat N. Bhoir  (Advocate High Court)</t>
  </si>
  <si>
    <t>Registered</t>
  </si>
  <si>
    <t>Imperial Exotica, Imperial Callisto, Imperial Homes, Imperial Palms &amp; Etc</t>
  </si>
  <si>
    <t>Grand Total</t>
  </si>
  <si>
    <t>Shops = 72,  
Flats = 882</t>
  </si>
  <si>
    <t>Imperial Splendora A to E, G &amp; H wing</t>
  </si>
  <si>
    <t>93 : 7</t>
  </si>
  <si>
    <t>Location Link</t>
  </si>
  <si>
    <t>Nearby Projects are Sterling Heights, Agrawal Exotica, Nicon Infinity, etc</t>
  </si>
  <si>
    <t>Excavation in Process</t>
  </si>
  <si>
    <t>Foundation in Process</t>
  </si>
  <si>
    <t>Wing G &amp; H =  Gr + 1st + 22nd Floor</t>
  </si>
  <si>
    <t>Wing A, B, D =  Gr + 1st + 22nd Floor</t>
  </si>
  <si>
    <t>3rd to 7th, 9th to 11th, 13th to 15th, 17th to 19th, 21st &amp; 22nd  Floor</t>
  </si>
  <si>
    <t>Total Residential Built Up Area
(A to E, G &amp; H wing)</t>
  </si>
  <si>
    <t>Total Commercial Built Up Area
(A, B, D, E wing)</t>
  </si>
  <si>
    <t>Addl .FSI Under any Chapter 07</t>
  </si>
  <si>
    <t>Ancillory FSI</t>
  </si>
  <si>
    <t>Car = 382 &amp; Scooter = 1195</t>
  </si>
  <si>
    <t>https://goo.gl/maps/HTcSAYund1hnbayB6</t>
  </si>
  <si>
    <t xml:space="preserve">Office No. 1031, Wing J, Akshar Business Park, Plot No. 03 Sector 25, Near APMC Market, Vashi, Navi Mumbai, Maharashtra 400703 TEL: 022-46090378/79/80                                                                       </t>
  </si>
  <si>
    <t xml:space="preserve"> Plinth work completed, RCC Slab, Brickwork, Plaster, Flooring  upto 20 Floor, Electrical  upto 15 Floor, Painting upto15 Floor Completed</t>
  </si>
  <si>
    <t>Mr. Abhishek Manjarekar</t>
  </si>
  <si>
    <t>Ms. Shruti Tathare</t>
  </si>
  <si>
    <t>1. Construction Work is in process at the tme of visit.(Internal Visit Not Allowed)
2. AAC block or Bricks, Cement bags, aggregate, Sand, etc found on site in average quantity.
3. Labours found on site at the time of visit. 
4. We considered Carpet area as per Approved Plan.
5. We considered  Saleable area  as per our calculation. (i.e 50% Loading)
6. We considered Gross carpet area = Net carpet + Enclose balcony + AP Area.
7. We have considered rate by verifying it from market inquire.
8. Recommended rate should be considered as all inclusive rate if other charges are not mentioned. (Excluding GST &amp; other government Taxes)
9. Car parking is subjected to authentic documentation.
10. On Site, we meet Mr. Mishra (8698950092)
11. High-tension lines are passing near by the project. Please provide Power NOC.</t>
  </si>
  <si>
    <t>A, B and D Wing = 30/06/2027
C &amp; E Wing = 31/12/2027
G &amp; H Wing = 31/12/2028</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</si>
</sst>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11"/>
      <color theme="1"/>
      <name val="Calibri"/>
      <family val="2"/>
      <scheme val="minor"/>
    </font>
    <font>
      <b/>
      <sz val="9"/>
      <color rgb="FF000000"/>
      <name val="Garamond"/>
      <family val="1"/>
    </font>
    <font>
      <sz val="11"/>
      <color theme="1"/>
      <name val="Garamond"/>
      <family val="1"/>
    </font>
    <font>
      <sz val="11"/>
      <color rgb="FF000000"/>
      <name val="Book Antiqua"/>
      <family val="1"/>
    </font>
    <font>
      <sz val="9"/>
      <color rgb="FF000000"/>
      <name val="Garamond"/>
      <family val="1"/>
    </font>
    <font>
      <sz val="10"/>
      <color rgb="FF000000"/>
      <name val="Garamond"/>
      <family val="1"/>
    </font>
    <font>
      <sz val="10"/>
      <color theme="1"/>
      <name val="Times New Roman"/>
      <family val="1"/>
    </font>
    <font>
      <sz val="10"/>
      <color rgb="FF000000"/>
      <name val="Times New Roman"/>
      <family val="1"/>
    </font>
    <font>
      <b/>
      <sz val="12"/>
      <color theme="1"/>
      <name val="Times New Roman"/>
      <family val="1"/>
    </font>
    <font>
      <sz val="12"/>
      <color theme="1"/>
      <name val="Times New Roman"/>
      <family val="1"/>
    </font>
    <font>
      <sz val="11"/>
      <color theme="1"/>
      <name val="Times New Roman"/>
      <family val="1"/>
    </font>
    <font>
      <sz val="11"/>
      <color theme="1"/>
      <name val="Calibri"/>
      <family val="2"/>
    </font>
    <font>
      <b/>
      <sz val="12"/>
      <color indexed="8"/>
      <name val="Times New Roman"/>
      <family val="1"/>
    </font>
    <font>
      <sz val="12"/>
      <color indexed="8"/>
      <name val="Times New Roman"/>
      <family val="1"/>
    </font>
    <font>
      <sz val="11"/>
      <color indexed="8"/>
      <name val="Calibri"/>
      <family val="2"/>
    </font>
    <font>
      <b/>
      <sz val="11"/>
      <color theme="1"/>
      <name val="Calibri"/>
      <family val="2"/>
      <scheme val="minor"/>
    </font>
    <font>
      <b/>
      <sz val="10"/>
      <color rgb="FF000000"/>
      <name val="Times New Roman"/>
      <family val="1"/>
    </font>
    <font>
      <b/>
      <sz val="10"/>
      <color theme="1"/>
      <name val="Garamond"/>
      <family val="1"/>
    </font>
    <font>
      <b/>
      <sz val="9"/>
      <color theme="1"/>
      <name val="Garamond"/>
      <family val="1"/>
    </font>
    <font>
      <sz val="9"/>
      <color theme="1"/>
      <name val="Garamond"/>
      <family val="1"/>
    </font>
    <font>
      <b/>
      <sz val="9"/>
      <color indexed="8"/>
      <name val="Garamond"/>
      <family val="1"/>
    </font>
    <font>
      <sz val="9"/>
      <color indexed="8"/>
      <name val="Garamond"/>
      <family val="1"/>
    </font>
    <font>
      <u/>
      <sz val="11"/>
      <color theme="10"/>
      <name val="Calibri"/>
      <family val="2"/>
      <scheme val="minor"/>
    </font>
    <font>
      <sz val="9"/>
      <name val="Garamond"/>
      <family val="1"/>
    </font>
    <font>
      <sz val="11"/>
      <color rgb="FFFF0000"/>
      <name val="Garamond"/>
      <family val="1"/>
    </font>
    <font>
      <b/>
      <sz val="11"/>
      <color rgb="FF000000"/>
      <name val="Garamond"/>
      <family val="1"/>
    </font>
    <font>
      <sz val="11"/>
      <color rgb="FF000000"/>
      <name val="Garamond"/>
      <family val="1"/>
    </font>
    <font>
      <sz val="11"/>
      <name val="Garamond"/>
      <family val="1"/>
    </font>
    <font>
      <b/>
      <sz val="9"/>
      <name val="Garamond"/>
      <family val="1"/>
    </font>
    <font>
      <b/>
      <sz val="11"/>
      <color indexed="8"/>
      <name val="Garamond"/>
      <family val="1"/>
    </font>
    <font>
      <sz val="11"/>
      <color indexed="8"/>
      <name val="Garamond"/>
      <family val="1"/>
    </font>
    <font>
      <sz val="11"/>
      <color indexed="8"/>
      <name val="Times New Roman"/>
      <family val="1"/>
    </font>
    <font>
      <b/>
      <sz val="12"/>
      <color theme="1"/>
      <name val="Garamond"/>
      <family val="1"/>
    </font>
  </fonts>
  <fills count="10">
    <fill>
      <patternFill patternType="none"/>
    </fill>
    <fill>
      <patternFill patternType="gray125"/>
    </fill>
    <fill>
      <patternFill patternType="solid">
        <fgColor rgb="FFFFFFFF"/>
        <bgColor auto="1"/>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s>
  <borders count="57">
    <border>
      <left/>
      <right/>
      <top/>
      <bottom/>
      <diagonal/>
    </border>
    <border>
      <left style="thin">
        <color theme="0"/>
      </left>
      <right style="thin">
        <color theme="0"/>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bottom/>
      <diagonal/>
    </border>
    <border>
      <left style="thin">
        <color theme="0"/>
      </left>
      <right style="thin">
        <color theme="0"/>
      </right>
      <top/>
      <bottom/>
      <diagonal/>
    </border>
    <border>
      <left style="medium">
        <color indexed="64"/>
      </left>
      <right style="thin">
        <color theme="0"/>
      </right>
      <top style="thin">
        <color indexed="64"/>
      </top>
      <bottom/>
      <diagonal/>
    </border>
    <border>
      <left style="thin">
        <color theme="0"/>
      </left>
      <right style="thin">
        <color theme="0"/>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left>
      <right style="medium">
        <color indexed="64"/>
      </right>
      <top style="thin">
        <color indexed="64"/>
      </top>
      <bottom/>
      <diagonal/>
    </border>
    <border>
      <left style="thin">
        <color theme="0"/>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1" fillId="0" borderId="0"/>
    <xf numFmtId="0" fontId="15" fillId="0" borderId="0"/>
    <xf numFmtId="0" fontId="23" fillId="0" borderId="0" applyNumberFormat="0" applyFill="0" applyBorder="0" applyAlignment="0" applyProtection="0"/>
  </cellStyleXfs>
  <cellXfs count="441">
    <xf numFmtId="0" fontId="0" fillId="0" borderId="0" xfId="0"/>
    <xf numFmtId="0" fontId="7" fillId="0" borderId="0" xfId="0" applyFont="1"/>
    <xf numFmtId="0" fontId="7" fillId="0" borderId="21" xfId="2" applyFont="1" applyBorder="1" applyProtection="1">
      <protection hidden="1"/>
    </xf>
    <xf numFmtId="0" fontId="7" fillId="0" borderId="0" xfId="2" applyFont="1" applyFill="1" applyBorder="1" applyProtection="1">
      <protection hidden="1"/>
    </xf>
    <xf numFmtId="0" fontId="7" fillId="0" borderId="2" xfId="2" applyFont="1" applyBorder="1" applyProtection="1">
      <protection hidden="1"/>
    </xf>
    <xf numFmtId="0" fontId="8" fillId="0" borderId="0" xfId="0" applyFont="1" applyFill="1" applyBorder="1" applyProtection="1">
      <protection hidden="1"/>
    </xf>
    <xf numFmtId="0" fontId="7" fillId="0" borderId="2" xfId="2" applyFont="1" applyBorder="1"/>
    <xf numFmtId="0" fontId="8" fillId="0" borderId="2" xfId="0" applyNumberFormat="1" applyFont="1" applyBorder="1" applyProtection="1">
      <protection hidden="1"/>
    </xf>
    <xf numFmtId="1" fontId="7" fillId="0" borderId="2" xfId="0" applyNumberFormat="1" applyFont="1" applyBorder="1"/>
    <xf numFmtId="1" fontId="7" fillId="0" borderId="2" xfId="0" applyNumberFormat="1" applyFont="1" applyBorder="1" applyAlignment="1">
      <alignment horizontal="right"/>
    </xf>
    <xf numFmtId="0" fontId="8" fillId="0" borderId="26" xfId="0" applyFont="1" applyFill="1" applyBorder="1" applyProtection="1">
      <protection hidden="1"/>
    </xf>
    <xf numFmtId="1" fontId="7" fillId="0" borderId="25" xfId="0" applyNumberFormat="1" applyFont="1" applyBorder="1"/>
    <xf numFmtId="0" fontId="10" fillId="0" borderId="20" xfId="2" applyFont="1" applyBorder="1" applyProtection="1">
      <protection hidden="1"/>
    </xf>
    <xf numFmtId="0" fontId="10" fillId="0" borderId="21" xfId="2" applyFont="1" applyBorder="1" applyProtection="1">
      <protection hidden="1"/>
    </xf>
    <xf numFmtId="0" fontId="10" fillId="0" borderId="9" xfId="2" applyFont="1" applyBorder="1" applyAlignment="1" applyProtection="1">
      <alignment horizontal="center" vertical="top"/>
      <protection locked="0"/>
    </xf>
    <xf numFmtId="0" fontId="10" fillId="0" borderId="10" xfId="2" applyFont="1" applyBorder="1" applyAlignment="1" applyProtection="1">
      <alignment horizontal="center" vertical="top"/>
      <protection locked="0"/>
    </xf>
    <xf numFmtId="0" fontId="10" fillId="0" borderId="0" xfId="2" applyFont="1" applyProtection="1">
      <protection hidden="1"/>
    </xf>
    <xf numFmtId="0" fontId="10" fillId="0" borderId="2" xfId="2" applyFont="1" applyBorder="1" applyProtection="1">
      <protection hidden="1"/>
    </xf>
    <xf numFmtId="0" fontId="10" fillId="0" borderId="10" xfId="2" applyFont="1" applyBorder="1" applyAlignment="1" applyProtection="1">
      <alignment horizontal="center" vertical="top" wrapText="1"/>
      <protection locked="0"/>
    </xf>
    <xf numFmtId="0" fontId="11" fillId="0" borderId="0" xfId="0" applyFont="1" applyProtection="1">
      <protection hidden="1"/>
    </xf>
    <xf numFmtId="0" fontId="10" fillId="0" borderId="2" xfId="2" applyFont="1" applyBorder="1"/>
    <xf numFmtId="0" fontId="10" fillId="0" borderId="10" xfId="2" applyFont="1" applyBorder="1" applyAlignment="1" applyProtection="1">
      <alignment horizontal="center" wrapText="1"/>
      <protection locked="0"/>
    </xf>
    <xf numFmtId="9" fontId="10" fillId="3" borderId="10" xfId="2" applyNumberFormat="1" applyFont="1" applyFill="1" applyBorder="1" applyAlignment="1" applyProtection="1">
      <alignment horizontal="center" vertical="center" wrapText="1"/>
      <protection hidden="1"/>
    </xf>
    <xf numFmtId="0" fontId="11" fillId="0" borderId="2" xfId="0" applyFont="1" applyBorder="1" applyProtection="1">
      <protection hidden="1"/>
    </xf>
    <xf numFmtId="1" fontId="10" fillId="0" borderId="10" xfId="2" applyNumberFormat="1" applyFont="1" applyBorder="1" applyAlignment="1" applyProtection="1">
      <alignment horizontal="center" wrapText="1"/>
      <protection locked="0"/>
    </xf>
    <xf numFmtId="1" fontId="12" fillId="0" borderId="2" xfId="0" applyNumberFormat="1" applyFont="1" applyBorder="1"/>
    <xf numFmtId="1" fontId="12" fillId="0" borderId="2" xfId="0" applyNumberFormat="1" applyFont="1" applyBorder="1" applyAlignment="1">
      <alignment horizontal="right"/>
    </xf>
    <xf numFmtId="0" fontId="10" fillId="0" borderId="23" xfId="2" applyFont="1" applyBorder="1" applyAlignment="1" applyProtection="1">
      <alignment horizontal="center" wrapText="1"/>
      <protection locked="0"/>
    </xf>
    <xf numFmtId="9" fontId="10" fillId="3" borderId="23" xfId="2" applyNumberFormat="1" applyFont="1" applyFill="1" applyBorder="1" applyAlignment="1" applyProtection="1">
      <alignment horizontal="center" vertical="center" wrapText="1"/>
      <protection hidden="1"/>
    </xf>
    <xf numFmtId="0" fontId="11" fillId="0" borderId="26" xfId="0" applyFont="1" applyBorder="1" applyProtection="1">
      <protection hidden="1"/>
    </xf>
    <xf numFmtId="1" fontId="12" fillId="0" borderId="25" xfId="0" applyNumberFormat="1" applyFont="1" applyBorder="1"/>
    <xf numFmtId="0" fontId="10" fillId="0" borderId="13" xfId="2" applyFont="1" applyBorder="1" applyAlignment="1" applyProtection="1">
      <alignment vertical="top"/>
      <protection locked="0"/>
    </xf>
    <xf numFmtId="0" fontId="10" fillId="0" borderId="6" xfId="2" applyFont="1" applyBorder="1" applyAlignment="1" applyProtection="1">
      <alignment vertical="top"/>
      <protection locked="0"/>
    </xf>
    <xf numFmtId="0" fontId="10" fillId="0" borderId="3" xfId="2" applyFont="1" applyBorder="1" applyAlignment="1" applyProtection="1">
      <alignment vertical="top"/>
      <protection locked="0"/>
    </xf>
    <xf numFmtId="0" fontId="10" fillId="0" borderId="0" xfId="0" applyFont="1" applyAlignment="1">
      <alignment horizontal="center" vertical="center"/>
    </xf>
    <xf numFmtId="1" fontId="10" fillId="0" borderId="0" xfId="0" applyNumberFormat="1" applyFont="1" applyAlignment="1">
      <alignment horizontal="center" vertical="center"/>
    </xf>
    <xf numFmtId="0" fontId="14" fillId="0" borderId="0" xfId="3" applyFont="1"/>
    <xf numFmtId="0" fontId="10" fillId="0" borderId="0" xfId="2" applyFont="1"/>
    <xf numFmtId="0" fontId="10" fillId="0" borderId="0" xfId="2" applyFont="1" applyAlignment="1">
      <alignment horizontal="center" vertical="center"/>
    </xf>
    <xf numFmtId="1" fontId="10" fillId="0" borderId="0" xfId="2" applyNumberFormat="1" applyFont="1" applyAlignment="1">
      <alignment horizontal="center" vertical="center"/>
    </xf>
    <xf numFmtId="0" fontId="10" fillId="0" borderId="0" xfId="2" applyFont="1" applyAlignment="1">
      <alignment horizontal="center" vertical="center"/>
    </xf>
    <xf numFmtId="1" fontId="13" fillId="0" borderId="0" xfId="0" applyNumberFormat="1" applyFont="1" applyBorder="1" applyAlignment="1" applyProtection="1">
      <alignment vertical="center" wrapText="1"/>
      <protection locked="0"/>
    </xf>
    <xf numFmtId="1" fontId="10" fillId="0" borderId="7" xfId="2" applyNumberFormat="1" applyFont="1" applyBorder="1" applyAlignment="1">
      <alignment horizontal="center" vertical="center"/>
    </xf>
    <xf numFmtId="0" fontId="10" fillId="0" borderId="0" xfId="0" applyFont="1" applyBorder="1" applyAlignment="1">
      <alignment horizontal="center" vertical="center"/>
    </xf>
    <xf numFmtId="0" fontId="13" fillId="0" borderId="0" xfId="2" applyFont="1" applyBorder="1" applyAlignment="1" applyProtection="1">
      <alignment vertical="top"/>
      <protection locked="0"/>
    </xf>
    <xf numFmtId="0" fontId="14" fillId="0" borderId="0" xfId="3" applyFont="1" applyBorder="1"/>
    <xf numFmtId="0" fontId="10" fillId="0" borderId="0" xfId="2" applyFont="1" applyBorder="1"/>
    <xf numFmtId="1" fontId="13" fillId="0" borderId="0" xfId="2" applyNumberFormat="1" applyFont="1" applyBorder="1" applyAlignment="1" applyProtection="1">
      <alignment vertical="center" wrapText="1"/>
      <protection locked="0"/>
    </xf>
    <xf numFmtId="0" fontId="10" fillId="0" borderId="0" xfId="2" applyFont="1" applyBorder="1" applyAlignment="1">
      <alignment horizontal="center" vertical="center"/>
    </xf>
    <xf numFmtId="1" fontId="10" fillId="0" borderId="0" xfId="2" applyNumberFormat="1" applyFont="1" applyBorder="1" applyAlignment="1">
      <alignment horizontal="center" vertical="center"/>
    </xf>
    <xf numFmtId="2" fontId="10" fillId="0" borderId="0" xfId="2" applyNumberFormat="1" applyFont="1" applyBorder="1" applyAlignment="1">
      <alignment horizontal="center" vertical="center"/>
    </xf>
    <xf numFmtId="0" fontId="16" fillId="0" borderId="0" xfId="0" applyFont="1"/>
    <xf numFmtId="0" fontId="2" fillId="4" borderId="10" xfId="0" applyFont="1" applyFill="1" applyBorder="1" applyAlignment="1">
      <alignment horizontal="left" vertical="top" wrapText="1"/>
    </xf>
    <xf numFmtId="0" fontId="20" fillId="4" borderId="18" xfId="2" applyFont="1" applyFill="1" applyBorder="1" applyAlignment="1" applyProtection="1">
      <alignment horizontal="center" vertical="center"/>
      <protection locked="0"/>
    </xf>
    <xf numFmtId="0" fontId="20" fillId="4" borderId="19" xfId="2" applyFont="1" applyFill="1" applyBorder="1" applyAlignment="1" applyProtection="1">
      <alignment horizontal="center" vertical="center"/>
      <protection locked="0"/>
    </xf>
    <xf numFmtId="0" fontId="20" fillId="4" borderId="10" xfId="2" applyFont="1" applyFill="1" applyBorder="1" applyAlignment="1" applyProtection="1">
      <alignment horizontal="center" vertical="center"/>
      <protection locked="0"/>
    </xf>
    <xf numFmtId="0" fontId="20" fillId="4" borderId="11" xfId="2" applyFont="1" applyFill="1" applyBorder="1" applyAlignment="1" applyProtection="1">
      <alignment horizontal="center" vertical="center"/>
      <protection locked="0"/>
    </xf>
    <xf numFmtId="0" fontId="19" fillId="4" borderId="4" xfId="0" applyFont="1" applyFill="1" applyBorder="1" applyAlignment="1">
      <alignment horizontal="left" vertical="top"/>
    </xf>
    <xf numFmtId="0" fontId="20" fillId="4" borderId="10" xfId="0" applyFont="1" applyFill="1" applyBorder="1" applyAlignment="1">
      <alignment horizontal="center"/>
    </xf>
    <xf numFmtId="0" fontId="20" fillId="4" borderId="10" xfId="2" applyFont="1" applyFill="1" applyBorder="1" applyAlignment="1" applyProtection="1">
      <alignment horizontal="center" vertical="top" wrapText="1"/>
      <protection locked="0"/>
    </xf>
    <xf numFmtId="9" fontId="20" fillId="4" borderId="10" xfId="0" applyNumberFormat="1" applyFont="1" applyFill="1" applyBorder="1" applyAlignment="1">
      <alignment horizontal="center" vertical="center"/>
    </xf>
    <xf numFmtId="0" fontId="20" fillId="4" borderId="10" xfId="2" applyFont="1" applyFill="1" applyBorder="1" applyAlignment="1" applyProtection="1">
      <alignment horizontal="center" wrapText="1"/>
      <protection locked="0"/>
    </xf>
    <xf numFmtId="9" fontId="20" fillId="4" borderId="10" xfId="2" applyNumberFormat="1" applyFont="1" applyFill="1" applyBorder="1" applyAlignment="1" applyProtection="1">
      <alignment horizontal="center" vertical="center" wrapText="1"/>
      <protection hidden="1"/>
    </xf>
    <xf numFmtId="1" fontId="20" fillId="4" borderId="10" xfId="2" applyNumberFormat="1" applyFont="1" applyFill="1" applyBorder="1" applyAlignment="1" applyProtection="1">
      <alignment horizontal="center" wrapText="1"/>
      <protection locked="0"/>
    </xf>
    <xf numFmtId="9" fontId="20" fillId="4" borderId="23" xfId="0" applyNumberFormat="1" applyFont="1" applyFill="1" applyBorder="1" applyAlignment="1">
      <alignment horizontal="center" vertical="center"/>
    </xf>
    <xf numFmtId="0" fontId="20" fillId="4" borderId="23" xfId="2" applyFont="1" applyFill="1" applyBorder="1" applyAlignment="1" applyProtection="1">
      <alignment horizontal="center" wrapText="1"/>
      <protection locked="0"/>
    </xf>
    <xf numFmtId="9" fontId="20" fillId="4" borderId="23" xfId="2" applyNumberFormat="1" applyFont="1" applyFill="1" applyBorder="1" applyAlignment="1" applyProtection="1">
      <alignment horizontal="center" vertical="center" wrapText="1"/>
      <protection hidden="1"/>
    </xf>
    <xf numFmtId="1" fontId="21" fillId="4" borderId="10" xfId="0" applyNumberFormat="1" applyFont="1" applyFill="1" applyBorder="1" applyAlignment="1" applyProtection="1">
      <alignment horizontal="center" vertical="center" wrapText="1"/>
      <protection locked="0"/>
    </xf>
    <xf numFmtId="0" fontId="20" fillId="4" borderId="9" xfId="2" applyFont="1" applyFill="1" applyBorder="1" applyAlignment="1" applyProtection="1">
      <alignment horizontal="left" vertical="top" wrapText="1"/>
      <protection locked="0"/>
    </xf>
    <xf numFmtId="0" fontId="20" fillId="4" borderId="22" xfId="2" applyFont="1" applyFill="1" applyBorder="1" applyAlignment="1" applyProtection="1">
      <alignment horizontal="left" vertical="top" wrapText="1"/>
      <protection locked="0"/>
    </xf>
    <xf numFmtId="0" fontId="16" fillId="0" borderId="0" xfId="0" applyFont="1" applyAlignment="1">
      <alignment horizontal="left"/>
    </xf>
    <xf numFmtId="0" fontId="17" fillId="5" borderId="10" xfId="0" applyFont="1" applyFill="1" applyBorder="1" applyAlignment="1">
      <alignment horizontal="left" vertical="center" wrapText="1"/>
    </xf>
    <xf numFmtId="0" fontId="0" fillId="0" borderId="0" xfId="0" applyAlignment="1">
      <alignment horizontal="left"/>
    </xf>
    <xf numFmtId="0" fontId="10" fillId="0" borderId="0" xfId="2" applyFont="1" applyAlignment="1">
      <alignment horizontal="center" vertical="center"/>
    </xf>
    <xf numFmtId="0" fontId="2" fillId="4" borderId="13" xfId="0" applyFont="1" applyFill="1" applyBorder="1" applyAlignment="1">
      <alignment vertical="top" wrapText="1"/>
    </xf>
    <xf numFmtId="0" fontId="2" fillId="0" borderId="10" xfId="0" applyFont="1" applyFill="1" applyBorder="1" applyAlignment="1">
      <alignment vertical="top" wrapText="1"/>
    </xf>
    <xf numFmtId="0" fontId="0" fillId="0" borderId="0" xfId="0" applyFill="1" applyBorder="1"/>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7" fillId="0" borderId="0" xfId="0" applyFont="1" applyFill="1" applyBorder="1"/>
    <xf numFmtId="0" fontId="10" fillId="0" borderId="0" xfId="2" applyFont="1" applyAlignment="1">
      <alignment horizontal="center" vertical="center"/>
    </xf>
    <xf numFmtId="14" fontId="5" fillId="2" borderId="10" xfId="1" applyNumberFormat="1" applyFont="1" applyFill="1" applyBorder="1" applyAlignment="1" applyProtection="1">
      <alignment horizontal="left" vertical="center" wrapText="1"/>
      <protection locked="0"/>
    </xf>
    <xf numFmtId="0" fontId="0" fillId="0" borderId="0" xfId="0" applyFill="1"/>
    <xf numFmtId="0" fontId="0" fillId="8" borderId="0" xfId="0" applyFill="1"/>
    <xf numFmtId="1" fontId="22" fillId="0" borderId="10" xfId="0" applyNumberFormat="1" applyFont="1" applyBorder="1" applyAlignment="1" applyProtection="1">
      <alignment horizontal="center" vertical="center" wrapText="1"/>
      <protection locked="0"/>
    </xf>
    <xf numFmtId="1" fontId="21" fillId="0" borderId="10" xfId="0" applyNumberFormat="1" applyFont="1" applyBorder="1" applyAlignment="1" applyProtection="1">
      <alignment horizontal="center" vertical="center" wrapText="1"/>
      <protection locked="0"/>
    </xf>
    <xf numFmtId="0" fontId="24" fillId="0" borderId="10" xfId="0" applyFont="1" applyFill="1" applyBorder="1" applyAlignment="1">
      <alignment horizontal="center" vertical="center" wrapText="1"/>
    </xf>
    <xf numFmtId="0" fontId="2" fillId="4" borderId="6" xfId="0" applyFont="1" applyFill="1" applyBorder="1" applyAlignment="1">
      <alignment vertical="top" wrapText="1"/>
    </xf>
    <xf numFmtId="0" fontId="26" fillId="0" borderId="10" xfId="0" applyFont="1" applyBorder="1" applyAlignment="1">
      <alignment horizontal="center" vertical="center" wrapText="1"/>
    </xf>
    <xf numFmtId="0" fontId="28" fillId="0" borderId="13" xfId="0" applyFont="1" applyBorder="1" applyAlignment="1">
      <alignment horizontal="center" vertical="center"/>
    </xf>
    <xf numFmtId="0" fontId="29" fillId="4" borderId="10"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0" xfId="0" applyFont="1" applyBorder="1" applyAlignment="1">
      <alignment horizontal="left" vertical="top"/>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5" fillId="2" borderId="10" xfId="1" applyFont="1" applyFill="1" applyBorder="1" applyAlignment="1" applyProtection="1">
      <alignment horizontal="left" vertical="center" wrapText="1"/>
      <protection locked="0"/>
    </xf>
    <xf numFmtId="0" fontId="2" fillId="4" borderId="10" xfId="1"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Border="1" applyAlignment="1">
      <alignment wrapText="1"/>
    </xf>
    <xf numFmtId="0" fontId="5" fillId="2" borderId="10" xfId="1" applyFont="1" applyFill="1" applyBorder="1" applyAlignment="1" applyProtection="1">
      <alignment horizontal="left" vertical="center" wrapText="1"/>
      <protection locked="0"/>
    </xf>
    <xf numFmtId="0" fontId="3" fillId="0" borderId="10"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27" fillId="0" borderId="10" xfId="0" applyFont="1" applyBorder="1" applyAlignment="1">
      <alignment horizontal="center" vertical="top" wrapText="1"/>
    </xf>
    <xf numFmtId="0" fontId="0" fillId="0" borderId="0" xfId="0" applyFill="1" applyBorder="1" applyAlignment="1">
      <alignment horizontal="center" vertical="top"/>
    </xf>
    <xf numFmtId="0" fontId="0" fillId="0" borderId="0" xfId="0" applyAlignment="1">
      <alignment horizontal="center" vertical="top"/>
    </xf>
    <xf numFmtId="0" fontId="3" fillId="4" borderId="10"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32" xfId="0" applyFont="1" applyFill="1" applyBorder="1" applyAlignment="1">
      <alignment horizontal="center" vertical="center"/>
    </xf>
    <xf numFmtId="1" fontId="20" fillId="4" borderId="10" xfId="2" applyNumberFormat="1" applyFont="1" applyFill="1" applyBorder="1" applyAlignment="1" applyProtection="1">
      <alignment horizontal="center" vertical="center" wrapText="1"/>
      <protection locked="0"/>
    </xf>
    <xf numFmtId="0" fontId="7" fillId="0" borderId="20" xfId="2" applyFont="1" applyBorder="1" applyProtection="1">
      <protection hidden="1"/>
    </xf>
    <xf numFmtId="0" fontId="7" fillId="0" borderId="0" xfId="2" applyFont="1" applyProtection="1">
      <protection hidden="1"/>
    </xf>
    <xf numFmtId="0" fontId="8" fillId="0" borderId="0" xfId="0" applyFont="1" applyProtection="1">
      <protection hidden="1"/>
    </xf>
    <xf numFmtId="0" fontId="8" fillId="0" borderId="2" xfId="0" applyFont="1" applyBorder="1" applyProtection="1">
      <protection hidden="1"/>
    </xf>
    <xf numFmtId="0" fontId="8" fillId="0" borderId="26" xfId="0" applyFont="1" applyBorder="1" applyProtection="1">
      <protection hidden="1"/>
    </xf>
    <xf numFmtId="0" fontId="8" fillId="0" borderId="0" xfId="0" applyFont="1" applyBorder="1" applyAlignment="1" applyProtection="1">
      <alignment horizontal="center" vertical="center"/>
      <protection hidden="1"/>
    </xf>
    <xf numFmtId="1" fontId="7" fillId="0" borderId="0" xfId="0" applyNumberFormat="1" applyFont="1" applyBorder="1" applyAlignment="1">
      <alignment horizontal="center" vertical="center"/>
    </xf>
    <xf numFmtId="1" fontId="31" fillId="0" borderId="10" xfId="2" applyNumberFormat="1" applyFont="1" applyBorder="1" applyAlignment="1" applyProtection="1">
      <alignment horizontal="center" vertical="center" wrapText="1"/>
      <protection locked="0"/>
    </xf>
    <xf numFmtId="1" fontId="3" fillId="0" borderId="10" xfId="0" applyNumberFormat="1" applyFont="1" applyBorder="1" applyAlignment="1">
      <alignment horizontal="center" vertical="center"/>
    </xf>
    <xf numFmtId="1" fontId="3" fillId="0" borderId="10" xfId="2" applyNumberFormat="1" applyFont="1" applyBorder="1" applyAlignment="1">
      <alignment horizontal="center" vertical="center"/>
    </xf>
    <xf numFmtId="1" fontId="31" fillId="0" borderId="10" xfId="2" applyNumberFormat="1" applyFont="1" applyFill="1" applyBorder="1" applyAlignment="1" applyProtection="1">
      <alignment horizontal="center" vertical="center" wrapText="1"/>
      <protection locked="0"/>
    </xf>
    <xf numFmtId="1" fontId="3" fillId="0" borderId="10" xfId="2" applyNumberFormat="1" applyFont="1" applyFill="1" applyBorder="1" applyAlignment="1">
      <alignment horizontal="center" vertical="center"/>
    </xf>
    <xf numFmtId="0" fontId="7" fillId="4" borderId="10" xfId="0" applyFont="1" applyFill="1" applyBorder="1" applyAlignment="1">
      <alignment horizontal="center" vertical="center" wrapText="1"/>
    </xf>
    <xf numFmtId="1" fontId="22" fillId="0" borderId="7" xfId="2" applyNumberFormat="1" applyFont="1" applyBorder="1" applyAlignment="1" applyProtection="1">
      <alignment horizontal="center" vertical="center" wrapText="1"/>
      <protection locked="0"/>
    </xf>
    <xf numFmtId="0" fontId="2" fillId="4" borderId="9" xfId="0" applyFont="1" applyFill="1" applyBorder="1" applyAlignment="1">
      <alignment horizontal="left" vertical="top" wrapText="1"/>
    </xf>
    <xf numFmtId="0" fontId="3" fillId="0" borderId="11" xfId="0" applyFont="1" applyBorder="1" applyAlignment="1">
      <alignment horizontal="left" vertical="top" wrapText="1"/>
    </xf>
    <xf numFmtId="0" fontId="2" fillId="4" borderId="9" xfId="1" applyFont="1" applyFill="1" applyBorder="1" applyAlignment="1">
      <alignment vertical="center" wrapText="1"/>
    </xf>
    <xf numFmtId="0" fontId="5" fillId="2" borderId="11" xfId="1" applyFont="1" applyFill="1" applyBorder="1" applyAlignment="1">
      <alignment horizontal="left" vertical="center"/>
    </xf>
    <xf numFmtId="0" fontId="3" fillId="0" borderId="11" xfId="0" applyFont="1" applyBorder="1" applyAlignment="1">
      <alignment horizontal="center" vertical="center" wrapText="1"/>
    </xf>
    <xf numFmtId="0" fontId="3" fillId="0" borderId="9" xfId="0" applyFont="1" applyBorder="1" applyAlignment="1">
      <alignment horizontal="left" vertical="top"/>
    </xf>
    <xf numFmtId="0" fontId="2"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24" fillId="0" borderId="11" xfId="0" applyFont="1" applyFill="1" applyBorder="1" applyAlignment="1">
      <alignment horizontal="center" vertical="center" wrapText="1"/>
    </xf>
    <xf numFmtId="0" fontId="3" fillId="0" borderId="11" xfId="0" applyFont="1" applyBorder="1" applyAlignment="1">
      <alignment horizontal="left" vertical="top"/>
    </xf>
    <xf numFmtId="0" fontId="3" fillId="0" borderId="9" xfId="0" applyFont="1" applyFill="1" applyBorder="1" applyAlignment="1">
      <alignment horizontal="left" vertical="top"/>
    </xf>
    <xf numFmtId="0" fontId="2" fillId="4" borderId="9" xfId="0" applyFont="1" applyFill="1" applyBorder="1" applyAlignment="1">
      <alignment horizontal="center" vertical="top" wrapText="1"/>
    </xf>
    <xf numFmtId="1" fontId="21" fillId="4" borderId="9" xfId="0" applyNumberFormat="1" applyFont="1" applyFill="1" applyBorder="1" applyAlignment="1" applyProtection="1">
      <alignment horizontal="center" vertical="center" wrapText="1"/>
      <protection locked="0"/>
    </xf>
    <xf numFmtId="1" fontId="22" fillId="4" borderId="9" xfId="0" applyNumberFormat="1" applyFont="1" applyFill="1" applyBorder="1" applyAlignment="1" applyProtection="1">
      <alignment horizontal="center" vertical="center" wrapText="1"/>
      <protection locked="0"/>
    </xf>
    <xf numFmtId="1" fontId="21" fillId="0" borderId="49" xfId="2" applyNumberFormat="1" applyFont="1" applyBorder="1" applyAlignment="1" applyProtection="1">
      <alignment horizontal="center" vertical="top" wrapText="1"/>
      <protection locked="0"/>
    </xf>
    <xf numFmtId="9" fontId="21" fillId="0" borderId="56" xfId="2" applyNumberFormat="1" applyFont="1" applyBorder="1" applyAlignment="1" applyProtection="1">
      <alignment horizontal="center" vertical="top" wrapText="1"/>
      <protection locked="0"/>
    </xf>
    <xf numFmtId="1" fontId="31" fillId="0" borderId="9" xfId="2" applyNumberFormat="1" applyFont="1" applyBorder="1" applyAlignment="1" applyProtection="1">
      <alignment horizontal="center" vertical="center" wrapText="1"/>
      <protection locked="0"/>
    </xf>
    <xf numFmtId="1" fontId="31" fillId="0" borderId="11" xfId="2" applyNumberFormat="1" applyFont="1" applyBorder="1" applyAlignment="1" applyProtection="1">
      <alignment horizontal="center" vertical="center" wrapText="1"/>
      <protection locked="0"/>
    </xf>
    <xf numFmtId="1" fontId="31" fillId="0" borderId="9" xfId="2" applyNumberFormat="1" applyFont="1" applyFill="1" applyBorder="1" applyAlignment="1" applyProtection="1">
      <alignment horizontal="center" vertical="center" wrapText="1"/>
      <protection locked="0"/>
    </xf>
    <xf numFmtId="1" fontId="31" fillId="0" borderId="11" xfId="2" applyNumberFormat="1" applyFont="1" applyFill="1" applyBorder="1" applyAlignment="1" applyProtection="1">
      <alignment horizontal="center" vertical="center" wrapText="1"/>
      <protection locked="0"/>
    </xf>
    <xf numFmtId="0" fontId="3" fillId="0" borderId="9" xfId="0" applyFont="1" applyBorder="1" applyAlignment="1">
      <alignment horizontal="center" vertical="center"/>
    </xf>
    <xf numFmtId="1" fontId="10" fillId="0" borderId="0" xfId="0" applyNumberFormat="1" applyFont="1" applyBorder="1" applyAlignment="1" applyProtection="1">
      <alignment horizontal="center" vertical="top" wrapText="1"/>
      <protection locked="0"/>
    </xf>
    <xf numFmtId="0" fontId="23" fillId="0" borderId="13" xfId="4" applyBorder="1" applyAlignment="1">
      <alignment horizontal="left" vertical="top" wrapText="1"/>
    </xf>
    <xf numFmtId="0" fontId="3" fillId="0" borderId="6"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3"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3" xfId="0" applyFont="1" applyFill="1" applyBorder="1" applyAlignment="1">
      <alignment horizontal="center" vertical="top" wrapText="1"/>
    </xf>
    <xf numFmtId="0" fontId="19" fillId="4" borderId="17" xfId="2" applyFont="1" applyFill="1" applyBorder="1" applyAlignment="1" applyProtection="1">
      <alignment horizontal="left" vertical="top" wrapText="1"/>
      <protection locked="0"/>
    </xf>
    <xf numFmtId="0" fontId="19" fillId="4" borderId="18" xfId="2" applyFont="1" applyFill="1" applyBorder="1" applyAlignment="1" applyProtection="1">
      <alignment horizontal="left" vertical="top" wrapText="1"/>
      <protection locked="0"/>
    </xf>
    <xf numFmtId="0" fontId="19" fillId="4" borderId="9" xfId="2" applyFont="1" applyFill="1" applyBorder="1" applyAlignment="1" applyProtection="1">
      <alignment horizontal="left" vertical="top" wrapText="1"/>
      <protection locked="0"/>
    </xf>
    <xf numFmtId="0" fontId="19" fillId="4" borderId="10" xfId="2" applyFont="1" applyFill="1" applyBorder="1" applyAlignment="1" applyProtection="1">
      <alignment horizontal="left" vertical="top" wrapText="1"/>
      <protection locked="0"/>
    </xf>
    <xf numFmtId="2" fontId="3" fillId="0" borderId="10" xfId="0" applyNumberFormat="1" applyFont="1" applyBorder="1" applyAlignment="1">
      <alignment horizontal="center" vertical="top"/>
    </xf>
    <xf numFmtId="2" fontId="3" fillId="0" borderId="11" xfId="0" applyNumberFormat="1" applyFont="1" applyBorder="1" applyAlignment="1">
      <alignment horizontal="center" vertical="top"/>
    </xf>
    <xf numFmtId="0" fontId="2" fillId="4" borderId="8" xfId="0" applyFont="1" applyFill="1" applyBorder="1" applyAlignment="1">
      <alignment horizontal="center" vertical="top" wrapText="1"/>
    </xf>
    <xf numFmtId="0" fontId="2" fillId="4" borderId="7" xfId="0" applyFont="1" applyFill="1" applyBorder="1" applyAlignment="1">
      <alignment horizontal="center" vertical="top" wrapText="1"/>
    </xf>
    <xf numFmtId="0" fontId="3" fillId="0" borderId="10" xfId="0" applyFont="1" applyBorder="1" applyAlignment="1">
      <alignment horizontal="center" vertical="top"/>
    </xf>
    <xf numFmtId="0" fontId="3" fillId="0" borderId="11" xfId="0" applyFont="1" applyBorder="1" applyAlignment="1">
      <alignment horizontal="center" vertical="top"/>
    </xf>
    <xf numFmtId="0" fontId="2" fillId="4" borderId="6" xfId="0" applyFont="1" applyFill="1" applyBorder="1" applyAlignment="1">
      <alignment horizontal="center" vertical="top" wrapText="1"/>
    </xf>
    <xf numFmtId="0" fontId="2" fillId="4" borderId="3" xfId="0" applyFont="1" applyFill="1" applyBorder="1" applyAlignment="1">
      <alignment horizontal="center"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2" fillId="4" borderId="4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45" xfId="0" applyFont="1" applyFill="1" applyBorder="1" applyAlignment="1">
      <alignment horizontal="center" vertical="center"/>
    </xf>
    <xf numFmtId="0" fontId="27" fillId="0" borderId="52"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6" xfId="0" applyFont="1" applyFill="1" applyBorder="1" applyAlignment="1">
      <alignment horizontal="center" vertical="center"/>
    </xf>
    <xf numFmtId="0" fontId="27" fillId="0" borderId="3" xfId="0" applyFont="1" applyFill="1" applyBorder="1" applyAlignment="1">
      <alignment horizontal="center" vertical="center"/>
    </xf>
    <xf numFmtId="0" fontId="2" fillId="3" borderId="9" xfId="0" applyFont="1" applyFill="1" applyBorder="1" applyAlignment="1">
      <alignment horizontal="center" vertical="top" wrapText="1"/>
    </xf>
    <xf numFmtId="0" fontId="2" fillId="3" borderId="10" xfId="0" applyFont="1" applyFill="1" applyBorder="1" applyAlignment="1">
      <alignment horizontal="center" vertical="top" wrapText="1"/>
    </xf>
    <xf numFmtId="0" fontId="2" fillId="3" borderId="11" xfId="0" applyFont="1" applyFill="1" applyBorder="1" applyAlignment="1">
      <alignment horizontal="center" vertical="top" wrapText="1"/>
    </xf>
    <xf numFmtId="0" fontId="2" fillId="0" borderId="0" xfId="0" applyFont="1" applyFill="1" applyBorder="1" applyAlignment="1">
      <alignment horizontal="center" vertical="top" wrapText="1"/>
    </xf>
    <xf numFmtId="1" fontId="19" fillId="0" borderId="10" xfId="0" applyNumberFormat="1"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4" borderId="8" xfId="2" applyFont="1" applyFill="1" applyBorder="1" applyAlignment="1" applyProtection="1">
      <alignment horizontal="left" vertical="top" wrapText="1"/>
      <protection locked="0"/>
    </xf>
    <xf numFmtId="0" fontId="19" fillId="4" borderId="6" xfId="2" applyFont="1" applyFill="1" applyBorder="1" applyAlignment="1" applyProtection="1">
      <alignment horizontal="left" vertical="top" wrapText="1"/>
      <protection locked="0"/>
    </xf>
    <xf numFmtId="0" fontId="19" fillId="4" borderId="3" xfId="2" applyFont="1" applyFill="1" applyBorder="1" applyAlignment="1" applyProtection="1">
      <alignment horizontal="left" vertical="top" wrapText="1"/>
      <protection locked="0"/>
    </xf>
    <xf numFmtId="0" fontId="20" fillId="4" borderId="13" xfId="2" applyFont="1" applyFill="1" applyBorder="1" applyAlignment="1" applyProtection="1">
      <alignment horizontal="center" vertical="center" wrapText="1"/>
      <protection locked="0"/>
    </xf>
    <xf numFmtId="0" fontId="20" fillId="4" borderId="3" xfId="2" applyFont="1" applyFill="1" applyBorder="1" applyAlignment="1" applyProtection="1">
      <alignment horizontal="center" vertical="center" wrapText="1"/>
      <protection locked="0"/>
    </xf>
    <xf numFmtId="9" fontId="20" fillId="4" borderId="15" xfId="2" applyNumberFormat="1" applyFont="1" applyFill="1" applyBorder="1" applyAlignment="1" applyProtection="1">
      <alignment horizontal="center" vertical="center" wrapText="1"/>
      <protection hidden="1"/>
    </xf>
    <xf numFmtId="9" fontId="20" fillId="4" borderId="5" xfId="2" applyNumberFormat="1" applyFont="1" applyFill="1" applyBorder="1" applyAlignment="1" applyProtection="1">
      <alignment horizontal="center" vertical="center" wrapText="1"/>
      <protection hidden="1"/>
    </xf>
    <xf numFmtId="9" fontId="20" fillId="4" borderId="14" xfId="2" applyNumberFormat="1" applyFont="1" applyFill="1" applyBorder="1" applyAlignment="1" applyProtection="1">
      <alignment horizontal="center" vertical="center" wrapText="1"/>
      <protection hidden="1"/>
    </xf>
    <xf numFmtId="9" fontId="20" fillId="4" borderId="2" xfId="2" applyNumberFormat="1" applyFont="1" applyFill="1" applyBorder="1" applyAlignment="1" applyProtection="1">
      <alignment horizontal="center" vertical="center" wrapText="1"/>
      <protection hidden="1"/>
    </xf>
    <xf numFmtId="9" fontId="20" fillId="4" borderId="24" xfId="2" applyNumberFormat="1" applyFont="1" applyFill="1" applyBorder="1" applyAlignment="1" applyProtection="1">
      <alignment horizontal="center" vertical="center" wrapText="1"/>
      <protection hidden="1"/>
    </xf>
    <xf numFmtId="9" fontId="20" fillId="4" borderId="25" xfId="2" applyNumberFormat="1" applyFont="1" applyFill="1" applyBorder="1" applyAlignment="1" applyProtection="1">
      <alignment horizontal="center" vertical="center" wrapText="1"/>
      <protection hidden="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0" borderId="16" xfId="0" applyBorder="1" applyAlignment="1">
      <alignment horizontal="center" vertical="center"/>
    </xf>
    <xf numFmtId="9" fontId="0" fillId="0" borderId="18" xfId="0" applyNumberFormat="1" applyBorder="1" applyAlignment="1">
      <alignment horizontal="center" vertical="center"/>
    </xf>
    <xf numFmtId="0" fontId="0" fillId="0" borderId="19" xfId="0" applyBorder="1" applyAlignment="1">
      <alignment horizontal="center" vertical="center"/>
    </xf>
    <xf numFmtId="0" fontId="0" fillId="0" borderId="49" xfId="0" applyBorder="1" applyAlignment="1">
      <alignment horizontal="center" vertical="center"/>
    </xf>
    <xf numFmtId="1" fontId="14" fillId="0" borderId="0" xfId="2" applyNumberFormat="1" applyFont="1" applyBorder="1" applyAlignment="1" applyProtection="1">
      <alignment horizontal="center" vertical="center" wrapText="1"/>
      <protection locked="0"/>
    </xf>
    <xf numFmtId="0" fontId="3" fillId="0" borderId="8" xfId="0" applyFont="1" applyFill="1" applyBorder="1" applyAlignment="1">
      <alignment horizontal="center"/>
    </xf>
    <xf numFmtId="0" fontId="3" fillId="0" borderId="6" xfId="0" applyFont="1" applyFill="1" applyBorder="1" applyAlignment="1">
      <alignment horizontal="center"/>
    </xf>
    <xf numFmtId="0" fontId="3" fillId="0" borderId="3" xfId="0" applyFont="1" applyFill="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 fontId="31" fillId="0" borderId="15" xfId="2" applyNumberFormat="1" applyFont="1" applyFill="1" applyBorder="1" applyAlignment="1" applyProtection="1">
      <alignment horizontal="center" vertical="center" wrapText="1"/>
      <protection locked="0"/>
    </xf>
    <xf numFmtId="1" fontId="31" fillId="0" borderId="42" xfId="2" applyNumberFormat="1" applyFont="1" applyFill="1" applyBorder="1" applyAlignment="1" applyProtection="1">
      <alignment horizontal="center" vertical="center" wrapText="1"/>
      <protection locked="0"/>
    </xf>
    <xf numFmtId="1" fontId="31" fillId="0" borderId="43" xfId="2" applyNumberFormat="1" applyFont="1" applyFill="1" applyBorder="1" applyAlignment="1" applyProtection="1">
      <alignment horizontal="center" vertical="center" wrapText="1"/>
      <protection locked="0"/>
    </xf>
    <xf numFmtId="1" fontId="31" fillId="0" borderId="14" xfId="2" applyNumberFormat="1" applyFont="1" applyFill="1" applyBorder="1" applyAlignment="1" applyProtection="1">
      <alignment horizontal="center" vertical="center" wrapText="1"/>
      <protection locked="0"/>
    </xf>
    <xf numFmtId="1" fontId="31" fillId="0" borderId="0" xfId="2" applyNumberFormat="1" applyFont="1" applyFill="1" applyBorder="1" applyAlignment="1" applyProtection="1">
      <alignment horizontal="center" vertical="center" wrapText="1"/>
      <protection locked="0"/>
    </xf>
    <xf numFmtId="1" fontId="31" fillId="0" borderId="44" xfId="2" applyNumberFormat="1" applyFont="1" applyFill="1" applyBorder="1" applyAlignment="1" applyProtection="1">
      <alignment horizontal="center" vertical="center" wrapText="1"/>
      <protection locked="0"/>
    </xf>
    <xf numFmtId="1" fontId="31" fillId="0" borderId="33" xfId="2" applyNumberFormat="1" applyFont="1" applyFill="1" applyBorder="1" applyAlignment="1" applyProtection="1">
      <alignment horizontal="center" vertical="center" wrapText="1"/>
      <protection locked="0"/>
    </xf>
    <xf numFmtId="1" fontId="31" fillId="0" borderId="45" xfId="2" applyNumberFormat="1" applyFont="1" applyFill="1" applyBorder="1" applyAlignment="1" applyProtection="1">
      <alignment horizontal="center" vertical="center" wrapText="1"/>
      <protection locked="0"/>
    </xf>
    <xf numFmtId="1" fontId="31" fillId="0" borderId="46" xfId="2" applyNumberFormat="1" applyFont="1" applyFill="1" applyBorder="1" applyAlignment="1" applyProtection="1">
      <alignment horizontal="center" vertical="center" wrapText="1"/>
      <protection locked="0"/>
    </xf>
    <xf numFmtId="1" fontId="32" fillId="0" borderId="15" xfId="2" applyNumberFormat="1" applyFont="1" applyFill="1" applyBorder="1" applyAlignment="1" applyProtection="1">
      <alignment horizontal="center" vertical="center" wrapText="1"/>
      <protection locked="0"/>
    </xf>
    <xf numFmtId="1" fontId="32" fillId="0" borderId="42" xfId="2" applyNumberFormat="1" applyFont="1" applyFill="1" applyBorder="1" applyAlignment="1" applyProtection="1">
      <alignment horizontal="center" vertical="center" wrapText="1"/>
      <protection locked="0"/>
    </xf>
    <xf numFmtId="1" fontId="32" fillId="0" borderId="43" xfId="2" applyNumberFormat="1" applyFont="1" applyFill="1" applyBorder="1" applyAlignment="1" applyProtection="1">
      <alignment horizontal="center" vertical="center" wrapText="1"/>
      <protection locked="0"/>
    </xf>
    <xf numFmtId="1" fontId="32" fillId="0" borderId="14" xfId="2" applyNumberFormat="1" applyFont="1" applyFill="1" applyBorder="1" applyAlignment="1" applyProtection="1">
      <alignment horizontal="center" vertical="center" wrapText="1"/>
      <protection locked="0"/>
    </xf>
    <xf numFmtId="1" fontId="32" fillId="0" borderId="0" xfId="2" applyNumberFormat="1" applyFont="1" applyFill="1" applyBorder="1" applyAlignment="1" applyProtection="1">
      <alignment horizontal="center" vertical="center" wrapText="1"/>
      <protection locked="0"/>
    </xf>
    <xf numFmtId="1" fontId="32" fillId="0" borderId="44" xfId="2" applyNumberFormat="1" applyFont="1" applyFill="1" applyBorder="1" applyAlignment="1" applyProtection="1">
      <alignment horizontal="center" vertical="center" wrapText="1"/>
      <protection locked="0"/>
    </xf>
    <xf numFmtId="1" fontId="32" fillId="0" borderId="33" xfId="2" applyNumberFormat="1" applyFont="1" applyFill="1" applyBorder="1" applyAlignment="1" applyProtection="1">
      <alignment horizontal="center" vertical="center" wrapText="1"/>
      <protection locked="0"/>
    </xf>
    <xf numFmtId="1" fontId="32" fillId="0" borderId="45" xfId="2" applyNumberFormat="1" applyFont="1" applyFill="1" applyBorder="1" applyAlignment="1" applyProtection="1">
      <alignment horizontal="center" vertical="center" wrapText="1"/>
      <protection locked="0"/>
    </xf>
    <xf numFmtId="1" fontId="32" fillId="0" borderId="46" xfId="2" applyNumberFormat="1" applyFont="1" applyFill="1" applyBorder="1" applyAlignment="1" applyProtection="1">
      <alignment horizontal="center" vertical="center" wrapText="1"/>
      <protection locked="0"/>
    </xf>
    <xf numFmtId="0" fontId="10" fillId="0" borderId="0" xfId="2" applyFont="1" applyAlignment="1">
      <alignment horizontal="center" vertical="center"/>
    </xf>
    <xf numFmtId="0" fontId="21" fillId="4" borderId="8" xfId="2" applyFont="1" applyFill="1" applyBorder="1" applyAlignment="1" applyProtection="1">
      <alignment horizontal="center" vertical="top"/>
      <protection locked="0"/>
    </xf>
    <xf numFmtId="0" fontId="21" fillId="4" borderId="6" xfId="2" applyFont="1" applyFill="1" applyBorder="1" applyAlignment="1" applyProtection="1">
      <alignment horizontal="center" vertical="top"/>
      <protection locked="0"/>
    </xf>
    <xf numFmtId="0" fontId="21" fillId="4" borderId="3" xfId="2" applyFont="1" applyFill="1" applyBorder="1" applyAlignment="1" applyProtection="1">
      <alignment horizontal="center" vertical="top"/>
      <protection locked="0"/>
    </xf>
    <xf numFmtId="1" fontId="30" fillId="0" borderId="8" xfId="2" applyNumberFormat="1" applyFont="1" applyBorder="1" applyAlignment="1" applyProtection="1">
      <alignment horizontal="center" vertical="center" wrapText="1"/>
      <protection locked="0"/>
    </xf>
    <xf numFmtId="1" fontId="30" fillId="0" borderId="6" xfId="2" applyNumberFormat="1" applyFont="1" applyBorder="1" applyAlignment="1" applyProtection="1">
      <alignment horizontal="center" vertical="center" wrapText="1"/>
      <protection locked="0"/>
    </xf>
    <xf numFmtId="1" fontId="30" fillId="0" borderId="3" xfId="2" applyNumberFormat="1" applyFont="1" applyBorder="1" applyAlignment="1" applyProtection="1">
      <alignment horizontal="center" vertical="center" wrapText="1"/>
      <protection locked="0"/>
    </xf>
    <xf numFmtId="1" fontId="3" fillId="0" borderId="13"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1" fontId="3" fillId="0" borderId="15" xfId="0" applyNumberFormat="1" applyFont="1" applyBorder="1" applyAlignment="1">
      <alignment horizontal="center" vertical="center"/>
    </xf>
    <xf numFmtId="1" fontId="3" fillId="0" borderId="42" xfId="0" applyNumberFormat="1" applyFont="1" applyBorder="1" applyAlignment="1">
      <alignment horizontal="center" vertical="center"/>
    </xf>
    <xf numFmtId="1" fontId="3" fillId="0" borderId="43" xfId="0" applyNumberFormat="1" applyFont="1" applyBorder="1" applyAlignment="1">
      <alignment horizontal="center" vertical="center"/>
    </xf>
    <xf numFmtId="1" fontId="3" fillId="0" borderId="14" xfId="0" applyNumberFormat="1" applyFont="1" applyBorder="1" applyAlignment="1">
      <alignment horizontal="center" vertical="center"/>
    </xf>
    <xf numFmtId="1" fontId="3" fillId="0" borderId="0" xfId="0" applyNumberFormat="1" applyFont="1" applyBorder="1" applyAlignment="1">
      <alignment horizontal="center" vertical="center"/>
    </xf>
    <xf numFmtId="1" fontId="3" fillId="0" borderId="44" xfId="0" applyNumberFormat="1" applyFont="1" applyBorder="1" applyAlignment="1">
      <alignment horizontal="center" vertical="center"/>
    </xf>
    <xf numFmtId="1" fontId="3" fillId="0" borderId="33" xfId="0" applyNumberFormat="1" applyFont="1" applyBorder="1" applyAlignment="1">
      <alignment horizontal="center" vertical="center"/>
    </xf>
    <xf numFmtId="1" fontId="3" fillId="0" borderId="45" xfId="0" applyNumberFormat="1" applyFont="1" applyBorder="1" applyAlignment="1">
      <alignment horizontal="center" vertical="center"/>
    </xf>
    <xf numFmtId="1" fontId="3" fillId="0" borderId="46" xfId="0" applyNumberFormat="1" applyFont="1" applyBorder="1" applyAlignment="1">
      <alignment horizontal="center" vertical="center"/>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3"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1" fontId="30" fillId="0" borderId="8" xfId="2" applyNumberFormat="1" applyFont="1" applyFill="1" applyBorder="1" applyAlignment="1" applyProtection="1">
      <alignment horizontal="center" vertical="center" wrapText="1"/>
      <protection locked="0"/>
    </xf>
    <xf numFmtId="1" fontId="30" fillId="0" borderId="6" xfId="2" applyNumberFormat="1" applyFont="1" applyFill="1" applyBorder="1" applyAlignment="1" applyProtection="1">
      <alignment horizontal="center" vertical="center" wrapText="1"/>
      <protection locked="0"/>
    </xf>
    <xf numFmtId="1" fontId="30" fillId="0" borderId="3" xfId="2" applyNumberFormat="1" applyFont="1" applyFill="1" applyBorder="1" applyAlignment="1" applyProtection="1">
      <alignment horizontal="center" vertical="center" wrapText="1"/>
      <protection locked="0"/>
    </xf>
    <xf numFmtId="0" fontId="21" fillId="0" borderId="8" xfId="2" applyFont="1" applyBorder="1" applyAlignment="1" applyProtection="1">
      <alignment horizontal="center" vertical="top"/>
      <protection locked="0"/>
    </xf>
    <xf numFmtId="0" fontId="21" fillId="0" borderId="6" xfId="2" applyFont="1" applyBorder="1" applyAlignment="1" applyProtection="1">
      <alignment horizontal="center" vertical="top"/>
      <protection locked="0"/>
    </xf>
    <xf numFmtId="0" fontId="21" fillId="0" borderId="3" xfId="2" applyFont="1" applyBorder="1" applyAlignment="1" applyProtection="1">
      <alignment horizontal="center" vertical="top"/>
      <protection locked="0"/>
    </xf>
    <xf numFmtId="0" fontId="2" fillId="4" borderId="1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0" borderId="13"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50" xfId="0" applyFont="1" applyFill="1" applyBorder="1" applyAlignment="1">
      <alignment horizontal="center" vertical="center"/>
    </xf>
    <xf numFmtId="0" fontId="3" fillId="0" borderId="10" xfId="0" applyFont="1" applyBorder="1" applyAlignment="1">
      <alignment horizontal="left" vertical="top" wrapText="1"/>
    </xf>
    <xf numFmtId="0" fontId="2" fillId="4" borderId="9" xfId="0" applyFont="1" applyFill="1" applyBorder="1" applyAlignment="1">
      <alignment horizontal="center" vertical="top" wrapText="1"/>
    </xf>
    <xf numFmtId="0" fontId="2" fillId="4" borderId="10" xfId="0" applyFont="1" applyFill="1" applyBorder="1" applyAlignment="1">
      <alignment horizontal="center" vertical="top" wrapText="1"/>
    </xf>
    <xf numFmtId="0" fontId="3" fillId="0" borderId="10" xfId="0" applyFont="1" applyBorder="1" applyAlignment="1">
      <alignment horizontal="center"/>
    </xf>
    <xf numFmtId="0" fontId="3" fillId="0" borderId="11" xfId="0" applyFont="1" applyBorder="1" applyAlignment="1">
      <alignment horizontal="center"/>
    </xf>
    <xf numFmtId="14" fontId="3" fillId="0" borderId="10" xfId="0" applyNumberFormat="1" applyFont="1" applyBorder="1" applyAlignment="1">
      <alignment horizontal="center" vertical="top" wrapText="1"/>
    </xf>
    <xf numFmtId="0" fontId="16" fillId="0" borderId="0" xfId="0" applyFont="1" applyAlignment="1">
      <alignment horizontal="center"/>
    </xf>
    <xf numFmtId="0" fontId="0" fillId="0" borderId="0" xfId="0" applyAlignment="1">
      <alignment horizontal="center"/>
    </xf>
    <xf numFmtId="0" fontId="17" fillId="5"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9" borderId="40" xfId="0" applyFont="1" applyFill="1" applyBorder="1" applyAlignment="1">
      <alignment horizontal="center" vertical="top" wrapText="1"/>
    </xf>
    <xf numFmtId="0" fontId="2" fillId="9" borderId="41" xfId="0" applyFont="1" applyFill="1" applyBorder="1" applyAlignment="1">
      <alignment horizontal="center" vertical="top" wrapText="1"/>
    </xf>
    <xf numFmtId="0" fontId="2" fillId="9" borderId="53" xfId="0" applyFont="1" applyFill="1" applyBorder="1" applyAlignment="1">
      <alignment horizontal="center" vertical="top" wrapText="1"/>
    </xf>
    <xf numFmtId="0" fontId="27" fillId="3" borderId="10" xfId="0" applyFont="1" applyFill="1" applyBorder="1" applyAlignment="1">
      <alignment horizontal="left" vertical="top" wrapText="1"/>
    </xf>
    <xf numFmtId="0" fontId="26" fillId="3" borderId="10" xfId="0" applyFont="1" applyFill="1" applyBorder="1" applyAlignment="1">
      <alignment horizontal="left" vertical="top" wrapText="1"/>
    </xf>
    <xf numFmtId="0" fontId="26" fillId="3" borderId="11" xfId="0" applyFont="1" applyFill="1" applyBorder="1" applyAlignment="1">
      <alignment horizontal="left" vertical="top" wrapText="1"/>
    </xf>
    <xf numFmtId="0" fontId="0" fillId="0" borderId="10" xfId="0" applyFont="1" applyBorder="1" applyAlignment="1">
      <alignment horizontal="left" vertical="top"/>
    </xf>
    <xf numFmtId="0" fontId="0" fillId="0" borderId="11" xfId="0" applyFont="1" applyBorder="1" applyAlignment="1">
      <alignment horizontal="left" vertical="top"/>
    </xf>
    <xf numFmtId="9" fontId="3" fillId="0" borderId="10" xfId="0" applyNumberFormat="1" applyFont="1" applyBorder="1" applyAlignment="1">
      <alignment horizontal="center" vertical="top"/>
    </xf>
    <xf numFmtId="0" fontId="19" fillId="5" borderId="9" xfId="0" applyFont="1" applyFill="1" applyBorder="1" applyAlignment="1">
      <alignment horizontal="left"/>
    </xf>
    <xf numFmtId="0" fontId="19" fillId="5" borderId="10" xfId="0" applyFont="1" applyFill="1" applyBorder="1" applyAlignment="1">
      <alignment horizontal="left"/>
    </xf>
    <xf numFmtId="0" fontId="19" fillId="5" borderId="11" xfId="0" applyFont="1" applyFill="1" applyBorder="1" applyAlignment="1">
      <alignment horizontal="left"/>
    </xf>
    <xf numFmtId="1" fontId="3" fillId="0" borderId="15" xfId="2" applyNumberFormat="1" applyFont="1" applyBorder="1" applyAlignment="1">
      <alignment horizontal="center" vertical="center"/>
    </xf>
    <xf numFmtId="1" fontId="3" fillId="0" borderId="42" xfId="2" applyNumberFormat="1" applyFont="1" applyBorder="1" applyAlignment="1">
      <alignment horizontal="center" vertical="center"/>
    </xf>
    <xf numFmtId="1" fontId="3" fillId="0" borderId="43" xfId="2" applyNumberFormat="1" applyFont="1" applyBorder="1" applyAlignment="1">
      <alignment horizontal="center" vertical="center"/>
    </xf>
    <xf numFmtId="1" fontId="3" fillId="0" borderId="14" xfId="2" applyNumberFormat="1" applyFont="1" applyBorder="1" applyAlignment="1">
      <alignment horizontal="center" vertical="center"/>
    </xf>
    <xf numFmtId="1" fontId="3" fillId="0" borderId="0" xfId="2" applyNumberFormat="1" applyFont="1" applyBorder="1" applyAlignment="1">
      <alignment horizontal="center" vertical="center"/>
    </xf>
    <xf numFmtId="1" fontId="3" fillId="0" borderId="44" xfId="2" applyNumberFormat="1" applyFont="1" applyBorder="1" applyAlignment="1">
      <alignment horizontal="center" vertical="center"/>
    </xf>
    <xf numFmtId="1" fontId="3" fillId="0" borderId="33" xfId="2" applyNumberFormat="1" applyFont="1" applyBorder="1" applyAlignment="1">
      <alignment horizontal="center" vertical="center"/>
    </xf>
    <xf numFmtId="1" fontId="3" fillId="0" borderId="45" xfId="2" applyNumberFormat="1" applyFont="1" applyBorder="1" applyAlignment="1">
      <alignment horizontal="center" vertical="center"/>
    </xf>
    <xf numFmtId="1" fontId="3" fillId="0" borderId="46" xfId="2" applyNumberFormat="1" applyFont="1" applyBorder="1" applyAlignment="1">
      <alignment horizontal="center" vertical="center"/>
    </xf>
    <xf numFmtId="1" fontId="31" fillId="0" borderId="8" xfId="2" applyNumberFormat="1" applyFont="1" applyBorder="1" applyAlignment="1" applyProtection="1">
      <alignment horizontal="center" vertical="center" wrapText="1"/>
      <protection locked="0"/>
    </xf>
    <xf numFmtId="1" fontId="31" fillId="0" borderId="6" xfId="2" applyNumberFormat="1" applyFont="1" applyBorder="1" applyAlignment="1" applyProtection="1">
      <alignment horizontal="center" vertical="center" wrapText="1"/>
      <protection locked="0"/>
    </xf>
    <xf numFmtId="1" fontId="31" fillId="0" borderId="3" xfId="2" applyNumberFormat="1" applyFont="1" applyBorder="1" applyAlignment="1" applyProtection="1">
      <alignment horizontal="center" vertical="center" wrapText="1"/>
      <protection locked="0"/>
    </xf>
    <xf numFmtId="0" fontId="19" fillId="4" borderId="22" xfId="0" applyFont="1" applyFill="1" applyBorder="1" applyAlignment="1">
      <alignment horizontal="left" vertical="top" wrapText="1"/>
    </xf>
    <xf numFmtId="0" fontId="19" fillId="4" borderId="23" xfId="0" applyFont="1" applyFill="1" applyBorder="1" applyAlignment="1">
      <alignment horizontal="left" vertical="top"/>
    </xf>
    <xf numFmtId="0" fontId="19" fillId="4" borderId="32" xfId="0" applyFont="1" applyFill="1" applyBorder="1" applyAlignment="1">
      <alignment horizontal="left" vertical="top"/>
    </xf>
    <xf numFmtId="0" fontId="27" fillId="3" borderId="11" xfId="0" applyFont="1" applyFill="1" applyBorder="1" applyAlignment="1">
      <alignment horizontal="left" vertical="top" wrapText="1"/>
    </xf>
    <xf numFmtId="0" fontId="2" fillId="5" borderId="9" xfId="0" applyFont="1" applyFill="1" applyBorder="1" applyAlignment="1">
      <alignment horizontal="center" vertical="top" wrapText="1"/>
    </xf>
    <xf numFmtId="0" fontId="2" fillId="5" borderId="10" xfId="0" applyFont="1" applyFill="1" applyBorder="1" applyAlignment="1">
      <alignment horizontal="center" vertical="top" wrapText="1"/>
    </xf>
    <xf numFmtId="0" fontId="2" fillId="5" borderId="11" xfId="0" applyFont="1" applyFill="1" applyBorder="1" applyAlignment="1">
      <alignment horizontal="center" vertical="top" wrapText="1"/>
    </xf>
    <xf numFmtId="0" fontId="19" fillId="5" borderId="8" xfId="0" applyFont="1" applyFill="1" applyBorder="1" applyAlignment="1">
      <alignment horizontal="center"/>
    </xf>
    <xf numFmtId="0" fontId="19" fillId="5" borderId="6" xfId="0" applyFont="1" applyFill="1" applyBorder="1" applyAlignment="1">
      <alignment horizontal="center"/>
    </xf>
    <xf numFmtId="0" fontId="19" fillId="5" borderId="3" xfId="0" applyFont="1" applyFill="1" applyBorder="1" applyAlignment="1">
      <alignment horizontal="center"/>
    </xf>
    <xf numFmtId="1" fontId="21" fillId="0" borderId="48" xfId="2" applyNumberFormat="1" applyFont="1" applyBorder="1" applyAlignment="1" applyProtection="1">
      <alignment horizontal="center" vertical="top" wrapText="1"/>
      <protection locked="0"/>
    </xf>
    <xf numFmtId="1" fontId="21" fillId="0" borderId="47" xfId="2" applyNumberFormat="1" applyFont="1" applyBorder="1" applyAlignment="1" applyProtection="1">
      <alignment horizontal="center" vertical="top" wrapText="1"/>
      <protection locked="0"/>
    </xf>
    <xf numFmtId="1" fontId="21" fillId="0" borderId="16" xfId="2" applyNumberFormat="1" applyFont="1" applyBorder="1" applyAlignment="1" applyProtection="1">
      <alignment horizontal="center" vertical="top" wrapText="1"/>
      <protection locked="0"/>
    </xf>
    <xf numFmtId="1" fontId="21" fillId="0" borderId="12" xfId="2" applyNumberFormat="1" applyFont="1" applyBorder="1" applyAlignment="1" applyProtection="1">
      <alignment horizontal="center" vertical="top" wrapText="1"/>
      <protection locked="0"/>
    </xf>
    <xf numFmtId="1" fontId="21" fillId="0" borderId="15" xfId="2" applyNumberFormat="1" applyFont="1" applyBorder="1" applyAlignment="1" applyProtection="1">
      <alignment horizontal="center" vertical="top" wrapText="1"/>
      <protection locked="0"/>
    </xf>
    <xf numFmtId="1" fontId="21" fillId="0" borderId="33" xfId="2" applyNumberFormat="1" applyFont="1" applyBorder="1" applyAlignment="1" applyProtection="1">
      <alignment horizontal="center" vertical="top" wrapText="1"/>
      <protection locked="0"/>
    </xf>
    <xf numFmtId="1" fontId="13" fillId="0" borderId="0" xfId="2" applyNumberFormat="1" applyFont="1" applyBorder="1" applyAlignment="1" applyProtection="1">
      <alignment horizontal="center" vertical="top" wrapText="1"/>
      <protection locked="0"/>
    </xf>
    <xf numFmtId="1" fontId="20" fillId="0" borderId="10" xfId="0" applyNumberFormat="1"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1" fontId="19" fillId="0" borderId="10" xfId="0" applyNumberFormat="1"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1" fontId="19" fillId="0" borderId="10" xfId="0" applyNumberFormat="1" applyFont="1" applyBorder="1" applyAlignment="1" applyProtection="1">
      <alignment horizontal="center" vertical="top" wrapText="1"/>
      <protection locked="0"/>
    </xf>
    <xf numFmtId="0" fontId="19" fillId="0" borderId="11" xfId="0" applyFont="1" applyBorder="1" applyAlignment="1" applyProtection="1">
      <alignment horizontal="center" vertical="top" wrapText="1"/>
      <protection locked="0"/>
    </xf>
    <xf numFmtId="1" fontId="9" fillId="0" borderId="0" xfId="0" applyNumberFormat="1" applyFont="1" applyBorder="1" applyAlignment="1" applyProtection="1">
      <alignment horizontal="center" vertical="top" wrapText="1"/>
      <protection locked="0"/>
    </xf>
    <xf numFmtId="0" fontId="9" fillId="0" borderId="0" xfId="0" applyFont="1" applyBorder="1" applyAlignment="1" applyProtection="1">
      <alignment horizontal="center" vertical="top" wrapText="1"/>
      <protection locked="0"/>
    </xf>
    <xf numFmtId="0" fontId="21" fillId="5" borderId="8" xfId="2" applyFont="1" applyFill="1" applyBorder="1" applyAlignment="1" applyProtection="1">
      <alignment horizontal="center" vertical="top"/>
      <protection locked="0"/>
    </xf>
    <xf numFmtId="0" fontId="21" fillId="5" borderId="6" xfId="2" applyFont="1" applyFill="1" applyBorder="1" applyAlignment="1" applyProtection="1">
      <alignment horizontal="center" vertical="top"/>
      <protection locked="0"/>
    </xf>
    <xf numFmtId="0" fontId="21" fillId="5" borderId="3" xfId="2" applyFont="1" applyFill="1" applyBorder="1" applyAlignment="1" applyProtection="1">
      <alignment horizontal="center" vertical="top"/>
      <protection locked="0"/>
    </xf>
    <xf numFmtId="1" fontId="21" fillId="0" borderId="48" xfId="2" applyNumberFormat="1" applyFont="1" applyBorder="1" applyAlignment="1" applyProtection="1">
      <alignment horizontal="left" vertical="top" wrapText="1"/>
      <protection locked="0"/>
    </xf>
    <xf numFmtId="1" fontId="21" fillId="0" borderId="47" xfId="2" applyNumberFormat="1" applyFont="1" applyBorder="1" applyAlignment="1" applyProtection="1">
      <alignment horizontal="left" vertical="top" wrapText="1"/>
      <protection locked="0"/>
    </xf>
    <xf numFmtId="1" fontId="21" fillId="0" borderId="8" xfId="2" applyNumberFormat="1" applyFont="1" applyBorder="1" applyAlignment="1" applyProtection="1">
      <alignment horizontal="center" vertical="center" wrapText="1"/>
      <protection locked="0"/>
    </xf>
    <xf numFmtId="1" fontId="21" fillId="0" borderId="6" xfId="2" applyNumberFormat="1" applyFont="1" applyBorder="1" applyAlignment="1" applyProtection="1">
      <alignment horizontal="center" vertical="center" wrapText="1"/>
      <protection locked="0"/>
    </xf>
    <xf numFmtId="1" fontId="21" fillId="0" borderId="3" xfId="2" applyNumberFormat="1" applyFont="1" applyBorder="1" applyAlignment="1" applyProtection="1">
      <alignment horizontal="center" vertical="center" wrapText="1"/>
      <protection locked="0"/>
    </xf>
    <xf numFmtId="1" fontId="13" fillId="0" borderId="0" xfId="0" applyNumberFormat="1" applyFont="1" applyBorder="1" applyAlignment="1" applyProtection="1">
      <alignment horizontal="center" vertical="center" wrapText="1"/>
      <protection locked="0"/>
    </xf>
    <xf numFmtId="0" fontId="19" fillId="4" borderId="10" xfId="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wrapText="1"/>
      <protection locked="0"/>
    </xf>
    <xf numFmtId="0" fontId="19" fillId="4" borderId="11" xfId="0" applyFont="1" applyFill="1" applyBorder="1" applyAlignment="1" applyProtection="1">
      <alignment horizontal="center" vertical="center" wrapText="1"/>
      <protection locked="0"/>
    </xf>
    <xf numFmtId="1" fontId="21" fillId="5" borderId="8" xfId="0" applyNumberFormat="1" applyFont="1" applyFill="1" applyBorder="1" applyAlignment="1" applyProtection="1">
      <alignment horizontal="center" vertical="center" wrapText="1"/>
      <protection locked="0"/>
    </xf>
    <xf numFmtId="1" fontId="21" fillId="5" borderId="6" xfId="0" applyNumberFormat="1" applyFont="1" applyFill="1" applyBorder="1" applyAlignment="1" applyProtection="1">
      <alignment horizontal="center" vertical="center" wrapText="1"/>
      <protection locked="0"/>
    </xf>
    <xf numFmtId="1" fontId="21" fillId="5" borderId="3" xfId="0" applyNumberFormat="1" applyFont="1" applyFill="1" applyBorder="1" applyAlignment="1" applyProtection="1">
      <alignment horizontal="center" vertical="center" wrapText="1"/>
      <protection locked="0"/>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Border="1" applyAlignment="1" applyProtection="1">
      <alignment horizontal="center" vertical="top" wrapText="1"/>
      <protection locked="0"/>
    </xf>
    <xf numFmtId="1" fontId="21" fillId="7" borderId="54" xfId="0" applyNumberFormat="1" applyFont="1" applyFill="1" applyBorder="1" applyAlignment="1" applyProtection="1">
      <alignment horizontal="center" vertical="center" wrapText="1"/>
      <protection locked="0"/>
    </xf>
    <xf numFmtId="1" fontId="21" fillId="7" borderId="42" xfId="0" applyNumberFormat="1" applyFont="1" applyFill="1" applyBorder="1" applyAlignment="1" applyProtection="1">
      <alignment horizontal="center" vertical="center" wrapText="1"/>
      <protection locked="0"/>
    </xf>
    <xf numFmtId="1" fontId="21" fillId="7" borderId="5" xfId="0" applyNumberFormat="1" applyFont="1" applyFill="1" applyBorder="1" applyAlignment="1" applyProtection="1">
      <alignment horizontal="center" vertical="center" wrapText="1"/>
      <protection locked="0"/>
    </xf>
    <xf numFmtId="1" fontId="13" fillId="0" borderId="0" xfId="0" applyNumberFormat="1" applyFont="1" applyBorder="1" applyAlignment="1" applyProtection="1">
      <alignment horizontal="center" vertical="top" wrapText="1"/>
      <protection locked="0"/>
    </xf>
    <xf numFmtId="1" fontId="21" fillId="5" borderId="55" xfId="0" applyNumberFormat="1" applyFont="1" applyFill="1" applyBorder="1" applyAlignment="1" applyProtection="1">
      <alignment horizontal="center" vertical="center" wrapText="1"/>
      <protection locked="0"/>
    </xf>
    <xf numFmtId="1" fontId="21" fillId="5" borderId="45" xfId="0" applyNumberFormat="1" applyFont="1" applyFill="1" applyBorder="1" applyAlignment="1" applyProtection="1">
      <alignment horizontal="center" vertical="center" wrapText="1"/>
      <protection locked="0"/>
    </xf>
    <xf numFmtId="1" fontId="21" fillId="5" borderId="52" xfId="0" applyNumberFormat="1" applyFont="1" applyFill="1" applyBorder="1" applyAlignment="1" applyProtection="1">
      <alignment horizontal="center" vertical="center" wrapText="1"/>
      <protection locked="0"/>
    </xf>
    <xf numFmtId="0" fontId="18" fillId="6" borderId="34"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35" xfId="0" applyFont="1" applyFill="1" applyBorder="1" applyAlignment="1">
      <alignment horizontal="center" vertical="center"/>
    </xf>
    <xf numFmtId="0" fontId="33" fillId="0" borderId="10" xfId="0" applyFont="1" applyBorder="1" applyAlignment="1">
      <alignment horizontal="left" vertical="top"/>
    </xf>
    <xf numFmtId="0" fontId="2" fillId="5" borderId="9" xfId="1" applyFont="1" applyFill="1" applyBorder="1" applyAlignment="1">
      <alignment horizontal="center" vertical="center"/>
    </xf>
    <xf numFmtId="0" fontId="2" fillId="5" borderId="10" xfId="1" applyFont="1" applyFill="1" applyBorder="1" applyAlignment="1">
      <alignment horizontal="center" vertical="center"/>
    </xf>
    <xf numFmtId="0" fontId="2" fillId="5" borderId="11" xfId="1" applyFont="1" applyFill="1" applyBorder="1" applyAlignment="1">
      <alignment horizontal="center" vertical="center"/>
    </xf>
    <xf numFmtId="0" fontId="2" fillId="4" borderId="9" xfId="1" applyFont="1" applyFill="1" applyBorder="1" applyAlignment="1">
      <alignment horizontal="left" vertical="top" wrapText="1"/>
    </xf>
    <xf numFmtId="0" fontId="2" fillId="4" borderId="10" xfId="1" applyFont="1" applyFill="1" applyBorder="1" applyAlignment="1">
      <alignment horizontal="left" vertical="top" wrapText="1"/>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4" xfId="0" applyFont="1" applyFill="1" applyBorder="1" applyAlignment="1">
      <alignment horizontal="center" vertical="top"/>
    </xf>
    <xf numFmtId="0" fontId="2" fillId="5" borderId="0" xfId="0" applyFont="1" applyFill="1" applyBorder="1" applyAlignment="1">
      <alignment horizontal="center" vertical="top"/>
    </xf>
    <xf numFmtId="0" fontId="2" fillId="5" borderId="2" xfId="0" applyFont="1" applyFill="1" applyBorder="1" applyAlignment="1">
      <alignment horizontal="center" vertical="top"/>
    </xf>
    <xf numFmtId="0" fontId="5" fillId="2" borderId="10" xfId="1" applyFont="1" applyFill="1" applyBorder="1" applyAlignment="1" applyProtection="1">
      <alignment horizontal="left" vertical="center" wrapText="1"/>
      <protection locked="0"/>
    </xf>
    <xf numFmtId="0" fontId="5" fillId="2" borderId="11" xfId="1" applyFont="1" applyFill="1" applyBorder="1" applyAlignment="1" applyProtection="1">
      <alignment horizontal="left" vertical="center" wrapText="1"/>
      <protection locked="0"/>
    </xf>
    <xf numFmtId="0" fontId="2" fillId="4" borderId="8" xfId="1" applyFont="1" applyFill="1" applyBorder="1" applyAlignment="1">
      <alignment horizontal="left" vertical="center" wrapText="1"/>
    </xf>
    <xf numFmtId="0" fontId="2" fillId="4" borderId="7" xfId="1" applyFont="1" applyFill="1" applyBorder="1" applyAlignment="1">
      <alignment horizontal="left" vertical="center" wrapText="1"/>
    </xf>
    <xf numFmtId="0" fontId="2" fillId="4" borderId="9" xfId="1" applyFont="1" applyFill="1" applyBorder="1" applyAlignment="1">
      <alignment horizontal="left" vertical="center" wrapText="1"/>
    </xf>
    <xf numFmtId="0" fontId="2" fillId="4" borderId="10" xfId="1" applyFont="1" applyFill="1" applyBorder="1" applyAlignment="1">
      <alignment horizontal="left" vertical="center" wrapText="1"/>
    </xf>
    <xf numFmtId="0" fontId="23" fillId="2" borderId="10" xfId="4" applyFill="1" applyBorder="1" applyAlignment="1" applyProtection="1">
      <alignment horizontal="left" vertical="center" wrapText="1"/>
      <protection locked="0"/>
    </xf>
    <xf numFmtId="0" fontId="2" fillId="5" borderId="9" xfId="0" applyFont="1" applyFill="1" applyBorder="1" applyAlignment="1">
      <alignment horizontal="center" vertical="top"/>
    </xf>
    <xf numFmtId="0" fontId="2" fillId="5" borderId="10" xfId="0" applyFont="1" applyFill="1" applyBorder="1" applyAlignment="1">
      <alignment horizontal="center" vertical="top"/>
    </xf>
    <xf numFmtId="0" fontId="2" fillId="5" borderId="11" xfId="0" applyFont="1" applyFill="1" applyBorder="1" applyAlignment="1">
      <alignment horizontal="center" vertical="top"/>
    </xf>
    <xf numFmtId="0" fontId="20" fillId="2" borderId="10" xfId="1" applyFont="1" applyFill="1" applyBorder="1" applyAlignment="1" applyProtection="1">
      <alignment horizontal="left" vertical="center" wrapText="1"/>
      <protection locked="0"/>
    </xf>
    <xf numFmtId="0" fontId="20" fillId="2" borderId="11" xfId="1" applyFont="1" applyFill="1" applyBorder="1" applyAlignment="1" applyProtection="1">
      <alignment horizontal="left" vertical="center" wrapText="1"/>
      <protection locked="0"/>
    </xf>
    <xf numFmtId="9" fontId="20" fillId="3" borderId="13" xfId="0" applyNumberFormat="1" applyFont="1" applyFill="1" applyBorder="1" applyAlignment="1">
      <alignment horizontal="left" vertical="top" wrapText="1"/>
    </xf>
    <xf numFmtId="9" fontId="20" fillId="3" borderId="6" xfId="0" applyNumberFormat="1" applyFont="1" applyFill="1" applyBorder="1" applyAlignment="1">
      <alignment horizontal="left" vertical="top" wrapText="1"/>
    </xf>
    <xf numFmtId="9" fontId="20" fillId="3" borderId="3" xfId="0" applyNumberFormat="1" applyFont="1" applyFill="1" applyBorder="1" applyAlignment="1">
      <alignment horizontal="left" vertical="top" wrapText="1"/>
    </xf>
    <xf numFmtId="0" fontId="5" fillId="2" borderId="10" xfId="1" applyFont="1" applyFill="1" applyBorder="1" applyAlignment="1" applyProtection="1">
      <alignment horizontal="left" vertical="top" wrapText="1"/>
      <protection locked="0"/>
    </xf>
    <xf numFmtId="0" fontId="5" fillId="2" borderId="11" xfId="1" applyFont="1" applyFill="1" applyBorder="1" applyAlignment="1" applyProtection="1">
      <alignment horizontal="left" vertical="top" wrapText="1"/>
      <protection locked="0"/>
    </xf>
    <xf numFmtId="0" fontId="2" fillId="4" borderId="11" xfId="0" applyFont="1" applyFill="1" applyBorder="1" applyAlignment="1">
      <alignment horizontal="center" vertical="top" wrapText="1"/>
    </xf>
    <xf numFmtId="0" fontId="3" fillId="0" borderId="10" xfId="0" applyFont="1" applyBorder="1" applyAlignment="1">
      <alignment horizontal="center" vertical="top" wrapText="1"/>
    </xf>
    <xf numFmtId="0" fontId="2" fillId="5" borderId="38" xfId="0" applyFont="1" applyFill="1" applyBorder="1" applyAlignment="1">
      <alignment horizontal="center" vertical="top"/>
    </xf>
    <xf numFmtId="0" fontId="2" fillId="5" borderId="39" xfId="0" applyFont="1" applyFill="1" applyBorder="1" applyAlignment="1">
      <alignment horizontal="center" vertical="top"/>
    </xf>
    <xf numFmtId="0" fontId="2" fillId="5" borderId="50" xfId="0" applyFont="1" applyFill="1" applyBorder="1" applyAlignment="1">
      <alignment horizontal="center" vertical="top"/>
    </xf>
    <xf numFmtId="0" fontId="2" fillId="4" borderId="9" xfId="0" applyFont="1" applyFill="1" applyBorder="1" applyAlignment="1">
      <alignment horizontal="center" vertical="top"/>
    </xf>
    <xf numFmtId="0" fontId="2" fillId="4" borderId="10" xfId="0" applyFont="1" applyFill="1" applyBorder="1" applyAlignment="1">
      <alignment horizontal="center" vertical="top"/>
    </xf>
    <xf numFmtId="0" fontId="2" fillId="4" borderId="11" xfId="0" applyFont="1" applyFill="1" applyBorder="1" applyAlignment="1">
      <alignment horizontal="center" vertical="top"/>
    </xf>
    <xf numFmtId="0" fontId="3" fillId="0" borderId="48" xfId="0" applyFont="1" applyBorder="1" applyAlignment="1">
      <alignment horizontal="center" vertical="center"/>
    </xf>
    <xf numFmtId="0" fontId="3" fillId="0" borderId="16" xfId="0" applyFont="1" applyBorder="1" applyAlignment="1">
      <alignment horizontal="center" vertical="center"/>
    </xf>
    <xf numFmtId="0" fontId="3" fillId="0" borderId="49" xfId="0" applyFont="1" applyBorder="1" applyAlignment="1">
      <alignment horizontal="center" vertical="center"/>
    </xf>
    <xf numFmtId="0" fontId="6" fillId="0" borderId="10" xfId="1" applyFont="1" applyFill="1" applyBorder="1" applyAlignment="1" applyProtection="1">
      <alignment horizontal="center" vertical="top"/>
    </xf>
    <xf numFmtId="0" fontId="6" fillId="0" borderId="11" xfId="1" applyFont="1" applyFill="1" applyBorder="1" applyAlignment="1" applyProtection="1">
      <alignment horizontal="center" vertical="top"/>
    </xf>
    <xf numFmtId="0" fontId="28" fillId="0" borderId="10" xfId="0" applyFont="1" applyBorder="1" applyAlignment="1">
      <alignment horizontal="center" vertical="top"/>
    </xf>
    <xf numFmtId="0" fontId="6" fillId="0" borderId="10" xfId="1" applyFont="1" applyFill="1" applyBorder="1" applyAlignment="1" applyProtection="1">
      <alignment horizontal="center" vertical="top"/>
      <protection locked="0"/>
    </xf>
    <xf numFmtId="14" fontId="3" fillId="0" borderId="10" xfId="0" applyNumberFormat="1" applyFont="1" applyBorder="1" applyAlignment="1">
      <alignment horizontal="center" vertical="top"/>
    </xf>
    <xf numFmtId="0" fontId="2" fillId="0" borderId="0" xfId="1" applyFont="1" applyFill="1" applyBorder="1" applyAlignment="1">
      <alignment horizontal="center" vertical="center" wrapText="1"/>
    </xf>
    <xf numFmtId="0" fontId="3" fillId="0" borderId="8" xfId="0" applyFont="1" applyFill="1" applyBorder="1" applyAlignment="1">
      <alignment horizontal="center" vertical="top"/>
    </xf>
    <xf numFmtId="0" fontId="3" fillId="0" borderId="6" xfId="0" applyFont="1" applyFill="1" applyBorder="1" applyAlignment="1">
      <alignment horizontal="center" vertical="top"/>
    </xf>
    <xf numFmtId="0" fontId="3" fillId="0" borderId="3" xfId="0" applyFont="1" applyFill="1" applyBorder="1" applyAlignment="1">
      <alignment horizontal="center" vertical="top"/>
    </xf>
    <xf numFmtId="0" fontId="25" fillId="0" borderId="10" xfId="0" applyFont="1" applyBorder="1" applyAlignment="1">
      <alignment horizontal="center" vertical="top"/>
    </xf>
    <xf numFmtId="0" fontId="25" fillId="0" borderId="11" xfId="0" applyFont="1" applyBorder="1" applyAlignment="1">
      <alignment horizontal="center" vertical="top"/>
    </xf>
    <xf numFmtId="0" fontId="10" fillId="0" borderId="9" xfId="2" applyFont="1" applyBorder="1" applyAlignment="1" applyProtection="1">
      <alignment horizontal="center" vertical="top" wrapText="1"/>
      <protection locked="0"/>
    </xf>
    <xf numFmtId="0" fontId="10" fillId="0" borderId="10" xfId="2" applyFont="1" applyBorder="1" applyAlignment="1" applyProtection="1">
      <alignment horizontal="center" vertical="top" wrapText="1"/>
      <protection locked="0"/>
    </xf>
    <xf numFmtId="0" fontId="10" fillId="0" borderId="22" xfId="2" applyFont="1" applyBorder="1" applyAlignment="1" applyProtection="1">
      <alignment horizontal="center" vertical="top" wrapText="1"/>
      <protection locked="0"/>
    </xf>
    <xf numFmtId="0" fontId="10" fillId="0" borderId="23" xfId="2" applyFont="1" applyBorder="1" applyAlignment="1" applyProtection="1">
      <alignment horizontal="center" vertical="top" wrapText="1"/>
      <protection locked="0"/>
    </xf>
    <xf numFmtId="9" fontId="10" fillId="3" borderId="10" xfId="2" applyNumberFormat="1" applyFont="1" applyFill="1" applyBorder="1" applyAlignment="1" applyProtection="1">
      <alignment horizontal="center" vertical="center" wrapText="1"/>
      <protection hidden="1"/>
    </xf>
    <xf numFmtId="9" fontId="10" fillId="3" borderId="23" xfId="2" applyNumberFormat="1" applyFont="1" applyFill="1" applyBorder="1" applyAlignment="1" applyProtection="1">
      <alignment horizontal="center" vertical="center" wrapText="1"/>
      <protection hidden="1"/>
    </xf>
    <xf numFmtId="9" fontId="10" fillId="3" borderId="11" xfId="2" applyNumberFormat="1" applyFont="1" applyFill="1" applyBorder="1" applyAlignment="1" applyProtection="1">
      <alignment horizontal="center" vertical="center" wrapText="1"/>
      <protection hidden="1"/>
    </xf>
    <xf numFmtId="9" fontId="10" fillId="3" borderId="32" xfId="2" applyNumberFormat="1" applyFont="1" applyFill="1" applyBorder="1" applyAlignment="1" applyProtection="1">
      <alignment horizontal="center" vertical="center" wrapText="1"/>
      <protection hidden="1"/>
    </xf>
    <xf numFmtId="0" fontId="10" fillId="0" borderId="9" xfId="2" applyFont="1" applyBorder="1" applyAlignment="1" applyProtection="1">
      <alignment horizontal="center" vertical="top"/>
      <protection locked="0"/>
    </xf>
    <xf numFmtId="0" fontId="10" fillId="0" borderId="10" xfId="2" applyFont="1" applyBorder="1" applyAlignment="1" applyProtection="1">
      <alignment horizontal="center" vertical="top"/>
      <protection locked="0"/>
    </xf>
    <xf numFmtId="0" fontId="9" fillId="0" borderId="27" xfId="2" applyFont="1" applyBorder="1" applyAlignment="1" applyProtection="1">
      <alignment horizontal="left" vertical="top" wrapText="1"/>
      <protection locked="0"/>
    </xf>
    <xf numFmtId="0" fontId="9" fillId="0" borderId="28" xfId="2" applyFont="1" applyBorder="1" applyAlignment="1" applyProtection="1">
      <alignment horizontal="left" vertical="top" wrapText="1"/>
      <protection locked="0"/>
    </xf>
    <xf numFmtId="0" fontId="9" fillId="0" borderId="29" xfId="2" applyFont="1" applyBorder="1" applyAlignment="1" applyProtection="1">
      <alignment horizontal="left" vertical="top" wrapText="1"/>
      <protection locked="0"/>
    </xf>
    <xf numFmtId="0" fontId="9" fillId="0" borderId="30" xfId="2" applyFont="1" applyBorder="1" applyAlignment="1" applyProtection="1">
      <alignment horizontal="left" vertical="top" wrapText="1"/>
      <protection locked="0"/>
    </xf>
    <xf numFmtId="0" fontId="9" fillId="0" borderId="31" xfId="2" applyFont="1" applyBorder="1" applyAlignment="1" applyProtection="1">
      <alignment horizontal="left" vertical="top" wrapText="1"/>
      <protection locked="0"/>
    </xf>
    <xf numFmtId="0" fontId="9" fillId="0" borderId="9" xfId="2" applyFont="1" applyBorder="1" applyAlignment="1" applyProtection="1">
      <alignment horizontal="left" vertical="top"/>
      <protection locked="0"/>
    </xf>
    <xf numFmtId="0" fontId="9" fillId="0" borderId="10" xfId="2" applyFont="1" applyBorder="1" applyAlignment="1" applyProtection="1">
      <alignment horizontal="left" vertical="top"/>
      <protection locked="0"/>
    </xf>
    <xf numFmtId="0" fontId="9" fillId="0" borderId="10" xfId="2" applyFont="1" applyBorder="1" applyAlignment="1" applyProtection="1">
      <alignment horizontal="left" vertical="top" wrapText="1"/>
      <protection locked="0"/>
    </xf>
    <xf numFmtId="0" fontId="9" fillId="0" borderId="11" xfId="2" applyFont="1" applyBorder="1" applyAlignment="1" applyProtection="1">
      <alignment horizontal="left" vertical="top" wrapText="1"/>
      <protection locked="0"/>
    </xf>
    <xf numFmtId="0" fontId="10" fillId="0" borderId="11" xfId="2" applyFont="1" applyBorder="1" applyAlignment="1" applyProtection="1">
      <alignment horizontal="center" vertical="top" wrapText="1"/>
      <protection locked="0"/>
    </xf>
  </cellXfs>
  <cellStyles count="5">
    <cellStyle name="Excel Built-in Normal" xfId="3"/>
    <cellStyle name="Hyperlink" xfId="4"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1268685</xdr:colOff>
      <xdr:row>627</xdr:row>
      <xdr:rowOff>88419</xdr:rowOff>
    </xdr:from>
    <xdr:to>
      <xdr:col>5</xdr:col>
      <xdr:colOff>18070</xdr:colOff>
      <xdr:row>642</xdr:row>
      <xdr:rowOff>110920</xdr:rowOff>
    </xdr:to>
    <xdr:pic>
      <xdr:nvPicPr>
        <xdr:cNvPr id="17" name="Picture 16"/>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268685" y="143736625"/>
          <a:ext cx="4430767" cy="2880000"/>
        </a:xfrm>
        <a:prstGeom prst="rect">
          <a:avLst/>
        </a:prstGeom>
        <a:ln>
          <a:solidFill>
            <a:schemeClr val="tx1"/>
          </a:solidFill>
        </a:ln>
      </xdr:spPr>
    </xdr:pic>
    <xdr:clientData/>
  </xdr:twoCellAnchor>
  <xdr:twoCellAnchor editAs="oneCell">
    <xdr:from>
      <xdr:col>0</xdr:col>
      <xdr:colOff>918887</xdr:colOff>
      <xdr:row>606</xdr:row>
      <xdr:rowOff>0</xdr:rowOff>
    </xdr:from>
    <xdr:to>
      <xdr:col>5</xdr:col>
      <xdr:colOff>367869</xdr:colOff>
      <xdr:row>626</xdr:row>
      <xdr:rowOff>150000</xdr:rowOff>
    </xdr:to>
    <xdr:pic>
      <xdr:nvPicPr>
        <xdr:cNvPr id="18" name="Picture 17"/>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918887" y="139647706"/>
          <a:ext cx="5130364" cy="3960000"/>
        </a:xfrm>
        <a:prstGeom prst="rect">
          <a:avLst/>
        </a:prstGeom>
        <a:ln>
          <a:solidFill>
            <a:schemeClr val="tx1"/>
          </a:solidFill>
        </a:ln>
      </xdr:spPr>
    </xdr:pic>
    <xdr:clientData/>
  </xdr:twoCellAnchor>
  <xdr:twoCellAnchor editAs="oneCell">
    <xdr:from>
      <xdr:col>0</xdr:col>
      <xdr:colOff>979714</xdr:colOff>
      <xdr:row>563</xdr:row>
      <xdr:rowOff>0</xdr:rowOff>
    </xdr:from>
    <xdr:to>
      <xdr:col>5</xdr:col>
      <xdr:colOff>428332</xdr:colOff>
      <xdr:row>591</xdr:row>
      <xdr:rowOff>66000</xdr:rowOff>
    </xdr:to>
    <xdr:pic>
      <xdr:nvPicPr>
        <xdr:cNvPr id="19" name="Picture 18"/>
        <xdr:cNvPicPr>
          <a:picLocks noChangeAspect="1"/>
        </xdr:cNvPicPr>
      </xdr:nvPicPr>
      <xdr:blipFill rotWithShape="1">
        <a:blip xmlns:r="http://schemas.openxmlformats.org/officeDocument/2006/relationships" r:embed="rId3"/>
        <a:srcRect l="16617" t="19811" r="45592" b="9434"/>
        <a:stretch/>
      </xdr:blipFill>
      <xdr:spPr>
        <a:xfrm>
          <a:off x="979714" y="133173107"/>
          <a:ext cx="5122797" cy="5400000"/>
        </a:xfrm>
        <a:prstGeom prst="rect">
          <a:avLst/>
        </a:prstGeom>
        <a:ln>
          <a:solidFill>
            <a:schemeClr val="tx1"/>
          </a:solidFill>
        </a:ln>
      </xdr:spPr>
    </xdr:pic>
    <xdr:clientData/>
  </xdr:twoCellAnchor>
  <xdr:twoCellAnchor>
    <xdr:from>
      <xdr:col>6</xdr:col>
      <xdr:colOff>346213</xdr:colOff>
      <xdr:row>516</xdr:row>
      <xdr:rowOff>127553</xdr:rowOff>
    </xdr:from>
    <xdr:to>
      <xdr:col>14</xdr:col>
      <xdr:colOff>399036</xdr:colOff>
      <xdr:row>557</xdr:row>
      <xdr:rowOff>23341</xdr:rowOff>
    </xdr:to>
    <xdr:grpSp>
      <xdr:nvGrpSpPr>
        <xdr:cNvPr id="2" name="Group 1"/>
        <xdr:cNvGrpSpPr/>
      </xdr:nvGrpSpPr>
      <xdr:grpSpPr>
        <a:xfrm>
          <a:off x="6889474" y="110981988"/>
          <a:ext cx="5916910" cy="7706288"/>
          <a:chOff x="304800" y="108429288"/>
          <a:chExt cx="6079249" cy="7507505"/>
        </a:xfrm>
      </xdr:grpSpPr>
      <xdr:grpSp>
        <xdr:nvGrpSpPr>
          <xdr:cNvPr id="20" name="Group 19"/>
          <xdr:cNvGrpSpPr/>
        </xdr:nvGrpSpPr>
        <xdr:grpSpPr>
          <a:xfrm>
            <a:off x="304800" y="108429288"/>
            <a:ext cx="6079249" cy="7507505"/>
            <a:chOff x="100775" y="416688"/>
            <a:chExt cx="6079249" cy="7507505"/>
          </a:xfrm>
        </xdr:grpSpPr>
        <xdr:pic>
          <xdr:nvPicPr>
            <xdr:cNvPr id="21" name="Picture 2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40380" y="416688"/>
              <a:ext cx="1888031" cy="252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75239" y="5764193"/>
              <a:ext cx="1618312" cy="216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8766" y="3068932"/>
              <a:ext cx="1888031" cy="252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22067" y="5764193"/>
              <a:ext cx="1618312" cy="216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28411" y="5764193"/>
              <a:ext cx="1618312"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291993" y="416688"/>
              <a:ext cx="1888031" cy="252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291993" y="3068932"/>
              <a:ext cx="1888031" cy="252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8768" y="416688"/>
              <a:ext cx="1888031" cy="2520000"/>
            </a:xfrm>
            <a:prstGeom prst="rect">
              <a:avLst/>
            </a:prstGeom>
            <a:ln>
              <a:solidFill>
                <a:schemeClr val="tx1"/>
              </a:solidFill>
            </a:ln>
          </xdr:spPr>
        </xdr:pic>
        <xdr:sp macro="" textlink="">
          <xdr:nvSpPr>
            <xdr:cNvPr id="30" name="TextBox 15"/>
            <xdr:cNvSpPr txBox="1"/>
          </xdr:nvSpPr>
          <xdr:spPr>
            <a:xfrm>
              <a:off x="4709341" y="3137898"/>
              <a:ext cx="29046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F</a:t>
              </a:r>
              <a:endParaRPr lang="en-IN" b="1">
                <a:solidFill>
                  <a:srgbClr val="FF0000"/>
                </a:solidFill>
              </a:endParaRPr>
            </a:p>
          </xdr:txBody>
        </xdr:sp>
        <xdr:sp macro="" textlink="">
          <xdr:nvSpPr>
            <xdr:cNvPr id="32" name="TextBox 17"/>
            <xdr:cNvSpPr txBox="1"/>
          </xdr:nvSpPr>
          <xdr:spPr>
            <a:xfrm>
              <a:off x="423449" y="3137898"/>
              <a:ext cx="6703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E &amp; F</a:t>
              </a:r>
              <a:endParaRPr lang="en-IN" b="1">
                <a:solidFill>
                  <a:srgbClr val="FF0000"/>
                </a:solidFill>
              </a:endParaRPr>
            </a:p>
          </xdr:txBody>
        </xdr:sp>
        <xdr:sp macro="" textlink="">
          <xdr:nvSpPr>
            <xdr:cNvPr id="33" name="TextBox 18"/>
            <xdr:cNvSpPr txBox="1"/>
          </xdr:nvSpPr>
          <xdr:spPr>
            <a:xfrm>
              <a:off x="4566609" y="423532"/>
              <a:ext cx="33054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a:t>
              </a:r>
              <a:endParaRPr lang="en-IN" b="1">
                <a:solidFill>
                  <a:srgbClr val="FF0000"/>
                </a:solidFill>
              </a:endParaRPr>
            </a:p>
          </xdr:txBody>
        </xdr:sp>
        <xdr:sp macro="" textlink="">
          <xdr:nvSpPr>
            <xdr:cNvPr id="34" name="TextBox 19"/>
            <xdr:cNvSpPr txBox="1"/>
          </xdr:nvSpPr>
          <xdr:spPr>
            <a:xfrm>
              <a:off x="3105427" y="2414671"/>
              <a:ext cx="30649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a:t>
              </a:r>
              <a:endParaRPr lang="en-IN" b="1">
                <a:solidFill>
                  <a:srgbClr val="FF0000"/>
                </a:solidFill>
              </a:endParaRPr>
            </a:p>
          </xdr:txBody>
        </xdr:sp>
        <xdr:sp macro="" textlink="">
          <xdr:nvSpPr>
            <xdr:cNvPr id="35" name="TextBox 20"/>
            <xdr:cNvSpPr txBox="1"/>
          </xdr:nvSpPr>
          <xdr:spPr>
            <a:xfrm>
              <a:off x="100775" y="416688"/>
              <a:ext cx="33054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a:t>
              </a:r>
              <a:endParaRPr lang="en-IN" b="1">
                <a:solidFill>
                  <a:srgbClr val="FF0000"/>
                </a:solidFill>
              </a:endParaRPr>
            </a:p>
          </xdr:txBody>
        </xdr:sp>
        <xdr:sp macro="" textlink="">
          <xdr:nvSpPr>
            <xdr:cNvPr id="36" name="TextBox 21"/>
            <xdr:cNvSpPr txBox="1"/>
          </xdr:nvSpPr>
          <xdr:spPr>
            <a:xfrm>
              <a:off x="1107095" y="541550"/>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endParaRPr lang="en-IN" b="1">
                <a:solidFill>
                  <a:srgbClr val="FF0000"/>
                </a:solidFill>
              </a:endParaRPr>
            </a:p>
          </xdr:txBody>
        </xdr:sp>
        <xdr:sp macro="" textlink="">
          <xdr:nvSpPr>
            <xdr:cNvPr id="37" name="TextBox 22"/>
            <xdr:cNvSpPr txBox="1"/>
          </xdr:nvSpPr>
          <xdr:spPr>
            <a:xfrm>
              <a:off x="1733415" y="792864"/>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a:t>
              </a:r>
              <a:endParaRPr lang="en-IN" b="1">
                <a:solidFill>
                  <a:srgbClr val="FF0000"/>
                </a:solidFill>
              </a:endParaRPr>
            </a:p>
          </xdr:txBody>
        </xdr:sp>
      </xdr:grpSp>
      <xdr:grpSp>
        <xdr:nvGrpSpPr>
          <xdr:cNvPr id="38" name="Group 37"/>
          <xdr:cNvGrpSpPr/>
        </xdr:nvGrpSpPr>
        <xdr:grpSpPr>
          <a:xfrm>
            <a:off x="2438400" y="111079721"/>
            <a:ext cx="1890000" cy="2520000"/>
            <a:chOff x="3368040" y="2580640"/>
            <a:chExt cx="1890000" cy="2520000"/>
          </a:xfrm>
        </xdr:grpSpPr>
        <xdr:pic>
          <xdr:nvPicPr>
            <xdr:cNvPr id="39" name="Picture 38"/>
            <xdr:cNvPicPr>
              <a:picLocks noChangeAspect="1"/>
            </xdr:cNvPicPr>
          </xdr:nvPicPr>
          <xdr:blipFill>
            <a:blip xmlns:r="http://schemas.openxmlformats.org/officeDocument/2006/relationships" r:embed="rId12"/>
            <a:stretch>
              <a:fillRect/>
            </a:stretch>
          </xdr:blipFill>
          <xdr:spPr>
            <a:xfrm>
              <a:off x="3368040" y="2580640"/>
              <a:ext cx="1890000" cy="2520000"/>
            </a:xfrm>
            <a:prstGeom prst="rect">
              <a:avLst/>
            </a:prstGeom>
            <a:ln>
              <a:solidFill>
                <a:schemeClr val="tx1"/>
              </a:solidFill>
            </a:ln>
          </xdr:spPr>
        </xdr:pic>
        <xdr:sp macro="" textlink="">
          <xdr:nvSpPr>
            <xdr:cNvPr id="40" name="TextBox 3"/>
            <xdr:cNvSpPr txBox="1"/>
          </xdr:nvSpPr>
          <xdr:spPr>
            <a:xfrm>
              <a:off x="4061414" y="2781300"/>
              <a:ext cx="114962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G &amp; H</a:t>
              </a:r>
              <a:endParaRPr lang="en-IN" b="1">
                <a:solidFill>
                  <a:srgbClr val="FF0000"/>
                </a:solidFill>
              </a:endParaRPr>
            </a:p>
          </xdr:txBody>
        </xdr:sp>
      </xdr:grpSp>
    </xdr:grpSp>
    <xdr:clientData/>
  </xdr:twoCellAnchor>
  <xdr:twoCellAnchor>
    <xdr:from>
      <xdr:col>0</xdr:col>
      <xdr:colOff>419100</xdr:colOff>
      <xdr:row>516</xdr:row>
      <xdr:rowOff>57149</xdr:rowOff>
    </xdr:from>
    <xdr:to>
      <xdr:col>5</xdr:col>
      <xdr:colOff>942776</xdr:colOff>
      <xdr:row>560</xdr:row>
      <xdr:rowOff>64499</xdr:rowOff>
    </xdr:to>
    <xdr:grpSp>
      <xdr:nvGrpSpPr>
        <xdr:cNvPr id="13" name="Group 12"/>
        <xdr:cNvGrpSpPr/>
      </xdr:nvGrpSpPr>
      <xdr:grpSpPr>
        <a:xfrm>
          <a:off x="419100" y="110911584"/>
          <a:ext cx="5807980" cy="8389350"/>
          <a:chOff x="419100" y="110385224"/>
          <a:chExt cx="5810051" cy="8389350"/>
        </a:xfrm>
      </xdr:grpSpPr>
      <xdr:grpSp>
        <xdr:nvGrpSpPr>
          <xdr:cNvPr id="3" name="Group 2"/>
          <xdr:cNvGrpSpPr/>
        </xdr:nvGrpSpPr>
        <xdr:grpSpPr>
          <a:xfrm>
            <a:off x="438150" y="110385224"/>
            <a:ext cx="5785445" cy="8389350"/>
            <a:chOff x="381000" y="110089949"/>
            <a:chExt cx="5785445" cy="8389350"/>
          </a:xfrm>
        </xdr:grpSpPr>
        <xdr:pic>
          <xdr:nvPicPr>
            <xdr:cNvPr id="31" name="Picture 30" descr="https://vsjcllp.vsjadon.com/upload/insp-242928-15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408294" y="117014625"/>
              <a:ext cx="1099046" cy="14646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2928-84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295775" y="112671224"/>
              <a:ext cx="1866900" cy="249052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2928-84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295775" y="110089950"/>
              <a:ext cx="1870670" cy="2495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2928-844.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90524" y="112671225"/>
              <a:ext cx="1864989" cy="24905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2928-85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343149" y="112671225"/>
              <a:ext cx="1864989" cy="24905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2928-86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2209801" y="117014625"/>
              <a:ext cx="1096799" cy="14646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2928-877.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381000" y="110099475"/>
              <a:ext cx="1868756" cy="2495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2928-940.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4572828" y="115223925"/>
              <a:ext cx="1274464" cy="1702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2928-1022.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334452" y="110089949"/>
              <a:ext cx="1867799" cy="24955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2928-880.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217669" y="115228687"/>
              <a:ext cx="2268950" cy="1702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2928-925.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866776" y="115223925"/>
              <a:ext cx="1275444" cy="1702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74" name="TextBox 22"/>
          <xdr:cNvSpPr txBox="1"/>
        </xdr:nvSpPr>
        <xdr:spPr>
          <a:xfrm>
            <a:off x="1943100" y="110432849"/>
            <a:ext cx="314126" cy="379111"/>
          </a:xfrm>
          <a:prstGeom prst="rect">
            <a:avLst/>
          </a:prstGeom>
          <a:solidFill>
            <a:schemeClr val="accent3">
              <a:lumMod val="20000"/>
              <a:lumOff val="80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a:t>
            </a:r>
            <a:endParaRPr lang="en-IN" b="1">
              <a:solidFill>
                <a:srgbClr val="FF0000"/>
              </a:solidFill>
            </a:endParaRPr>
          </a:p>
        </xdr:txBody>
      </xdr:sp>
      <xdr:sp macro="" textlink="">
        <xdr:nvSpPr>
          <xdr:cNvPr id="75" name="TextBox 22"/>
          <xdr:cNvSpPr txBox="1"/>
        </xdr:nvSpPr>
        <xdr:spPr>
          <a:xfrm>
            <a:off x="2390775" y="110394749"/>
            <a:ext cx="314126" cy="379111"/>
          </a:xfrm>
          <a:prstGeom prst="rect">
            <a:avLst/>
          </a:prstGeom>
          <a:solidFill>
            <a:schemeClr val="accent3">
              <a:lumMod val="20000"/>
              <a:lumOff val="80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endParaRPr lang="en-IN" b="1">
              <a:solidFill>
                <a:srgbClr val="FF0000"/>
              </a:solidFill>
            </a:endParaRPr>
          </a:p>
        </xdr:txBody>
      </xdr:sp>
      <xdr:sp macro="" textlink="">
        <xdr:nvSpPr>
          <xdr:cNvPr id="76" name="TextBox 22"/>
          <xdr:cNvSpPr txBox="1"/>
        </xdr:nvSpPr>
        <xdr:spPr>
          <a:xfrm>
            <a:off x="5915025" y="110985299"/>
            <a:ext cx="314126" cy="3791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a:t>
            </a:r>
            <a:endParaRPr lang="en-IN" b="1">
              <a:solidFill>
                <a:srgbClr val="FF0000"/>
              </a:solidFill>
            </a:endParaRPr>
          </a:p>
        </xdr:txBody>
      </xdr:sp>
      <xdr:sp macro="" textlink="">
        <xdr:nvSpPr>
          <xdr:cNvPr id="77" name="TextBox 22"/>
          <xdr:cNvSpPr txBox="1"/>
        </xdr:nvSpPr>
        <xdr:spPr>
          <a:xfrm>
            <a:off x="5038725" y="110385225"/>
            <a:ext cx="314126" cy="3791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a:t>
            </a:r>
            <a:endParaRPr lang="en-IN" b="1">
              <a:solidFill>
                <a:srgbClr val="FF0000"/>
              </a:solidFill>
            </a:endParaRPr>
          </a:p>
        </xdr:txBody>
      </xdr:sp>
      <xdr:sp macro="" textlink="">
        <xdr:nvSpPr>
          <xdr:cNvPr id="78" name="TextBox 22"/>
          <xdr:cNvSpPr txBox="1"/>
        </xdr:nvSpPr>
        <xdr:spPr>
          <a:xfrm>
            <a:off x="5581650" y="110747175"/>
            <a:ext cx="314126" cy="3791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endParaRPr lang="en-IN" b="1">
              <a:solidFill>
                <a:srgbClr val="FF0000"/>
              </a:solidFill>
            </a:endParaRPr>
          </a:p>
        </xdr:txBody>
      </xdr:sp>
      <xdr:sp macro="" textlink="">
        <xdr:nvSpPr>
          <xdr:cNvPr id="79" name="TextBox 22"/>
          <xdr:cNvSpPr txBox="1"/>
        </xdr:nvSpPr>
        <xdr:spPr>
          <a:xfrm>
            <a:off x="4629150" y="110737650"/>
            <a:ext cx="314126" cy="3791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E</a:t>
            </a:r>
            <a:endParaRPr lang="en-IN" b="1">
              <a:solidFill>
                <a:srgbClr val="FF0000"/>
              </a:solidFill>
            </a:endParaRPr>
          </a:p>
        </xdr:txBody>
      </xdr:sp>
      <xdr:sp macro="" textlink="">
        <xdr:nvSpPr>
          <xdr:cNvPr id="80" name="TextBox 22"/>
          <xdr:cNvSpPr txBox="1"/>
        </xdr:nvSpPr>
        <xdr:spPr>
          <a:xfrm>
            <a:off x="504825" y="112928400"/>
            <a:ext cx="314126" cy="3791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a:t>
            </a:r>
            <a:endParaRPr lang="en-IN" b="1">
              <a:solidFill>
                <a:srgbClr val="FF0000"/>
              </a:solidFill>
            </a:endParaRPr>
          </a:p>
        </xdr:txBody>
      </xdr:sp>
      <xdr:sp macro="" textlink="">
        <xdr:nvSpPr>
          <xdr:cNvPr id="81" name="TextBox 22"/>
          <xdr:cNvSpPr txBox="1"/>
        </xdr:nvSpPr>
        <xdr:spPr>
          <a:xfrm>
            <a:off x="2447925" y="112937925"/>
            <a:ext cx="314126" cy="3791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a:t>
            </a:r>
            <a:endParaRPr lang="en-IN" b="1">
              <a:solidFill>
                <a:srgbClr val="FF0000"/>
              </a:solidFill>
            </a:endParaRPr>
          </a:p>
        </xdr:txBody>
      </xdr:sp>
      <xdr:sp macro="" textlink="">
        <xdr:nvSpPr>
          <xdr:cNvPr id="82" name="TextBox 22"/>
          <xdr:cNvSpPr txBox="1"/>
        </xdr:nvSpPr>
        <xdr:spPr>
          <a:xfrm>
            <a:off x="5400674" y="112956975"/>
            <a:ext cx="771525" cy="3791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G &amp; H</a:t>
            </a:r>
            <a:endParaRPr lang="en-IN" b="1">
              <a:solidFill>
                <a:srgbClr val="FF0000"/>
              </a:solidFill>
            </a:endParaRPr>
          </a:p>
        </xdr:txBody>
      </xdr:sp>
      <xdr:cxnSp macro="">
        <xdr:nvCxnSpPr>
          <xdr:cNvPr id="5" name="Straight Connector 4"/>
          <xdr:cNvCxnSpPr/>
        </xdr:nvCxnSpPr>
        <xdr:spPr>
          <a:xfrm flipH="1" flipV="1">
            <a:off x="1031848" y="110387196"/>
            <a:ext cx="1263678" cy="63620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3" name="Straight Connector 82"/>
          <xdr:cNvCxnSpPr/>
        </xdr:nvCxnSpPr>
        <xdr:spPr>
          <a:xfrm flipH="1" flipV="1">
            <a:off x="552450" y="110394750"/>
            <a:ext cx="1733550" cy="771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4" name="Straight Connector 83"/>
          <xdr:cNvCxnSpPr/>
        </xdr:nvCxnSpPr>
        <xdr:spPr>
          <a:xfrm flipH="1" flipV="1">
            <a:off x="419100" y="110556675"/>
            <a:ext cx="1866900" cy="78105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5" name="Straight Connector 84"/>
          <xdr:cNvCxnSpPr/>
        </xdr:nvCxnSpPr>
        <xdr:spPr>
          <a:xfrm flipH="1" flipV="1">
            <a:off x="2609850" y="112966499"/>
            <a:ext cx="1666875" cy="89535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xdr:cNvCxnSpPr>
            <a:stCxn id="44" idx="3"/>
          </xdr:cNvCxnSpPr>
        </xdr:nvCxnSpPr>
        <xdr:spPr>
          <a:xfrm flipH="1" flipV="1">
            <a:off x="2390775" y="113347499"/>
            <a:ext cx="1874513" cy="86426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7" name="Straight Connector 86"/>
          <xdr:cNvCxnSpPr/>
        </xdr:nvCxnSpPr>
        <xdr:spPr>
          <a:xfrm flipH="1" flipV="1">
            <a:off x="2400300" y="113109375"/>
            <a:ext cx="1857375" cy="8763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88" name="TextBox 22"/>
          <xdr:cNvSpPr txBox="1"/>
        </xdr:nvSpPr>
        <xdr:spPr>
          <a:xfrm rot="1708103">
            <a:off x="1095376" y="110594775"/>
            <a:ext cx="1504950" cy="3791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a:solidFill>
                  <a:srgbClr val="FF0000"/>
                </a:solidFill>
              </a:rPr>
              <a:t>Hig</a:t>
            </a:r>
            <a:r>
              <a:rPr lang="en-IN" sz="1100" b="0" baseline="0">
                <a:solidFill>
                  <a:srgbClr val="FF0000"/>
                </a:solidFill>
              </a:rPr>
              <a:t>h Tension Line</a:t>
            </a:r>
            <a:endParaRPr lang="en-IN" sz="1100" b="0">
              <a:solidFill>
                <a:srgbClr val="FF0000"/>
              </a:solidFill>
            </a:endParaRPr>
          </a:p>
        </xdr:txBody>
      </xdr:sp>
      <xdr:sp macro="" textlink="">
        <xdr:nvSpPr>
          <xdr:cNvPr id="89" name="TextBox 22"/>
          <xdr:cNvSpPr txBox="1"/>
        </xdr:nvSpPr>
        <xdr:spPr>
          <a:xfrm rot="1708103">
            <a:off x="2758296" y="113192190"/>
            <a:ext cx="1412816" cy="3791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a:solidFill>
                  <a:srgbClr val="FF0000"/>
                </a:solidFill>
              </a:rPr>
              <a:t>Hig</a:t>
            </a:r>
            <a:r>
              <a:rPr lang="en-IN" sz="1100" b="0" baseline="0">
                <a:solidFill>
                  <a:srgbClr val="FF0000"/>
                </a:solidFill>
              </a:rPr>
              <a:t>h Tension Line</a:t>
            </a:r>
            <a:endParaRPr lang="en-IN" sz="1100" b="0">
              <a:solidFill>
                <a:srgbClr val="FF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maps/HTcSAYund1hnbayB6" TargetMode="External"/><Relationship Id="rId1" Type="http://schemas.openxmlformats.org/officeDocument/2006/relationships/hyperlink" Target="mailto:vsjc.apf@gmai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7"/>
  <sheetViews>
    <sheetView tabSelected="1" showWhiteSpace="0" view="pageBreakPreview" topLeftCell="A483" zoomScale="115" zoomScaleNormal="100" zoomScaleSheetLayoutView="115" zoomScalePageLayoutView="115" workbookViewId="0">
      <selection activeCell="H495" sqref="H495"/>
    </sheetView>
  </sheetViews>
  <sheetFormatPr defaultRowHeight="15" x14ac:dyDescent="0.25"/>
  <cols>
    <col min="1" max="1" width="18.28515625" style="72" customWidth="1"/>
    <col min="2" max="2" width="16.28515625" customWidth="1"/>
    <col min="3" max="3" width="13.140625" customWidth="1"/>
    <col min="4" max="4" width="17.28515625" customWidth="1"/>
    <col min="5" max="5" width="14.28515625" customWidth="1"/>
    <col min="6" max="6" width="18.85546875" customWidth="1"/>
    <col min="9" max="9" width="23.5703125" customWidth="1"/>
  </cols>
  <sheetData>
    <row r="1" spans="1:12" x14ac:dyDescent="0.25">
      <c r="A1" s="367" t="s">
        <v>0</v>
      </c>
      <c r="B1" s="368"/>
      <c r="C1" s="368"/>
      <c r="D1" s="368"/>
      <c r="E1" s="368"/>
      <c r="F1" s="369"/>
    </row>
    <row r="2" spans="1:12" ht="29.25" customHeight="1" x14ac:dyDescent="0.25">
      <c r="A2" s="133" t="s">
        <v>77</v>
      </c>
      <c r="B2" s="370" t="s">
        <v>365</v>
      </c>
      <c r="C2" s="370"/>
      <c r="D2" s="370"/>
      <c r="E2" s="52" t="s">
        <v>1</v>
      </c>
      <c r="F2" s="134" t="s">
        <v>258</v>
      </c>
      <c r="G2" s="76"/>
      <c r="H2" s="76"/>
      <c r="I2" s="76"/>
      <c r="J2" s="76"/>
      <c r="K2" s="76"/>
      <c r="L2" s="76"/>
    </row>
    <row r="3" spans="1:12" x14ac:dyDescent="0.25">
      <c r="A3" s="371" t="s">
        <v>78</v>
      </c>
      <c r="B3" s="372"/>
      <c r="C3" s="372"/>
      <c r="D3" s="372"/>
      <c r="E3" s="372"/>
      <c r="F3" s="373"/>
      <c r="G3" s="76"/>
      <c r="H3" s="76"/>
      <c r="I3" s="76"/>
      <c r="J3" s="76"/>
      <c r="K3" s="76"/>
      <c r="L3" s="76"/>
    </row>
    <row r="4" spans="1:12" x14ac:dyDescent="0.25">
      <c r="A4" s="374" t="s">
        <v>84</v>
      </c>
      <c r="B4" s="375"/>
      <c r="C4" s="382" t="s">
        <v>259</v>
      </c>
      <c r="D4" s="382"/>
      <c r="E4" s="382"/>
      <c r="F4" s="383"/>
      <c r="G4" s="76"/>
      <c r="H4" s="76"/>
      <c r="I4" s="76"/>
      <c r="J4" s="76"/>
      <c r="K4" s="76"/>
      <c r="L4" s="76"/>
    </row>
    <row r="5" spans="1:12" x14ac:dyDescent="0.25">
      <c r="A5" s="384" t="s">
        <v>79</v>
      </c>
      <c r="B5" s="385"/>
      <c r="C5" s="382" t="s">
        <v>260</v>
      </c>
      <c r="D5" s="382"/>
      <c r="E5" s="382"/>
      <c r="F5" s="383"/>
      <c r="G5" s="76"/>
      <c r="H5" s="76"/>
      <c r="I5" s="76"/>
      <c r="J5" s="76"/>
      <c r="K5" s="76"/>
      <c r="L5" s="76"/>
    </row>
    <row r="6" spans="1:12" x14ac:dyDescent="0.25">
      <c r="A6" s="386" t="s">
        <v>80</v>
      </c>
      <c r="B6" s="387"/>
      <c r="C6" s="388" t="s">
        <v>261</v>
      </c>
      <c r="D6" s="382"/>
      <c r="E6" s="382"/>
      <c r="F6" s="383"/>
      <c r="G6" s="76"/>
      <c r="H6" s="76"/>
      <c r="I6" s="76"/>
      <c r="J6" s="76"/>
      <c r="K6" s="76"/>
      <c r="L6" s="76"/>
    </row>
    <row r="7" spans="1:12" x14ac:dyDescent="0.25">
      <c r="A7" s="386" t="s">
        <v>83</v>
      </c>
      <c r="B7" s="387"/>
      <c r="C7" s="382" t="s">
        <v>262</v>
      </c>
      <c r="D7" s="382"/>
      <c r="E7" s="382"/>
      <c r="F7" s="383"/>
      <c r="G7" s="76"/>
      <c r="H7" s="76"/>
      <c r="I7" s="76"/>
      <c r="J7" s="76"/>
      <c r="K7" s="76"/>
      <c r="L7" s="76"/>
    </row>
    <row r="8" spans="1:12" x14ac:dyDescent="0.25">
      <c r="A8" s="386" t="s">
        <v>81</v>
      </c>
      <c r="B8" s="387"/>
      <c r="C8" s="382"/>
      <c r="D8" s="382"/>
      <c r="E8" s="382"/>
      <c r="F8" s="383"/>
      <c r="G8" s="76"/>
      <c r="H8" s="76"/>
      <c r="I8" s="76"/>
      <c r="J8" s="76"/>
      <c r="K8" s="76"/>
      <c r="L8" s="76"/>
    </row>
    <row r="9" spans="1:12" ht="24" customHeight="1" x14ac:dyDescent="0.25">
      <c r="A9" s="386" t="s">
        <v>82</v>
      </c>
      <c r="B9" s="387"/>
      <c r="C9" s="397" t="s">
        <v>380</v>
      </c>
      <c r="D9" s="397"/>
      <c r="E9" s="397"/>
      <c r="F9" s="398"/>
      <c r="G9" s="76"/>
      <c r="H9" s="76"/>
      <c r="I9" s="76"/>
      <c r="J9" s="76"/>
      <c r="K9" s="76"/>
      <c r="L9" s="76"/>
    </row>
    <row r="10" spans="1:12" x14ac:dyDescent="0.25">
      <c r="A10" s="371" t="s">
        <v>85</v>
      </c>
      <c r="B10" s="372"/>
      <c r="C10" s="372"/>
      <c r="D10" s="372"/>
      <c r="E10" s="372"/>
      <c r="F10" s="373"/>
      <c r="G10" s="76"/>
      <c r="H10" s="76"/>
      <c r="I10" s="76"/>
      <c r="J10" s="76"/>
      <c r="K10" s="76"/>
      <c r="L10" s="76"/>
    </row>
    <row r="11" spans="1:12" ht="24" x14ac:dyDescent="0.25">
      <c r="A11" s="135" t="s">
        <v>89</v>
      </c>
      <c r="B11" s="81">
        <v>45874</v>
      </c>
      <c r="C11" s="97" t="s">
        <v>103</v>
      </c>
      <c r="D11" s="103" t="s">
        <v>382</v>
      </c>
      <c r="E11" s="97" t="s">
        <v>104</v>
      </c>
      <c r="F11" s="136" t="s">
        <v>263</v>
      </c>
      <c r="G11" s="76"/>
      <c r="H11" s="76"/>
      <c r="I11" s="100"/>
      <c r="J11" s="100"/>
      <c r="K11" s="100"/>
      <c r="L11" s="100"/>
    </row>
    <row r="12" spans="1:12" ht="15" customHeight="1" x14ac:dyDescent="0.25">
      <c r="A12" s="135" t="s">
        <v>90</v>
      </c>
      <c r="B12" s="81">
        <v>45876</v>
      </c>
      <c r="C12" s="387" t="s">
        <v>105</v>
      </c>
      <c r="D12" s="387"/>
      <c r="E12" s="392" t="s">
        <v>316</v>
      </c>
      <c r="F12" s="393"/>
      <c r="G12" s="76"/>
      <c r="H12" s="76"/>
      <c r="I12" s="415"/>
      <c r="J12" s="415"/>
      <c r="K12" s="100"/>
      <c r="L12" s="100"/>
    </row>
    <row r="13" spans="1:12" ht="15" customHeight="1" x14ac:dyDescent="0.25">
      <c r="A13" s="135" t="s">
        <v>91</v>
      </c>
      <c r="B13" s="96" t="str">
        <f ca="1">TEXT(TODAY(),"DD/MM/YYYY")</f>
        <v>12/08/2025</v>
      </c>
      <c r="C13" s="387" t="s">
        <v>106</v>
      </c>
      <c r="D13" s="387"/>
      <c r="E13" s="382" t="s">
        <v>383</v>
      </c>
      <c r="F13" s="383"/>
      <c r="G13" s="76"/>
      <c r="H13" s="76"/>
      <c r="I13" s="415"/>
      <c r="J13" s="415"/>
      <c r="K13" s="100"/>
      <c r="L13" s="100"/>
    </row>
    <row r="14" spans="1:12" x14ac:dyDescent="0.25">
      <c r="A14" s="389" t="s">
        <v>86</v>
      </c>
      <c r="B14" s="390"/>
      <c r="C14" s="390"/>
      <c r="D14" s="390"/>
      <c r="E14" s="390"/>
      <c r="F14" s="391"/>
      <c r="G14" s="76"/>
      <c r="H14" s="76"/>
      <c r="I14" s="76"/>
      <c r="J14" s="76"/>
      <c r="K14" s="76"/>
      <c r="L14" s="76"/>
    </row>
    <row r="15" spans="1:12" x14ac:dyDescent="0.25">
      <c r="A15" s="282" t="s">
        <v>87</v>
      </c>
      <c r="B15" s="283"/>
      <c r="C15" s="172" t="s">
        <v>264</v>
      </c>
      <c r="D15" s="172"/>
      <c r="E15" s="172"/>
      <c r="F15" s="173"/>
      <c r="G15" s="76"/>
      <c r="H15" s="76"/>
      <c r="I15" s="76"/>
      <c r="J15" s="76"/>
      <c r="K15" s="76"/>
      <c r="L15" s="76"/>
    </row>
    <row r="16" spans="1:12" x14ac:dyDescent="0.25">
      <c r="A16" s="389" t="s">
        <v>88</v>
      </c>
      <c r="B16" s="390"/>
      <c r="C16" s="390"/>
      <c r="D16" s="390"/>
      <c r="E16" s="390"/>
      <c r="F16" s="391"/>
      <c r="G16" s="76"/>
      <c r="H16" s="76"/>
      <c r="I16" s="76"/>
      <c r="J16" s="76"/>
      <c r="K16" s="76"/>
      <c r="L16" s="76"/>
    </row>
    <row r="17" spans="1:12" x14ac:dyDescent="0.25">
      <c r="A17" s="133" t="s">
        <v>77</v>
      </c>
      <c r="B17" s="176" t="str">
        <f>B2</f>
        <v>Imperial Splendora A to E, G &amp; H wing</v>
      </c>
      <c r="C17" s="176"/>
      <c r="D17" s="176"/>
      <c r="E17" s="176"/>
      <c r="F17" s="177"/>
      <c r="G17" s="76"/>
      <c r="H17" s="76"/>
      <c r="I17" s="76"/>
      <c r="J17" s="76"/>
      <c r="K17" s="76"/>
      <c r="L17" s="76"/>
    </row>
    <row r="18" spans="1:12" x14ac:dyDescent="0.25">
      <c r="A18" s="133" t="s">
        <v>341</v>
      </c>
      <c r="B18" s="281" t="s">
        <v>340</v>
      </c>
      <c r="C18" s="176"/>
      <c r="D18" s="176"/>
      <c r="E18" s="176"/>
      <c r="F18" s="177"/>
      <c r="G18" s="76"/>
      <c r="H18" s="76"/>
      <c r="I18" s="76"/>
      <c r="J18" s="76"/>
      <c r="K18" s="76"/>
      <c r="L18" s="76"/>
    </row>
    <row r="19" spans="1:12" x14ac:dyDescent="0.25">
      <c r="A19" s="133" t="s">
        <v>92</v>
      </c>
      <c r="B19" s="172" t="s">
        <v>279</v>
      </c>
      <c r="C19" s="172"/>
      <c r="D19" s="52" t="s">
        <v>342</v>
      </c>
      <c r="E19" s="189" t="s">
        <v>343</v>
      </c>
      <c r="F19" s="190"/>
      <c r="G19" s="76"/>
      <c r="H19" s="76"/>
      <c r="I19" s="76"/>
      <c r="J19" s="78"/>
      <c r="K19" s="76"/>
      <c r="L19" s="76"/>
    </row>
    <row r="20" spans="1:12" x14ac:dyDescent="0.25">
      <c r="A20" s="133" t="s">
        <v>93</v>
      </c>
      <c r="B20" s="172" t="s">
        <v>265</v>
      </c>
      <c r="C20" s="172"/>
      <c r="D20" s="52" t="s">
        <v>98</v>
      </c>
      <c r="E20" s="172" t="s">
        <v>271</v>
      </c>
      <c r="F20" s="173"/>
      <c r="G20" s="76"/>
      <c r="H20" s="76"/>
      <c r="I20" s="76"/>
      <c r="J20" s="78"/>
      <c r="K20" s="76"/>
      <c r="L20" s="76"/>
    </row>
    <row r="21" spans="1:12" x14ac:dyDescent="0.25">
      <c r="A21" s="133" t="s">
        <v>94</v>
      </c>
      <c r="B21" s="172" t="s">
        <v>266</v>
      </c>
      <c r="C21" s="172"/>
      <c r="D21" s="52" t="s">
        <v>99</v>
      </c>
      <c r="E21" s="172" t="s">
        <v>267</v>
      </c>
      <c r="F21" s="173"/>
      <c r="G21" s="76"/>
      <c r="H21" s="76"/>
      <c r="I21" s="76"/>
      <c r="J21" s="78"/>
      <c r="K21" s="76"/>
      <c r="L21" s="76"/>
    </row>
    <row r="22" spans="1:12" x14ac:dyDescent="0.25">
      <c r="A22" s="133" t="s">
        <v>95</v>
      </c>
      <c r="B22" s="172" t="s">
        <v>269</v>
      </c>
      <c r="C22" s="172"/>
      <c r="D22" s="52" t="s">
        <v>100</v>
      </c>
      <c r="E22" s="172" t="s">
        <v>268</v>
      </c>
      <c r="F22" s="173"/>
      <c r="G22" s="76"/>
      <c r="H22" s="76"/>
      <c r="I22" s="76"/>
      <c r="J22" s="78"/>
      <c r="K22" s="76"/>
      <c r="L22" s="76"/>
    </row>
    <row r="23" spans="1:12" ht="15" customHeight="1" x14ac:dyDescent="0.25">
      <c r="A23" s="133" t="s">
        <v>96</v>
      </c>
      <c r="B23" s="172">
        <v>401208</v>
      </c>
      <c r="C23" s="172"/>
      <c r="D23" s="52" t="s">
        <v>101</v>
      </c>
      <c r="E23" s="172" t="s">
        <v>270</v>
      </c>
      <c r="F23" s="173"/>
      <c r="G23" s="76"/>
      <c r="H23" s="76"/>
      <c r="I23" s="76"/>
      <c r="J23" s="78"/>
      <c r="K23" s="76"/>
      <c r="L23" s="76"/>
    </row>
    <row r="24" spans="1:12" x14ac:dyDescent="0.25">
      <c r="A24" s="133" t="s">
        <v>367</v>
      </c>
      <c r="B24" s="155" t="s">
        <v>379</v>
      </c>
      <c r="C24" s="156"/>
      <c r="D24" s="156"/>
      <c r="E24" s="156"/>
      <c r="F24" s="157"/>
      <c r="G24" s="76"/>
      <c r="H24" s="76"/>
      <c r="I24" s="76"/>
      <c r="J24" s="78"/>
      <c r="K24" s="76"/>
      <c r="L24" s="76"/>
    </row>
    <row r="25" spans="1:12" ht="51" customHeight="1" x14ac:dyDescent="0.25">
      <c r="A25" s="133" t="s">
        <v>97</v>
      </c>
      <c r="B25" s="400" t="s">
        <v>272</v>
      </c>
      <c r="C25" s="400"/>
      <c r="D25" s="52" t="s">
        <v>102</v>
      </c>
      <c r="E25" s="172" t="s">
        <v>273</v>
      </c>
      <c r="F25" s="173"/>
      <c r="G25" s="76"/>
      <c r="H25" s="76"/>
      <c r="I25" s="76"/>
      <c r="J25" s="78"/>
      <c r="K25" s="76"/>
      <c r="L25" s="76"/>
    </row>
    <row r="26" spans="1:12" x14ac:dyDescent="0.25">
      <c r="A26" s="389" t="s">
        <v>114</v>
      </c>
      <c r="B26" s="390"/>
      <c r="C26" s="390"/>
      <c r="D26" s="390"/>
      <c r="E26" s="390"/>
      <c r="F26" s="391"/>
      <c r="G26" s="76"/>
      <c r="H26" s="76"/>
      <c r="I26" s="76"/>
      <c r="J26" s="76"/>
      <c r="K26" s="76"/>
      <c r="L26" s="76"/>
    </row>
    <row r="27" spans="1:12" x14ac:dyDescent="0.25">
      <c r="A27" s="170"/>
      <c r="B27" s="171"/>
      <c r="C27" s="94" t="s">
        <v>107</v>
      </c>
      <c r="D27" s="94" t="s">
        <v>108</v>
      </c>
      <c r="E27" s="94" t="s">
        <v>109</v>
      </c>
      <c r="F27" s="139" t="s">
        <v>110</v>
      </c>
      <c r="G27" s="76"/>
      <c r="H27" s="76"/>
      <c r="I27" s="76"/>
      <c r="J27" s="76"/>
      <c r="K27" s="76"/>
      <c r="L27" s="76"/>
    </row>
    <row r="28" spans="1:12" ht="30" customHeight="1" x14ac:dyDescent="0.25">
      <c r="A28" s="291" t="s">
        <v>111</v>
      </c>
      <c r="B28" s="272"/>
      <c r="C28" s="98" t="s">
        <v>263</v>
      </c>
      <c r="D28" s="98" t="s">
        <v>263</v>
      </c>
      <c r="E28" s="98" t="s">
        <v>263</v>
      </c>
      <c r="F28" s="137" t="s">
        <v>263</v>
      </c>
      <c r="G28" s="191"/>
      <c r="H28" s="191"/>
      <c r="I28" s="76"/>
      <c r="J28" s="76"/>
      <c r="K28" s="76"/>
      <c r="L28" s="76"/>
    </row>
    <row r="29" spans="1:12" ht="30" customHeight="1" x14ac:dyDescent="0.25">
      <c r="A29" s="291" t="s">
        <v>112</v>
      </c>
      <c r="B29" s="272"/>
      <c r="C29" s="98" t="s">
        <v>263</v>
      </c>
      <c r="D29" s="98" t="s">
        <v>263</v>
      </c>
      <c r="E29" s="98" t="s">
        <v>263</v>
      </c>
      <c r="F29" s="137" t="s">
        <v>263</v>
      </c>
      <c r="G29" s="191"/>
      <c r="H29" s="191"/>
      <c r="I29" s="76"/>
      <c r="J29" s="76"/>
      <c r="K29" s="76"/>
      <c r="L29" s="76"/>
    </row>
    <row r="30" spans="1:12" ht="62.25" customHeight="1" x14ac:dyDescent="0.25">
      <c r="A30" s="291" t="s">
        <v>113</v>
      </c>
      <c r="B30" s="272"/>
      <c r="C30" s="98" t="s">
        <v>274</v>
      </c>
      <c r="D30" s="98" t="s">
        <v>275</v>
      </c>
      <c r="E30" s="99" t="s">
        <v>276</v>
      </c>
      <c r="F30" s="137" t="s">
        <v>277</v>
      </c>
      <c r="G30" s="191"/>
      <c r="H30" s="191"/>
      <c r="I30" s="76"/>
      <c r="J30" s="76"/>
      <c r="K30" s="76"/>
      <c r="L30" s="76"/>
    </row>
    <row r="31" spans="1:12" x14ac:dyDescent="0.25">
      <c r="A31" s="401" t="s">
        <v>115</v>
      </c>
      <c r="B31" s="402"/>
      <c r="C31" s="402"/>
      <c r="D31" s="402"/>
      <c r="E31" s="402"/>
      <c r="F31" s="403"/>
      <c r="G31" s="191"/>
      <c r="H31" s="191"/>
      <c r="I31" s="76"/>
      <c r="J31" s="76"/>
      <c r="K31" s="76"/>
      <c r="L31" s="76"/>
    </row>
    <row r="32" spans="1:12" x14ac:dyDescent="0.25">
      <c r="A32" s="282" t="s">
        <v>116</v>
      </c>
      <c r="B32" s="283"/>
      <c r="C32" s="295" t="s">
        <v>278</v>
      </c>
      <c r="D32" s="295"/>
      <c r="E32" s="295"/>
      <c r="F32" s="319"/>
      <c r="G32" s="191"/>
      <c r="H32" s="191"/>
      <c r="I32" s="76"/>
      <c r="J32" s="76"/>
      <c r="K32" s="76"/>
      <c r="L32" s="76"/>
    </row>
    <row r="33" spans="1:12" ht="15" customHeight="1" x14ac:dyDescent="0.25">
      <c r="A33" s="282" t="s">
        <v>117</v>
      </c>
      <c r="B33" s="283"/>
      <c r="C33" s="295" t="s">
        <v>278</v>
      </c>
      <c r="D33" s="295"/>
      <c r="E33" s="295"/>
      <c r="F33" s="319"/>
      <c r="G33" s="191"/>
      <c r="H33" s="191"/>
      <c r="I33" s="76"/>
      <c r="J33" s="76"/>
      <c r="K33" s="76"/>
      <c r="L33" s="76"/>
    </row>
    <row r="34" spans="1:12" ht="15" customHeight="1" x14ac:dyDescent="0.25">
      <c r="A34" s="282" t="s">
        <v>118</v>
      </c>
      <c r="B34" s="283"/>
      <c r="C34" s="295" t="s">
        <v>279</v>
      </c>
      <c r="D34" s="295"/>
      <c r="E34" s="295"/>
      <c r="F34" s="319"/>
      <c r="G34" s="191"/>
      <c r="H34" s="191"/>
      <c r="I34" s="76"/>
      <c r="J34" s="76"/>
      <c r="K34" s="76"/>
      <c r="L34" s="76"/>
    </row>
    <row r="35" spans="1:12" x14ac:dyDescent="0.25">
      <c r="A35" s="282" t="s">
        <v>119</v>
      </c>
      <c r="B35" s="283"/>
      <c r="C35" s="295" t="s">
        <v>344</v>
      </c>
      <c r="D35" s="295"/>
      <c r="E35" s="295"/>
      <c r="F35" s="319"/>
      <c r="G35" s="191"/>
      <c r="H35" s="191"/>
      <c r="I35" s="76"/>
      <c r="J35" s="76"/>
      <c r="K35" s="76"/>
      <c r="L35" s="76"/>
    </row>
    <row r="36" spans="1:12" ht="15" customHeight="1" x14ac:dyDescent="0.25">
      <c r="A36" s="282" t="s">
        <v>120</v>
      </c>
      <c r="B36" s="283"/>
      <c r="C36" s="295" t="s">
        <v>345</v>
      </c>
      <c r="D36" s="295"/>
      <c r="E36" s="295"/>
      <c r="F36" s="319"/>
      <c r="G36" s="191"/>
      <c r="H36" s="191"/>
      <c r="I36" s="76"/>
      <c r="J36" s="76"/>
      <c r="K36" s="76"/>
      <c r="L36" s="76"/>
    </row>
    <row r="37" spans="1:12" x14ac:dyDescent="0.25">
      <c r="A37" s="282" t="s">
        <v>121</v>
      </c>
      <c r="B37" s="283"/>
      <c r="C37" s="394">
        <f ca="1">E197</f>
        <v>0.87516233766233764</v>
      </c>
      <c r="D37" s="395"/>
      <c r="E37" s="395"/>
      <c r="F37" s="396"/>
      <c r="G37" s="191"/>
      <c r="H37" s="191"/>
      <c r="I37" s="76"/>
      <c r="J37" s="76"/>
      <c r="K37" s="76"/>
      <c r="L37" s="76"/>
    </row>
    <row r="38" spans="1:12" ht="15" customHeight="1" x14ac:dyDescent="0.25">
      <c r="A38" s="282" t="s">
        <v>122</v>
      </c>
      <c r="B38" s="283"/>
      <c r="C38" s="295" t="s">
        <v>346</v>
      </c>
      <c r="D38" s="295"/>
      <c r="E38" s="295"/>
      <c r="F38" s="319"/>
      <c r="G38" s="191"/>
      <c r="H38" s="191"/>
      <c r="I38" s="76"/>
      <c r="J38" s="76"/>
      <c r="K38" s="76"/>
      <c r="L38" s="76"/>
    </row>
    <row r="39" spans="1:12" x14ac:dyDescent="0.25">
      <c r="A39" s="282" t="s">
        <v>123</v>
      </c>
      <c r="B39" s="283"/>
      <c r="C39" s="295" t="s">
        <v>346</v>
      </c>
      <c r="D39" s="295"/>
      <c r="E39" s="295"/>
      <c r="F39" s="319"/>
      <c r="G39" s="191"/>
      <c r="H39" s="191"/>
      <c r="I39" s="76"/>
      <c r="J39" s="76"/>
      <c r="K39" s="76"/>
      <c r="L39" s="76"/>
    </row>
    <row r="40" spans="1:12" ht="15" customHeight="1" x14ac:dyDescent="0.25">
      <c r="A40" s="282" t="s">
        <v>124</v>
      </c>
      <c r="B40" s="283"/>
      <c r="C40" s="295" t="s">
        <v>347</v>
      </c>
      <c r="D40" s="295"/>
      <c r="E40" s="295"/>
      <c r="F40" s="319"/>
      <c r="G40" s="191"/>
      <c r="H40" s="191"/>
      <c r="I40" s="76"/>
      <c r="J40" s="76"/>
      <c r="K40" s="76"/>
      <c r="L40" s="76"/>
    </row>
    <row r="41" spans="1:12" x14ac:dyDescent="0.25">
      <c r="A41" s="379" t="s">
        <v>126</v>
      </c>
      <c r="B41" s="380"/>
      <c r="C41" s="380"/>
      <c r="D41" s="380"/>
      <c r="E41" s="380"/>
      <c r="F41" s="381"/>
      <c r="G41" s="191"/>
      <c r="H41" s="191"/>
      <c r="I41" s="76"/>
      <c r="J41" s="76"/>
      <c r="K41" s="76"/>
      <c r="L41" s="76"/>
    </row>
    <row r="42" spans="1:12" x14ac:dyDescent="0.25">
      <c r="A42" s="170" t="s">
        <v>127</v>
      </c>
      <c r="B42" s="171"/>
      <c r="C42" s="283" t="s">
        <v>125</v>
      </c>
      <c r="D42" s="283"/>
      <c r="E42" s="283"/>
      <c r="F42" s="399"/>
      <c r="G42" s="191"/>
      <c r="H42" s="191"/>
      <c r="I42" s="76"/>
      <c r="J42" s="76"/>
      <c r="K42" s="76"/>
      <c r="L42" s="76"/>
    </row>
    <row r="43" spans="1:12" x14ac:dyDescent="0.25">
      <c r="A43" s="170" t="s">
        <v>128</v>
      </c>
      <c r="B43" s="171"/>
      <c r="C43" s="172">
        <v>466175</v>
      </c>
      <c r="D43" s="172"/>
      <c r="E43" s="172"/>
      <c r="F43" s="173"/>
      <c r="G43" s="191"/>
      <c r="H43" s="191"/>
      <c r="I43" s="76"/>
      <c r="J43" s="76"/>
      <c r="K43" s="76"/>
      <c r="L43" s="76"/>
    </row>
    <row r="44" spans="1:12" x14ac:dyDescent="0.25">
      <c r="A44" s="170" t="s">
        <v>357</v>
      </c>
      <c r="B44" s="171"/>
      <c r="C44" s="172">
        <v>280497.90000000002</v>
      </c>
      <c r="D44" s="172"/>
      <c r="E44" s="172"/>
      <c r="F44" s="173"/>
      <c r="G44" s="191"/>
      <c r="H44" s="191"/>
      <c r="I44" s="76"/>
      <c r="J44" s="76"/>
      <c r="K44" s="76"/>
      <c r="L44" s="76"/>
    </row>
    <row r="45" spans="1:12" ht="15" customHeight="1" x14ac:dyDescent="0.25">
      <c r="A45" s="170" t="s">
        <v>129</v>
      </c>
      <c r="B45" s="171"/>
      <c r="C45" s="172">
        <v>1021251.42</v>
      </c>
      <c r="D45" s="172"/>
      <c r="E45" s="172"/>
      <c r="F45" s="173"/>
      <c r="G45" s="191">
        <f>C45/C44</f>
        <v>3.6408522844556055</v>
      </c>
      <c r="H45" s="191"/>
      <c r="I45" s="76"/>
      <c r="J45" s="76"/>
      <c r="K45" s="76"/>
      <c r="L45" s="76"/>
    </row>
    <row r="46" spans="1:12" ht="24" customHeight="1" x14ac:dyDescent="0.25">
      <c r="A46" s="170" t="s">
        <v>374</v>
      </c>
      <c r="B46" s="171"/>
      <c r="C46" s="172">
        <f>8317.57+8317.57+4202.4+7538.65+5210.93+8576.32+13929.96</f>
        <v>56093.4</v>
      </c>
      <c r="D46" s="172"/>
      <c r="E46" s="172"/>
      <c r="F46" s="173"/>
      <c r="G46" s="191">
        <f>466175-112931.84</f>
        <v>353243.16000000003</v>
      </c>
      <c r="H46" s="191"/>
      <c r="I46" s="76"/>
      <c r="J46" s="76"/>
      <c r="K46" s="76"/>
      <c r="L46" s="76"/>
    </row>
    <row r="47" spans="1:12" ht="24.75" customHeight="1" x14ac:dyDescent="0.25">
      <c r="A47" s="170" t="s">
        <v>375</v>
      </c>
      <c r="B47" s="171"/>
      <c r="C47" s="172">
        <f>427.06+427.06+472.31+225.19</f>
        <v>1551.6200000000001</v>
      </c>
      <c r="D47" s="172"/>
      <c r="E47" s="172"/>
      <c r="F47" s="173"/>
      <c r="G47" s="191"/>
      <c r="H47" s="191"/>
      <c r="I47" s="76"/>
      <c r="J47" s="76"/>
      <c r="K47" s="76"/>
      <c r="L47" s="76"/>
    </row>
    <row r="48" spans="1:12" x14ac:dyDescent="0.25">
      <c r="A48" s="170" t="s">
        <v>130</v>
      </c>
      <c r="B48" s="171"/>
      <c r="C48" s="172">
        <v>70997.710000000006</v>
      </c>
      <c r="D48" s="172"/>
      <c r="E48" s="172"/>
      <c r="F48" s="173"/>
      <c r="G48" s="191"/>
      <c r="H48" s="191"/>
      <c r="I48" s="76"/>
      <c r="J48" s="76"/>
      <c r="K48" s="76"/>
      <c r="L48" s="76"/>
    </row>
    <row r="49" spans="1:12" ht="15" customHeight="1" x14ac:dyDescent="0.25">
      <c r="A49" s="170" t="s">
        <v>131</v>
      </c>
      <c r="B49" s="171"/>
      <c r="C49" s="172">
        <v>112931.84</v>
      </c>
      <c r="D49" s="172"/>
      <c r="E49" s="172"/>
      <c r="F49" s="173"/>
      <c r="G49" s="191"/>
      <c r="H49" s="191"/>
      <c r="I49" s="76"/>
      <c r="J49" s="76"/>
      <c r="K49" s="76"/>
      <c r="L49" s="76"/>
    </row>
    <row r="50" spans="1:12" ht="15" hidden="1" customHeight="1" x14ac:dyDescent="0.25">
      <c r="A50" s="170" t="s">
        <v>132</v>
      </c>
      <c r="B50" s="171"/>
      <c r="C50" s="172"/>
      <c r="D50" s="172"/>
      <c r="E50" s="172"/>
      <c r="F50" s="173"/>
      <c r="G50" s="191"/>
      <c r="H50" s="191"/>
      <c r="I50" s="76"/>
      <c r="J50" s="76"/>
      <c r="K50" s="76"/>
      <c r="L50" s="76"/>
    </row>
    <row r="51" spans="1:12" x14ac:dyDescent="0.25">
      <c r="A51" s="320" t="s">
        <v>133</v>
      </c>
      <c r="B51" s="321"/>
      <c r="C51" s="321"/>
      <c r="D51" s="321"/>
      <c r="E51" s="321"/>
      <c r="F51" s="322"/>
      <c r="G51" s="191"/>
      <c r="H51" s="191"/>
      <c r="I51" s="76"/>
      <c r="J51" s="76"/>
      <c r="K51" s="76"/>
      <c r="L51" s="76"/>
    </row>
    <row r="52" spans="1:12" x14ac:dyDescent="0.25">
      <c r="A52" s="282" t="s">
        <v>134</v>
      </c>
      <c r="B52" s="283"/>
      <c r="C52" s="172">
        <v>1</v>
      </c>
      <c r="D52" s="172"/>
      <c r="E52" s="172"/>
      <c r="F52" s="173"/>
      <c r="G52" s="191"/>
      <c r="H52" s="191"/>
      <c r="I52" s="76"/>
      <c r="J52" s="76"/>
      <c r="K52" s="76"/>
      <c r="L52" s="76"/>
    </row>
    <row r="53" spans="1:12" x14ac:dyDescent="0.25">
      <c r="A53" s="282" t="s">
        <v>135</v>
      </c>
      <c r="B53" s="283"/>
      <c r="C53" s="168">
        <f>17262.92/C44</f>
        <v>6.1543847565347178E-2</v>
      </c>
      <c r="D53" s="168"/>
      <c r="E53" s="168"/>
      <c r="F53" s="169"/>
      <c r="G53" s="191"/>
      <c r="H53" s="191"/>
      <c r="I53" s="76"/>
      <c r="J53" s="76"/>
      <c r="K53" s="76"/>
      <c r="L53" s="76"/>
    </row>
    <row r="54" spans="1:12" x14ac:dyDescent="0.25">
      <c r="A54" s="282" t="s">
        <v>2</v>
      </c>
      <c r="B54" s="283"/>
      <c r="C54" s="172">
        <v>0</v>
      </c>
      <c r="D54" s="172"/>
      <c r="E54" s="172"/>
      <c r="F54" s="173"/>
      <c r="G54" s="191"/>
      <c r="H54" s="191"/>
      <c r="I54" s="76"/>
      <c r="J54" s="76"/>
      <c r="K54" s="76"/>
      <c r="L54" s="76"/>
    </row>
    <row r="55" spans="1:12" x14ac:dyDescent="0.25">
      <c r="A55" s="282" t="s">
        <v>136</v>
      </c>
      <c r="B55" s="283"/>
      <c r="C55" s="172">
        <v>0</v>
      </c>
      <c r="D55" s="172"/>
      <c r="E55" s="172"/>
      <c r="F55" s="173"/>
      <c r="G55" s="191"/>
      <c r="H55" s="191"/>
      <c r="I55" s="76"/>
      <c r="J55" s="76"/>
      <c r="K55" s="76"/>
      <c r="L55" s="76"/>
    </row>
    <row r="56" spans="1:12" x14ac:dyDescent="0.25">
      <c r="A56" s="282" t="s">
        <v>376</v>
      </c>
      <c r="B56" s="283"/>
      <c r="C56" s="168">
        <f>400739.35/C44</f>
        <v>1.4286714802499412</v>
      </c>
      <c r="D56" s="168"/>
      <c r="E56" s="168"/>
      <c r="F56" s="169"/>
      <c r="G56" s="191"/>
      <c r="H56" s="191"/>
      <c r="I56" s="76"/>
      <c r="J56" s="76"/>
      <c r="K56" s="76"/>
      <c r="L56" s="76"/>
    </row>
    <row r="57" spans="1:12" x14ac:dyDescent="0.25">
      <c r="A57" s="282" t="s">
        <v>377</v>
      </c>
      <c r="B57" s="283"/>
      <c r="C57" s="168">
        <f>325170.18/C44</f>
        <v>1.1592606575664202</v>
      </c>
      <c r="D57" s="168"/>
      <c r="E57" s="168"/>
      <c r="F57" s="169"/>
      <c r="G57" s="191"/>
      <c r="H57" s="191"/>
      <c r="I57" s="76"/>
      <c r="J57" s="76"/>
      <c r="K57" s="76"/>
      <c r="L57" s="76"/>
    </row>
    <row r="58" spans="1:12" x14ac:dyDescent="0.25">
      <c r="A58" s="282" t="s">
        <v>137</v>
      </c>
      <c r="B58" s="283"/>
      <c r="C58" s="168">
        <f>SUM(C52:F57)</f>
        <v>3.6494759853817085</v>
      </c>
      <c r="D58" s="168"/>
      <c r="E58" s="168"/>
      <c r="F58" s="169"/>
      <c r="G58" s="191"/>
      <c r="H58" s="191"/>
      <c r="I58" s="76"/>
      <c r="J58" s="76"/>
      <c r="K58" s="76"/>
      <c r="L58" s="76"/>
    </row>
    <row r="59" spans="1:12" ht="26.25" customHeight="1" x14ac:dyDescent="0.25">
      <c r="A59" s="282" t="s">
        <v>138</v>
      </c>
      <c r="B59" s="283"/>
      <c r="C59" s="419"/>
      <c r="D59" s="419"/>
      <c r="E59" s="419"/>
      <c r="F59" s="420"/>
      <c r="G59" s="191"/>
      <c r="H59" s="191"/>
      <c r="I59" s="76"/>
      <c r="J59" s="76"/>
      <c r="K59" s="76"/>
      <c r="L59" s="76"/>
    </row>
    <row r="60" spans="1:12" x14ac:dyDescent="0.25">
      <c r="A60" s="188"/>
      <c r="B60" s="189"/>
      <c r="C60" s="189"/>
      <c r="D60" s="189"/>
      <c r="E60" s="189"/>
      <c r="F60" s="190"/>
      <c r="G60" s="76"/>
      <c r="H60" s="76"/>
      <c r="I60" s="76"/>
      <c r="J60" s="76"/>
      <c r="K60" s="76"/>
      <c r="L60" s="76"/>
    </row>
    <row r="61" spans="1:12" x14ac:dyDescent="0.25">
      <c r="A61" s="282" t="s">
        <v>139</v>
      </c>
      <c r="B61" s="283"/>
      <c r="C61" s="284" t="str">
        <f>D132</f>
        <v>Shops = 72,  
Flats = 882</v>
      </c>
      <c r="D61" s="284"/>
      <c r="E61" s="284"/>
      <c r="F61" s="285"/>
      <c r="G61" s="191"/>
      <c r="H61" s="191"/>
      <c r="I61" s="101"/>
      <c r="J61" s="101"/>
      <c r="K61" s="76"/>
      <c r="L61" s="76"/>
    </row>
    <row r="62" spans="1:12" x14ac:dyDescent="0.25">
      <c r="A62" s="282" t="s">
        <v>140</v>
      </c>
      <c r="B62" s="283"/>
      <c r="C62" s="284" t="s">
        <v>378</v>
      </c>
      <c r="D62" s="284"/>
      <c r="E62" s="284"/>
      <c r="F62" s="285"/>
      <c r="G62" s="191">
        <f>66+66+34+55+38+62+61</f>
        <v>382</v>
      </c>
      <c r="H62" s="191"/>
      <c r="I62" s="76"/>
      <c r="J62" s="76"/>
      <c r="K62" s="76"/>
      <c r="L62" s="76"/>
    </row>
    <row r="63" spans="1:12" x14ac:dyDescent="0.25">
      <c r="A63" s="282" t="s">
        <v>141</v>
      </c>
      <c r="B63" s="283"/>
      <c r="C63" s="284" t="s">
        <v>366</v>
      </c>
      <c r="D63" s="284"/>
      <c r="E63" s="284"/>
      <c r="F63" s="285"/>
      <c r="G63" s="191">
        <f>175+175+64+184+122+165+310</f>
        <v>1195</v>
      </c>
      <c r="H63" s="191"/>
      <c r="I63" s="76"/>
      <c r="J63" s="76"/>
      <c r="K63" s="76"/>
      <c r="L63" s="76"/>
    </row>
    <row r="64" spans="1:12" x14ac:dyDescent="0.25">
      <c r="A64" s="376" t="s">
        <v>142</v>
      </c>
      <c r="B64" s="377"/>
      <c r="C64" s="377"/>
      <c r="D64" s="377"/>
      <c r="E64" s="377"/>
      <c r="F64" s="378"/>
      <c r="G64" s="191"/>
      <c r="H64" s="191"/>
      <c r="I64" s="76"/>
      <c r="J64" s="76"/>
      <c r="K64" s="76"/>
      <c r="L64" s="76"/>
    </row>
    <row r="65" spans="1:13" ht="39" customHeight="1" x14ac:dyDescent="0.25">
      <c r="A65" s="138"/>
      <c r="B65" s="94" t="s">
        <v>143</v>
      </c>
      <c r="C65" s="94" t="s">
        <v>144</v>
      </c>
      <c r="D65" s="94" t="s">
        <v>149</v>
      </c>
      <c r="E65" s="94" t="s">
        <v>145</v>
      </c>
      <c r="F65" s="139" t="s">
        <v>148</v>
      </c>
      <c r="G65" s="77"/>
      <c r="H65" s="77"/>
      <c r="I65" s="77"/>
      <c r="J65" s="77"/>
      <c r="K65" s="77"/>
      <c r="L65" s="77"/>
      <c r="M65" s="87" t="str">
        <f t="shared" ref="M65" si="0">PROPER(G65)</f>
        <v/>
      </c>
    </row>
    <row r="66" spans="1:13" ht="65.25" customHeight="1" x14ac:dyDescent="0.25">
      <c r="A66" s="93" t="s">
        <v>146</v>
      </c>
      <c r="B66" s="99" t="s">
        <v>280</v>
      </c>
      <c r="C66" s="99" t="s">
        <v>282</v>
      </c>
      <c r="D66" s="98" t="s">
        <v>284</v>
      </c>
      <c r="E66" s="98" t="s">
        <v>286</v>
      </c>
      <c r="F66" s="140" t="s">
        <v>287</v>
      </c>
      <c r="G66" s="77"/>
      <c r="H66" s="76"/>
      <c r="I66" s="76"/>
      <c r="J66" s="76"/>
      <c r="K66" s="76"/>
      <c r="L66" s="76"/>
    </row>
    <row r="67" spans="1:13" ht="39" customHeight="1" x14ac:dyDescent="0.25">
      <c r="A67" s="93" t="s">
        <v>147</v>
      </c>
      <c r="B67" s="99" t="s">
        <v>281</v>
      </c>
      <c r="C67" s="99" t="s">
        <v>283</v>
      </c>
      <c r="D67" s="99" t="s">
        <v>285</v>
      </c>
      <c r="E67" s="99" t="s">
        <v>289</v>
      </c>
      <c r="F67" s="140" t="s">
        <v>288</v>
      </c>
      <c r="G67" s="77"/>
      <c r="H67" s="76"/>
      <c r="I67" s="76"/>
      <c r="J67" s="76"/>
      <c r="K67" s="76"/>
      <c r="L67" s="76"/>
    </row>
    <row r="68" spans="1:13" x14ac:dyDescent="0.25">
      <c r="A68" s="278" t="s">
        <v>150</v>
      </c>
      <c r="B68" s="279"/>
      <c r="C68" s="279"/>
      <c r="D68" s="279"/>
      <c r="E68" s="279"/>
      <c r="F68" s="280"/>
      <c r="G68" s="77"/>
      <c r="H68" s="76"/>
      <c r="I68" s="76"/>
      <c r="J68" s="76"/>
      <c r="K68" s="76"/>
      <c r="L68" s="76"/>
    </row>
    <row r="69" spans="1:13" ht="35.25" customHeight="1" x14ac:dyDescent="0.25">
      <c r="A69" s="91"/>
      <c r="B69" s="94" t="s">
        <v>151</v>
      </c>
      <c r="C69" s="94" t="s">
        <v>152</v>
      </c>
      <c r="D69" s="94" t="s">
        <v>153</v>
      </c>
      <c r="E69" s="94" t="s">
        <v>154</v>
      </c>
      <c r="F69" s="139" t="s">
        <v>155</v>
      </c>
      <c r="G69" s="77"/>
      <c r="H69" s="77"/>
      <c r="I69" s="77"/>
      <c r="J69" s="77"/>
      <c r="K69" s="77"/>
      <c r="L69" s="77"/>
    </row>
    <row r="70" spans="1:13" x14ac:dyDescent="0.25">
      <c r="A70" s="93" t="s">
        <v>156</v>
      </c>
      <c r="B70" s="86" t="s">
        <v>348</v>
      </c>
      <c r="C70" s="86" t="s">
        <v>348</v>
      </c>
      <c r="D70" s="86" t="s">
        <v>348</v>
      </c>
      <c r="E70" s="86" t="s">
        <v>348</v>
      </c>
      <c r="F70" s="141" t="s">
        <v>348</v>
      </c>
      <c r="G70" s="77"/>
      <c r="H70" s="77"/>
      <c r="I70" s="77"/>
      <c r="J70" s="77"/>
      <c r="K70" s="77"/>
      <c r="L70" s="77"/>
    </row>
    <row r="71" spans="1:13" ht="27.75" customHeight="1" x14ac:dyDescent="0.25">
      <c r="A71" s="91"/>
      <c r="B71" s="94" t="s">
        <v>157</v>
      </c>
      <c r="C71" s="94" t="s">
        <v>158</v>
      </c>
      <c r="D71" s="94" t="s">
        <v>159</v>
      </c>
      <c r="E71" s="94" t="s">
        <v>160</v>
      </c>
      <c r="F71" s="139" t="s">
        <v>161</v>
      </c>
      <c r="G71" s="77"/>
      <c r="H71" s="77"/>
      <c r="I71" s="77"/>
      <c r="J71" s="77"/>
      <c r="K71" s="77"/>
      <c r="L71" s="77"/>
    </row>
    <row r="72" spans="1:13" x14ac:dyDescent="0.25">
      <c r="A72" s="93" t="s">
        <v>156</v>
      </c>
      <c r="B72" s="86" t="s">
        <v>348</v>
      </c>
      <c r="C72" s="86" t="s">
        <v>348</v>
      </c>
      <c r="D72" s="86" t="s">
        <v>348</v>
      </c>
      <c r="E72" s="86" t="s">
        <v>348</v>
      </c>
      <c r="F72" s="141" t="s">
        <v>348</v>
      </c>
      <c r="G72" s="77"/>
      <c r="H72" s="77"/>
      <c r="I72" s="77"/>
      <c r="J72" s="77"/>
      <c r="K72" s="77"/>
      <c r="L72" s="77"/>
    </row>
    <row r="73" spans="1:13" hidden="1" x14ac:dyDescent="0.25">
      <c r="A73" s="133" t="s">
        <v>3</v>
      </c>
      <c r="B73" s="92"/>
      <c r="C73" s="92"/>
      <c r="D73" s="92"/>
      <c r="E73" s="92"/>
      <c r="F73" s="142"/>
      <c r="G73" s="77"/>
      <c r="H73" s="77"/>
      <c r="I73" s="77"/>
      <c r="J73" s="77"/>
      <c r="K73" s="77"/>
      <c r="L73" s="77"/>
    </row>
    <row r="74" spans="1:13" x14ac:dyDescent="0.25">
      <c r="A74" s="143"/>
      <c r="B74" s="94" t="s">
        <v>162</v>
      </c>
      <c r="C74" s="94" t="s">
        <v>163</v>
      </c>
      <c r="D74" s="94" t="s">
        <v>164</v>
      </c>
      <c r="E74" s="94" t="s">
        <v>165</v>
      </c>
      <c r="F74" s="139" t="s">
        <v>166</v>
      </c>
      <c r="G74" s="77"/>
      <c r="H74" s="77"/>
      <c r="I74" s="77"/>
      <c r="J74" s="77"/>
      <c r="K74" s="77"/>
      <c r="L74" s="77"/>
    </row>
    <row r="75" spans="1:13" s="106" customFormat="1" x14ac:dyDescent="0.25">
      <c r="A75" s="93" t="s">
        <v>156</v>
      </c>
      <c r="B75" s="86" t="s">
        <v>348</v>
      </c>
      <c r="C75" s="86" t="s">
        <v>348</v>
      </c>
      <c r="D75" s="86" t="s">
        <v>349</v>
      </c>
      <c r="E75" s="86" t="s">
        <v>348</v>
      </c>
      <c r="F75" s="141" t="s">
        <v>348</v>
      </c>
      <c r="G75" s="105"/>
      <c r="H75" s="105"/>
      <c r="I75" s="105"/>
      <c r="J75" s="105"/>
      <c r="K75" s="105"/>
      <c r="L75" s="105"/>
    </row>
    <row r="76" spans="1:13" hidden="1" x14ac:dyDescent="0.25">
      <c r="A76" s="133" t="s">
        <v>3</v>
      </c>
      <c r="B76" s="92"/>
      <c r="C76" s="92"/>
      <c r="D76" s="92"/>
      <c r="E76" s="92"/>
      <c r="F76" s="142"/>
      <c r="G76" s="77"/>
      <c r="H76" s="76"/>
      <c r="I76" s="76"/>
      <c r="J76" s="76"/>
      <c r="K76" s="76"/>
      <c r="L76" s="76"/>
    </row>
    <row r="77" spans="1:13" x14ac:dyDescent="0.25">
      <c r="A77" s="416"/>
      <c r="B77" s="417"/>
      <c r="C77" s="417"/>
      <c r="D77" s="417"/>
      <c r="E77" s="417"/>
      <c r="F77" s="418"/>
      <c r="G77" s="77"/>
      <c r="H77" s="76"/>
      <c r="I77" s="76"/>
      <c r="J77" s="76"/>
      <c r="K77" s="76"/>
      <c r="L77" s="76"/>
    </row>
    <row r="78" spans="1:13" ht="61.5" customHeight="1" x14ac:dyDescent="0.25">
      <c r="A78" s="144" t="s">
        <v>167</v>
      </c>
      <c r="B78" s="281" t="s">
        <v>350</v>
      </c>
      <c r="C78" s="176"/>
      <c r="D78" s="176"/>
      <c r="E78" s="176"/>
      <c r="F78" s="177"/>
      <c r="G78" s="77"/>
      <c r="H78" s="76"/>
      <c r="I78" s="76"/>
      <c r="J78" s="76"/>
      <c r="K78" s="76"/>
      <c r="L78" s="76"/>
    </row>
    <row r="79" spans="1:13" x14ac:dyDescent="0.25">
      <c r="A79" s="376" t="s">
        <v>168</v>
      </c>
      <c r="B79" s="377"/>
      <c r="C79" s="377"/>
      <c r="D79" s="377"/>
      <c r="E79" s="377"/>
      <c r="F79" s="378"/>
      <c r="G79" s="77"/>
      <c r="H79" s="76"/>
      <c r="I79" s="76"/>
      <c r="J79" s="76"/>
      <c r="K79" s="76"/>
      <c r="L79" s="76"/>
    </row>
    <row r="80" spans="1:13" ht="26.25" customHeight="1" x14ac:dyDescent="0.25">
      <c r="A80" s="144" t="s">
        <v>183</v>
      </c>
      <c r="B80" s="189" t="s">
        <v>278</v>
      </c>
      <c r="C80" s="189"/>
      <c r="D80" s="189"/>
      <c r="E80" s="189"/>
      <c r="F80" s="190"/>
      <c r="G80" s="77"/>
      <c r="H80" s="76"/>
      <c r="I80" s="76"/>
      <c r="J80" s="76"/>
      <c r="K80" s="76"/>
      <c r="L80" s="76"/>
    </row>
    <row r="81" spans="1:12" ht="31.5" customHeight="1" x14ac:dyDescent="0.25">
      <c r="A81" s="93" t="s">
        <v>169</v>
      </c>
      <c r="B81" s="94" t="s">
        <v>184</v>
      </c>
      <c r="C81" s="94" t="s">
        <v>185</v>
      </c>
      <c r="D81" s="271" t="s">
        <v>186</v>
      </c>
      <c r="E81" s="274"/>
      <c r="F81" s="273"/>
      <c r="G81" s="77"/>
      <c r="H81" s="77"/>
      <c r="I81" s="77"/>
      <c r="J81" s="191"/>
      <c r="K81" s="191"/>
      <c r="L81" s="191"/>
    </row>
    <row r="82" spans="1:12" ht="31.5" customHeight="1" x14ac:dyDescent="0.25">
      <c r="A82" s="133" t="s">
        <v>170</v>
      </c>
      <c r="B82" s="107" t="s">
        <v>359</v>
      </c>
      <c r="C82" s="104" t="s">
        <v>317</v>
      </c>
      <c r="D82" s="275" t="s">
        <v>358</v>
      </c>
      <c r="E82" s="276"/>
      <c r="F82" s="277"/>
      <c r="G82" s="77"/>
      <c r="H82" s="76"/>
      <c r="I82" s="76"/>
      <c r="J82" s="76"/>
      <c r="K82" s="76"/>
      <c r="L82" s="76"/>
    </row>
    <row r="83" spans="1:12" x14ac:dyDescent="0.25">
      <c r="A83" s="170" t="s">
        <v>320</v>
      </c>
      <c r="B83" s="174"/>
      <c r="C83" s="174"/>
      <c r="D83" s="174"/>
      <c r="E83" s="174"/>
      <c r="F83" s="175"/>
      <c r="G83" s="77"/>
      <c r="H83" s="76"/>
      <c r="I83" s="76"/>
      <c r="J83" s="76"/>
      <c r="K83" s="76"/>
      <c r="L83" s="76"/>
    </row>
    <row r="84" spans="1:12" s="109" customFormat="1" ht="33" customHeight="1" x14ac:dyDescent="0.25">
      <c r="A84" s="144" t="s">
        <v>171</v>
      </c>
      <c r="B84" s="107" t="s">
        <v>359</v>
      </c>
      <c r="C84" s="104" t="s">
        <v>317</v>
      </c>
      <c r="D84" s="158" t="s">
        <v>318</v>
      </c>
      <c r="E84" s="159"/>
      <c r="F84" s="160"/>
      <c r="G84" s="95"/>
      <c r="H84" s="108"/>
      <c r="I84" s="108"/>
      <c r="J84" s="108"/>
      <c r="K84" s="108"/>
      <c r="L84" s="108"/>
    </row>
    <row r="85" spans="1:12" s="109" customFormat="1" ht="49.5" customHeight="1" x14ac:dyDescent="0.25">
      <c r="A85" s="144" t="s">
        <v>172</v>
      </c>
      <c r="B85" s="107" t="s">
        <v>359</v>
      </c>
      <c r="C85" s="104" t="s">
        <v>317</v>
      </c>
      <c r="D85" s="158" t="s">
        <v>321</v>
      </c>
      <c r="E85" s="159"/>
      <c r="F85" s="160"/>
      <c r="G85" s="95"/>
      <c r="H85" s="108"/>
      <c r="I85" s="108"/>
      <c r="J85" s="108"/>
      <c r="K85" s="108"/>
      <c r="L85" s="108"/>
    </row>
    <row r="86" spans="1:12" x14ac:dyDescent="0.25">
      <c r="A86" s="170" t="s">
        <v>322</v>
      </c>
      <c r="B86" s="174"/>
      <c r="C86" s="174"/>
      <c r="D86" s="174"/>
      <c r="E86" s="174"/>
      <c r="F86" s="175"/>
      <c r="G86" s="77"/>
      <c r="H86" s="76"/>
      <c r="I86" s="76"/>
      <c r="J86" s="76"/>
      <c r="K86" s="76"/>
      <c r="L86" s="76"/>
    </row>
    <row r="87" spans="1:12" ht="32.25" customHeight="1" x14ac:dyDescent="0.25">
      <c r="A87" s="133" t="s">
        <v>171</v>
      </c>
      <c r="B87" s="107" t="s">
        <v>359</v>
      </c>
      <c r="C87" s="104" t="s">
        <v>317</v>
      </c>
      <c r="D87" s="158" t="s">
        <v>323</v>
      </c>
      <c r="E87" s="159"/>
      <c r="F87" s="160"/>
      <c r="G87" s="77"/>
      <c r="H87" s="76"/>
      <c r="I87" s="76"/>
      <c r="J87" s="76"/>
      <c r="K87" s="76"/>
      <c r="L87" s="76"/>
    </row>
    <row r="88" spans="1:12" ht="45.75" customHeight="1" x14ac:dyDescent="0.25">
      <c r="A88" s="133" t="s">
        <v>172</v>
      </c>
      <c r="B88" s="107" t="s">
        <v>359</v>
      </c>
      <c r="C88" s="104" t="s">
        <v>317</v>
      </c>
      <c r="D88" s="158" t="s">
        <v>324</v>
      </c>
      <c r="E88" s="159"/>
      <c r="F88" s="160"/>
      <c r="G88" s="77"/>
      <c r="H88" s="76"/>
      <c r="I88" s="76"/>
      <c r="J88" s="76"/>
      <c r="K88" s="76"/>
      <c r="L88" s="76"/>
    </row>
    <row r="89" spans="1:12" x14ac:dyDescent="0.25">
      <c r="A89" s="170" t="s">
        <v>325</v>
      </c>
      <c r="B89" s="174"/>
      <c r="C89" s="174"/>
      <c r="D89" s="174"/>
      <c r="E89" s="174"/>
      <c r="F89" s="175"/>
      <c r="G89" s="77"/>
      <c r="H89" s="76"/>
      <c r="I89" s="76"/>
      <c r="J89" s="76"/>
      <c r="K89" s="76"/>
      <c r="L89" s="76"/>
    </row>
    <row r="90" spans="1:12" ht="33" customHeight="1" x14ac:dyDescent="0.25">
      <c r="A90" s="133" t="s">
        <v>171</v>
      </c>
      <c r="B90" s="107" t="s">
        <v>359</v>
      </c>
      <c r="C90" s="104" t="s">
        <v>317</v>
      </c>
      <c r="D90" s="158" t="s">
        <v>326</v>
      </c>
      <c r="E90" s="159"/>
      <c r="F90" s="160"/>
      <c r="G90" s="77"/>
      <c r="H90" s="76"/>
      <c r="I90" s="76"/>
      <c r="J90" s="76"/>
      <c r="K90" s="76"/>
      <c r="L90" s="76"/>
    </row>
    <row r="91" spans="1:12" ht="48" customHeight="1" x14ac:dyDescent="0.25">
      <c r="A91" s="133" t="s">
        <v>172</v>
      </c>
      <c r="B91" s="107" t="s">
        <v>359</v>
      </c>
      <c r="C91" s="104" t="s">
        <v>317</v>
      </c>
      <c r="D91" s="158" t="s">
        <v>327</v>
      </c>
      <c r="E91" s="159"/>
      <c r="F91" s="160"/>
      <c r="G91" s="77"/>
      <c r="H91" s="76"/>
      <c r="I91" s="76"/>
      <c r="J91" s="76"/>
      <c r="K91" s="76"/>
      <c r="L91" s="76"/>
    </row>
    <row r="92" spans="1:12" x14ac:dyDescent="0.25">
      <c r="A92" s="170" t="s">
        <v>328</v>
      </c>
      <c r="B92" s="174"/>
      <c r="C92" s="174"/>
      <c r="D92" s="174"/>
      <c r="E92" s="174"/>
      <c r="F92" s="175"/>
      <c r="G92" s="77"/>
      <c r="H92" s="76"/>
      <c r="I92" s="76"/>
      <c r="J92" s="76"/>
      <c r="K92" s="76"/>
      <c r="L92" s="76"/>
    </row>
    <row r="93" spans="1:12" ht="30.75" customHeight="1" x14ac:dyDescent="0.25">
      <c r="A93" s="133" t="s">
        <v>171</v>
      </c>
      <c r="B93" s="107" t="s">
        <v>359</v>
      </c>
      <c r="C93" s="104" t="s">
        <v>317</v>
      </c>
      <c r="D93" s="158" t="s">
        <v>329</v>
      </c>
      <c r="E93" s="159"/>
      <c r="F93" s="160"/>
      <c r="G93" s="77"/>
      <c r="H93" s="76"/>
      <c r="I93" s="76"/>
      <c r="J93" s="76"/>
      <c r="K93" s="76"/>
      <c r="L93" s="76"/>
    </row>
    <row r="94" spans="1:12" ht="48" customHeight="1" x14ac:dyDescent="0.25">
      <c r="A94" s="133" t="s">
        <v>172</v>
      </c>
      <c r="B94" s="107" t="s">
        <v>359</v>
      </c>
      <c r="C94" s="104" t="s">
        <v>317</v>
      </c>
      <c r="D94" s="158" t="s">
        <v>330</v>
      </c>
      <c r="E94" s="159"/>
      <c r="F94" s="160"/>
      <c r="G94" s="77"/>
      <c r="H94" s="76"/>
      <c r="I94" s="76"/>
      <c r="J94" s="76"/>
      <c r="K94" s="76"/>
      <c r="L94" s="76"/>
    </row>
    <row r="95" spans="1:12" x14ac:dyDescent="0.25">
      <c r="A95" s="170" t="s">
        <v>331</v>
      </c>
      <c r="B95" s="174"/>
      <c r="C95" s="174"/>
      <c r="D95" s="174"/>
      <c r="E95" s="174"/>
      <c r="F95" s="175"/>
      <c r="G95" s="77"/>
      <c r="H95" s="76"/>
      <c r="I95" s="76"/>
      <c r="J95" s="76"/>
      <c r="K95" s="76"/>
      <c r="L95" s="76"/>
    </row>
    <row r="96" spans="1:12" ht="34.5" customHeight="1" x14ac:dyDescent="0.25">
      <c r="A96" s="133" t="s">
        <v>171</v>
      </c>
      <c r="B96" s="107" t="s">
        <v>359</v>
      </c>
      <c r="C96" s="104" t="s">
        <v>317</v>
      </c>
      <c r="D96" s="158" t="s">
        <v>332</v>
      </c>
      <c r="E96" s="159"/>
      <c r="F96" s="160"/>
      <c r="G96" s="77"/>
      <c r="H96" s="76"/>
      <c r="I96" s="76"/>
      <c r="J96" s="76"/>
      <c r="K96" s="76"/>
      <c r="L96" s="76"/>
    </row>
    <row r="97" spans="1:12" ht="48.75" customHeight="1" x14ac:dyDescent="0.25">
      <c r="A97" s="133" t="s">
        <v>172</v>
      </c>
      <c r="B97" s="107" t="s">
        <v>359</v>
      </c>
      <c r="C97" s="104" t="s">
        <v>317</v>
      </c>
      <c r="D97" s="158" t="s">
        <v>339</v>
      </c>
      <c r="E97" s="159"/>
      <c r="F97" s="160"/>
      <c r="G97" s="77"/>
      <c r="H97" s="76"/>
      <c r="I97" s="76"/>
      <c r="J97" s="76"/>
      <c r="K97" s="76"/>
      <c r="L97" s="76"/>
    </row>
    <row r="98" spans="1:12" x14ac:dyDescent="0.25">
      <c r="A98" s="170" t="s">
        <v>334</v>
      </c>
      <c r="B98" s="174"/>
      <c r="C98" s="174"/>
      <c r="D98" s="174"/>
      <c r="E98" s="174"/>
      <c r="F98" s="175"/>
      <c r="G98" s="77"/>
      <c r="H98" s="76"/>
      <c r="I98" s="76"/>
      <c r="J98" s="76"/>
      <c r="K98" s="76"/>
      <c r="L98" s="76"/>
    </row>
    <row r="99" spans="1:12" ht="33" customHeight="1" x14ac:dyDescent="0.25">
      <c r="A99" s="133" t="s">
        <v>171</v>
      </c>
      <c r="B99" s="107" t="s">
        <v>359</v>
      </c>
      <c r="C99" s="104" t="s">
        <v>317</v>
      </c>
      <c r="D99" s="158" t="s">
        <v>333</v>
      </c>
      <c r="E99" s="159"/>
      <c r="F99" s="160"/>
      <c r="G99" s="77"/>
      <c r="H99" s="76"/>
      <c r="I99" s="76"/>
      <c r="J99" s="76"/>
      <c r="K99" s="76"/>
      <c r="L99" s="76"/>
    </row>
    <row r="100" spans="1:12" ht="66.75" customHeight="1" x14ac:dyDescent="0.25">
      <c r="A100" s="133" t="s">
        <v>172</v>
      </c>
      <c r="B100" s="107" t="s">
        <v>359</v>
      </c>
      <c r="C100" s="104" t="s">
        <v>317</v>
      </c>
      <c r="D100" s="158" t="s">
        <v>335</v>
      </c>
      <c r="E100" s="159"/>
      <c r="F100" s="160"/>
      <c r="G100" s="77"/>
      <c r="H100" s="76"/>
      <c r="I100" s="76"/>
      <c r="J100" s="76"/>
      <c r="K100" s="76"/>
      <c r="L100" s="76"/>
    </row>
    <row r="101" spans="1:12" x14ac:dyDescent="0.25">
      <c r="A101" s="170" t="s">
        <v>336</v>
      </c>
      <c r="B101" s="174"/>
      <c r="C101" s="174"/>
      <c r="D101" s="174"/>
      <c r="E101" s="174"/>
      <c r="F101" s="175"/>
      <c r="G101" s="77"/>
      <c r="H101" s="76"/>
      <c r="I101" s="76"/>
      <c r="J101" s="76"/>
      <c r="K101" s="76"/>
      <c r="L101" s="76"/>
    </row>
    <row r="102" spans="1:12" ht="33" customHeight="1" x14ac:dyDescent="0.25">
      <c r="A102" s="133" t="s">
        <v>171</v>
      </c>
      <c r="B102" s="107" t="s">
        <v>359</v>
      </c>
      <c r="C102" s="104" t="s">
        <v>317</v>
      </c>
      <c r="D102" s="158" t="s">
        <v>338</v>
      </c>
      <c r="E102" s="159"/>
      <c r="F102" s="160"/>
      <c r="G102" s="77"/>
      <c r="H102" s="76"/>
      <c r="I102" s="76"/>
      <c r="J102" s="76"/>
      <c r="K102" s="76"/>
      <c r="L102" s="76"/>
    </row>
    <row r="103" spans="1:12" ht="52.5" customHeight="1" x14ac:dyDescent="0.25">
      <c r="A103" s="133" t="s">
        <v>172</v>
      </c>
      <c r="B103" s="107" t="s">
        <v>359</v>
      </c>
      <c r="C103" s="104" t="s">
        <v>317</v>
      </c>
      <c r="D103" s="158" t="s">
        <v>337</v>
      </c>
      <c r="E103" s="159"/>
      <c r="F103" s="160"/>
      <c r="G103" s="77"/>
      <c r="H103" s="76"/>
      <c r="I103" s="76"/>
      <c r="J103" s="76"/>
      <c r="K103" s="76"/>
      <c r="L103" s="76"/>
    </row>
    <row r="104" spans="1:12" ht="48" hidden="1" customHeight="1" x14ac:dyDescent="0.25">
      <c r="A104" s="133" t="s">
        <v>173</v>
      </c>
      <c r="B104" s="107" t="s">
        <v>351</v>
      </c>
      <c r="C104" s="104" t="s">
        <v>263</v>
      </c>
      <c r="D104" s="158" t="s">
        <v>263</v>
      </c>
      <c r="E104" s="159"/>
      <c r="F104" s="160"/>
      <c r="G104" s="77"/>
      <c r="H104" s="76"/>
      <c r="I104" s="76"/>
      <c r="J104" s="76"/>
      <c r="K104" s="76"/>
      <c r="L104" s="76"/>
    </row>
    <row r="105" spans="1:12" ht="68.25" hidden="1" customHeight="1" x14ac:dyDescent="0.25">
      <c r="A105" s="133" t="s">
        <v>174</v>
      </c>
      <c r="B105" s="107" t="s">
        <v>351</v>
      </c>
      <c r="C105" s="104" t="s">
        <v>263</v>
      </c>
      <c r="D105" s="158" t="s">
        <v>263</v>
      </c>
      <c r="E105" s="159"/>
      <c r="F105" s="160"/>
      <c r="G105" s="77"/>
      <c r="H105" s="76"/>
      <c r="I105" s="76"/>
      <c r="J105" s="76"/>
      <c r="K105" s="76"/>
      <c r="L105" s="76"/>
    </row>
    <row r="106" spans="1:12" ht="45" hidden="1" customHeight="1" x14ac:dyDescent="0.25">
      <c r="A106" s="133" t="s">
        <v>175</v>
      </c>
      <c r="B106" s="107" t="s">
        <v>351</v>
      </c>
      <c r="C106" s="104" t="s">
        <v>263</v>
      </c>
      <c r="D106" s="158" t="s">
        <v>263</v>
      </c>
      <c r="E106" s="159"/>
      <c r="F106" s="160"/>
      <c r="G106" s="77"/>
      <c r="H106" s="76"/>
      <c r="I106" s="76"/>
      <c r="J106" s="76"/>
      <c r="K106" s="76"/>
      <c r="L106" s="76"/>
    </row>
    <row r="107" spans="1:12" ht="60" hidden="1" customHeight="1" x14ac:dyDescent="0.25">
      <c r="A107" s="133" t="s">
        <v>176</v>
      </c>
      <c r="B107" s="107" t="s">
        <v>351</v>
      </c>
      <c r="C107" s="104" t="s">
        <v>263</v>
      </c>
      <c r="D107" s="158" t="s">
        <v>263</v>
      </c>
      <c r="E107" s="159"/>
      <c r="F107" s="160"/>
      <c r="G107" s="77"/>
      <c r="H107" s="76"/>
      <c r="I107" s="76"/>
      <c r="J107" s="76"/>
      <c r="K107" s="76"/>
      <c r="L107" s="76"/>
    </row>
    <row r="108" spans="1:12" ht="39" hidden="1" customHeight="1" x14ac:dyDescent="0.25">
      <c r="A108" s="133" t="s">
        <v>177</v>
      </c>
      <c r="B108" s="107" t="s">
        <v>351</v>
      </c>
      <c r="C108" s="104" t="s">
        <v>263</v>
      </c>
      <c r="D108" s="158" t="s">
        <v>263</v>
      </c>
      <c r="E108" s="159"/>
      <c r="F108" s="160"/>
      <c r="G108" s="77"/>
      <c r="H108" s="76"/>
      <c r="I108" s="76"/>
      <c r="J108" s="76"/>
      <c r="K108" s="76"/>
      <c r="L108" s="76"/>
    </row>
    <row r="109" spans="1:12" ht="43.5" hidden="1" customHeight="1" x14ac:dyDescent="0.25">
      <c r="A109" s="133" t="s">
        <v>178</v>
      </c>
      <c r="B109" s="107" t="s">
        <v>351</v>
      </c>
      <c r="C109" s="104" t="s">
        <v>263</v>
      </c>
      <c r="D109" s="158" t="s">
        <v>263</v>
      </c>
      <c r="E109" s="159"/>
      <c r="F109" s="160"/>
      <c r="G109" s="77"/>
      <c r="H109" s="76"/>
      <c r="I109" s="76"/>
      <c r="J109" s="76"/>
      <c r="K109" s="76"/>
      <c r="L109" s="76"/>
    </row>
    <row r="110" spans="1:12" ht="54" hidden="1" customHeight="1" x14ac:dyDescent="0.25">
      <c r="A110" s="133" t="s">
        <v>179</v>
      </c>
      <c r="B110" s="107" t="s">
        <v>351</v>
      </c>
      <c r="C110" s="104" t="s">
        <v>263</v>
      </c>
      <c r="D110" s="158" t="s">
        <v>263</v>
      </c>
      <c r="E110" s="159"/>
      <c r="F110" s="160"/>
      <c r="G110" s="77"/>
      <c r="H110" s="76"/>
      <c r="I110" s="76"/>
      <c r="J110" s="76"/>
      <c r="K110" s="76"/>
      <c r="L110" s="76"/>
    </row>
    <row r="111" spans="1:12" ht="31.5" customHeight="1" x14ac:dyDescent="0.25">
      <c r="A111" s="133" t="s">
        <v>180</v>
      </c>
      <c r="B111" s="107" t="s">
        <v>359</v>
      </c>
      <c r="C111" s="104" t="s">
        <v>263</v>
      </c>
      <c r="D111" s="158" t="s">
        <v>360</v>
      </c>
      <c r="E111" s="159"/>
      <c r="F111" s="160"/>
      <c r="G111" s="77"/>
      <c r="H111" s="76"/>
      <c r="I111" s="76"/>
      <c r="J111" s="76"/>
      <c r="K111" s="76"/>
      <c r="L111" s="76"/>
    </row>
    <row r="112" spans="1:12" ht="36" hidden="1" customHeight="1" x14ac:dyDescent="0.25">
      <c r="A112" s="133" t="s">
        <v>181</v>
      </c>
      <c r="B112" s="88" t="s">
        <v>351</v>
      </c>
      <c r="C112" s="75"/>
      <c r="D112" s="161"/>
      <c r="E112" s="162"/>
      <c r="F112" s="163"/>
      <c r="G112" s="77"/>
      <c r="H112" s="76"/>
      <c r="I112" s="76"/>
      <c r="J112" s="76"/>
      <c r="K112" s="76"/>
      <c r="L112" s="76"/>
    </row>
    <row r="113" spans="1:12" ht="24" x14ac:dyDescent="0.25">
      <c r="A113" s="133" t="s">
        <v>182</v>
      </c>
      <c r="B113" s="176"/>
      <c r="C113" s="176"/>
      <c r="D113" s="176"/>
      <c r="E113" s="176"/>
      <c r="F113" s="177"/>
      <c r="G113" s="77"/>
      <c r="H113" s="76"/>
      <c r="I113" s="76"/>
      <c r="J113" s="76"/>
      <c r="K113" s="76"/>
      <c r="L113" s="76"/>
    </row>
    <row r="114" spans="1:12" x14ac:dyDescent="0.25">
      <c r="A114" s="376" t="s">
        <v>187</v>
      </c>
      <c r="B114" s="377"/>
      <c r="C114" s="377"/>
      <c r="D114" s="377"/>
      <c r="E114" s="377"/>
      <c r="F114" s="378"/>
      <c r="G114" s="77"/>
      <c r="H114" s="76"/>
      <c r="I114" s="77"/>
      <c r="J114" s="76"/>
      <c r="K114" s="76"/>
      <c r="L114" s="76"/>
    </row>
    <row r="115" spans="1:12" ht="105.75" customHeight="1" x14ac:dyDescent="0.25">
      <c r="A115" s="93" t="s">
        <v>188</v>
      </c>
      <c r="B115" s="89" t="s">
        <v>348</v>
      </c>
      <c r="C115" s="90" t="s">
        <v>192</v>
      </c>
      <c r="D115" s="89" t="s">
        <v>361</v>
      </c>
      <c r="E115" s="110" t="s">
        <v>189</v>
      </c>
      <c r="F115" s="137" t="s">
        <v>319</v>
      </c>
      <c r="G115" s="77"/>
      <c r="H115" s="76"/>
      <c r="I115" s="76"/>
      <c r="J115" s="77"/>
      <c r="K115" s="76"/>
      <c r="L115" s="76"/>
    </row>
    <row r="116" spans="1:12" ht="15" hidden="1" customHeight="1" x14ac:dyDescent="0.25">
      <c r="A116" s="133" t="s">
        <v>189</v>
      </c>
      <c r="B116" s="172" t="s">
        <v>319</v>
      </c>
      <c r="C116" s="172"/>
      <c r="D116" s="172"/>
      <c r="E116" s="172"/>
      <c r="F116" s="173"/>
      <c r="G116" s="77"/>
      <c r="H116" s="102"/>
      <c r="I116" s="102"/>
      <c r="J116" s="77"/>
      <c r="K116" s="76"/>
      <c r="L116" s="76"/>
    </row>
    <row r="117" spans="1:12" ht="48" customHeight="1" x14ac:dyDescent="0.25">
      <c r="A117" s="133" t="s">
        <v>190</v>
      </c>
      <c r="B117" s="414">
        <v>44204</v>
      </c>
      <c r="C117" s="172"/>
      <c r="D117" s="52" t="s">
        <v>193</v>
      </c>
      <c r="E117" s="286" t="s">
        <v>385</v>
      </c>
      <c r="F117" s="173"/>
      <c r="G117" s="77"/>
      <c r="H117" s="76"/>
      <c r="I117" s="76"/>
      <c r="J117" s="77"/>
      <c r="K117" s="76"/>
      <c r="L117" s="76"/>
    </row>
    <row r="118" spans="1:12" ht="36" x14ac:dyDescent="0.25">
      <c r="A118" s="133" t="s">
        <v>191</v>
      </c>
      <c r="B118" s="172" t="s">
        <v>5</v>
      </c>
      <c r="C118" s="172"/>
      <c r="D118" s="52" t="s">
        <v>194</v>
      </c>
      <c r="E118" s="172" t="s">
        <v>5</v>
      </c>
      <c r="F118" s="173"/>
      <c r="G118" s="77"/>
      <c r="H118" s="76"/>
      <c r="I118" s="76"/>
      <c r="J118" s="77"/>
      <c r="K118" s="76"/>
      <c r="L118" s="76"/>
    </row>
    <row r="119" spans="1:12" x14ac:dyDescent="0.25">
      <c r="A119" s="376" t="s">
        <v>195</v>
      </c>
      <c r="B119" s="377"/>
      <c r="C119" s="377"/>
      <c r="D119" s="377"/>
      <c r="E119" s="377"/>
      <c r="F119" s="378"/>
      <c r="G119" s="77"/>
      <c r="H119" s="76"/>
      <c r="I119" s="77"/>
      <c r="J119" s="76"/>
      <c r="K119" s="76"/>
      <c r="L119" s="76"/>
    </row>
    <row r="120" spans="1:12" x14ac:dyDescent="0.25">
      <c r="A120" s="133" t="s">
        <v>202</v>
      </c>
      <c r="B120" s="413" t="s">
        <v>6</v>
      </c>
      <c r="C120" s="413"/>
      <c r="D120" s="52" t="s">
        <v>196</v>
      </c>
      <c r="E120" s="172" t="s">
        <v>5</v>
      </c>
      <c r="F120" s="173"/>
      <c r="G120" s="77"/>
      <c r="H120" s="76"/>
      <c r="I120" s="76"/>
      <c r="J120" s="77"/>
      <c r="K120" s="76"/>
      <c r="L120" s="76"/>
    </row>
    <row r="121" spans="1:12" ht="24" x14ac:dyDescent="0.25">
      <c r="A121" s="133" t="s">
        <v>203</v>
      </c>
      <c r="B121" s="412" t="s">
        <v>348</v>
      </c>
      <c r="C121" s="412"/>
      <c r="D121" s="52" t="s">
        <v>197</v>
      </c>
      <c r="E121" s="410" t="s">
        <v>7</v>
      </c>
      <c r="F121" s="411"/>
      <c r="G121" s="77"/>
      <c r="H121" s="76"/>
      <c r="I121" s="76"/>
      <c r="J121" s="77"/>
      <c r="K121" s="76"/>
      <c r="L121" s="76"/>
    </row>
    <row r="122" spans="1:12" ht="36" x14ac:dyDescent="0.25">
      <c r="A122" s="133" t="s">
        <v>204</v>
      </c>
      <c r="B122" s="172" t="s">
        <v>5</v>
      </c>
      <c r="C122" s="172"/>
      <c r="D122" s="52" t="s">
        <v>198</v>
      </c>
      <c r="E122" s="172" t="s">
        <v>5</v>
      </c>
      <c r="F122" s="173"/>
      <c r="G122" s="77"/>
      <c r="H122" s="76"/>
      <c r="I122" s="76"/>
      <c r="J122" s="77"/>
      <c r="K122" s="76"/>
      <c r="L122" s="76"/>
    </row>
    <row r="123" spans="1:12" ht="36" x14ac:dyDescent="0.25">
      <c r="A123" s="133" t="s">
        <v>205</v>
      </c>
      <c r="B123" s="172" t="s">
        <v>5</v>
      </c>
      <c r="C123" s="172"/>
      <c r="D123" s="52" t="s">
        <v>199</v>
      </c>
      <c r="E123" s="172" t="s">
        <v>5</v>
      </c>
      <c r="F123" s="173"/>
      <c r="G123" s="77"/>
      <c r="H123" s="76"/>
      <c r="I123" s="76"/>
      <c r="J123" s="77"/>
      <c r="K123" s="76"/>
      <c r="L123" s="76"/>
    </row>
    <row r="124" spans="1:12" ht="36" x14ac:dyDescent="0.25">
      <c r="A124" s="133" t="s">
        <v>206</v>
      </c>
      <c r="B124" s="172" t="s">
        <v>5</v>
      </c>
      <c r="C124" s="172"/>
      <c r="D124" s="52" t="s">
        <v>200</v>
      </c>
      <c r="E124" s="172" t="s">
        <v>5</v>
      </c>
      <c r="F124" s="173"/>
      <c r="G124" s="77"/>
      <c r="H124" s="76"/>
      <c r="I124" s="76"/>
      <c r="J124" s="77"/>
      <c r="K124" s="76"/>
      <c r="L124" s="76"/>
    </row>
    <row r="125" spans="1:12" x14ac:dyDescent="0.25">
      <c r="A125" s="133" t="s">
        <v>207</v>
      </c>
      <c r="B125" s="172" t="s">
        <v>5</v>
      </c>
      <c r="C125" s="172"/>
      <c r="D125" s="52" t="s">
        <v>201</v>
      </c>
      <c r="E125" s="172" t="s">
        <v>5</v>
      </c>
      <c r="F125" s="173"/>
      <c r="G125" s="77"/>
      <c r="H125" s="76"/>
      <c r="I125" s="76"/>
      <c r="J125" s="77"/>
      <c r="K125" s="76"/>
      <c r="L125" s="76"/>
    </row>
    <row r="126" spans="1:12" ht="26.25" customHeight="1" x14ac:dyDescent="0.25">
      <c r="A126" s="282" t="s">
        <v>208</v>
      </c>
      <c r="B126" s="283"/>
      <c r="C126" s="295" t="s">
        <v>348</v>
      </c>
      <c r="D126" s="296"/>
      <c r="E126" s="296"/>
      <c r="F126" s="297"/>
      <c r="G126" s="191"/>
      <c r="H126" s="191"/>
      <c r="I126" s="76"/>
      <c r="J126" s="76"/>
      <c r="K126" s="76"/>
      <c r="L126" s="76"/>
    </row>
    <row r="127" spans="1:12" ht="24" customHeight="1" x14ac:dyDescent="0.25">
      <c r="A127" s="282" t="s">
        <v>209</v>
      </c>
      <c r="B127" s="283"/>
      <c r="C127" s="298" t="s">
        <v>349</v>
      </c>
      <c r="D127" s="298"/>
      <c r="E127" s="298"/>
      <c r="F127" s="299"/>
      <c r="G127" s="191"/>
      <c r="H127" s="191"/>
      <c r="I127" s="76"/>
      <c r="J127" s="76"/>
      <c r="K127" s="76"/>
      <c r="L127" s="76"/>
    </row>
    <row r="128" spans="1:12" x14ac:dyDescent="0.25">
      <c r="A128" s="376" t="s">
        <v>210</v>
      </c>
      <c r="B128" s="377"/>
      <c r="C128" s="377"/>
      <c r="D128" s="377"/>
      <c r="E128" s="377"/>
      <c r="F128" s="378"/>
      <c r="G128" s="77"/>
      <c r="H128" s="76"/>
      <c r="I128" s="76"/>
      <c r="J128" s="76"/>
      <c r="K128" s="76"/>
      <c r="L128" s="76"/>
    </row>
    <row r="129" spans="1:12" x14ac:dyDescent="0.25">
      <c r="A129" s="404" t="s">
        <v>212</v>
      </c>
      <c r="B129" s="405"/>
      <c r="C129" s="405"/>
      <c r="D129" s="405"/>
      <c r="E129" s="405" t="s">
        <v>211</v>
      </c>
      <c r="F129" s="406"/>
      <c r="G129" s="77"/>
      <c r="H129" s="77"/>
      <c r="I129" s="77"/>
      <c r="J129" s="77"/>
      <c r="K129" s="77"/>
      <c r="L129" s="77"/>
    </row>
    <row r="130" spans="1:12" ht="15.75" thickBot="1" x14ac:dyDescent="0.3">
      <c r="A130" s="407" t="s">
        <v>263</v>
      </c>
      <c r="B130" s="408"/>
      <c r="C130" s="408"/>
      <c r="D130" s="408"/>
      <c r="E130" s="408" t="s">
        <v>349</v>
      </c>
      <c r="F130" s="409"/>
      <c r="G130" s="76"/>
      <c r="H130" s="76"/>
      <c r="I130" s="76"/>
      <c r="J130" s="76"/>
      <c r="K130" s="76"/>
      <c r="L130" s="76"/>
    </row>
    <row r="131" spans="1:12" ht="36" x14ac:dyDescent="0.25">
      <c r="A131" s="111" t="s">
        <v>213</v>
      </c>
      <c r="B131" s="112" t="s">
        <v>214</v>
      </c>
      <c r="C131" s="112" t="s">
        <v>215</v>
      </c>
      <c r="D131" s="112" t="s">
        <v>216</v>
      </c>
      <c r="E131" s="112" t="s">
        <v>217</v>
      </c>
      <c r="F131" s="113" t="s">
        <v>218</v>
      </c>
      <c r="G131" s="77"/>
      <c r="H131" s="77"/>
      <c r="I131" s="77"/>
      <c r="J131" s="77"/>
      <c r="K131" s="77"/>
      <c r="L131" s="77"/>
    </row>
    <row r="132" spans="1:12" ht="30.75" thickBot="1" x14ac:dyDescent="0.3">
      <c r="A132" s="114">
        <v>1</v>
      </c>
      <c r="B132" s="115">
        <v>1</v>
      </c>
      <c r="C132" s="115">
        <v>7</v>
      </c>
      <c r="D132" s="116" t="s">
        <v>364</v>
      </c>
      <c r="E132" s="115" t="s">
        <v>343</v>
      </c>
      <c r="F132" s="117">
        <v>954</v>
      </c>
      <c r="G132" s="76"/>
      <c r="H132" s="76"/>
      <c r="I132" s="76"/>
      <c r="J132" s="76"/>
      <c r="K132" s="76"/>
      <c r="L132" s="76"/>
    </row>
    <row r="133" spans="1:12" x14ac:dyDescent="0.25">
      <c r="A133" s="178" t="s">
        <v>352</v>
      </c>
      <c r="B133" s="179"/>
      <c r="C133" s="180" t="s">
        <v>354</v>
      </c>
      <c r="D133" s="181"/>
      <c r="E133" s="181"/>
      <c r="F133" s="182"/>
      <c r="G133" s="77"/>
      <c r="H133" s="76"/>
      <c r="I133" s="77"/>
      <c r="J133" s="76"/>
      <c r="K133" s="76"/>
      <c r="L133" s="76"/>
    </row>
    <row r="134" spans="1:12" x14ac:dyDescent="0.25">
      <c r="A134" s="183" t="s">
        <v>353</v>
      </c>
      <c r="B134" s="184"/>
      <c r="C134" s="185" t="s">
        <v>354</v>
      </c>
      <c r="D134" s="186"/>
      <c r="E134" s="186"/>
      <c r="F134" s="187"/>
      <c r="G134" s="77"/>
      <c r="H134" s="76"/>
      <c r="I134" s="77"/>
      <c r="J134" s="76"/>
      <c r="K134" s="76"/>
      <c r="L134" s="76"/>
    </row>
    <row r="135" spans="1:12" x14ac:dyDescent="0.25">
      <c r="A135" s="282" t="s">
        <v>121</v>
      </c>
      <c r="B135" s="283"/>
      <c r="C135" s="300">
        <f ca="1">E197</f>
        <v>0.87516233766233764</v>
      </c>
      <c r="D135" s="172"/>
      <c r="E135" s="172"/>
      <c r="F135" s="173"/>
      <c r="G135" s="191"/>
      <c r="H135" s="191"/>
      <c r="I135" s="76"/>
      <c r="J135" s="76"/>
      <c r="K135" s="76"/>
      <c r="L135" s="76"/>
    </row>
    <row r="136" spans="1:12" x14ac:dyDescent="0.25">
      <c r="A136" s="282" t="s">
        <v>219</v>
      </c>
      <c r="B136" s="283"/>
      <c r="C136" s="172" t="s">
        <v>4</v>
      </c>
      <c r="D136" s="172"/>
      <c r="E136" s="172"/>
      <c r="F136" s="173"/>
      <c r="G136" s="191"/>
      <c r="H136" s="191"/>
      <c r="I136" s="76"/>
      <c r="J136" s="76"/>
      <c r="K136" s="76"/>
      <c r="L136" s="76"/>
    </row>
    <row r="137" spans="1:12" x14ac:dyDescent="0.25">
      <c r="A137" s="282" t="s">
        <v>220</v>
      </c>
      <c r="B137" s="283"/>
      <c r="C137" s="172" t="s">
        <v>4</v>
      </c>
      <c r="D137" s="172"/>
      <c r="E137" s="172"/>
      <c r="F137" s="173"/>
      <c r="G137" s="191"/>
      <c r="H137" s="191"/>
      <c r="I137" s="76"/>
      <c r="J137" s="76"/>
      <c r="K137" s="76"/>
      <c r="L137" s="76"/>
    </row>
    <row r="138" spans="1:12" x14ac:dyDescent="0.25">
      <c r="A138" s="282" t="s">
        <v>221</v>
      </c>
      <c r="B138" s="283"/>
      <c r="C138" s="172" t="s">
        <v>362</v>
      </c>
      <c r="D138" s="172"/>
      <c r="E138" s="172"/>
      <c r="F138" s="173"/>
      <c r="G138" s="191"/>
      <c r="H138" s="191"/>
      <c r="I138" s="76"/>
      <c r="J138" s="76"/>
      <c r="K138" s="76"/>
      <c r="L138" s="76"/>
    </row>
    <row r="139" spans="1:12" ht="24.75" customHeight="1" x14ac:dyDescent="0.25">
      <c r="A139" s="282" t="s">
        <v>222</v>
      </c>
      <c r="B139" s="283"/>
      <c r="C139" s="172" t="s">
        <v>368</v>
      </c>
      <c r="D139" s="172"/>
      <c r="E139" s="172"/>
      <c r="F139" s="173"/>
      <c r="G139" s="191"/>
      <c r="H139" s="191"/>
      <c r="I139" s="76"/>
      <c r="J139" s="76"/>
      <c r="K139" s="76"/>
      <c r="L139" s="76"/>
    </row>
    <row r="140" spans="1:12" ht="15.75" thickBot="1" x14ac:dyDescent="0.3">
      <c r="A140" s="292" t="s">
        <v>8</v>
      </c>
      <c r="B140" s="293"/>
      <c r="C140" s="293"/>
      <c r="D140" s="293"/>
      <c r="E140" s="293"/>
      <c r="F140" s="294"/>
      <c r="G140" s="1"/>
      <c r="H140" s="1"/>
    </row>
    <row r="141" spans="1:12" x14ac:dyDescent="0.25">
      <c r="A141" s="164" t="s">
        <v>372</v>
      </c>
      <c r="B141" s="165"/>
      <c r="C141" s="53" t="s">
        <v>9</v>
      </c>
      <c r="D141" s="53" t="s">
        <v>10</v>
      </c>
      <c r="E141" s="53" t="s">
        <v>11</v>
      </c>
      <c r="F141" s="54" t="s">
        <v>12</v>
      </c>
      <c r="G141" s="119" t="str">
        <f ca="1">(IF(E145&gt;99%,"All work completed. Please provide OC.",IF(E145&gt;89.8%,"Plinth, RCC, Brick, Plaster, Flooring, Painting work Completed. Finishing work is in process.",IF(E146&lt;94%,(IF(C145=0,"Work not yet Started.",IF(D145=25%,"Piling work in process",IF(D145=50%,"Excavation work in process",IF(D145=100%," ","")))&amp;(IF(C146=0%,"",IF(C146=H147,"Excavation work is process",IF(C146=H148,"Foudation Work in process",IF(C146=H149,"1st Basement Completed",IF(C146=H150,"1st &amp; 2nd Basement Completed",IF(C146=H151,"1st to 3rd Basement Completed",IF(C146=H152,"1st to 4th Basement Completed",IF(C146=H153,"Plinth work is process",IF(C146=H154,"Plinth work completed","0")))))))))))&amp;(IF(C147=(D142+E142+F142),", RCC Slab",IF(C147&gt;0,", RCC upto "&amp;C147&amp;" Slab",""))&amp;(IF(C148=F142,", Brickwork",IF(C148&gt;0,", Brickwork upto "&amp;C148&amp;" Floor",""))&amp;(IF(C149=F142,", Plaster",IF(C149&gt;0,", Plaster upto "&amp;C149&amp;" Floor",""))&amp;(IF(C150=F142,", Flooring ",IF(C150&gt;0,", Flooring  upto "&amp;C150&amp;" Floor",""))&amp;(IF(C151=F142,", Electrical ",IF(C151&gt;0,", Electrical  upto "&amp;C151&amp;" Floor",""))&amp;(IF(C152=F142,", Painting",IF(C152&gt;0,", Painting upto "&amp;C152&amp;" Floor",""))&amp;(IF(C153&gt;0,", Finishing upto "&amp;C153&amp;" Floor","")&amp;(IF(C147&gt;0.5," Completed",""))))))))))))))</f>
        <v>Plinth, RCC, Brick, Plaster, Flooring, Painting work Completed. Finishing work is in process.</v>
      </c>
      <c r="H141" s="2"/>
    </row>
    <row r="142" spans="1:12" x14ac:dyDescent="0.25">
      <c r="A142" s="166"/>
      <c r="B142" s="167"/>
      <c r="C142" s="55">
        <v>0</v>
      </c>
      <c r="D142" s="55">
        <v>1</v>
      </c>
      <c r="E142" s="55">
        <v>0</v>
      </c>
      <c r="F142" s="56">
        <f ca="1">--TRIM(RIGHT(SUBSTITUTE(LEFT(A141,_xlfn.AGGREGATE(16,6,FIND({0,1,2,3,4,5,6,7,8,9},A141,ROW(INDIRECT("1:"&amp;LEN(A141)))),1))," ",REPT(" ",LEN(A141))),LEN(A141)))</f>
        <v>22</v>
      </c>
      <c r="G142" s="3"/>
      <c r="H142" s="4"/>
      <c r="L142" t="s">
        <v>225</v>
      </c>
    </row>
    <row r="143" spans="1:12" x14ac:dyDescent="0.25">
      <c r="A143" s="57" t="s">
        <v>13</v>
      </c>
      <c r="B143" s="194" t="str">
        <f ca="1">G141</f>
        <v>Plinth, RCC, Brick, Plaster, Flooring, Painting work Completed. Finishing work is in process.</v>
      </c>
      <c r="C143" s="195"/>
      <c r="D143" s="195"/>
      <c r="E143" s="195"/>
      <c r="F143" s="196"/>
      <c r="G143" s="3" t="s">
        <v>14</v>
      </c>
      <c r="H143" s="4"/>
      <c r="L143" t="s">
        <v>223</v>
      </c>
    </row>
    <row r="144" spans="1:12" x14ac:dyDescent="0.25">
      <c r="A144" s="68" t="s">
        <v>15</v>
      </c>
      <c r="B144" s="58" t="s">
        <v>16</v>
      </c>
      <c r="C144" s="59" t="s">
        <v>17</v>
      </c>
      <c r="D144" s="59" t="s">
        <v>18</v>
      </c>
      <c r="E144" s="197" t="s">
        <v>41</v>
      </c>
      <c r="F144" s="198"/>
      <c r="G144" s="5" t="s">
        <v>20</v>
      </c>
      <c r="H144" s="6">
        <f ca="1">F142*25%</f>
        <v>5.5</v>
      </c>
      <c r="L144" t="s">
        <v>224</v>
      </c>
    </row>
    <row r="145" spans="1:12" hidden="1" x14ac:dyDescent="0.25">
      <c r="A145" s="68" t="s">
        <v>21</v>
      </c>
      <c r="B145" s="60">
        <v>0.15</v>
      </c>
      <c r="C145" s="61">
        <v>22</v>
      </c>
      <c r="D145" s="62">
        <f ca="1">((100/F142)*C145)/100</f>
        <v>1.0000000000000002</v>
      </c>
      <c r="E145" s="199">
        <f ca="1">((((C146/F142)*35)+(35/(F142+E142+D142)*C147)+(5/F142*C148)+(5/F142*C149)+(5/F142*C150)+(5/F142*C151)+(5/F142*C152)+(2.5/F142*C153)+(2.5/F142*C154))/100)</f>
        <v>0.94204545454545452</v>
      </c>
      <c r="F145" s="200"/>
      <c r="G145" s="5" t="s">
        <v>22</v>
      </c>
      <c r="H145" s="7">
        <f ca="1">F142*50%</f>
        <v>11</v>
      </c>
    </row>
    <row r="146" spans="1:12" x14ac:dyDescent="0.25">
      <c r="A146" s="68" t="s">
        <v>23</v>
      </c>
      <c r="B146" s="60">
        <v>0.35</v>
      </c>
      <c r="C146" s="63">
        <f ca="1">H146</f>
        <v>22</v>
      </c>
      <c r="D146" s="62">
        <f ca="1">((100/F142)*C146)/100</f>
        <v>1.0000000000000002</v>
      </c>
      <c r="E146" s="201"/>
      <c r="F146" s="202"/>
      <c r="G146" s="5" t="s">
        <v>24</v>
      </c>
      <c r="H146" s="7">
        <f ca="1">F142</f>
        <v>22</v>
      </c>
    </row>
    <row r="147" spans="1:12" ht="24" x14ac:dyDescent="0.25">
      <c r="A147" s="68" t="s">
        <v>25</v>
      </c>
      <c r="B147" s="60">
        <v>0.35</v>
      </c>
      <c r="C147" s="118">
        <v>23</v>
      </c>
      <c r="D147" s="62">
        <f ca="1">((100/(D142+E142+F142))*C147)/100</f>
        <v>1</v>
      </c>
      <c r="E147" s="201"/>
      <c r="F147" s="202"/>
      <c r="G147" s="5" t="s">
        <v>26</v>
      </c>
      <c r="H147" s="8">
        <f ca="1">(IF(C142&gt;1,(F142/(C142+2)),F142/4))</f>
        <v>5.5</v>
      </c>
      <c r="J147" t="e">
        <f ca="1">((((#REF!/#REF!)*15)+((#REF!/#REF!)*20)+(35/(F142+E142+D142)*#REF!)+(5/#REF!*#REF!)+(5/#REF!*#REF!)+(5/#REF!*#REF!)+(5/#REF!*#REF!)+(5/#REF!*#REF!)+(2.5/#REF!*#REF!)+(2.5/#REF!*#REF!))/100)</f>
        <v>#REF!</v>
      </c>
    </row>
    <row r="148" spans="1:12" x14ac:dyDescent="0.25">
      <c r="A148" s="68" t="s">
        <v>27</v>
      </c>
      <c r="B148" s="60">
        <v>0.05</v>
      </c>
      <c r="C148" s="61">
        <v>22</v>
      </c>
      <c r="D148" s="62">
        <f ca="1">((100/F142)*C148)/100</f>
        <v>1.0000000000000002</v>
      </c>
      <c r="E148" s="201"/>
      <c r="F148" s="202"/>
      <c r="G148" s="5" t="s">
        <v>28</v>
      </c>
      <c r="H148" s="8">
        <f ca="1">(IF(C142&gt;1,(F142/(C142+2)+H147),F142/4+H147))</f>
        <v>11</v>
      </c>
    </row>
    <row r="149" spans="1:12" x14ac:dyDescent="0.25">
      <c r="A149" s="68" t="s">
        <v>42</v>
      </c>
      <c r="B149" s="60">
        <v>0.05</v>
      </c>
      <c r="C149" s="61">
        <v>22</v>
      </c>
      <c r="D149" s="62">
        <f ca="1">((100/F142)*C149)/100</f>
        <v>1.0000000000000002</v>
      </c>
      <c r="E149" s="201"/>
      <c r="F149" s="202"/>
      <c r="G149" s="5" t="s">
        <v>30</v>
      </c>
      <c r="H149" s="8">
        <f>(IF(C142&gt;1,(F142/(C142+2)+H148),0))</f>
        <v>0</v>
      </c>
    </row>
    <row r="150" spans="1:12" x14ac:dyDescent="0.25">
      <c r="A150" s="68" t="s">
        <v>33</v>
      </c>
      <c r="B150" s="60">
        <v>0.05</v>
      </c>
      <c r="C150" s="61">
        <v>22</v>
      </c>
      <c r="D150" s="62">
        <f ca="1">((100/(F142))*C150)/100</f>
        <v>1.0000000000000002</v>
      </c>
      <c r="E150" s="201"/>
      <c r="F150" s="202"/>
      <c r="G150" s="5" t="s">
        <v>32</v>
      </c>
      <c r="H150" s="8">
        <f>(IF(C142&gt;2,(F142/(C142+2)+H149),0))</f>
        <v>0</v>
      </c>
    </row>
    <row r="151" spans="1:12" x14ac:dyDescent="0.25">
      <c r="A151" s="68" t="s">
        <v>43</v>
      </c>
      <c r="B151" s="60">
        <v>0.05</v>
      </c>
      <c r="C151" s="61">
        <v>22</v>
      </c>
      <c r="D151" s="62">
        <f ca="1">((100/F142)*C151)/100</f>
        <v>1.0000000000000002</v>
      </c>
      <c r="E151" s="201"/>
      <c r="F151" s="202"/>
      <c r="G151" s="5" t="s">
        <v>34</v>
      </c>
      <c r="H151" s="9">
        <f>(IF(C142&gt;3,(F142/(C142+2)+H150),0))</f>
        <v>0</v>
      </c>
    </row>
    <row r="152" spans="1:12" x14ac:dyDescent="0.25">
      <c r="A152" s="68" t="s">
        <v>35</v>
      </c>
      <c r="B152" s="60">
        <v>0.05</v>
      </c>
      <c r="C152" s="61">
        <v>16</v>
      </c>
      <c r="D152" s="62">
        <f ca="1">((100/F142)*C152)/100</f>
        <v>0.72727272727272729</v>
      </c>
      <c r="E152" s="201"/>
      <c r="F152" s="202"/>
      <c r="G152" s="5" t="s">
        <v>36</v>
      </c>
      <c r="H152" s="8">
        <f>(IF(C142&gt;4,(F142/(C142+2)+H151),0))</f>
        <v>0</v>
      </c>
    </row>
    <row r="153" spans="1:12" x14ac:dyDescent="0.25">
      <c r="A153" s="68" t="s">
        <v>44</v>
      </c>
      <c r="B153" s="60">
        <v>2.5000000000000001E-2</v>
      </c>
      <c r="C153" s="61">
        <v>5</v>
      </c>
      <c r="D153" s="62">
        <f ca="1">((100/(F142))*C153)/100</f>
        <v>0.22727272727272729</v>
      </c>
      <c r="E153" s="201"/>
      <c r="F153" s="202"/>
      <c r="G153" s="5" t="s">
        <v>38</v>
      </c>
      <c r="H153" s="8">
        <f ca="1">(IF(C142=1,(F142/(C142+3)+H148),IF(C142=0,(F142/4+H148),IF(C142&gt;1,0))))</f>
        <v>16.5</v>
      </c>
    </row>
    <row r="154" spans="1:12" ht="15.75" thickBot="1" x14ac:dyDescent="0.3">
      <c r="A154" s="69" t="s">
        <v>39</v>
      </c>
      <c r="B154" s="64">
        <v>2.5000000000000001E-2</v>
      </c>
      <c r="C154" s="65">
        <v>0</v>
      </c>
      <c r="D154" s="66">
        <f ca="1">((100/(F142))*C154)/100</f>
        <v>0</v>
      </c>
      <c r="E154" s="203"/>
      <c r="F154" s="204"/>
      <c r="G154" s="10" t="s">
        <v>40</v>
      </c>
      <c r="H154" s="11">
        <f ca="1">(IF(C142&gt;1.5,(F142/(C142+2)+H148+MAX(0,H149-H148)+MAX(0,H150-H149)+MAX(0,H151-H150)+MAX(0,H152-H151)+MAX(0,H153-H152)),IF(C142=1,(F142/(C142+3)+H153),IF(C142=0,F142/4+H153))))</f>
        <v>22</v>
      </c>
    </row>
    <row r="155" spans="1:12" x14ac:dyDescent="0.25">
      <c r="A155" s="164" t="s">
        <v>314</v>
      </c>
      <c r="B155" s="165"/>
      <c r="C155" s="53" t="s">
        <v>9</v>
      </c>
      <c r="D155" s="53" t="s">
        <v>10</v>
      </c>
      <c r="E155" s="53" t="s">
        <v>11</v>
      </c>
      <c r="F155" s="54" t="s">
        <v>12</v>
      </c>
      <c r="G155" s="119" t="str">
        <f ca="1">(IF(E159&gt;99%,"All work completed. Please provide OC.",IF(E159&gt;89.8%,"Plinth, RCC, Brick, Plaster, Flooring, Painting work Completed. Finishing work is in process.",IF(E160&lt;94%,(IF(C159=0,"Work not yet Started.",IF(D159=25%,"Piling work in process",IF(D159=50%,"Excavation work in process",IF(D159=100%," ","")))&amp;(IF(C160=0%,"",IF(C160=H161,"Excavation work is process",IF(C160=H162,"Foudation Work in process",IF(C160=H163,"1st Basement Completed",IF(C160=H164,"1st &amp; 2nd Basement Completed",IF(C160=H165,"1st to 3rd Basement Completed",IF(C160=H166,"1st to 4th Basement Completed",IF(C160=H167,"Plinth work is process",IF(C160=H168,"Plinth work completed","0")))))))))))&amp;(IF(C161=(D156+E156+F156),", RCC Slab",IF(C161&gt;0,", RCC upto "&amp;C161&amp;" Slab",""))&amp;(IF(C162=F156,", Brickwork",IF(C162&gt;0,", Brickwork upto "&amp;C162&amp;" Floor",""))&amp;(IF(C163=F156,", Plaster",IF(C163&gt;0,", Plaster upto "&amp;C163&amp;" Floor",""))&amp;(IF(C164=F156,", Flooring ",IF(C164&gt;0,", Flooring  upto "&amp;C164&amp;" Floor",""))&amp;(IF(C165=F156,", Electrical ",IF(C165&gt;0,", Electrical  upto "&amp;C165&amp;" Floor",""))&amp;(IF(C166=F156,", Painting",IF(C166&gt;0,", Painting upto "&amp;C166&amp;" Floor",""))&amp;(IF(C167&gt;0,", Finishing upto "&amp;C167&amp;" Floor","")&amp;(IF(C161&gt;0.5," Completed",""))))))))))))))</f>
        <v>Plinth, RCC, Brick, Plaster, Flooring, Painting work Completed. Finishing work is in process.</v>
      </c>
      <c r="H155" s="2"/>
    </row>
    <row r="156" spans="1:12" x14ac:dyDescent="0.25">
      <c r="A156" s="166"/>
      <c r="B156" s="167"/>
      <c r="C156" s="55">
        <v>0</v>
      </c>
      <c r="D156" s="55">
        <v>1</v>
      </c>
      <c r="E156" s="55">
        <v>0</v>
      </c>
      <c r="F156" s="56">
        <f ca="1">--TRIM(RIGHT(SUBSTITUTE(LEFT(A155,_xlfn.AGGREGATE(16,6,FIND({0,1,2,3,4,5,6,7,8,9},A155,ROW(INDIRECT("1:"&amp;LEN(A155)))),1))," ",REPT(" ",LEN(A155))),LEN(A155)))</f>
        <v>22</v>
      </c>
      <c r="G156" s="3"/>
      <c r="H156" s="4"/>
      <c r="L156" t="s">
        <v>225</v>
      </c>
    </row>
    <row r="157" spans="1:12" ht="26.25" customHeight="1" x14ac:dyDescent="0.25">
      <c r="A157" s="57" t="s">
        <v>13</v>
      </c>
      <c r="B157" s="194" t="s">
        <v>381</v>
      </c>
      <c r="C157" s="195"/>
      <c r="D157" s="195"/>
      <c r="E157" s="195"/>
      <c r="F157" s="196"/>
      <c r="G157" s="3" t="s">
        <v>14</v>
      </c>
      <c r="H157" s="4"/>
      <c r="L157" t="s">
        <v>223</v>
      </c>
    </row>
    <row r="158" spans="1:12" x14ac:dyDescent="0.25">
      <c r="A158" s="68" t="s">
        <v>15</v>
      </c>
      <c r="B158" s="58" t="s">
        <v>16</v>
      </c>
      <c r="C158" s="59" t="s">
        <v>17</v>
      </c>
      <c r="D158" s="59" t="s">
        <v>18</v>
      </c>
      <c r="E158" s="197" t="s">
        <v>41</v>
      </c>
      <c r="F158" s="198"/>
      <c r="G158" s="5" t="s">
        <v>20</v>
      </c>
      <c r="H158" s="6">
        <f ca="1">F156*25%</f>
        <v>5.5</v>
      </c>
      <c r="L158" t="s">
        <v>224</v>
      </c>
    </row>
    <row r="159" spans="1:12" hidden="1" x14ac:dyDescent="0.25">
      <c r="A159" s="68" t="s">
        <v>21</v>
      </c>
      <c r="B159" s="60">
        <v>0.15</v>
      </c>
      <c r="C159" s="61">
        <v>22</v>
      </c>
      <c r="D159" s="62">
        <f ca="1">((100/F156)*C159)/100</f>
        <v>1.0000000000000002</v>
      </c>
      <c r="E159" s="199">
        <f ca="1">((((C160/F156)*35)+(35/(F156+E156+D156)*C161)+(5/F156*C162)+(5/F156*C163)+(5/F156*C164)+(5/F156*C165)+(5/F156*C166)+(2.5/F156*C167)+(2.5/F156*C168))/100)</f>
        <v>0.92272727272727262</v>
      </c>
      <c r="F159" s="200"/>
      <c r="G159" s="5" t="s">
        <v>22</v>
      </c>
      <c r="H159" s="7">
        <f ca="1">F156*50%</f>
        <v>11</v>
      </c>
    </row>
    <row r="160" spans="1:12" x14ac:dyDescent="0.25">
      <c r="A160" s="68" t="s">
        <v>23</v>
      </c>
      <c r="B160" s="60">
        <v>0.35</v>
      </c>
      <c r="C160" s="63">
        <f ca="1">H160</f>
        <v>22</v>
      </c>
      <c r="D160" s="62">
        <f ca="1">((100/F156)*C160)/100</f>
        <v>1.0000000000000002</v>
      </c>
      <c r="E160" s="201"/>
      <c r="F160" s="202"/>
      <c r="G160" s="5" t="s">
        <v>24</v>
      </c>
      <c r="H160" s="7">
        <f ca="1">F156</f>
        <v>22</v>
      </c>
    </row>
    <row r="161" spans="1:12" ht="24" x14ac:dyDescent="0.25">
      <c r="A161" s="68" t="s">
        <v>25</v>
      </c>
      <c r="B161" s="60">
        <v>0.35</v>
      </c>
      <c r="C161" s="118">
        <v>23</v>
      </c>
      <c r="D161" s="62">
        <f ca="1">((100/(D156+E156+F156))*C161)/100</f>
        <v>1</v>
      </c>
      <c r="E161" s="201"/>
      <c r="F161" s="202"/>
      <c r="G161" s="5" t="s">
        <v>26</v>
      </c>
      <c r="H161" s="8">
        <f ca="1">(IF(C156&gt;1,(F156/(C156+2)),F156/4))</f>
        <v>5.5</v>
      </c>
      <c r="J161" t="e">
        <f ca="1">((((#REF!/#REF!)*15)+((#REF!/#REF!)*20)+(35/(F156+E156+D156)*#REF!)+(5/#REF!*#REF!)+(5/#REF!*#REF!)+(5/#REF!*#REF!)+(5/#REF!*#REF!)+(5/#REF!*#REF!)+(2.5/#REF!*#REF!)+(2.5/#REF!*#REF!))/100)</f>
        <v>#REF!</v>
      </c>
    </row>
    <row r="162" spans="1:12" x14ac:dyDescent="0.25">
      <c r="A162" s="68" t="s">
        <v>27</v>
      </c>
      <c r="B162" s="60">
        <v>0.05</v>
      </c>
      <c r="C162" s="61">
        <v>22</v>
      </c>
      <c r="D162" s="62">
        <f ca="1">((100/F156)*C162)/100</f>
        <v>1.0000000000000002</v>
      </c>
      <c r="E162" s="201"/>
      <c r="F162" s="202"/>
      <c r="G162" s="5" t="s">
        <v>28</v>
      </c>
      <c r="H162" s="8">
        <f ca="1">(IF(C156&gt;1,(F156/(C156+2)+H161),F156/4+H161))</f>
        <v>11</v>
      </c>
    </row>
    <row r="163" spans="1:12" x14ac:dyDescent="0.25">
      <c r="A163" s="68" t="s">
        <v>42</v>
      </c>
      <c r="B163" s="60">
        <v>0.05</v>
      </c>
      <c r="C163" s="61">
        <v>22</v>
      </c>
      <c r="D163" s="62">
        <f ca="1">((100/F156)*C163)/100</f>
        <v>1.0000000000000002</v>
      </c>
      <c r="E163" s="201"/>
      <c r="F163" s="202"/>
      <c r="G163" s="5" t="s">
        <v>30</v>
      </c>
      <c r="H163" s="8">
        <f>(IF(C156&gt;1,(F156/(C156+2)+H162),0))</f>
        <v>0</v>
      </c>
      <c r="I163" t="str">
        <f ca="1">G155</f>
        <v>Plinth, RCC, Brick, Plaster, Flooring, Painting work Completed. Finishing work is in process.</v>
      </c>
    </row>
    <row r="164" spans="1:12" x14ac:dyDescent="0.25">
      <c r="A164" s="68" t="s">
        <v>33</v>
      </c>
      <c r="B164" s="60">
        <v>0.05</v>
      </c>
      <c r="C164" s="61">
        <v>22</v>
      </c>
      <c r="D164" s="62">
        <f ca="1">((100/(F156))*C164)/100</f>
        <v>1.0000000000000002</v>
      </c>
      <c r="E164" s="201"/>
      <c r="F164" s="202"/>
      <c r="G164" s="5" t="s">
        <v>32</v>
      </c>
      <c r="H164" s="8">
        <f>(IF(C156&gt;2,(F156/(C156+2)+H163),0))</f>
        <v>0</v>
      </c>
    </row>
    <row r="165" spans="1:12" x14ac:dyDescent="0.25">
      <c r="A165" s="68" t="s">
        <v>43</v>
      </c>
      <c r="B165" s="60">
        <v>0.05</v>
      </c>
      <c r="C165" s="61">
        <v>17</v>
      </c>
      <c r="D165" s="62">
        <f ca="1">((100/F156)*C165)/100</f>
        <v>0.77272727272727282</v>
      </c>
      <c r="E165" s="201"/>
      <c r="F165" s="202"/>
      <c r="G165" s="5" t="s">
        <v>34</v>
      </c>
      <c r="H165" s="9">
        <f>(IF(C156&gt;3,(F156/(C156+2)+H164),0))</f>
        <v>0</v>
      </c>
    </row>
    <row r="166" spans="1:12" x14ac:dyDescent="0.25">
      <c r="A166" s="68" t="s">
        <v>35</v>
      </c>
      <c r="B166" s="60">
        <v>0.05</v>
      </c>
      <c r="C166" s="61">
        <v>15</v>
      </c>
      <c r="D166" s="62">
        <f ca="1">((100/F156)*C166)/100</f>
        <v>0.68181818181818188</v>
      </c>
      <c r="E166" s="201"/>
      <c r="F166" s="202"/>
      <c r="G166" s="5" t="s">
        <v>36</v>
      </c>
      <c r="H166" s="8">
        <f>(IF(C156&gt;4,(F156/(C156+2)+H165),0))</f>
        <v>0</v>
      </c>
    </row>
    <row r="167" spans="1:12" x14ac:dyDescent="0.25">
      <c r="A167" s="68" t="s">
        <v>44</v>
      </c>
      <c r="B167" s="60">
        <v>2.5000000000000001E-2</v>
      </c>
      <c r="C167" s="61">
        <v>0</v>
      </c>
      <c r="D167" s="62">
        <f ca="1">((100/(F156))*C167)/100</f>
        <v>0</v>
      </c>
      <c r="E167" s="201"/>
      <c r="F167" s="202"/>
      <c r="G167" s="5" t="s">
        <v>38</v>
      </c>
      <c r="H167" s="8">
        <f ca="1">(IF(C156=1,(F156/(C156+3)+H162),IF(C156=0,(F156/4+H162),IF(C156&gt;1,0))))</f>
        <v>16.5</v>
      </c>
    </row>
    <row r="168" spans="1:12" ht="15.75" thickBot="1" x14ac:dyDescent="0.3">
      <c r="A168" s="69" t="s">
        <v>39</v>
      </c>
      <c r="B168" s="64">
        <v>2.5000000000000001E-2</v>
      </c>
      <c r="C168" s="65">
        <v>0</v>
      </c>
      <c r="D168" s="66">
        <f ca="1">((100/(F156))*C168)/100</f>
        <v>0</v>
      </c>
      <c r="E168" s="203"/>
      <c r="F168" s="204"/>
      <c r="G168" s="10" t="s">
        <v>40</v>
      </c>
      <c r="H168" s="11">
        <f ca="1">(IF(C156&gt;1.5,(F156/(C156+2)+H162+MAX(0,H163-H162)+MAX(0,H164-H163)+MAX(0,H165-H164)+MAX(0,H166-H165)+MAX(0,H167-H166)),IF(C156=1,(F156/(C156+3)+H167),IF(C156=0,F156/4+H167))))</f>
        <v>22</v>
      </c>
    </row>
    <row r="169" spans="1:12" x14ac:dyDescent="0.25">
      <c r="A169" s="164" t="s">
        <v>315</v>
      </c>
      <c r="B169" s="165"/>
      <c r="C169" s="53" t="s">
        <v>9</v>
      </c>
      <c r="D169" s="53" t="s">
        <v>10</v>
      </c>
      <c r="E169" s="53" t="s">
        <v>11</v>
      </c>
      <c r="F169" s="54" t="s">
        <v>12</v>
      </c>
      <c r="G169" s="119" t="str">
        <f ca="1">(IF(E173&gt;99%,"All work completed. Please provide OC.",IF(E173&gt;89.8%,"Plinth, RCC, Brick, Plaster, Flooring, Painting work Completed. Finishing work is in process.",IF(E174&lt;94%,(IF(C173=0,"Work not yet Started.",IF(D173=25%,"Piling work in process",IF(D173=50%,"Excavation work in process",IF(D173=100%," ","")))&amp;(IF(C174=0%,"",IF(C174=H175,"Excavation work is process",IF(C174=H176,"Foudation Work in process",IF(C174=H177,"1st Basement Completed",IF(C174=H178,"1st &amp; 2nd Basement Completed",IF(C174=H179,"1st to 3rd Basement Completed",IF(C174=H180,"1st to 4th Basement Completed",IF(C174=H181,"Plinth work is process",IF(C174=H182,"Plinth work completed","0")))))))))))&amp;(IF(C175=(D170+E170+F170),", RCC Slab",IF(C175&gt;0,", RCC upto "&amp;C175&amp;" Slab",""))&amp;(IF(C176=F170,", Brickwork",IF(C176&gt;0,", Brickwork upto "&amp;C176&amp;" Floor",""))&amp;(IF(C177=F170,", Plaster",IF(C177&gt;0,", Plaster upto "&amp;C177&amp;" Floor",""))&amp;(IF(C178=F170,", Flooring ",IF(C178&gt;0,", Flooring  upto "&amp;C178&amp;" Floor",""))&amp;(IF(C179=F170,", Electrical ",IF(C179&gt;0,", Electrical  upto "&amp;C179&amp;" Floor",""))&amp;(IF(C180=F170,", Painting",IF(C180&gt;0,", Painting upto "&amp;C180&amp;" Floor",""))&amp;(IF(C181&gt;0,", Finishing upto "&amp;C181&amp;" Floor","")&amp;(IF(C175&gt;0.5," Completed",""))))))))))))))</f>
        <v xml:space="preserve"> Plinth work completed, RCC Slab, Brickwork, Plaster, Flooring  upto 14 Floor, Electrical  upto 12 Floor, Painting upto 6 Floor Completed</v>
      </c>
      <c r="H169" s="2"/>
    </row>
    <row r="170" spans="1:12" x14ac:dyDescent="0.25">
      <c r="A170" s="166"/>
      <c r="B170" s="167"/>
      <c r="C170" s="55">
        <v>0</v>
      </c>
      <c r="D170" s="55">
        <v>1</v>
      </c>
      <c r="E170" s="55">
        <v>0</v>
      </c>
      <c r="F170" s="56">
        <f ca="1">--TRIM(RIGHT(SUBSTITUTE(LEFT(A169,_xlfn.AGGREGATE(16,6,FIND({0,1,2,3,4,5,6,7,8,9},A169,ROW(INDIRECT("1:"&amp;LEN(A169)))),1))," ",REPT(" ",LEN(A169))),LEN(A169)))</f>
        <v>22</v>
      </c>
      <c r="G170" s="3"/>
      <c r="H170" s="4"/>
      <c r="L170" t="s">
        <v>225</v>
      </c>
    </row>
    <row r="171" spans="1:12" ht="29.45" customHeight="1" x14ac:dyDescent="0.25">
      <c r="A171" s="57" t="s">
        <v>13</v>
      </c>
      <c r="B171" s="194" t="str">
        <f ca="1">G169</f>
        <v xml:space="preserve"> Plinth work completed, RCC Slab, Brickwork, Plaster, Flooring  upto 14 Floor, Electrical  upto 12 Floor, Painting upto 6 Floor Completed</v>
      </c>
      <c r="C171" s="195"/>
      <c r="D171" s="195"/>
      <c r="E171" s="195"/>
      <c r="F171" s="196"/>
      <c r="G171" s="3" t="s">
        <v>14</v>
      </c>
      <c r="H171" s="4"/>
      <c r="L171" t="s">
        <v>223</v>
      </c>
    </row>
    <row r="172" spans="1:12" x14ac:dyDescent="0.25">
      <c r="A172" s="68" t="s">
        <v>15</v>
      </c>
      <c r="B172" s="58" t="s">
        <v>16</v>
      </c>
      <c r="C172" s="59" t="s">
        <v>17</v>
      </c>
      <c r="D172" s="59" t="s">
        <v>18</v>
      </c>
      <c r="E172" s="197" t="s">
        <v>41</v>
      </c>
      <c r="F172" s="198"/>
      <c r="G172" s="5" t="s">
        <v>20</v>
      </c>
      <c r="H172" s="6">
        <f ca="1">F170*25%</f>
        <v>5.5</v>
      </c>
      <c r="L172" t="s">
        <v>224</v>
      </c>
    </row>
    <row r="173" spans="1:12" hidden="1" x14ac:dyDescent="0.25">
      <c r="A173" s="68" t="s">
        <v>21</v>
      </c>
      <c r="B173" s="60">
        <v>0.15</v>
      </c>
      <c r="C173" s="61">
        <v>22</v>
      </c>
      <c r="D173" s="62">
        <f ca="1">((100/F170)*C173)/100</f>
        <v>1.0000000000000002</v>
      </c>
      <c r="E173" s="199">
        <f ca="1">((((C174/F170)*35)+(35/(F170+E170+D170)*C175)+(5/F170*C176)+(5/F170*C177)+(5/F170*C178)+(5/F170*C179)+(5/F170*C180)+(2.5/F170*C181)+(2.5/F170*C182))/100)</f>
        <v>0.8727272727272728</v>
      </c>
      <c r="F173" s="200"/>
      <c r="G173" s="5" t="s">
        <v>22</v>
      </c>
      <c r="H173" s="7">
        <f ca="1">F170*50%</f>
        <v>11</v>
      </c>
    </row>
    <row r="174" spans="1:12" x14ac:dyDescent="0.25">
      <c r="A174" s="68" t="s">
        <v>23</v>
      </c>
      <c r="B174" s="60">
        <v>0.35</v>
      </c>
      <c r="C174" s="63">
        <f ca="1">H174</f>
        <v>22</v>
      </c>
      <c r="D174" s="62">
        <f ca="1">((100/F170)*C174)/100</f>
        <v>1.0000000000000002</v>
      </c>
      <c r="E174" s="201"/>
      <c r="F174" s="202"/>
      <c r="G174" s="5" t="s">
        <v>24</v>
      </c>
      <c r="H174" s="7">
        <f ca="1">F170</f>
        <v>22</v>
      </c>
    </row>
    <row r="175" spans="1:12" ht="24" x14ac:dyDescent="0.25">
      <c r="A175" s="68" t="s">
        <v>25</v>
      </c>
      <c r="B175" s="60">
        <v>0.35</v>
      </c>
      <c r="C175" s="118">
        <v>23</v>
      </c>
      <c r="D175" s="62">
        <f ca="1">((100/(D170+E170+F170))*C175)/100</f>
        <v>1</v>
      </c>
      <c r="E175" s="201"/>
      <c r="F175" s="202"/>
      <c r="G175" s="5" t="s">
        <v>26</v>
      </c>
      <c r="H175" s="8">
        <f ca="1">(IF(C170&gt;1,(F170/(C170+2)),F170/4))</f>
        <v>5.5</v>
      </c>
      <c r="J175" t="e">
        <f ca="1">((((#REF!/#REF!)*15)+((#REF!/#REF!)*20)+(35/(F170+E170+D170)*#REF!)+(5/#REF!*#REF!)+(5/#REF!*#REF!)+(5/#REF!*#REF!)+(5/#REF!*#REF!)+(5/#REF!*#REF!)+(2.5/#REF!*#REF!)+(2.5/#REF!*#REF!))/100)</f>
        <v>#REF!</v>
      </c>
    </row>
    <row r="176" spans="1:12" x14ac:dyDescent="0.25">
      <c r="A176" s="68" t="s">
        <v>27</v>
      </c>
      <c r="B176" s="60">
        <v>0.05</v>
      </c>
      <c r="C176" s="61">
        <v>22</v>
      </c>
      <c r="D176" s="62">
        <f ca="1">((100/F170)*C176)/100</f>
        <v>1.0000000000000002</v>
      </c>
      <c r="E176" s="201"/>
      <c r="F176" s="202"/>
      <c r="G176" s="5" t="s">
        <v>28</v>
      </c>
      <c r="H176" s="8">
        <f ca="1">(IF(C170&gt;1,(F170/(C170+2)+H175),F170/4+H175))</f>
        <v>11</v>
      </c>
    </row>
    <row r="177" spans="1:12" x14ac:dyDescent="0.25">
      <c r="A177" s="68" t="s">
        <v>42</v>
      </c>
      <c r="B177" s="60">
        <v>0.05</v>
      </c>
      <c r="C177" s="61">
        <v>22</v>
      </c>
      <c r="D177" s="62">
        <f ca="1">((100/F170)*C177)/100</f>
        <v>1.0000000000000002</v>
      </c>
      <c r="E177" s="201"/>
      <c r="F177" s="202"/>
      <c r="G177" s="5" t="s">
        <v>30</v>
      </c>
      <c r="H177" s="8">
        <f>(IF(C170&gt;1,(F170/(C170+2)+H176),0))</f>
        <v>0</v>
      </c>
    </row>
    <row r="178" spans="1:12" x14ac:dyDescent="0.25">
      <c r="A178" s="68" t="s">
        <v>33</v>
      </c>
      <c r="B178" s="60">
        <v>0.05</v>
      </c>
      <c r="C178" s="61">
        <v>14</v>
      </c>
      <c r="D178" s="62">
        <f ca="1">((100/(F170))*C178)/100</f>
        <v>0.63636363636363635</v>
      </c>
      <c r="E178" s="201"/>
      <c r="F178" s="202"/>
      <c r="G178" s="5" t="s">
        <v>32</v>
      </c>
      <c r="H178" s="8">
        <f>(IF(C170&gt;2,(F170/(C170+2)+H177),0))</f>
        <v>0</v>
      </c>
    </row>
    <row r="179" spans="1:12" x14ac:dyDescent="0.25">
      <c r="A179" s="68" t="s">
        <v>43</v>
      </c>
      <c r="B179" s="60">
        <v>0.05</v>
      </c>
      <c r="C179" s="61">
        <v>12</v>
      </c>
      <c r="D179" s="62">
        <f ca="1">((100/F170)*C179)/100</f>
        <v>0.54545454545454541</v>
      </c>
      <c r="E179" s="201"/>
      <c r="F179" s="202"/>
      <c r="G179" s="5" t="s">
        <v>34</v>
      </c>
      <c r="H179" s="9">
        <f>(IF(C170&gt;3,(F170/(C170+2)+H178),0))</f>
        <v>0</v>
      </c>
    </row>
    <row r="180" spans="1:12" x14ac:dyDescent="0.25">
      <c r="A180" s="68" t="s">
        <v>35</v>
      </c>
      <c r="B180" s="60">
        <v>0.05</v>
      </c>
      <c r="C180" s="61">
        <v>6</v>
      </c>
      <c r="D180" s="62">
        <f ca="1">((100/F170)*C180)/100</f>
        <v>0.27272727272727271</v>
      </c>
      <c r="E180" s="201"/>
      <c r="F180" s="202"/>
      <c r="G180" s="5" t="s">
        <v>36</v>
      </c>
      <c r="H180" s="8">
        <f>(IF(C170&gt;4,(F170/(C170+2)+H179),0))</f>
        <v>0</v>
      </c>
    </row>
    <row r="181" spans="1:12" x14ac:dyDescent="0.25">
      <c r="A181" s="68" t="s">
        <v>44</v>
      </c>
      <c r="B181" s="60">
        <v>2.5000000000000001E-2</v>
      </c>
      <c r="C181" s="61">
        <v>0</v>
      </c>
      <c r="D181" s="62">
        <f ca="1">((100/(F170))*C181)/100</f>
        <v>0</v>
      </c>
      <c r="E181" s="201"/>
      <c r="F181" s="202"/>
      <c r="G181" s="5" t="s">
        <v>38</v>
      </c>
      <c r="H181" s="8">
        <f ca="1">(IF(C170=1,(F170/(C170+3)+H176),IF(C170=0,(F170/4+H176),IF(C170&gt;1,0))))</f>
        <v>16.5</v>
      </c>
    </row>
    <row r="182" spans="1:12" ht="15.75" thickBot="1" x14ac:dyDescent="0.3">
      <c r="A182" s="69" t="s">
        <v>39</v>
      </c>
      <c r="B182" s="64">
        <v>2.5000000000000001E-2</v>
      </c>
      <c r="C182" s="65">
        <v>0</v>
      </c>
      <c r="D182" s="66">
        <f ca="1">((100/(F170))*C182)/100</f>
        <v>0</v>
      </c>
      <c r="E182" s="203"/>
      <c r="F182" s="204"/>
      <c r="G182" s="10" t="s">
        <v>40</v>
      </c>
      <c r="H182" s="11">
        <f ca="1">(IF(C170&gt;1.5,(F170/(C170+2)+H176+MAX(0,H177-H176)+MAX(0,H178-H177)+MAX(0,H179-H178)+MAX(0,H180-H179)+MAX(0,H181-H180)),IF(C170=1,(F170/(C170+3)+H181),IF(C170=0,F170/4+H181))))</f>
        <v>22</v>
      </c>
    </row>
    <row r="183" spans="1:12" ht="14.45" customHeight="1" x14ac:dyDescent="0.25">
      <c r="A183" s="164" t="s">
        <v>371</v>
      </c>
      <c r="B183" s="165"/>
      <c r="C183" s="53" t="s">
        <v>9</v>
      </c>
      <c r="D183" s="53" t="s">
        <v>10</v>
      </c>
      <c r="E183" s="53" t="s">
        <v>11</v>
      </c>
      <c r="F183" s="54" t="s">
        <v>12</v>
      </c>
      <c r="G183" s="119" t="str">
        <f ca="1">(IF(E187&gt;99%,"All work completed. Please provide OC.",IF(E187&gt;89.8%,"Plinth, RCC, Brick, Plaster, Flooring, Painting work Completed. Finishing work is in process.",IF(E188&lt;94%,(IF(C187=0,"Work not yet Started.",IF(D187=25%,"Piling work in process",IF(D187=50%,"Excavation work in process",IF(D187=100%," ","")))&amp;(IF(C188=0%,"",IF(C188=H189,"Excavation work is process",IF(C188=H190,"Foudation Work in process",IF(C188=H191,"1st Basement Completed",IF(C188=H192,"1st &amp; 2nd Basement Completed",IF(C188=H193,"1st to 3rd Basement Completed",IF(C188=H194,"1st to 4th Basement Completed",IF(C188=H195,"Plinth work is process",IF(C188=H196,"Plinth work completed","0")))))))))))&amp;(IF(C189=(D184+E184+F184),", RCC Slab",IF(C189&gt;0,", RCC upto "&amp;C189&amp;" Slab",""))&amp;(IF(C190=F184,", Brickwork",IF(C190&gt;0,", Brickwork upto "&amp;C190&amp;" Floor",""))&amp;(IF(C191=F184,", Plaster",IF(C191&gt;0,", Plaster upto "&amp;C191&amp;" Floor",""))&amp;(IF(C192=F184,", Flooring ",IF(C192&gt;0,", Flooring  upto "&amp;C192&amp;" Floor",""))&amp;(IF(C193=F184,", Electrical ",IF(C193&gt;0,", Electrical  upto "&amp;C193&amp;" Floor",""))&amp;(IF(C194=F184,", Painting",IF(C194&gt;0,", Painting upto "&amp;C194&amp;" Floor",""))&amp;(IF(C195&gt;0,", Finishing upto "&amp;C195&amp;" Floor","")&amp;(IF(C189&gt;0.5," Completed",""))))))))))))))</f>
        <v>Plinth work completed, RCC Slab, Brickwork upto 17 Floor, Plaster upto 6 Floor Completed</v>
      </c>
      <c r="H183" s="2"/>
    </row>
    <row r="184" spans="1:12" x14ac:dyDescent="0.25">
      <c r="A184" s="166"/>
      <c r="B184" s="167"/>
      <c r="C184" s="55">
        <v>0</v>
      </c>
      <c r="D184" s="55">
        <v>1</v>
      </c>
      <c r="E184" s="55">
        <v>0</v>
      </c>
      <c r="F184" s="56">
        <f ca="1">--TRIM(RIGHT(SUBSTITUTE(LEFT(A183,_xlfn.AGGREGATE(16,6,FIND({0,1,2,3,4,5,6,7,8,9},A183,ROW(INDIRECT("1:"&amp;LEN(A183)))),1))," ",REPT(" ",LEN(A183))),LEN(A183)))</f>
        <v>22</v>
      </c>
      <c r="G184" s="120"/>
      <c r="H184" s="4"/>
      <c r="L184" t="s">
        <v>225</v>
      </c>
    </row>
    <row r="185" spans="1:12" ht="14.45" customHeight="1" x14ac:dyDescent="0.25">
      <c r="A185" s="57" t="s">
        <v>13</v>
      </c>
      <c r="B185" s="194" t="str">
        <f ca="1">G183</f>
        <v>Plinth work completed, RCC Slab, Brickwork upto 17 Floor, Plaster upto 6 Floor Completed</v>
      </c>
      <c r="C185" s="195"/>
      <c r="D185" s="195"/>
      <c r="E185" s="195"/>
      <c r="F185" s="196"/>
      <c r="G185" s="120" t="s">
        <v>14</v>
      </c>
      <c r="H185" s="4"/>
      <c r="L185" t="s">
        <v>223</v>
      </c>
    </row>
    <row r="186" spans="1:12" x14ac:dyDescent="0.25">
      <c r="A186" s="68" t="s">
        <v>15</v>
      </c>
      <c r="B186" s="58" t="s">
        <v>16</v>
      </c>
      <c r="C186" s="59" t="s">
        <v>17</v>
      </c>
      <c r="D186" s="59" t="s">
        <v>18</v>
      </c>
      <c r="E186" s="197" t="s">
        <v>41</v>
      </c>
      <c r="F186" s="198"/>
      <c r="G186" s="121"/>
      <c r="H186" s="6"/>
      <c r="L186" t="s">
        <v>224</v>
      </c>
    </row>
    <row r="187" spans="1:12" ht="15" hidden="1" customHeight="1" x14ac:dyDescent="0.25">
      <c r="A187" s="68" t="s">
        <v>21</v>
      </c>
      <c r="B187" s="60">
        <v>0.15</v>
      </c>
      <c r="C187" s="61">
        <v>7</v>
      </c>
      <c r="D187" s="62">
        <f ca="1">((100/F184)*C187)/100</f>
        <v>0.31818181818181818</v>
      </c>
      <c r="E187" s="199">
        <f ca="1">((((C188/F184)*35)+(35/(F184+E184+D184)*C189)+(5/F184*C190)+(5/F184*C191)+(5/F184*C192)+(5/F184*C193)+(5/F184*C194)+(2.5/F184*C195)+(2.5/F184*C196))/100)</f>
        <v>0.7522727272727272</v>
      </c>
      <c r="F187" s="200"/>
      <c r="G187" s="121"/>
      <c r="H187" s="122"/>
    </row>
    <row r="188" spans="1:12" x14ac:dyDescent="0.25">
      <c r="A188" s="68" t="s">
        <v>23</v>
      </c>
      <c r="B188" s="60">
        <v>0.35</v>
      </c>
      <c r="C188" s="63">
        <f ca="1">H196</f>
        <v>22</v>
      </c>
      <c r="D188" s="62">
        <f ca="1">((100/F184)*C188)/100</f>
        <v>1.0000000000000002</v>
      </c>
      <c r="E188" s="201"/>
      <c r="F188" s="202"/>
      <c r="G188" s="121"/>
      <c r="H188" s="122"/>
    </row>
    <row r="189" spans="1:12" ht="24" x14ac:dyDescent="0.25">
      <c r="A189" s="68" t="s">
        <v>25</v>
      </c>
      <c r="B189" s="60">
        <v>0.35</v>
      </c>
      <c r="C189" s="118">
        <v>23</v>
      </c>
      <c r="D189" s="62">
        <f ca="1">((100/(D184+E184+F184))*C189)/100</f>
        <v>1</v>
      </c>
      <c r="E189" s="201"/>
      <c r="F189" s="202"/>
      <c r="G189" s="121" t="s">
        <v>369</v>
      </c>
      <c r="H189" s="8">
        <f ca="1">(IF(C184&gt;1,(F184/(C184+2)),F184/7))</f>
        <v>3.1428571428571428</v>
      </c>
    </row>
    <row r="190" spans="1:12" x14ac:dyDescent="0.25">
      <c r="A190" s="68" t="s">
        <v>27</v>
      </c>
      <c r="B190" s="60">
        <v>0.05</v>
      </c>
      <c r="C190" s="61">
        <v>17</v>
      </c>
      <c r="D190" s="62">
        <f ca="1">((100/F184)*C190)/100</f>
        <v>0.77272727272727282</v>
      </c>
      <c r="E190" s="201"/>
      <c r="F190" s="202"/>
      <c r="G190" s="121" t="s">
        <v>370</v>
      </c>
      <c r="H190" s="8">
        <f ca="1">(IF(C184&gt;1,(F184/(C184+2)),F184/3.5))</f>
        <v>6.2857142857142856</v>
      </c>
    </row>
    <row r="191" spans="1:12" x14ac:dyDescent="0.25">
      <c r="A191" s="68" t="s">
        <v>42</v>
      </c>
      <c r="B191" s="60">
        <v>0.05</v>
      </c>
      <c r="C191" s="61">
        <v>6</v>
      </c>
      <c r="D191" s="62">
        <f ca="1">((100/F184)*C191)/100</f>
        <v>0.27272727272727271</v>
      </c>
      <c r="E191" s="201"/>
      <c r="F191" s="202"/>
      <c r="G191" s="121" t="s">
        <v>30</v>
      </c>
      <c r="H191" s="8">
        <f>(IF(C184&gt;1,(F184/(C184+2)+H190),0))</f>
        <v>0</v>
      </c>
    </row>
    <row r="192" spans="1:12" x14ac:dyDescent="0.25">
      <c r="A192" s="68" t="s">
        <v>33</v>
      </c>
      <c r="B192" s="60">
        <v>0.05</v>
      </c>
      <c r="C192" s="61">
        <v>0</v>
      </c>
      <c r="D192" s="62">
        <f ca="1">((100/(F184))*C192)/100</f>
        <v>0</v>
      </c>
      <c r="E192" s="201"/>
      <c r="F192" s="202"/>
      <c r="G192" s="121" t="s">
        <v>32</v>
      </c>
      <c r="H192" s="8">
        <f>(IF(C184&gt;2,(F184/(C184+2)+H191),0))</f>
        <v>0</v>
      </c>
    </row>
    <row r="193" spans="1:13" x14ac:dyDescent="0.25">
      <c r="A193" s="68" t="s">
        <v>43</v>
      </c>
      <c r="B193" s="60">
        <v>0.05</v>
      </c>
      <c r="C193" s="61">
        <v>0</v>
      </c>
      <c r="D193" s="62">
        <f ca="1">((100/F184)*C193)/100</f>
        <v>0</v>
      </c>
      <c r="E193" s="201"/>
      <c r="F193" s="202"/>
      <c r="G193" s="121" t="s">
        <v>34</v>
      </c>
      <c r="H193" s="9">
        <f>(IF(C184&gt;3,(F184/(C184+2)+H192),0))</f>
        <v>0</v>
      </c>
    </row>
    <row r="194" spans="1:13" x14ac:dyDescent="0.25">
      <c r="A194" s="68" t="s">
        <v>35</v>
      </c>
      <c r="B194" s="60">
        <v>0.05</v>
      </c>
      <c r="C194" s="61">
        <v>0</v>
      </c>
      <c r="D194" s="62">
        <f ca="1">((100/F184)*C194)/100</f>
        <v>0</v>
      </c>
      <c r="E194" s="201"/>
      <c r="F194" s="202"/>
      <c r="G194" s="121" t="s">
        <v>36</v>
      </c>
      <c r="H194" s="8">
        <f>(IF(C184&gt;4,(F184/(C184+2)+H193),0))</f>
        <v>0</v>
      </c>
    </row>
    <row r="195" spans="1:13" x14ac:dyDescent="0.25">
      <c r="A195" s="68" t="s">
        <v>44</v>
      </c>
      <c r="B195" s="60">
        <v>2.5000000000000001E-2</v>
      </c>
      <c r="C195" s="61">
        <v>0</v>
      </c>
      <c r="D195" s="62">
        <f ca="1">((100/(F184))*C195)/100</f>
        <v>0</v>
      </c>
      <c r="E195" s="201"/>
      <c r="F195" s="202"/>
      <c r="G195" s="121" t="s">
        <v>38</v>
      </c>
      <c r="H195" s="8">
        <f ca="1">(IF(C184&gt;1,(F184/(C184+2)),F184*4/7))</f>
        <v>12.571428571428571</v>
      </c>
    </row>
    <row r="196" spans="1:13" ht="15.75" thickBot="1" x14ac:dyDescent="0.3">
      <c r="A196" s="69" t="s">
        <v>39</v>
      </c>
      <c r="B196" s="64">
        <v>2.5000000000000001E-2</v>
      </c>
      <c r="C196" s="65">
        <v>0</v>
      </c>
      <c r="D196" s="66">
        <f ca="1">((100/(F184))*C196)/100</f>
        <v>0</v>
      </c>
      <c r="E196" s="203"/>
      <c r="F196" s="204"/>
      <c r="G196" s="123" t="s">
        <v>40</v>
      </c>
      <c r="H196" s="11">
        <f ca="1">F184</f>
        <v>22</v>
      </c>
    </row>
    <row r="197" spans="1:13" s="106" customFormat="1" x14ac:dyDescent="0.25">
      <c r="A197" s="205" t="s">
        <v>121</v>
      </c>
      <c r="B197" s="206"/>
      <c r="C197" s="206"/>
      <c r="D197" s="206"/>
      <c r="E197" s="209">
        <f ca="1">AVERAGE(E145,E145,E145,E159,E173,E187,E187)</f>
        <v>0.87516233766233764</v>
      </c>
      <c r="F197" s="210"/>
    </row>
    <row r="198" spans="1:13" s="106" customFormat="1" x14ac:dyDescent="0.25">
      <c r="A198" s="207"/>
      <c r="B198" s="208"/>
      <c r="C198" s="208"/>
      <c r="D198" s="208"/>
      <c r="E198" s="208"/>
      <c r="F198" s="211"/>
      <c r="G198" s="124"/>
      <c r="H198" s="125"/>
    </row>
    <row r="199" spans="1:13" ht="15.75" thickBot="1" x14ac:dyDescent="0.3">
      <c r="A199" s="360" t="s">
        <v>49</v>
      </c>
      <c r="B199" s="361"/>
      <c r="C199" s="361"/>
      <c r="D199" s="361"/>
      <c r="E199" s="361"/>
      <c r="F199" s="362"/>
    </row>
    <row r="200" spans="1:13" ht="36" x14ac:dyDescent="0.25">
      <c r="A200" s="111" t="s">
        <v>213</v>
      </c>
      <c r="B200" s="112" t="s">
        <v>214</v>
      </c>
      <c r="C200" s="112" t="s">
        <v>215</v>
      </c>
      <c r="D200" s="112" t="s">
        <v>216</v>
      </c>
      <c r="E200" s="112" t="s">
        <v>217</v>
      </c>
      <c r="F200" s="113" t="s">
        <v>218</v>
      </c>
    </row>
    <row r="201" spans="1:13" s="82" customFormat="1" ht="30.75" thickBot="1" x14ac:dyDescent="0.3">
      <c r="A201" s="114">
        <v>1</v>
      </c>
      <c r="B201" s="115">
        <v>1</v>
      </c>
      <c r="C201" s="115">
        <v>7</v>
      </c>
      <c r="D201" s="116" t="s">
        <v>364</v>
      </c>
      <c r="E201" s="115" t="s">
        <v>343</v>
      </c>
      <c r="F201" s="117">
        <v>954</v>
      </c>
    </row>
    <row r="202" spans="1:13" s="34" customFormat="1" ht="15.75" customHeight="1" x14ac:dyDescent="0.25">
      <c r="A202" s="364" t="s">
        <v>50</v>
      </c>
      <c r="B202" s="365"/>
      <c r="C202" s="365"/>
      <c r="D202" s="365"/>
      <c r="E202" s="365"/>
      <c r="F202" s="366"/>
      <c r="G202" s="41"/>
      <c r="H202" s="41"/>
      <c r="I202"/>
      <c r="J202"/>
      <c r="K202"/>
      <c r="L202"/>
      <c r="M202"/>
    </row>
    <row r="203" spans="1:13" s="34" customFormat="1" ht="15.75" customHeight="1" x14ac:dyDescent="0.25">
      <c r="A203" s="145" t="s">
        <v>51</v>
      </c>
      <c r="B203" s="67" t="s">
        <v>52</v>
      </c>
      <c r="C203" s="351" t="s">
        <v>53</v>
      </c>
      <c r="D203" s="351"/>
      <c r="E203" s="352" t="s">
        <v>54</v>
      </c>
      <c r="F203" s="353"/>
      <c r="G203" s="363"/>
      <c r="H203" s="363"/>
      <c r="I203" s="357"/>
      <c r="J203" s="358"/>
      <c r="K203" s="358"/>
      <c r="L203" s="358"/>
    </row>
    <row r="204" spans="1:13" s="34" customFormat="1" ht="15.75" x14ac:dyDescent="0.25">
      <c r="A204" s="146" t="s">
        <v>55</v>
      </c>
      <c r="B204" s="84">
        <f>COUNT(C227:C236)+COUNT(C238:C247)</f>
        <v>20</v>
      </c>
      <c r="C204" s="333">
        <f>SUM(C227:C236)+SUM(C238:C247)</f>
        <v>3642.4837799999996</v>
      </c>
      <c r="D204" s="334"/>
      <c r="E204" s="333">
        <f>SUM(F227:F236)+SUM(F238:F247)</f>
        <v>5645.8498589999999</v>
      </c>
      <c r="F204" s="335"/>
      <c r="G204" s="154"/>
      <c r="H204" s="359"/>
      <c r="I204" s="357"/>
      <c r="J204" s="358"/>
      <c r="K204" s="358"/>
      <c r="L204" s="358"/>
    </row>
    <row r="205" spans="1:13" s="34" customFormat="1" ht="15.75" customHeight="1" x14ac:dyDescent="0.25">
      <c r="A205" s="146" t="s">
        <v>56</v>
      </c>
      <c r="B205" s="84">
        <f>COUNT(C250:C259)+COUNT(C261:C270)</f>
        <v>20</v>
      </c>
      <c r="C205" s="333">
        <f>SUM(C250:C259)+SUM(C261:C270)</f>
        <v>3643.4794499999998</v>
      </c>
      <c r="D205" s="334"/>
      <c r="E205" s="333">
        <f>SUM(F250:F259)+SUM(F261:F270)</f>
        <v>5647.3931474999999</v>
      </c>
      <c r="F205" s="335"/>
      <c r="G205" s="154"/>
      <c r="H205" s="359"/>
      <c r="I205" s="357"/>
      <c r="J205" s="358"/>
      <c r="K205" s="358"/>
      <c r="L205" s="358"/>
    </row>
    <row r="206" spans="1:13" s="34" customFormat="1" ht="15.75" x14ac:dyDescent="0.25">
      <c r="A206" s="146" t="s">
        <v>292</v>
      </c>
      <c r="B206" s="84">
        <f>COUNT(C273:C283)+COUNT(C285:C295)</f>
        <v>22</v>
      </c>
      <c r="C206" s="333">
        <f>SUM(C273:C283)+SUM(C285:C295)</f>
        <v>3283.5043799999994</v>
      </c>
      <c r="D206" s="334"/>
      <c r="E206" s="333">
        <f>SUM(F273:F283)+SUM(F285:F295)</f>
        <v>5089.4317890000002</v>
      </c>
      <c r="F206" s="335"/>
      <c r="G206" s="154"/>
      <c r="H206" s="359"/>
      <c r="I206" s="357"/>
      <c r="J206" s="358"/>
      <c r="K206" s="358"/>
      <c r="L206" s="358"/>
    </row>
    <row r="207" spans="1:13" s="34" customFormat="1" ht="15.75" customHeight="1" x14ac:dyDescent="0.25">
      <c r="A207" s="146" t="s">
        <v>293</v>
      </c>
      <c r="B207" s="84">
        <f>COUNT(C298:C302)+COUNT(C304:C308)</f>
        <v>10</v>
      </c>
      <c r="C207" s="333">
        <f>SUM(C298:C302)+SUM(C304:C308)</f>
        <v>1521.4375799999998</v>
      </c>
      <c r="D207" s="334"/>
      <c r="E207" s="333">
        <f>SUM(F298:F302)+SUM(F304:F308)</f>
        <v>2358.2282489999998</v>
      </c>
      <c r="F207" s="335"/>
      <c r="G207" s="154"/>
      <c r="H207" s="359"/>
    </row>
    <row r="208" spans="1:13" s="34" customFormat="1" ht="15.75" x14ac:dyDescent="0.25">
      <c r="A208" s="145" t="s">
        <v>57</v>
      </c>
      <c r="B208" s="85">
        <f>SUM(B204:B207)</f>
        <v>72</v>
      </c>
      <c r="C208" s="336">
        <f>SUM(C204:C207)</f>
        <v>12090.905189999999</v>
      </c>
      <c r="D208" s="337"/>
      <c r="E208" s="192">
        <f>SUM(E204:E207)</f>
        <v>18740.903044500003</v>
      </c>
      <c r="F208" s="193"/>
      <c r="G208" s="340"/>
      <c r="H208" s="341"/>
      <c r="J208" s="35"/>
    </row>
    <row r="209" spans="1:10" s="34" customFormat="1" ht="15.75" customHeight="1" x14ac:dyDescent="0.25">
      <c r="A209" s="354" t="s">
        <v>58</v>
      </c>
      <c r="B209" s="355"/>
      <c r="C209" s="355"/>
      <c r="D209" s="355"/>
      <c r="E209" s="355"/>
      <c r="F209" s="356"/>
      <c r="G209" s="41"/>
      <c r="H209" s="41"/>
      <c r="I209" s="43"/>
      <c r="J209" s="43"/>
    </row>
    <row r="210" spans="1:10" s="34" customFormat="1" ht="15.75" customHeight="1" x14ac:dyDescent="0.25">
      <c r="A210" s="145" t="s">
        <v>51</v>
      </c>
      <c r="B210" s="67" t="s">
        <v>52</v>
      </c>
      <c r="C210" s="351" t="s">
        <v>53</v>
      </c>
      <c r="D210" s="351"/>
      <c r="E210" s="352" t="s">
        <v>54</v>
      </c>
      <c r="F210" s="353"/>
      <c r="G210" s="350"/>
      <c r="H210" s="350"/>
      <c r="I210" s="43"/>
      <c r="J210" s="43"/>
    </row>
    <row r="211" spans="1:10" s="34" customFormat="1" ht="15.75" x14ac:dyDescent="0.25">
      <c r="A211" s="146" t="s">
        <v>55</v>
      </c>
      <c r="B211" s="84">
        <f>COUNT(C318:C320)+COUNT(C323:C329)*16+COUNT(C331:C337)*4</f>
        <v>143</v>
      </c>
      <c r="C211" s="333">
        <f>SUM(C318:C320)+SUM(C323:C329)*16+SUM(C331:C337)*4</f>
        <v>69308.750159999996</v>
      </c>
      <c r="D211" s="334"/>
      <c r="E211" s="333">
        <f>SUM(F318:F320)+SUM(F323:F329)*16+SUM(F331:F337)*4</f>
        <v>104247.97656</v>
      </c>
      <c r="F211" s="335"/>
      <c r="G211" s="154"/>
      <c r="H211" s="154"/>
      <c r="I211" s="43"/>
      <c r="J211" s="43"/>
    </row>
    <row r="212" spans="1:10" s="34" customFormat="1" ht="15.75" x14ac:dyDescent="0.25">
      <c r="A212" s="146" t="s">
        <v>56</v>
      </c>
      <c r="B212" s="84">
        <f>COUNT(C342:C344)+COUNT(C348:C354)*16+COUNT(C356:C362)*4</f>
        <v>143</v>
      </c>
      <c r="C212" s="333">
        <f>SUM(C342:C344)+SUM(C348:C354)*16+SUM(C356:C362)*4</f>
        <v>69308.750159999996</v>
      </c>
      <c r="D212" s="334"/>
      <c r="E212" s="333">
        <f>SUM(F342:F344)+SUM(F348:F354)*16+SUM(F356:F362)*4</f>
        <v>104247.45629999998</v>
      </c>
      <c r="F212" s="335"/>
      <c r="G212" s="154"/>
      <c r="H212" s="154"/>
      <c r="I212" s="43"/>
      <c r="J212" s="43"/>
    </row>
    <row r="213" spans="1:10" s="34" customFormat="1" ht="15.75" x14ac:dyDescent="0.25">
      <c r="A213" s="146" t="s">
        <v>302</v>
      </c>
      <c r="B213" s="84">
        <f>COUNT(C368:C371)*16+COUNT(C373:C376)*4</f>
        <v>80</v>
      </c>
      <c r="C213" s="333">
        <f>SUM(C368:C371)*16+SUM(C373:C376)*4</f>
        <v>34744.039199999992</v>
      </c>
      <c r="D213" s="334"/>
      <c r="E213" s="333">
        <f>SUM(F368:F371)*16+SUM(F373:F376)*4</f>
        <v>52116.058799999984</v>
      </c>
      <c r="F213" s="335"/>
      <c r="G213" s="154"/>
      <c r="H213" s="154"/>
      <c r="I213" s="43"/>
      <c r="J213" s="43"/>
    </row>
    <row r="214" spans="1:10" s="34" customFormat="1" ht="15.75" x14ac:dyDescent="0.25">
      <c r="A214" s="146" t="s">
        <v>292</v>
      </c>
      <c r="B214" s="84">
        <f>COUNT(C380:C383)+COUNT(C386:C391)*16+COUNT(C393:C398)*4</f>
        <v>124</v>
      </c>
      <c r="C214" s="333">
        <f>SUM(C380:C383)+SUM(C386:C391)*16+SUM(C393:C398)*4</f>
        <v>66609.56951999999</v>
      </c>
      <c r="D214" s="334"/>
      <c r="E214" s="333">
        <f>SUM(F380:F383)+SUM(F386:F391)*16+SUM(F393:F398)*4</f>
        <v>100268.59303499998</v>
      </c>
      <c r="F214" s="335"/>
      <c r="G214" s="154"/>
      <c r="H214" s="154"/>
      <c r="I214" s="43"/>
      <c r="J214" s="43"/>
    </row>
    <row r="215" spans="1:10" s="34" customFormat="1" ht="15.75" x14ac:dyDescent="0.25">
      <c r="A215" s="146" t="s">
        <v>293</v>
      </c>
      <c r="B215" s="84">
        <f>COUNT(C401,C404)+COUNT(C406:C409)*16+COUNT(C411:C414)*4</f>
        <v>82</v>
      </c>
      <c r="C215" s="333">
        <f>SUM(C401,C404)+SUM(C406:C409)*16+SUM(C411:C414)*4</f>
        <v>45557.984159999993</v>
      </c>
      <c r="D215" s="334"/>
      <c r="E215" s="333">
        <f>SUM(F401,F404)+SUM(F406:F409)*16+SUM(F411:F414)*4</f>
        <v>68499.467789999995</v>
      </c>
      <c r="F215" s="335"/>
      <c r="G215" s="154"/>
      <c r="H215" s="154"/>
      <c r="I215" s="43"/>
      <c r="J215" s="43"/>
    </row>
    <row r="216" spans="1:10" s="34" customFormat="1" ht="15.75" x14ac:dyDescent="0.25">
      <c r="A216" s="146" t="s">
        <v>307</v>
      </c>
      <c r="B216" s="84">
        <f>COUNT(C421:C423)+COUNT(C429:C431)+COUNT(C434:C440)*16+COUNT(C442:C448)*4</f>
        <v>146</v>
      </c>
      <c r="C216" s="333">
        <f>SUM(C421:C423)+SUM(C429:C431)+SUM(C434:C440)*16+SUM(C442:C448)*4</f>
        <v>71412.681599999996</v>
      </c>
      <c r="D216" s="334"/>
      <c r="E216" s="333">
        <f>SUM(F421:F423)+SUM(F429:F431)+SUM(F434:F440)*16+SUM(F442:F448)*4</f>
        <v>107119.02239999999</v>
      </c>
      <c r="F216" s="335"/>
      <c r="G216" s="154"/>
      <c r="H216" s="154"/>
      <c r="I216" s="43"/>
      <c r="J216" s="43"/>
    </row>
    <row r="217" spans="1:10" s="34" customFormat="1" ht="15.75" x14ac:dyDescent="0.25">
      <c r="A217" s="146" t="s">
        <v>309</v>
      </c>
      <c r="B217" s="84">
        <f>COUNT(C457:C458)+COUNT(C466:C467)+COUNT(C470:C477)*16+COUNT(C479:C486)*4</f>
        <v>164</v>
      </c>
      <c r="C217" s="333">
        <f>SUM(C457:C458)+SUM(C466:C467)+SUM(C470:C477)*16+SUM(C479:C486)*4</f>
        <v>95705.19971999999</v>
      </c>
      <c r="D217" s="334"/>
      <c r="E217" s="333">
        <f>SUM(F457:F458)+SUM(F466:F467)+SUM(F470:F477)*16+SUM(F479:F486)*4</f>
        <v>143557.79957999996</v>
      </c>
      <c r="F217" s="335"/>
      <c r="G217" s="154"/>
      <c r="H217" s="154"/>
      <c r="I217" s="43"/>
      <c r="J217" s="43"/>
    </row>
    <row r="218" spans="1:10" s="34" customFormat="1" ht="15.75" x14ac:dyDescent="0.25">
      <c r="A218" s="145" t="s">
        <v>57</v>
      </c>
      <c r="B218" s="85">
        <f>SUM(B211:B217)</f>
        <v>882</v>
      </c>
      <c r="C218" s="336">
        <f>SUM(C211:C217)</f>
        <v>452646.97451999999</v>
      </c>
      <c r="D218" s="337"/>
      <c r="E218" s="338">
        <f>SUM(E211:E217)</f>
        <v>680056.37446499988</v>
      </c>
      <c r="F218" s="339"/>
      <c r="G218" s="340"/>
      <c r="H218" s="341"/>
      <c r="I218" s="43"/>
      <c r="J218" s="43"/>
    </row>
    <row r="219" spans="1:10" s="34" customFormat="1" ht="15.75" x14ac:dyDescent="0.25">
      <c r="A219" s="145" t="s">
        <v>363</v>
      </c>
      <c r="B219" s="85">
        <f>B208+B218</f>
        <v>954</v>
      </c>
      <c r="C219" s="336">
        <f>C208+C218</f>
        <v>464737.87971000001</v>
      </c>
      <c r="D219" s="337"/>
      <c r="E219" s="338">
        <f>E208+E218</f>
        <v>698797.27750949992</v>
      </c>
      <c r="F219" s="339"/>
      <c r="G219" s="340"/>
      <c r="H219" s="341"/>
      <c r="I219" s="43"/>
      <c r="J219" s="43"/>
    </row>
    <row r="220" spans="1:10" s="36" customFormat="1" ht="15.75" x14ac:dyDescent="0.25">
      <c r="A220" s="342" t="s">
        <v>59</v>
      </c>
      <c r="B220" s="343"/>
      <c r="C220" s="343"/>
      <c r="D220" s="343"/>
      <c r="E220" s="343"/>
      <c r="F220" s="344"/>
      <c r="G220" s="44"/>
      <c r="H220" s="44"/>
      <c r="I220" s="45"/>
      <c r="J220" s="45"/>
    </row>
    <row r="221" spans="1:10" s="37" customFormat="1" ht="15.75" x14ac:dyDescent="0.25">
      <c r="A221" s="241" t="s">
        <v>67</v>
      </c>
      <c r="B221" s="242"/>
      <c r="C221" s="242"/>
      <c r="D221" s="242"/>
      <c r="E221" s="242"/>
      <c r="F221" s="243"/>
      <c r="G221" s="44"/>
      <c r="H221" s="44"/>
      <c r="I221" s="46"/>
      <c r="J221" s="46"/>
    </row>
    <row r="222" spans="1:10" s="37" customFormat="1" ht="26.25" customHeight="1" x14ac:dyDescent="0.25">
      <c r="A222" s="345" t="s">
        <v>75</v>
      </c>
      <c r="B222" s="328" t="s">
        <v>61</v>
      </c>
      <c r="C222" s="328" t="s">
        <v>62</v>
      </c>
      <c r="D222" s="328" t="s">
        <v>65</v>
      </c>
      <c r="E222" s="330" t="s">
        <v>63</v>
      </c>
      <c r="F222" s="147" t="s">
        <v>66</v>
      </c>
      <c r="G222" s="332"/>
      <c r="H222" s="332"/>
      <c r="I222" s="46"/>
      <c r="J222" s="46"/>
    </row>
    <row r="223" spans="1:10" s="37" customFormat="1" ht="15.75" x14ac:dyDescent="0.25">
      <c r="A223" s="346"/>
      <c r="B223" s="329"/>
      <c r="C223" s="329"/>
      <c r="D223" s="329"/>
      <c r="E223" s="331"/>
      <c r="F223" s="148">
        <v>0.55000000000000004</v>
      </c>
      <c r="G223" s="332"/>
      <c r="H223" s="332"/>
      <c r="I223" s="46"/>
      <c r="J223" s="46"/>
    </row>
    <row r="224" spans="1:10" s="36" customFormat="1" ht="15.75" x14ac:dyDescent="0.25">
      <c r="A224" s="241" t="s">
        <v>257</v>
      </c>
      <c r="B224" s="242"/>
      <c r="C224" s="242"/>
      <c r="D224" s="242"/>
      <c r="E224" s="242"/>
      <c r="F224" s="243"/>
      <c r="G224" s="44"/>
      <c r="H224" s="44"/>
      <c r="I224" s="45"/>
      <c r="J224" s="45"/>
    </row>
    <row r="225" spans="1:14" s="73" customFormat="1" ht="15.75" customHeight="1" x14ac:dyDescent="0.25">
      <c r="A225" s="347" t="s">
        <v>55</v>
      </c>
      <c r="B225" s="348"/>
      <c r="C225" s="348"/>
      <c r="D225" s="348"/>
      <c r="E225" s="348"/>
      <c r="F225" s="349"/>
      <c r="G225" s="47"/>
      <c r="H225" s="47"/>
      <c r="I225" s="48"/>
      <c r="J225" s="48"/>
      <c r="K225" s="42">
        <v>10.763999999999999</v>
      </c>
    </row>
    <row r="226" spans="1:14" s="38" customFormat="1" ht="15.75" x14ac:dyDescent="0.25">
      <c r="A226" s="244" t="s">
        <v>290</v>
      </c>
      <c r="B226" s="245"/>
      <c r="C226" s="245"/>
      <c r="D226" s="245"/>
      <c r="E226" s="245"/>
      <c r="F226" s="246"/>
      <c r="G226" s="47"/>
      <c r="H226" s="47"/>
      <c r="I226" s="48"/>
      <c r="J226" s="48"/>
      <c r="K226" s="42">
        <v>10.763999999999999</v>
      </c>
    </row>
    <row r="227" spans="1:14" s="38" customFormat="1" ht="15.75" x14ac:dyDescent="0.25">
      <c r="A227" s="149">
        <v>1</v>
      </c>
      <c r="B227" s="126" t="s">
        <v>64</v>
      </c>
      <c r="C227" s="128">
        <f>(2.9*3.8+1.95*1.2+2.9*1.2)*10.764</f>
        <v>181.26576</v>
      </c>
      <c r="D227" s="128">
        <f>C227*1.2</f>
        <v>217.518912</v>
      </c>
      <c r="E227" s="126">
        <v>0</v>
      </c>
      <c r="F227" s="150">
        <f>(C227+E227)*(($F$223)+1)</f>
        <v>280.961928</v>
      </c>
      <c r="G227" s="212">
        <f>2.9*3.8+1.95*1.2+1.2*2.9</f>
        <v>16.84</v>
      </c>
      <c r="H227" s="212"/>
      <c r="I227" s="49"/>
      <c r="J227" s="50"/>
      <c r="L227" s="240"/>
      <c r="M227" s="240"/>
      <c r="N227" s="39"/>
    </row>
    <row r="228" spans="1:14" x14ac:dyDescent="0.25">
      <c r="A228" s="149">
        <v>2</v>
      </c>
      <c r="B228" s="126" t="s">
        <v>64</v>
      </c>
      <c r="C228" s="128">
        <f>(2.4*3.8+2*1.2+2.4*1.2)*10.764</f>
        <v>155.00159999999997</v>
      </c>
      <c r="D228" s="128">
        <f t="shared" ref="D228:D236" si="1">C228*1.2</f>
        <v>186.00191999999996</v>
      </c>
      <c r="E228" s="126">
        <v>0</v>
      </c>
      <c r="F228" s="150">
        <f t="shared" ref="F228:F236" si="2">(C228+E228)*(($F$223)+1)</f>
        <v>240.25247999999996</v>
      </c>
      <c r="G228">
        <f>2.4*3.8+2*1.2+1.2*2.4</f>
        <v>14.399999999999999</v>
      </c>
    </row>
    <row r="229" spans="1:14" x14ac:dyDescent="0.25">
      <c r="A229" s="149">
        <v>3</v>
      </c>
      <c r="B229" s="126" t="s">
        <v>64</v>
      </c>
      <c r="C229" s="128">
        <f>(2.9*5.9+1.2*1.95+2.9*1.2)*10.764</f>
        <v>246.81851999999998</v>
      </c>
      <c r="D229" s="128">
        <f t="shared" si="1"/>
        <v>296.18222399999996</v>
      </c>
      <c r="E229" s="126">
        <v>0</v>
      </c>
      <c r="F229" s="150">
        <f t="shared" si="2"/>
        <v>382.56870599999996</v>
      </c>
      <c r="G229">
        <f>2.9*5.9</f>
        <v>17.11</v>
      </c>
    </row>
    <row r="230" spans="1:14" x14ac:dyDescent="0.25">
      <c r="A230" s="149">
        <v>4</v>
      </c>
      <c r="B230" s="126" t="s">
        <v>64</v>
      </c>
      <c r="C230" s="128">
        <f>(2.9*4.7+1.2*0.9+2.9*1.2)*10.764</f>
        <v>195.79715999999999</v>
      </c>
      <c r="D230" s="128">
        <f t="shared" si="1"/>
        <v>234.95659199999997</v>
      </c>
      <c r="E230" s="126">
        <v>0</v>
      </c>
      <c r="F230" s="150">
        <f t="shared" si="2"/>
        <v>303.48559799999998</v>
      </c>
    </row>
    <row r="231" spans="1:14" x14ac:dyDescent="0.25">
      <c r="A231" s="149">
        <v>5</v>
      </c>
      <c r="B231" s="126" t="s">
        <v>64</v>
      </c>
      <c r="C231" s="128">
        <f>(2.4*3.2+1.2*0.95+2.4*1.2)*10.764</f>
        <v>125.93879999999999</v>
      </c>
      <c r="D231" s="128">
        <f t="shared" si="1"/>
        <v>151.12655999999998</v>
      </c>
      <c r="E231" s="126">
        <v>0</v>
      </c>
      <c r="F231" s="150">
        <f t="shared" si="2"/>
        <v>195.20513999999997</v>
      </c>
    </row>
    <row r="232" spans="1:14" x14ac:dyDescent="0.25">
      <c r="A232" s="149">
        <v>6</v>
      </c>
      <c r="B232" s="126" t="s">
        <v>64</v>
      </c>
      <c r="C232" s="128">
        <f>(2.9*6.4+1.2*0.95+2.9*1.2)*10.764</f>
        <v>249.50951999999998</v>
      </c>
      <c r="D232" s="128">
        <f t="shared" si="1"/>
        <v>299.41142399999995</v>
      </c>
      <c r="E232" s="126">
        <v>0</v>
      </c>
      <c r="F232" s="150">
        <f t="shared" si="2"/>
        <v>386.739756</v>
      </c>
    </row>
    <row r="233" spans="1:14" x14ac:dyDescent="0.25">
      <c r="A233" s="149">
        <v>7</v>
      </c>
      <c r="B233" s="126" t="s">
        <v>64</v>
      </c>
      <c r="C233" s="128">
        <f>(4.25*4.7+4.25*1.2)*10.764</f>
        <v>269.90730000000002</v>
      </c>
      <c r="D233" s="128">
        <f t="shared" si="1"/>
        <v>323.88875999999999</v>
      </c>
      <c r="E233" s="126">
        <v>0</v>
      </c>
      <c r="F233" s="150">
        <f t="shared" si="2"/>
        <v>418.35631500000005</v>
      </c>
    </row>
    <row r="234" spans="1:14" x14ac:dyDescent="0.25">
      <c r="A234" s="149">
        <v>8</v>
      </c>
      <c r="B234" s="126" t="s">
        <v>64</v>
      </c>
      <c r="C234" s="128">
        <f>(2.9*5.9+1.2*1.95+2.9*1.2)*10.764</f>
        <v>246.81851999999998</v>
      </c>
      <c r="D234" s="128">
        <f t="shared" si="1"/>
        <v>296.18222399999996</v>
      </c>
      <c r="E234" s="126">
        <v>0</v>
      </c>
      <c r="F234" s="150">
        <f t="shared" si="2"/>
        <v>382.56870599999996</v>
      </c>
    </row>
    <row r="235" spans="1:14" x14ac:dyDescent="0.25">
      <c r="A235" s="149">
        <v>9</v>
      </c>
      <c r="B235" s="126" t="s">
        <v>64</v>
      </c>
      <c r="C235" s="128">
        <f>(2.4*3.8+2*1.2+2.4*1.2)*10.764</f>
        <v>155.00159999999997</v>
      </c>
      <c r="D235" s="128">
        <f t="shared" si="1"/>
        <v>186.00191999999996</v>
      </c>
      <c r="E235" s="126">
        <v>0</v>
      </c>
      <c r="F235" s="150">
        <f t="shared" si="2"/>
        <v>240.25247999999996</v>
      </c>
    </row>
    <row r="236" spans="1:14" x14ac:dyDescent="0.25">
      <c r="A236" s="149">
        <v>10</v>
      </c>
      <c r="B236" s="126" t="s">
        <v>64</v>
      </c>
      <c r="C236" s="128">
        <f>(2.9*3.8+1.95*1.2+2.9*1.2)*10.764</f>
        <v>181.26576</v>
      </c>
      <c r="D236" s="128">
        <f t="shared" si="1"/>
        <v>217.518912</v>
      </c>
      <c r="E236" s="126">
        <v>0</v>
      </c>
      <c r="F236" s="150">
        <f t="shared" si="2"/>
        <v>280.961928</v>
      </c>
    </row>
    <row r="237" spans="1:14" s="80" customFormat="1" ht="15.75" customHeight="1" x14ac:dyDescent="0.25">
      <c r="A237" s="244" t="s">
        <v>300</v>
      </c>
      <c r="B237" s="245"/>
      <c r="C237" s="245"/>
      <c r="D237" s="245"/>
      <c r="E237" s="245"/>
      <c r="F237" s="246"/>
      <c r="G237" s="47"/>
      <c r="H237" s="47"/>
      <c r="I237" s="48"/>
      <c r="J237" s="48"/>
      <c r="K237" s="42"/>
    </row>
    <row r="238" spans="1:14" s="80" customFormat="1" ht="15.75" x14ac:dyDescent="0.25">
      <c r="A238" s="149">
        <v>1</v>
      </c>
      <c r="B238" s="126" t="s">
        <v>64</v>
      </c>
      <c r="C238" s="128">
        <f>(2.9*3.8+1.95*1.2)*10.764</f>
        <v>143.80703999999997</v>
      </c>
      <c r="D238" s="128">
        <f>C238*1.2</f>
        <v>172.56844799999996</v>
      </c>
      <c r="E238" s="126">
        <v>0</v>
      </c>
      <c r="F238" s="150">
        <f>(C238+E238)*(($F$223)+1)</f>
        <v>222.90091199999998</v>
      </c>
      <c r="G238" s="212"/>
      <c r="H238" s="212"/>
      <c r="I238" s="49"/>
      <c r="J238" s="50"/>
      <c r="L238" s="240"/>
      <c r="M238" s="240"/>
      <c r="N238" s="39"/>
    </row>
    <row r="239" spans="1:14" x14ac:dyDescent="0.25">
      <c r="A239" s="149">
        <v>2</v>
      </c>
      <c r="B239" s="126" t="s">
        <v>64</v>
      </c>
      <c r="C239" s="128">
        <f>(2.4*3.8+2*1.2)*10.764</f>
        <v>124.00127999999999</v>
      </c>
      <c r="D239" s="128">
        <f t="shared" ref="D239:D247" si="3">C239*1.2</f>
        <v>148.801536</v>
      </c>
      <c r="E239" s="126">
        <v>0</v>
      </c>
      <c r="F239" s="150">
        <f t="shared" ref="F239:F247" si="4">(C239+E239)*(($F$223)+1)</f>
        <v>192.20198400000001</v>
      </c>
    </row>
    <row r="240" spans="1:14" x14ac:dyDescent="0.25">
      <c r="A240" s="149">
        <v>3</v>
      </c>
      <c r="B240" s="126" t="s">
        <v>64</v>
      </c>
      <c r="C240" s="128">
        <f>(2.9*5.9+1.2*1.95)*10.764</f>
        <v>209.35979999999998</v>
      </c>
      <c r="D240" s="128">
        <f t="shared" si="3"/>
        <v>251.23175999999995</v>
      </c>
      <c r="E240" s="126">
        <v>0</v>
      </c>
      <c r="F240" s="150">
        <f t="shared" si="4"/>
        <v>324.50768999999997</v>
      </c>
    </row>
    <row r="241" spans="1:14" x14ac:dyDescent="0.25">
      <c r="A241" s="149">
        <v>4</v>
      </c>
      <c r="B241" s="126" t="s">
        <v>64</v>
      </c>
      <c r="C241" s="128">
        <f>(2.9*4.7+1.25*0.9)*10.764</f>
        <v>158.82282000000001</v>
      </c>
      <c r="D241" s="128">
        <f t="shared" si="3"/>
        <v>190.58738400000001</v>
      </c>
      <c r="E241" s="126">
        <v>0</v>
      </c>
      <c r="F241" s="150">
        <f t="shared" si="4"/>
        <v>246.17537100000001</v>
      </c>
    </row>
    <row r="242" spans="1:14" x14ac:dyDescent="0.25">
      <c r="A242" s="149">
        <v>5</v>
      </c>
      <c r="B242" s="126" t="s">
        <v>64</v>
      </c>
      <c r="C242" s="128">
        <f>(2.4*3.2+1.2*0.95)*10.764</f>
        <v>94.938479999999998</v>
      </c>
      <c r="D242" s="128">
        <f t="shared" si="3"/>
        <v>113.926176</v>
      </c>
      <c r="E242" s="126">
        <v>0</v>
      </c>
      <c r="F242" s="150">
        <f t="shared" si="4"/>
        <v>147.15464399999999</v>
      </c>
    </row>
    <row r="243" spans="1:14" x14ac:dyDescent="0.25">
      <c r="A243" s="149">
        <v>6</v>
      </c>
      <c r="B243" s="126" t="s">
        <v>64</v>
      </c>
      <c r="C243" s="128">
        <f>(2.9*6.4+1.2*0.95)*10.764</f>
        <v>212.05079999999998</v>
      </c>
      <c r="D243" s="128">
        <f t="shared" si="3"/>
        <v>254.46095999999997</v>
      </c>
      <c r="E243" s="126">
        <v>0</v>
      </c>
      <c r="F243" s="150">
        <f t="shared" si="4"/>
        <v>328.67874</v>
      </c>
    </row>
    <row r="244" spans="1:14" x14ac:dyDescent="0.25">
      <c r="A244" s="149">
        <v>7</v>
      </c>
      <c r="B244" s="126" t="s">
        <v>64</v>
      </c>
      <c r="C244" s="128">
        <f>(4.25*4.7)*10.764</f>
        <v>215.01089999999999</v>
      </c>
      <c r="D244" s="128">
        <f t="shared" si="3"/>
        <v>258.01308</v>
      </c>
      <c r="E244" s="126">
        <v>0</v>
      </c>
      <c r="F244" s="150">
        <f t="shared" si="4"/>
        <v>333.26689499999998</v>
      </c>
    </row>
    <row r="245" spans="1:14" x14ac:dyDescent="0.25">
      <c r="A245" s="149">
        <v>8</v>
      </c>
      <c r="B245" s="126" t="s">
        <v>64</v>
      </c>
      <c r="C245" s="128">
        <f>(2.9*5.9+1.2*1.95)*10.764</f>
        <v>209.35979999999998</v>
      </c>
      <c r="D245" s="128">
        <f t="shared" si="3"/>
        <v>251.23175999999995</v>
      </c>
      <c r="E245" s="126">
        <v>0</v>
      </c>
      <c r="F245" s="150">
        <f t="shared" si="4"/>
        <v>324.50768999999997</v>
      </c>
    </row>
    <row r="246" spans="1:14" x14ac:dyDescent="0.25">
      <c r="A246" s="149">
        <v>9</v>
      </c>
      <c r="B246" s="126" t="s">
        <v>64</v>
      </c>
      <c r="C246" s="128">
        <f>(2.4*3.8+2*1.2)*10.764</f>
        <v>124.00127999999999</v>
      </c>
      <c r="D246" s="128">
        <f t="shared" si="3"/>
        <v>148.801536</v>
      </c>
      <c r="E246" s="126">
        <v>0</v>
      </c>
      <c r="F246" s="150">
        <f t="shared" si="4"/>
        <v>192.20198400000001</v>
      </c>
    </row>
    <row r="247" spans="1:14" s="82" customFormat="1" x14ac:dyDescent="0.25">
      <c r="A247" s="151">
        <v>10</v>
      </c>
      <c r="B247" s="129" t="s">
        <v>64</v>
      </c>
      <c r="C247" s="130">
        <f>(2.9*3.8+1.95*1.2)*10.764</f>
        <v>143.80703999999997</v>
      </c>
      <c r="D247" s="130">
        <f t="shared" si="3"/>
        <v>172.56844799999996</v>
      </c>
      <c r="E247" s="129">
        <v>0</v>
      </c>
      <c r="F247" s="152">
        <f t="shared" si="4"/>
        <v>222.90091199999998</v>
      </c>
    </row>
    <row r="248" spans="1:14" s="80" customFormat="1" ht="15.75" customHeight="1" x14ac:dyDescent="0.25">
      <c r="A248" s="265" t="s">
        <v>56</v>
      </c>
      <c r="B248" s="266"/>
      <c r="C248" s="266"/>
      <c r="D248" s="266"/>
      <c r="E248" s="266"/>
      <c r="F248" s="267"/>
      <c r="G248" s="47"/>
      <c r="H248" s="47"/>
      <c r="I248" s="48"/>
      <c r="J248" s="48"/>
      <c r="K248" s="42">
        <v>10.763999999999999</v>
      </c>
    </row>
    <row r="249" spans="1:14" s="80" customFormat="1" ht="15.75" customHeight="1" x14ac:dyDescent="0.25">
      <c r="A249" s="265" t="s">
        <v>290</v>
      </c>
      <c r="B249" s="266"/>
      <c r="C249" s="266"/>
      <c r="D249" s="266"/>
      <c r="E249" s="266"/>
      <c r="F249" s="267"/>
      <c r="G249" s="47"/>
      <c r="H249" s="47"/>
      <c r="I249" s="48"/>
      <c r="J249" s="48"/>
      <c r="K249" s="42">
        <v>10.763999999999999</v>
      </c>
    </row>
    <row r="250" spans="1:14" s="80" customFormat="1" ht="15.75" x14ac:dyDescent="0.25">
      <c r="A250" s="149">
        <v>1</v>
      </c>
      <c r="B250" s="126" t="s">
        <v>64</v>
      </c>
      <c r="C250" s="128">
        <f>(2.9*3.8+1.95*1.2+2.9*1.2)*10.764</f>
        <v>181.26576</v>
      </c>
      <c r="D250" s="128">
        <f>C250*1.2</f>
        <v>217.518912</v>
      </c>
      <c r="E250" s="126">
        <v>0</v>
      </c>
      <c r="F250" s="150">
        <f>(C250+E250)*(($F$223)+1)</f>
        <v>280.961928</v>
      </c>
      <c r="G250" s="212"/>
      <c r="H250" s="212"/>
      <c r="I250" s="49"/>
      <c r="J250" s="50"/>
      <c r="L250" s="240"/>
      <c r="M250" s="240"/>
      <c r="N250" s="39"/>
    </row>
    <row r="251" spans="1:14" x14ac:dyDescent="0.25">
      <c r="A251" s="149">
        <v>2</v>
      </c>
      <c r="B251" s="126" t="s">
        <v>64</v>
      </c>
      <c r="C251" s="128">
        <f>(2.4*3.8+2*1.2+2.4*1.2)*10.764</f>
        <v>155.00159999999997</v>
      </c>
      <c r="D251" s="128">
        <f t="shared" ref="D251:D259" si="5">C251*1.2</f>
        <v>186.00191999999996</v>
      </c>
      <c r="E251" s="126">
        <v>0</v>
      </c>
      <c r="F251" s="150">
        <f t="shared" ref="F251:F259" si="6">(C251+E251)*(($F$223)+1)</f>
        <v>240.25247999999996</v>
      </c>
    </row>
    <row r="252" spans="1:14" x14ac:dyDescent="0.25">
      <c r="A252" s="149">
        <v>3</v>
      </c>
      <c r="B252" s="126" t="s">
        <v>64</v>
      </c>
      <c r="C252" s="128">
        <f>(2.9*5.9+1.2*1.95+2.9*1.2)*10.764</f>
        <v>246.81851999999998</v>
      </c>
      <c r="D252" s="128">
        <f t="shared" si="5"/>
        <v>296.18222399999996</v>
      </c>
      <c r="E252" s="126">
        <v>0</v>
      </c>
      <c r="F252" s="150">
        <f t="shared" si="6"/>
        <v>382.56870599999996</v>
      </c>
    </row>
    <row r="253" spans="1:14" x14ac:dyDescent="0.25">
      <c r="A253" s="149">
        <v>4</v>
      </c>
      <c r="B253" s="126" t="s">
        <v>64</v>
      </c>
      <c r="C253" s="128">
        <f>(4.25*4.7+4.25*1.2)*10.764</f>
        <v>269.90730000000002</v>
      </c>
      <c r="D253" s="128">
        <f t="shared" si="5"/>
        <v>323.88875999999999</v>
      </c>
      <c r="E253" s="126">
        <v>0</v>
      </c>
      <c r="F253" s="150">
        <f t="shared" si="6"/>
        <v>418.35631500000005</v>
      </c>
    </row>
    <row r="254" spans="1:14" x14ac:dyDescent="0.25">
      <c r="A254" s="149">
        <v>5</v>
      </c>
      <c r="B254" s="126" t="s">
        <v>64</v>
      </c>
      <c r="C254" s="128">
        <f>(2.9*6.4+1.2*0.95+2.9*1.2)*10.764</f>
        <v>249.50951999999998</v>
      </c>
      <c r="D254" s="128">
        <f t="shared" si="5"/>
        <v>299.41142399999995</v>
      </c>
      <c r="E254" s="126">
        <v>0</v>
      </c>
      <c r="F254" s="150">
        <f t="shared" si="6"/>
        <v>386.739756</v>
      </c>
    </row>
    <row r="255" spans="1:14" x14ac:dyDescent="0.25">
      <c r="A255" s="149">
        <v>6</v>
      </c>
      <c r="B255" s="126" t="s">
        <v>64</v>
      </c>
      <c r="C255" s="128">
        <f>(2.4*3.2+1.2*0.95+2.4*1.2)*10.764</f>
        <v>125.93879999999999</v>
      </c>
      <c r="D255" s="128">
        <f t="shared" si="5"/>
        <v>151.12655999999998</v>
      </c>
      <c r="E255" s="126">
        <v>0</v>
      </c>
      <c r="F255" s="150">
        <f t="shared" si="6"/>
        <v>195.20513999999997</v>
      </c>
    </row>
    <row r="256" spans="1:14" x14ac:dyDescent="0.25">
      <c r="A256" s="149">
        <v>7</v>
      </c>
      <c r="B256" s="126" t="s">
        <v>64</v>
      </c>
      <c r="C256" s="128">
        <f>(2.9*4.7+1.25*0.9+2.9*1.2)*10.764</f>
        <v>196.28153999999998</v>
      </c>
      <c r="D256" s="128">
        <f t="shared" si="5"/>
        <v>235.53784799999997</v>
      </c>
      <c r="E256" s="126">
        <v>0</v>
      </c>
      <c r="F256" s="150">
        <f t="shared" si="6"/>
        <v>304.23638699999998</v>
      </c>
    </row>
    <row r="257" spans="1:14" x14ac:dyDescent="0.25">
      <c r="A257" s="149">
        <v>8</v>
      </c>
      <c r="B257" s="126" t="s">
        <v>64</v>
      </c>
      <c r="C257" s="128">
        <f>(2.9*5.9+1.2*1.95+2.9*1.2)*10.764</f>
        <v>246.81851999999998</v>
      </c>
      <c r="D257" s="128">
        <f t="shared" si="5"/>
        <v>296.18222399999996</v>
      </c>
      <c r="E257" s="126">
        <v>0</v>
      </c>
      <c r="F257" s="150">
        <f t="shared" si="6"/>
        <v>382.56870599999996</v>
      </c>
    </row>
    <row r="258" spans="1:14" x14ac:dyDescent="0.25">
      <c r="A258" s="149">
        <v>9</v>
      </c>
      <c r="B258" s="126" t="s">
        <v>64</v>
      </c>
      <c r="C258" s="128">
        <f>(2.4*3.8+2*1.2+2.4*1.2)*10.764</f>
        <v>155.00159999999997</v>
      </c>
      <c r="D258" s="128">
        <f t="shared" si="5"/>
        <v>186.00191999999996</v>
      </c>
      <c r="E258" s="126">
        <v>0</v>
      </c>
      <c r="F258" s="150">
        <f t="shared" si="6"/>
        <v>240.25247999999996</v>
      </c>
    </row>
    <row r="259" spans="1:14" x14ac:dyDescent="0.25">
      <c r="A259" s="149">
        <v>10</v>
      </c>
      <c r="B259" s="126" t="s">
        <v>64</v>
      </c>
      <c r="C259" s="128">
        <f>(2.9*3.8+1.95*1.2+2.9*1.2)*10.764</f>
        <v>181.26576</v>
      </c>
      <c r="D259" s="128">
        <f t="shared" si="5"/>
        <v>217.518912</v>
      </c>
      <c r="E259" s="126">
        <v>0</v>
      </c>
      <c r="F259" s="150">
        <f t="shared" si="6"/>
        <v>280.961928</v>
      </c>
    </row>
    <row r="260" spans="1:14" s="80" customFormat="1" ht="15.75" customHeight="1" x14ac:dyDescent="0.25">
      <c r="A260" s="244" t="s">
        <v>300</v>
      </c>
      <c r="B260" s="245"/>
      <c r="C260" s="245"/>
      <c r="D260" s="245"/>
      <c r="E260" s="245"/>
      <c r="F260" s="246"/>
      <c r="G260" s="47"/>
      <c r="H260" s="47"/>
      <c r="I260" s="48"/>
      <c r="J260" s="48"/>
      <c r="K260" s="42"/>
    </row>
    <row r="261" spans="1:14" s="80" customFormat="1" ht="15.75" x14ac:dyDescent="0.25">
      <c r="A261" s="149">
        <v>1</v>
      </c>
      <c r="B261" s="126" t="s">
        <v>64</v>
      </c>
      <c r="C261" s="128">
        <f>(2.9*3.8+1.95*1.2)*10.764</f>
        <v>143.80703999999997</v>
      </c>
      <c r="D261" s="128">
        <f>C261*1.2</f>
        <v>172.56844799999996</v>
      </c>
      <c r="E261" s="126">
        <v>0</v>
      </c>
      <c r="F261" s="150">
        <f>(C261+E261)*(($F$223)+1)</f>
        <v>222.90091199999998</v>
      </c>
      <c r="G261" s="212"/>
      <c r="H261" s="212"/>
      <c r="I261" s="49"/>
      <c r="J261" s="50"/>
      <c r="L261" s="240"/>
      <c r="M261" s="240"/>
      <c r="N261" s="39"/>
    </row>
    <row r="262" spans="1:14" x14ac:dyDescent="0.25">
      <c r="A262" s="149">
        <v>2</v>
      </c>
      <c r="B262" s="126" t="s">
        <v>64</v>
      </c>
      <c r="C262" s="128">
        <f>(2.4*3.8+2*1.2)*10.764</f>
        <v>124.00127999999999</v>
      </c>
      <c r="D262" s="128">
        <f t="shared" ref="D262:D270" si="7">C262*1.2</f>
        <v>148.801536</v>
      </c>
      <c r="E262" s="126">
        <v>0</v>
      </c>
      <c r="F262" s="150">
        <f t="shared" ref="F262:F270" si="8">(C262+E262)*(($F$223)+1)</f>
        <v>192.20198400000001</v>
      </c>
    </row>
    <row r="263" spans="1:14" x14ac:dyDescent="0.25">
      <c r="A263" s="149">
        <v>3</v>
      </c>
      <c r="B263" s="126" t="s">
        <v>64</v>
      </c>
      <c r="C263" s="128">
        <f>(2.9*5.9+1.2*1.95)*10.764</f>
        <v>209.35979999999998</v>
      </c>
      <c r="D263" s="128">
        <f t="shared" si="7"/>
        <v>251.23175999999995</v>
      </c>
      <c r="E263" s="126">
        <v>0</v>
      </c>
      <c r="F263" s="150">
        <f t="shared" si="8"/>
        <v>324.50768999999997</v>
      </c>
    </row>
    <row r="264" spans="1:14" x14ac:dyDescent="0.25">
      <c r="A264" s="149">
        <v>4</v>
      </c>
      <c r="B264" s="126" t="s">
        <v>64</v>
      </c>
      <c r="C264" s="128">
        <f>(4.25*4.7)*10.764</f>
        <v>215.01089999999999</v>
      </c>
      <c r="D264" s="128">
        <f t="shared" si="7"/>
        <v>258.01308</v>
      </c>
      <c r="E264" s="126">
        <v>0</v>
      </c>
      <c r="F264" s="150">
        <f t="shared" si="8"/>
        <v>333.26689499999998</v>
      </c>
    </row>
    <row r="265" spans="1:14" x14ac:dyDescent="0.25">
      <c r="A265" s="149">
        <v>5</v>
      </c>
      <c r="B265" s="126" t="s">
        <v>64</v>
      </c>
      <c r="C265" s="128">
        <f>(2.9*6.4+1.25*0.95)*10.764</f>
        <v>212.56208999999998</v>
      </c>
      <c r="D265" s="128">
        <f t="shared" si="7"/>
        <v>255.07450799999998</v>
      </c>
      <c r="E265" s="126">
        <v>0</v>
      </c>
      <c r="F265" s="150">
        <f t="shared" si="8"/>
        <v>329.47123949999997</v>
      </c>
    </row>
    <row r="266" spans="1:14" x14ac:dyDescent="0.25">
      <c r="A266" s="149">
        <v>6</v>
      </c>
      <c r="B266" s="126" t="s">
        <v>64</v>
      </c>
      <c r="C266" s="128">
        <f>(2.4*3.2+1.2*0.95)*10.764</f>
        <v>94.938479999999998</v>
      </c>
      <c r="D266" s="128">
        <f t="shared" si="7"/>
        <v>113.926176</v>
      </c>
      <c r="E266" s="126">
        <v>0</v>
      </c>
      <c r="F266" s="150">
        <f t="shared" si="8"/>
        <v>147.15464399999999</v>
      </c>
    </row>
    <row r="267" spans="1:14" x14ac:dyDescent="0.25">
      <c r="A267" s="149">
        <v>7</v>
      </c>
      <c r="B267" s="126" t="s">
        <v>64</v>
      </c>
      <c r="C267" s="128">
        <f>(2.9*4.7+1.25*0.9)*10.764</f>
        <v>158.82282000000001</v>
      </c>
      <c r="D267" s="128">
        <f t="shared" si="7"/>
        <v>190.58738400000001</v>
      </c>
      <c r="E267" s="126">
        <v>0</v>
      </c>
      <c r="F267" s="150">
        <f t="shared" si="8"/>
        <v>246.17537100000001</v>
      </c>
    </row>
    <row r="268" spans="1:14" x14ac:dyDescent="0.25">
      <c r="A268" s="149">
        <v>8</v>
      </c>
      <c r="B268" s="126" t="s">
        <v>64</v>
      </c>
      <c r="C268" s="128">
        <f>(2.9*5.9+1.2*1.95)*10.764</f>
        <v>209.35979999999998</v>
      </c>
      <c r="D268" s="128">
        <f t="shared" si="7"/>
        <v>251.23175999999995</v>
      </c>
      <c r="E268" s="126">
        <v>0</v>
      </c>
      <c r="F268" s="150">
        <f t="shared" si="8"/>
        <v>324.50768999999997</v>
      </c>
    </row>
    <row r="269" spans="1:14" x14ac:dyDescent="0.25">
      <c r="A269" s="149">
        <v>9</v>
      </c>
      <c r="B269" s="126" t="s">
        <v>64</v>
      </c>
      <c r="C269" s="128">
        <f>(2.4*3.8+2*1.2)*10.764</f>
        <v>124.00127999999999</v>
      </c>
      <c r="D269" s="128">
        <f t="shared" si="7"/>
        <v>148.801536</v>
      </c>
      <c r="E269" s="126">
        <v>0</v>
      </c>
      <c r="F269" s="150">
        <f t="shared" si="8"/>
        <v>192.20198400000001</v>
      </c>
    </row>
    <row r="270" spans="1:14" x14ac:dyDescent="0.25">
      <c r="A270" s="149">
        <v>10</v>
      </c>
      <c r="B270" s="126" t="s">
        <v>64</v>
      </c>
      <c r="C270" s="128">
        <f>(2.9*3.8+1.95*1.2)*10.764</f>
        <v>143.80703999999997</v>
      </c>
      <c r="D270" s="128">
        <f t="shared" si="7"/>
        <v>172.56844799999996</v>
      </c>
      <c r="E270" s="126">
        <v>0</v>
      </c>
      <c r="F270" s="150">
        <f t="shared" si="8"/>
        <v>222.90091199999998</v>
      </c>
    </row>
    <row r="271" spans="1:14" s="80" customFormat="1" ht="15.75" customHeight="1" x14ac:dyDescent="0.25">
      <c r="A271" s="265" t="s">
        <v>292</v>
      </c>
      <c r="B271" s="266"/>
      <c r="C271" s="266"/>
      <c r="D271" s="266"/>
      <c r="E271" s="266"/>
      <c r="F271" s="267"/>
      <c r="G271" s="47"/>
      <c r="H271" s="47"/>
      <c r="I271" s="48"/>
      <c r="J271" s="48"/>
      <c r="K271" s="42">
        <v>10.763999999999999</v>
      </c>
    </row>
    <row r="272" spans="1:14" s="80" customFormat="1" ht="15.75" customHeight="1" x14ac:dyDescent="0.25">
      <c r="A272" s="265" t="s">
        <v>290</v>
      </c>
      <c r="B272" s="266"/>
      <c r="C272" s="266"/>
      <c r="D272" s="266"/>
      <c r="E272" s="266"/>
      <c r="F272" s="267"/>
      <c r="G272" s="47"/>
      <c r="H272" s="47"/>
      <c r="I272" s="48"/>
      <c r="J272" s="48"/>
      <c r="K272" s="42">
        <v>10.763999999999999</v>
      </c>
    </row>
    <row r="273" spans="1:14" s="80" customFormat="1" ht="15.75" x14ac:dyDescent="0.25">
      <c r="A273" s="149">
        <v>1</v>
      </c>
      <c r="B273" s="126" t="s">
        <v>64</v>
      </c>
      <c r="C273" s="126">
        <f>(2.75*4.25+1.25*0.9)*10.764</f>
        <v>137.91374999999999</v>
      </c>
      <c r="D273" s="128">
        <f>C273*1.2</f>
        <v>165.4965</v>
      </c>
      <c r="E273" s="126">
        <v>0</v>
      </c>
      <c r="F273" s="150">
        <f>(C273+E273)*(($F$223)+1)</f>
        <v>213.7663125</v>
      </c>
      <c r="G273" s="212"/>
      <c r="H273" s="212"/>
      <c r="I273" s="49"/>
      <c r="J273" s="50"/>
      <c r="L273" s="240"/>
      <c r="M273" s="240"/>
      <c r="N273" s="39"/>
    </row>
    <row r="274" spans="1:14" x14ac:dyDescent="0.25">
      <c r="A274" s="149">
        <v>2</v>
      </c>
      <c r="B274" s="126" t="s">
        <v>64</v>
      </c>
      <c r="C274" s="126">
        <f>(2.4*4.25+1.25*0.9)*10.764</f>
        <v>121.90229999999998</v>
      </c>
      <c r="D274" s="128">
        <f t="shared" ref="D274:D283" si="9">C274*1.2</f>
        <v>146.28275999999997</v>
      </c>
      <c r="E274" s="126">
        <v>0</v>
      </c>
      <c r="F274" s="150">
        <f t="shared" ref="F274:F283" si="10">(C274+E274)*(($F$223)+1)</f>
        <v>188.94856499999997</v>
      </c>
    </row>
    <row r="275" spans="1:14" x14ac:dyDescent="0.25">
      <c r="A275" s="149">
        <v>3</v>
      </c>
      <c r="B275" s="126" t="s">
        <v>64</v>
      </c>
      <c r="C275" s="126">
        <f>(2.75*5.9+1.2*1.5)*10.764</f>
        <v>194.02110000000002</v>
      </c>
      <c r="D275" s="128">
        <f t="shared" si="9"/>
        <v>232.82532</v>
      </c>
      <c r="E275" s="126">
        <v>0</v>
      </c>
      <c r="F275" s="150">
        <f t="shared" si="10"/>
        <v>300.73270500000001</v>
      </c>
    </row>
    <row r="276" spans="1:14" x14ac:dyDescent="0.25">
      <c r="A276" s="149">
        <v>4</v>
      </c>
      <c r="B276" s="126" t="s">
        <v>64</v>
      </c>
      <c r="C276" s="126">
        <f>(2.75*4.8+1*1.2)*10.764</f>
        <v>155.00159999999997</v>
      </c>
      <c r="D276" s="128">
        <f t="shared" si="9"/>
        <v>186.00191999999996</v>
      </c>
      <c r="E276" s="126">
        <v>0</v>
      </c>
      <c r="F276" s="150">
        <f t="shared" si="10"/>
        <v>240.25247999999996</v>
      </c>
    </row>
    <row r="277" spans="1:14" x14ac:dyDescent="0.25">
      <c r="A277" s="149">
        <v>5</v>
      </c>
      <c r="B277" s="126" t="s">
        <v>64</v>
      </c>
      <c r="C277" s="126">
        <f>(2.75*3.45+2.75*1.2)*10.764</f>
        <v>137.64465000000001</v>
      </c>
      <c r="D277" s="128">
        <f t="shared" si="9"/>
        <v>165.17358000000002</v>
      </c>
      <c r="E277" s="126">
        <v>0</v>
      </c>
      <c r="F277" s="150">
        <f t="shared" si="10"/>
        <v>213.34920750000003</v>
      </c>
    </row>
    <row r="278" spans="1:14" x14ac:dyDescent="0.25">
      <c r="A278" s="149">
        <v>6</v>
      </c>
      <c r="B278" s="126" t="s">
        <v>64</v>
      </c>
      <c r="C278" s="126">
        <f>(3.55*2.75+1.2*2)*10.764</f>
        <v>130.91714999999999</v>
      </c>
      <c r="D278" s="128">
        <f t="shared" si="9"/>
        <v>157.10057999999998</v>
      </c>
      <c r="E278" s="126">
        <v>0</v>
      </c>
      <c r="F278" s="150">
        <f t="shared" si="10"/>
        <v>202.9215825</v>
      </c>
    </row>
    <row r="279" spans="1:14" x14ac:dyDescent="0.25">
      <c r="A279" s="149">
        <v>7</v>
      </c>
      <c r="B279" s="126" t="s">
        <v>64</v>
      </c>
      <c r="C279" s="126">
        <f>(3.55*2.45+1.2*1.7)*10.764</f>
        <v>115.57845</v>
      </c>
      <c r="D279" s="128">
        <f t="shared" si="9"/>
        <v>138.69414</v>
      </c>
      <c r="E279" s="126">
        <v>0</v>
      </c>
      <c r="F279" s="150">
        <f t="shared" si="10"/>
        <v>179.14659750000001</v>
      </c>
    </row>
    <row r="280" spans="1:14" x14ac:dyDescent="0.25">
      <c r="A280" s="149">
        <v>8</v>
      </c>
      <c r="B280" s="126" t="s">
        <v>64</v>
      </c>
      <c r="C280" s="126">
        <f>(4.9*2.75+1.2*1.35)*10.764</f>
        <v>162.48258000000001</v>
      </c>
      <c r="D280" s="128">
        <f t="shared" si="9"/>
        <v>194.979096</v>
      </c>
      <c r="E280" s="126">
        <v>0</v>
      </c>
      <c r="F280" s="150">
        <f t="shared" si="10"/>
        <v>251.84799900000002</v>
      </c>
    </row>
    <row r="281" spans="1:14" x14ac:dyDescent="0.25">
      <c r="A281" s="149">
        <v>9</v>
      </c>
      <c r="B281" s="126" t="s">
        <v>64</v>
      </c>
      <c r="C281" s="126">
        <f>(4.7*3.05+2.4*1.2)*10.764</f>
        <v>185.30225999999999</v>
      </c>
      <c r="D281" s="128">
        <f t="shared" si="9"/>
        <v>222.36271199999999</v>
      </c>
      <c r="E281" s="126">
        <v>0</v>
      </c>
      <c r="F281" s="150">
        <f t="shared" si="10"/>
        <v>287.218503</v>
      </c>
    </row>
    <row r="282" spans="1:14" x14ac:dyDescent="0.25">
      <c r="A282" s="149">
        <v>10</v>
      </c>
      <c r="B282" s="126" t="s">
        <v>64</v>
      </c>
      <c r="C282" s="126">
        <f>(3.35*3.05+1.2*1.7+1.2*1.7)*10.764</f>
        <v>153.89828999999997</v>
      </c>
      <c r="D282" s="128">
        <f t="shared" si="9"/>
        <v>184.67794799999996</v>
      </c>
      <c r="E282" s="126">
        <v>0</v>
      </c>
      <c r="F282" s="150">
        <f t="shared" ref="F282" si="11">(C282+E282)*(($F$223)+1)</f>
        <v>238.54234949999997</v>
      </c>
    </row>
    <row r="283" spans="1:14" x14ac:dyDescent="0.25">
      <c r="A283" s="149">
        <v>11</v>
      </c>
      <c r="B283" s="126" t="s">
        <v>64</v>
      </c>
      <c r="C283" s="126">
        <f>(3.8*2.4+2.1*1.05+1.95*1.2)*10.764</f>
        <v>147.09005999999999</v>
      </c>
      <c r="D283" s="128">
        <f t="shared" si="9"/>
        <v>176.508072</v>
      </c>
      <c r="E283" s="126">
        <v>0</v>
      </c>
      <c r="F283" s="150">
        <f t="shared" si="10"/>
        <v>227.98959299999999</v>
      </c>
    </row>
    <row r="284" spans="1:14" s="80" customFormat="1" ht="15.75" customHeight="1" x14ac:dyDescent="0.25">
      <c r="A284" s="244" t="s">
        <v>291</v>
      </c>
      <c r="B284" s="245"/>
      <c r="C284" s="245"/>
      <c r="D284" s="245"/>
      <c r="E284" s="245"/>
      <c r="F284" s="246"/>
      <c r="G284" s="47"/>
      <c r="H284" s="47"/>
      <c r="I284" s="48"/>
      <c r="J284" s="48"/>
      <c r="K284" s="42"/>
    </row>
    <row r="285" spans="1:14" s="80" customFormat="1" ht="15.75" x14ac:dyDescent="0.25">
      <c r="A285" s="149">
        <v>1</v>
      </c>
      <c r="B285" s="126" t="s">
        <v>64</v>
      </c>
      <c r="C285" s="126">
        <f>(2.75*4.25+1.25*0.9)*10.764</f>
        <v>137.91374999999999</v>
      </c>
      <c r="D285" s="128">
        <f>C285*1.2</f>
        <v>165.4965</v>
      </c>
      <c r="E285" s="126">
        <v>0</v>
      </c>
      <c r="F285" s="150">
        <f>(C285+E285)*(($F$223)+1)</f>
        <v>213.7663125</v>
      </c>
      <c r="G285" s="212"/>
      <c r="H285" s="212"/>
      <c r="I285" s="49"/>
      <c r="J285" s="50"/>
      <c r="L285" s="240"/>
      <c r="M285" s="240"/>
      <c r="N285" s="39"/>
    </row>
    <row r="286" spans="1:14" x14ac:dyDescent="0.25">
      <c r="A286" s="149">
        <v>2</v>
      </c>
      <c r="B286" s="126" t="s">
        <v>64</v>
      </c>
      <c r="C286" s="126">
        <f>(2.4*4.25+1.25*0.9)*10.764</f>
        <v>121.90229999999998</v>
      </c>
      <c r="D286" s="128">
        <f t="shared" ref="D286:D295" si="12">C286*1.2</f>
        <v>146.28275999999997</v>
      </c>
      <c r="E286" s="126">
        <v>0</v>
      </c>
      <c r="F286" s="150">
        <f t="shared" ref="F286:F295" si="13">(C286+E286)*(($F$223)+1)</f>
        <v>188.94856499999997</v>
      </c>
    </row>
    <row r="287" spans="1:14" x14ac:dyDescent="0.25">
      <c r="A287" s="149">
        <v>3</v>
      </c>
      <c r="B287" s="126" t="s">
        <v>64</v>
      </c>
      <c r="C287" s="126">
        <f>(2.75*5.9+1.2*1.5)*10.764</f>
        <v>194.02110000000002</v>
      </c>
      <c r="D287" s="128">
        <f t="shared" si="12"/>
        <v>232.82532</v>
      </c>
      <c r="E287" s="126">
        <v>0</v>
      </c>
      <c r="F287" s="150">
        <f t="shared" si="13"/>
        <v>300.73270500000001</v>
      </c>
    </row>
    <row r="288" spans="1:14" x14ac:dyDescent="0.25">
      <c r="A288" s="149">
        <v>4</v>
      </c>
      <c r="B288" s="126" t="s">
        <v>64</v>
      </c>
      <c r="C288" s="126">
        <f>(2.75*4.8+1*1.2)*10.764</f>
        <v>155.00159999999997</v>
      </c>
      <c r="D288" s="128">
        <f t="shared" si="12"/>
        <v>186.00191999999996</v>
      </c>
      <c r="E288" s="126">
        <v>0</v>
      </c>
      <c r="F288" s="150">
        <f t="shared" si="13"/>
        <v>240.25247999999996</v>
      </c>
    </row>
    <row r="289" spans="1:14" x14ac:dyDescent="0.25">
      <c r="A289" s="149">
        <v>5</v>
      </c>
      <c r="B289" s="126" t="s">
        <v>64</v>
      </c>
      <c r="C289" s="126">
        <f>(2.75*3.45+2.75*1.2)*10.764</f>
        <v>137.64465000000001</v>
      </c>
      <c r="D289" s="128">
        <f t="shared" si="12"/>
        <v>165.17358000000002</v>
      </c>
      <c r="E289" s="126">
        <v>0</v>
      </c>
      <c r="F289" s="150">
        <f t="shared" si="13"/>
        <v>213.34920750000003</v>
      </c>
    </row>
    <row r="290" spans="1:14" x14ac:dyDescent="0.25">
      <c r="A290" s="149">
        <v>6</v>
      </c>
      <c r="B290" s="126" t="s">
        <v>64</v>
      </c>
      <c r="C290" s="126">
        <f>(3.55*2.75+1.2*2)*10.764</f>
        <v>130.91714999999999</v>
      </c>
      <c r="D290" s="128">
        <f t="shared" si="12"/>
        <v>157.10057999999998</v>
      </c>
      <c r="E290" s="126">
        <v>0</v>
      </c>
      <c r="F290" s="150">
        <f t="shared" si="13"/>
        <v>202.9215825</v>
      </c>
    </row>
    <row r="291" spans="1:14" x14ac:dyDescent="0.25">
      <c r="A291" s="149">
        <v>7</v>
      </c>
      <c r="B291" s="126" t="s">
        <v>64</v>
      </c>
      <c r="C291" s="126">
        <f>(3.55*2.45+1.2*1.7)*10.764</f>
        <v>115.57845</v>
      </c>
      <c r="D291" s="128">
        <f t="shared" si="12"/>
        <v>138.69414</v>
      </c>
      <c r="E291" s="126">
        <v>0</v>
      </c>
      <c r="F291" s="150">
        <f t="shared" si="13"/>
        <v>179.14659750000001</v>
      </c>
    </row>
    <row r="292" spans="1:14" x14ac:dyDescent="0.25">
      <c r="A292" s="149">
        <v>8</v>
      </c>
      <c r="B292" s="126" t="s">
        <v>64</v>
      </c>
      <c r="C292" s="126">
        <f>(4.9*2.75+1.2*1.35)*10.764</f>
        <v>162.48258000000001</v>
      </c>
      <c r="D292" s="128">
        <f t="shared" si="12"/>
        <v>194.979096</v>
      </c>
      <c r="E292" s="126">
        <v>0</v>
      </c>
      <c r="F292" s="150">
        <f t="shared" si="13"/>
        <v>251.84799900000002</v>
      </c>
    </row>
    <row r="293" spans="1:14" x14ac:dyDescent="0.25">
      <c r="A293" s="149">
        <v>9</v>
      </c>
      <c r="B293" s="126" t="s">
        <v>64</v>
      </c>
      <c r="C293" s="126">
        <f>(4.7*3.05+2.4*1.2)*10.764</f>
        <v>185.30225999999999</v>
      </c>
      <c r="D293" s="128">
        <f t="shared" si="12"/>
        <v>222.36271199999999</v>
      </c>
      <c r="E293" s="126">
        <v>0</v>
      </c>
      <c r="F293" s="150">
        <f t="shared" si="13"/>
        <v>287.218503</v>
      </c>
    </row>
    <row r="294" spans="1:14" x14ac:dyDescent="0.25">
      <c r="A294" s="149">
        <v>10</v>
      </c>
      <c r="B294" s="126" t="s">
        <v>64</v>
      </c>
      <c r="C294" s="126">
        <f>(3.35*3.05+1.2*1.7+1.2*1.7)*10.764</f>
        <v>153.89828999999997</v>
      </c>
      <c r="D294" s="128">
        <f t="shared" si="12"/>
        <v>184.67794799999996</v>
      </c>
      <c r="E294" s="126">
        <v>0</v>
      </c>
      <c r="F294" s="150">
        <f t="shared" ref="F294" si="14">(C294+E294)*(($F$223)+1)</f>
        <v>238.54234949999997</v>
      </c>
    </row>
    <row r="295" spans="1:14" x14ac:dyDescent="0.25">
      <c r="A295" s="149">
        <v>11</v>
      </c>
      <c r="B295" s="126" t="s">
        <v>64</v>
      </c>
      <c r="C295" s="126">
        <f>(3.8*2.4+2.1*1.05+1.95*1.2)*10.764</f>
        <v>147.09005999999999</v>
      </c>
      <c r="D295" s="128">
        <f t="shared" si="12"/>
        <v>176.508072</v>
      </c>
      <c r="E295" s="126">
        <v>0</v>
      </c>
      <c r="F295" s="150">
        <f t="shared" si="13"/>
        <v>227.98959299999999</v>
      </c>
    </row>
    <row r="296" spans="1:14" s="80" customFormat="1" ht="15.75" customHeight="1" x14ac:dyDescent="0.25">
      <c r="A296" s="265" t="s">
        <v>293</v>
      </c>
      <c r="B296" s="266"/>
      <c r="C296" s="266"/>
      <c r="D296" s="266"/>
      <c r="E296" s="266"/>
      <c r="F296" s="267"/>
      <c r="G296" s="47"/>
      <c r="H296" s="47"/>
      <c r="I296" s="48"/>
      <c r="J296" s="48"/>
      <c r="K296" s="42">
        <v>10.763999999999999</v>
      </c>
    </row>
    <row r="297" spans="1:14" s="80" customFormat="1" ht="15.75" customHeight="1" x14ac:dyDescent="0.25">
      <c r="A297" s="265" t="s">
        <v>306</v>
      </c>
      <c r="B297" s="266"/>
      <c r="C297" s="266"/>
      <c r="D297" s="266"/>
      <c r="E297" s="266"/>
      <c r="F297" s="267"/>
      <c r="G297" s="47"/>
      <c r="H297" s="47"/>
      <c r="I297" s="48"/>
      <c r="J297" s="48"/>
      <c r="K297" s="42">
        <v>10.763999999999999</v>
      </c>
    </row>
    <row r="298" spans="1:14" s="80" customFormat="1" ht="15.75" x14ac:dyDescent="0.25">
      <c r="A298" s="149">
        <v>1</v>
      </c>
      <c r="B298" s="126" t="s">
        <v>64</v>
      </c>
      <c r="C298" s="126">
        <f>(3.8*2.4+1.95*1.2)*10.764</f>
        <v>123.35543999999999</v>
      </c>
      <c r="D298" s="128">
        <f>C298*1.2</f>
        <v>148.02652799999998</v>
      </c>
      <c r="E298" s="126">
        <v>0</v>
      </c>
      <c r="F298" s="150">
        <f>(C298+E298)*(($F$223)+1)</f>
        <v>191.20093199999999</v>
      </c>
      <c r="G298" s="212"/>
      <c r="H298" s="212"/>
      <c r="I298" s="49"/>
      <c r="J298" s="50"/>
      <c r="L298" s="240"/>
      <c r="M298" s="240"/>
      <c r="N298" s="39"/>
    </row>
    <row r="299" spans="1:14" x14ac:dyDescent="0.25">
      <c r="A299" s="149">
        <v>2</v>
      </c>
      <c r="B299" s="126" t="s">
        <v>64</v>
      </c>
      <c r="C299" s="126">
        <f>(5.9*3+1.95*1.05)*10.764</f>
        <v>212.56209000000001</v>
      </c>
      <c r="D299" s="128">
        <f t="shared" ref="D299:D302" si="15">C299*1.2</f>
        <v>255.07450800000001</v>
      </c>
      <c r="E299" s="126">
        <v>0</v>
      </c>
      <c r="F299" s="150">
        <f t="shared" ref="F299:F302" si="16">(C299+E299)*(($F$223)+1)</f>
        <v>329.47123950000002</v>
      </c>
    </row>
    <row r="300" spans="1:14" x14ac:dyDescent="0.25">
      <c r="A300" s="149">
        <v>3</v>
      </c>
      <c r="B300" s="126" t="s">
        <v>64</v>
      </c>
      <c r="C300" s="126">
        <f>(4.6*3.2+1.95*1.2)*10.764</f>
        <v>183.63383999999996</v>
      </c>
      <c r="D300" s="128">
        <f t="shared" si="15"/>
        <v>220.36060799999996</v>
      </c>
      <c r="E300" s="126">
        <v>0</v>
      </c>
      <c r="F300" s="150">
        <f t="shared" si="16"/>
        <v>284.63245199999994</v>
      </c>
    </row>
    <row r="301" spans="1:14" x14ac:dyDescent="0.25">
      <c r="A301" s="149">
        <v>4</v>
      </c>
      <c r="B301" s="126" t="s">
        <v>64</v>
      </c>
      <c r="C301" s="126">
        <f>(3.65*2.4+1.2*1.05)*10.764</f>
        <v>107.85527999999999</v>
      </c>
      <c r="D301" s="128">
        <f t="shared" si="15"/>
        <v>129.42633599999999</v>
      </c>
      <c r="E301" s="126">
        <v>0</v>
      </c>
      <c r="F301" s="150">
        <f t="shared" si="16"/>
        <v>167.17568399999999</v>
      </c>
    </row>
    <row r="302" spans="1:14" x14ac:dyDescent="0.25">
      <c r="A302" s="149">
        <v>5</v>
      </c>
      <c r="B302" s="126" t="s">
        <v>64</v>
      </c>
      <c r="C302" s="126">
        <f>(3.65*2.9+1.2*1.5)*10.764</f>
        <v>133.31213999999997</v>
      </c>
      <c r="D302" s="128">
        <f t="shared" si="15"/>
        <v>159.97456799999995</v>
      </c>
      <c r="E302" s="126">
        <v>0</v>
      </c>
      <c r="F302" s="150">
        <f t="shared" si="16"/>
        <v>206.63381699999996</v>
      </c>
    </row>
    <row r="303" spans="1:14" s="80" customFormat="1" ht="15.75" customHeight="1" x14ac:dyDescent="0.25">
      <c r="A303" s="265" t="s">
        <v>291</v>
      </c>
      <c r="B303" s="266"/>
      <c r="C303" s="266"/>
      <c r="D303" s="266"/>
      <c r="E303" s="266"/>
      <c r="F303" s="267"/>
      <c r="G303" s="47"/>
      <c r="H303" s="47"/>
      <c r="I303" s="48"/>
      <c r="J303" s="48"/>
      <c r="K303" s="42">
        <v>10.763999999999999</v>
      </c>
    </row>
    <row r="304" spans="1:14" s="80" customFormat="1" ht="15.75" x14ac:dyDescent="0.25">
      <c r="A304" s="149">
        <v>1</v>
      </c>
      <c r="B304" s="126" t="s">
        <v>64</v>
      </c>
      <c r="C304" s="126">
        <f>(3.8*2.4+1.95*1.2)*10.764</f>
        <v>123.35543999999999</v>
      </c>
      <c r="D304" s="128">
        <f>C304*1.2</f>
        <v>148.02652799999998</v>
      </c>
      <c r="E304" s="126">
        <v>0</v>
      </c>
      <c r="F304" s="150">
        <f>(C304+E304)*(($F$223)+1)</f>
        <v>191.20093199999999</v>
      </c>
      <c r="G304" s="212"/>
      <c r="H304" s="212"/>
      <c r="I304" s="49"/>
      <c r="J304" s="50"/>
      <c r="L304" s="240"/>
      <c r="M304" s="240"/>
      <c r="N304" s="39"/>
    </row>
    <row r="305" spans="1:14" x14ac:dyDescent="0.25">
      <c r="A305" s="149">
        <v>2</v>
      </c>
      <c r="B305" s="126" t="s">
        <v>64</v>
      </c>
      <c r="C305" s="126">
        <f>(5.9*3+1.95*1.05)*10.764</f>
        <v>212.56209000000001</v>
      </c>
      <c r="D305" s="128">
        <f t="shared" ref="D305:D308" si="17">C305*1.2</f>
        <v>255.07450800000001</v>
      </c>
      <c r="E305" s="126">
        <v>0</v>
      </c>
      <c r="F305" s="150">
        <f t="shared" ref="F305:F308" si="18">(C305+E305)*(($F$223)+1)</f>
        <v>329.47123950000002</v>
      </c>
    </row>
    <row r="306" spans="1:14" x14ac:dyDescent="0.25">
      <c r="A306" s="149">
        <v>3</v>
      </c>
      <c r="B306" s="126" t="s">
        <v>64</v>
      </c>
      <c r="C306" s="126">
        <f>(4.6*3.2+1.95*1.2)*10.764</f>
        <v>183.63383999999996</v>
      </c>
      <c r="D306" s="128">
        <f t="shared" si="17"/>
        <v>220.36060799999996</v>
      </c>
      <c r="E306" s="126">
        <v>0</v>
      </c>
      <c r="F306" s="150">
        <f t="shared" si="18"/>
        <v>284.63245199999994</v>
      </c>
    </row>
    <row r="307" spans="1:14" x14ac:dyDescent="0.25">
      <c r="A307" s="149">
        <v>4</v>
      </c>
      <c r="B307" s="126" t="s">
        <v>64</v>
      </c>
      <c r="C307" s="126">
        <f>(3.65*2.4+1.2*1.05)*10.764</f>
        <v>107.85527999999999</v>
      </c>
      <c r="D307" s="128">
        <f t="shared" si="17"/>
        <v>129.42633599999999</v>
      </c>
      <c r="E307" s="126">
        <v>0</v>
      </c>
      <c r="F307" s="150">
        <f t="shared" si="18"/>
        <v>167.17568399999999</v>
      </c>
    </row>
    <row r="308" spans="1:14" x14ac:dyDescent="0.25">
      <c r="A308" s="149">
        <v>5</v>
      </c>
      <c r="B308" s="126" t="s">
        <v>64</v>
      </c>
      <c r="C308" s="126">
        <f>(3.65*2.9+1.2*1.5)*10.764</f>
        <v>133.31213999999997</v>
      </c>
      <c r="D308" s="128">
        <f t="shared" si="17"/>
        <v>159.97456799999995</v>
      </c>
      <c r="E308" s="126">
        <v>0</v>
      </c>
      <c r="F308" s="150">
        <f t="shared" si="18"/>
        <v>206.63381699999996</v>
      </c>
    </row>
    <row r="309" spans="1:14" s="37" customFormat="1" ht="15.75" x14ac:dyDescent="0.25">
      <c r="A309" s="268"/>
      <c r="B309" s="269"/>
      <c r="C309" s="269"/>
      <c r="D309" s="269"/>
      <c r="E309" s="269"/>
      <c r="F309" s="270"/>
      <c r="G309" s="44"/>
      <c r="H309" s="44"/>
      <c r="I309" s="46"/>
      <c r="J309" s="46"/>
    </row>
    <row r="310" spans="1:14" s="37" customFormat="1" ht="15.75" x14ac:dyDescent="0.25">
      <c r="A310" s="241" t="s">
        <v>60</v>
      </c>
      <c r="B310" s="242"/>
      <c r="C310" s="242"/>
      <c r="D310" s="242"/>
      <c r="E310" s="242"/>
      <c r="F310" s="243"/>
      <c r="G310" s="44"/>
      <c r="H310" s="44"/>
      <c r="I310" s="46"/>
      <c r="J310" s="46"/>
    </row>
    <row r="311" spans="1:14" s="37" customFormat="1" ht="25.5" customHeight="1" x14ac:dyDescent="0.25">
      <c r="A311" s="326" t="s">
        <v>75</v>
      </c>
      <c r="B311" s="328" t="s">
        <v>76</v>
      </c>
      <c r="C311" s="328" t="s">
        <v>62</v>
      </c>
      <c r="D311" s="328" t="s">
        <v>65</v>
      </c>
      <c r="E311" s="330" t="s">
        <v>63</v>
      </c>
      <c r="F311" s="147" t="s">
        <v>66</v>
      </c>
      <c r="G311" s="332"/>
      <c r="H311" s="332"/>
      <c r="I311" s="46"/>
      <c r="J311" s="46"/>
    </row>
    <row r="312" spans="1:14" s="37" customFormat="1" ht="15.75" x14ac:dyDescent="0.25">
      <c r="A312" s="327"/>
      <c r="B312" s="329"/>
      <c r="C312" s="329"/>
      <c r="D312" s="329"/>
      <c r="E312" s="331"/>
      <c r="F312" s="148">
        <v>0.5</v>
      </c>
      <c r="G312" s="332"/>
      <c r="H312" s="332"/>
      <c r="I312" s="46"/>
      <c r="J312" s="46"/>
    </row>
    <row r="313" spans="1:14" s="36" customFormat="1" ht="15.75" x14ac:dyDescent="0.25">
      <c r="A313" s="241" t="s">
        <v>55</v>
      </c>
      <c r="B313" s="242"/>
      <c r="C313" s="242"/>
      <c r="D313" s="242"/>
      <c r="E313" s="242"/>
      <c r="F313" s="243"/>
      <c r="G313" s="44"/>
      <c r="H313" s="44"/>
      <c r="I313" s="45"/>
      <c r="J313" s="45"/>
    </row>
    <row r="314" spans="1:14" s="40" customFormat="1" ht="15.75" customHeight="1" x14ac:dyDescent="0.25">
      <c r="A314" s="313" t="s">
        <v>296</v>
      </c>
      <c r="B314" s="314"/>
      <c r="C314" s="314"/>
      <c r="D314" s="314"/>
      <c r="E314" s="314"/>
      <c r="F314" s="315"/>
      <c r="G314" s="47"/>
      <c r="H314" s="47"/>
      <c r="I314" s="48"/>
      <c r="J314" s="48"/>
      <c r="K314" s="42">
        <v>10.763999999999999</v>
      </c>
    </row>
    <row r="315" spans="1:14" s="40" customFormat="1" ht="15.75" x14ac:dyDescent="0.25">
      <c r="A315" s="149">
        <v>1</v>
      </c>
      <c r="B315" s="304" t="s">
        <v>161</v>
      </c>
      <c r="C315" s="305"/>
      <c r="D315" s="305"/>
      <c r="E315" s="306"/>
      <c r="F315" s="150">
        <f>C315*(($F$312)+1)+(IF(E315&lt;101,E315,IF(E315&lt;201,E315/2,IF(E315&lt;=301,E315/3,E315/4))))</f>
        <v>0</v>
      </c>
      <c r="I315" s="49"/>
      <c r="J315" s="50"/>
      <c r="L315" s="240"/>
      <c r="M315" s="240"/>
      <c r="N315" s="39"/>
    </row>
    <row r="316" spans="1:14" ht="15.75" customHeight="1" x14ac:dyDescent="0.25">
      <c r="A316" s="149">
        <v>2</v>
      </c>
      <c r="B316" s="307"/>
      <c r="C316" s="308"/>
      <c r="D316" s="308"/>
      <c r="E316" s="309"/>
      <c r="F316" s="150">
        <f t="shared" ref="F316:F321" si="19">C316*(($F$312)+1)+(IF(E316&lt;101,E316,IF(E316&lt;201,E316/2,IF(E316&lt;=301,E316/3,E316/4))))</f>
        <v>0</v>
      </c>
    </row>
    <row r="317" spans="1:14" ht="15.75" customHeight="1" x14ac:dyDescent="0.25">
      <c r="A317" s="149">
        <v>3</v>
      </c>
      <c r="B317" s="310"/>
      <c r="C317" s="311"/>
      <c r="D317" s="311"/>
      <c r="E317" s="312"/>
      <c r="F317" s="150">
        <f t="shared" si="19"/>
        <v>0</v>
      </c>
    </row>
    <row r="318" spans="1:14" ht="15.75" x14ac:dyDescent="0.25">
      <c r="A318" s="149">
        <v>4</v>
      </c>
      <c r="B318" s="128" t="s">
        <v>295</v>
      </c>
      <c r="C318" s="128">
        <f>((51.58))*10.764</f>
        <v>555.20711999999992</v>
      </c>
      <c r="D318" s="128">
        <f t="shared" ref="D318:D337" si="20">C318*1.2</f>
        <v>666.24854399999992</v>
      </c>
      <c r="E318" s="128">
        <f>(2.9*2.25+2.4*1.5+2.9*2.5+2.9*2.5)*10.764</f>
        <v>265.06349999999998</v>
      </c>
      <c r="F318" s="150">
        <f t="shared" si="19"/>
        <v>921.16517999999985</v>
      </c>
      <c r="G318" s="212">
        <f>2.9*3.65+1.35*2.1+2.4*2.75+2.9*3.05+1.95*0.45+2*1.2+2.9*3.65+1.2*2.05+2.9*1.2</f>
        <v>48.667499999999997</v>
      </c>
      <c r="H318" s="212"/>
    </row>
    <row r="319" spans="1:14" x14ac:dyDescent="0.25">
      <c r="A319" s="149">
        <v>5</v>
      </c>
      <c r="B319" s="128" t="s">
        <v>294</v>
      </c>
      <c r="C319" s="128">
        <f>((35.22))*10.764</f>
        <v>379.10807999999997</v>
      </c>
      <c r="D319" s="128">
        <f t="shared" si="20"/>
        <v>454.92969599999998</v>
      </c>
      <c r="E319" s="128">
        <f>((2.9*3.2)+(2.4+2.9)*1.5+(1.2*0.8))*10.764</f>
        <v>195.79715999999996</v>
      </c>
      <c r="F319" s="150">
        <f t="shared" si="19"/>
        <v>666.5607</v>
      </c>
      <c r="G319">
        <f>2.9*3.5+1.2*2.9+1.2*2+2.4*2.15+2.9*3.2+1.2*2.05+0.9*2.4</f>
        <v>35.090000000000003</v>
      </c>
    </row>
    <row r="320" spans="1:14" x14ac:dyDescent="0.25">
      <c r="A320" s="149">
        <v>6</v>
      </c>
      <c r="B320" s="128" t="s">
        <v>295</v>
      </c>
      <c r="C320" s="128">
        <f>((52.86))*10.764</f>
        <v>568.98503999999991</v>
      </c>
      <c r="D320" s="128">
        <f t="shared" si="20"/>
        <v>682.78204799999992</v>
      </c>
      <c r="E320" s="128">
        <f>((2.9+2.9+1.2)*2.5+(2.9*2.2)+(2.4*1.5))*10.764</f>
        <v>295.79471999999993</v>
      </c>
      <c r="F320" s="150">
        <f t="shared" si="19"/>
        <v>952.07579999999984</v>
      </c>
    </row>
    <row r="321" spans="1:7" x14ac:dyDescent="0.25">
      <c r="A321" s="149">
        <v>7</v>
      </c>
      <c r="B321" s="304" t="s">
        <v>161</v>
      </c>
      <c r="C321" s="305"/>
      <c r="D321" s="305"/>
      <c r="E321" s="306"/>
      <c r="F321" s="150">
        <f t="shared" si="19"/>
        <v>0</v>
      </c>
    </row>
    <row r="322" spans="1:7" x14ac:dyDescent="0.25">
      <c r="A322" s="216" t="s">
        <v>297</v>
      </c>
      <c r="B322" s="217"/>
      <c r="C322" s="217"/>
      <c r="D322" s="217"/>
      <c r="E322" s="217"/>
      <c r="F322" s="218"/>
    </row>
    <row r="323" spans="1:7" x14ac:dyDescent="0.25">
      <c r="A323" s="153">
        <v>1</v>
      </c>
      <c r="B323" s="99" t="s">
        <v>294</v>
      </c>
      <c r="C323" s="127">
        <f>(34.49+0.6*(2.75+2.75)+0.75*2.4)*10.764</f>
        <v>426.14675999999992</v>
      </c>
      <c r="D323" s="128">
        <f t="shared" si="20"/>
        <v>511.37611199999986</v>
      </c>
      <c r="E323" s="126">
        <v>0</v>
      </c>
      <c r="F323" s="150">
        <f t="shared" ref="F323:F329" si="21">C323*(($F$312)+1)+(IF(E323&lt;101,E323,IF(E323&lt;201,E323/2,IF(E323&lt;=301,E323/3,E323/4))))</f>
        <v>639.2201399999999</v>
      </c>
      <c r="G323">
        <f>3.5*2.75+1.25*2.75+2.3*2.4+3.05*2.75+1.8*0.45+1.2*2+2*1.2+0.9*2.4</f>
        <v>34.739999999999995</v>
      </c>
    </row>
    <row r="324" spans="1:7" x14ac:dyDescent="0.25">
      <c r="A324" s="153">
        <v>2</v>
      </c>
      <c r="B324" s="99" t="s">
        <v>294</v>
      </c>
      <c r="C324" s="127">
        <f>(34.49+0.6*(2.75+2.75)+0.75*2.4)*10.764</f>
        <v>426.14675999999992</v>
      </c>
      <c r="D324" s="128">
        <f t="shared" si="20"/>
        <v>511.37611199999986</v>
      </c>
      <c r="E324" s="126">
        <v>0</v>
      </c>
      <c r="F324" s="150">
        <f t="shared" si="21"/>
        <v>639.2201399999999</v>
      </c>
    </row>
    <row r="325" spans="1:7" x14ac:dyDescent="0.25">
      <c r="A325" s="153">
        <v>3</v>
      </c>
      <c r="B325" s="99" t="s">
        <v>294</v>
      </c>
      <c r="C325" s="127">
        <f>(35.07+0.6*(2.9+2.9)+0.75*2.4)*10.764</f>
        <v>434.3273999999999</v>
      </c>
      <c r="D325" s="128">
        <f t="shared" si="20"/>
        <v>521.19287999999983</v>
      </c>
      <c r="E325" s="126">
        <v>0</v>
      </c>
      <c r="F325" s="150">
        <f t="shared" si="21"/>
        <v>651.49109999999985</v>
      </c>
    </row>
    <row r="326" spans="1:7" x14ac:dyDescent="0.25">
      <c r="A326" s="153">
        <v>4</v>
      </c>
      <c r="B326" s="99" t="s">
        <v>295</v>
      </c>
      <c r="C326" s="127">
        <f>(51.46+0.6*(2.9+2.9+2.9)+0.75*2.4)*10.764</f>
        <v>629.47871999999995</v>
      </c>
      <c r="D326" s="128">
        <f t="shared" si="20"/>
        <v>755.37446399999988</v>
      </c>
      <c r="E326" s="126">
        <v>0</v>
      </c>
      <c r="F326" s="150">
        <f t="shared" si="21"/>
        <v>944.21807999999987</v>
      </c>
    </row>
    <row r="327" spans="1:7" x14ac:dyDescent="0.25">
      <c r="A327" s="153">
        <v>5</v>
      </c>
      <c r="B327" s="99" t="s">
        <v>294</v>
      </c>
      <c r="C327" s="127">
        <f>(35.04+0.6*(2.9+2.9)+0.75*2.4)*10.764</f>
        <v>434.00447999999989</v>
      </c>
      <c r="D327" s="128">
        <f t="shared" si="20"/>
        <v>520.8053759999998</v>
      </c>
      <c r="E327" s="126">
        <v>0</v>
      </c>
      <c r="F327" s="150">
        <f t="shared" si="21"/>
        <v>651.00671999999986</v>
      </c>
    </row>
    <row r="328" spans="1:7" x14ac:dyDescent="0.25">
      <c r="A328" s="153">
        <v>6</v>
      </c>
      <c r="B328" s="99" t="s">
        <v>295</v>
      </c>
      <c r="C328" s="127">
        <f>(52.74+0.6*(2.9+2.9+2.9)+0.75*2.4)*10.764</f>
        <v>643.25663999999995</v>
      </c>
      <c r="D328" s="128">
        <f t="shared" si="20"/>
        <v>771.90796799999987</v>
      </c>
      <c r="E328" s="126">
        <v>0</v>
      </c>
      <c r="F328" s="150">
        <f t="shared" si="21"/>
        <v>964.88495999999986</v>
      </c>
    </row>
    <row r="329" spans="1:7" x14ac:dyDescent="0.25">
      <c r="A329" s="153">
        <v>7</v>
      </c>
      <c r="B329" s="99" t="s">
        <v>294</v>
      </c>
      <c r="C329" s="127">
        <f>(35.07+0.6*(2.9+2.9)+0.75*2.4)*10.764</f>
        <v>434.3273999999999</v>
      </c>
      <c r="D329" s="128">
        <f t="shared" si="20"/>
        <v>521.19287999999983</v>
      </c>
      <c r="E329" s="126">
        <v>0</v>
      </c>
      <c r="F329" s="150">
        <f t="shared" si="21"/>
        <v>651.49109999999985</v>
      </c>
    </row>
    <row r="330" spans="1:7" x14ac:dyDescent="0.25">
      <c r="A330" s="216" t="s">
        <v>299</v>
      </c>
      <c r="B330" s="217"/>
      <c r="C330" s="217"/>
      <c r="D330" s="217"/>
      <c r="E330" s="217"/>
      <c r="F330" s="218"/>
    </row>
    <row r="331" spans="1:7" x14ac:dyDescent="0.25">
      <c r="A331" s="153">
        <v>1</v>
      </c>
      <c r="B331" s="99" t="s">
        <v>294</v>
      </c>
      <c r="C331" s="127">
        <f>(34.49+0.6*(2.75+2.75)+0.75*2.4)*10.764</f>
        <v>426.14675999999992</v>
      </c>
      <c r="D331" s="128">
        <f t="shared" si="20"/>
        <v>511.37611199999986</v>
      </c>
      <c r="E331" s="126">
        <v>0</v>
      </c>
      <c r="F331" s="150">
        <f t="shared" ref="F331:F337" si="22">C331*(($F$312)+1)+(IF(E331&lt;101,E331,IF(E331&lt;201,E331/2,IF(E331&lt;=301,E331/3,E331/4))))</f>
        <v>639.2201399999999</v>
      </c>
    </row>
    <row r="332" spans="1:7" x14ac:dyDescent="0.25">
      <c r="A332" s="153">
        <v>2</v>
      </c>
      <c r="B332" s="99" t="s">
        <v>294</v>
      </c>
      <c r="C332" s="127">
        <f>(34.49+0.6*(2.75+2.75)+0.75*2.4)*10.764</f>
        <v>426.14675999999992</v>
      </c>
      <c r="D332" s="128">
        <f t="shared" si="20"/>
        <v>511.37611199999986</v>
      </c>
      <c r="E332" s="126">
        <v>0</v>
      </c>
      <c r="F332" s="150">
        <f t="shared" si="22"/>
        <v>639.2201399999999</v>
      </c>
    </row>
    <row r="333" spans="1:7" x14ac:dyDescent="0.25">
      <c r="A333" s="153">
        <v>3</v>
      </c>
      <c r="B333" s="99" t="s">
        <v>294</v>
      </c>
      <c r="C333" s="127">
        <f>(35.07+0.6*(2.9+2.9)+0.75*2.4)*10.764</f>
        <v>434.3273999999999</v>
      </c>
      <c r="D333" s="128">
        <f t="shared" si="20"/>
        <v>521.19287999999983</v>
      </c>
      <c r="E333" s="126">
        <v>0</v>
      </c>
      <c r="F333" s="150">
        <f t="shared" si="22"/>
        <v>651.49109999999985</v>
      </c>
    </row>
    <row r="334" spans="1:7" x14ac:dyDescent="0.25">
      <c r="A334" s="153">
        <v>4</v>
      </c>
      <c r="B334" s="99" t="s">
        <v>295</v>
      </c>
      <c r="C334" s="127">
        <f>(51.46+0.6*(2.9+2.9+2.9)+0.75*2.4)*10.764</f>
        <v>629.47871999999995</v>
      </c>
      <c r="D334" s="128">
        <f t="shared" si="20"/>
        <v>755.37446399999988</v>
      </c>
      <c r="E334" s="126">
        <v>0</v>
      </c>
      <c r="F334" s="150">
        <f t="shared" si="22"/>
        <v>944.21807999999987</v>
      </c>
    </row>
    <row r="335" spans="1:7" x14ac:dyDescent="0.25">
      <c r="A335" s="153">
        <v>5</v>
      </c>
      <c r="B335" s="99" t="s">
        <v>294</v>
      </c>
      <c r="C335" s="127">
        <f>(35.04+0.6*(2.9+2.9)+0.75*2.4)*10.764</f>
        <v>434.00447999999989</v>
      </c>
      <c r="D335" s="128">
        <f t="shared" si="20"/>
        <v>520.8053759999998</v>
      </c>
      <c r="E335" s="126">
        <v>0</v>
      </c>
      <c r="F335" s="150">
        <f t="shared" si="22"/>
        <v>651.00671999999986</v>
      </c>
    </row>
    <row r="336" spans="1:7" x14ac:dyDescent="0.25">
      <c r="A336" s="153">
        <v>6</v>
      </c>
      <c r="B336" s="99" t="s">
        <v>294</v>
      </c>
      <c r="C336" s="127">
        <f>(37.1+0.6*(2.9+2.9)+0.75*2.4)*10.764</f>
        <v>456.17831999999993</v>
      </c>
      <c r="D336" s="128">
        <f t="shared" si="20"/>
        <v>547.41398399999991</v>
      </c>
      <c r="E336" s="126">
        <v>0</v>
      </c>
      <c r="F336" s="150">
        <f t="shared" si="22"/>
        <v>684.26747999999986</v>
      </c>
    </row>
    <row r="337" spans="1:14" x14ac:dyDescent="0.25">
      <c r="A337" s="153">
        <v>7</v>
      </c>
      <c r="B337" s="99" t="s">
        <v>294</v>
      </c>
      <c r="C337" s="127">
        <f>(35.07+0.6*(2.9+2.9)+0.75*2.4)*10.764</f>
        <v>434.3273999999999</v>
      </c>
      <c r="D337" s="128">
        <f t="shared" si="20"/>
        <v>521.19287999999983</v>
      </c>
      <c r="E337" s="126">
        <v>0</v>
      </c>
      <c r="F337" s="150">
        <f t="shared" si="22"/>
        <v>651.49109999999985</v>
      </c>
    </row>
    <row r="338" spans="1:14" s="36" customFormat="1" ht="15.75" x14ac:dyDescent="0.25">
      <c r="A338" s="241" t="s">
        <v>56</v>
      </c>
      <c r="B338" s="242"/>
      <c r="C338" s="242"/>
      <c r="D338" s="242"/>
      <c r="E338" s="242"/>
      <c r="F338" s="243"/>
      <c r="G338" s="44"/>
      <c r="H338" s="44"/>
      <c r="I338" s="45"/>
      <c r="J338" s="45"/>
    </row>
    <row r="339" spans="1:14" s="80" customFormat="1" ht="15.75" customHeight="1" x14ac:dyDescent="0.25">
      <c r="A339" s="313" t="s">
        <v>296</v>
      </c>
      <c r="B339" s="314"/>
      <c r="C339" s="314"/>
      <c r="D339" s="314"/>
      <c r="E339" s="314"/>
      <c r="F339" s="315"/>
      <c r="G339" s="47"/>
      <c r="H339" s="47"/>
      <c r="I339" s="48"/>
      <c r="J339" s="48"/>
      <c r="K339" s="42">
        <v>10.763999999999999</v>
      </c>
    </row>
    <row r="340" spans="1:14" s="80" customFormat="1" ht="15.75" x14ac:dyDescent="0.25">
      <c r="A340" s="149">
        <v>1</v>
      </c>
      <c r="B340" s="304" t="s">
        <v>161</v>
      </c>
      <c r="C340" s="305"/>
      <c r="D340" s="305"/>
      <c r="E340" s="306"/>
      <c r="F340" s="150">
        <f>C340*(($F$312)+1)+(IF(E340&lt;101,E340,IF(E340&lt;201,E340/2,IF(E340&lt;=301,E340/3,E340/4))))</f>
        <v>0</v>
      </c>
      <c r="I340" s="49"/>
      <c r="J340" s="50"/>
      <c r="L340" s="240"/>
      <c r="M340" s="240"/>
      <c r="N340" s="39"/>
    </row>
    <row r="341" spans="1:14" ht="15.75" customHeight="1" x14ac:dyDescent="0.25">
      <c r="A341" s="149">
        <v>2</v>
      </c>
      <c r="B341" s="307"/>
      <c r="C341" s="308"/>
      <c r="D341" s="308"/>
      <c r="E341" s="309"/>
      <c r="F341" s="150">
        <f t="shared" ref="F341:F345" si="23">C341*(($F$312)+1)+(IF(E341&lt;101,E341,IF(E341&lt;201,E341/2,IF(E341&lt;=301,E341/3,E341/4))))</f>
        <v>0</v>
      </c>
    </row>
    <row r="342" spans="1:14" ht="15.75" customHeight="1" x14ac:dyDescent="0.25">
      <c r="A342" s="149">
        <v>3</v>
      </c>
      <c r="B342" s="99" t="s">
        <v>295</v>
      </c>
      <c r="C342" s="127">
        <f>((52.86))*10.764</f>
        <v>568.98503999999991</v>
      </c>
      <c r="D342" s="128">
        <f t="shared" ref="D342" si="24">C342*1.2</f>
        <v>682.78204799999992</v>
      </c>
      <c r="E342" s="126">
        <f>((2.9+2.9+1.2)*2.5+(2.9*2.2)+(2.4*1.5))*10.764</f>
        <v>295.79471999999993</v>
      </c>
      <c r="F342" s="150">
        <f t="shared" si="23"/>
        <v>952.07579999999984</v>
      </c>
    </row>
    <row r="343" spans="1:14" ht="15.75" x14ac:dyDescent="0.25">
      <c r="A343" s="149">
        <v>4</v>
      </c>
      <c r="B343" s="99" t="s">
        <v>294</v>
      </c>
      <c r="C343" s="127">
        <f>((35.22))*10.764</f>
        <v>379.10807999999997</v>
      </c>
      <c r="D343" s="128">
        <f t="shared" ref="D343:D362" si="25">C343*1.2</f>
        <v>454.92969599999998</v>
      </c>
      <c r="E343" s="126">
        <f>((2.9*3.2)+(2.4+2.9)*1.5+(1.2*0.8))*10.764</f>
        <v>195.79715999999996</v>
      </c>
      <c r="F343" s="150">
        <f t="shared" si="23"/>
        <v>666.5607</v>
      </c>
      <c r="G343" s="212"/>
      <c r="H343" s="212"/>
    </row>
    <row r="344" spans="1:14" x14ac:dyDescent="0.25">
      <c r="A344" s="149">
        <v>5</v>
      </c>
      <c r="B344" s="99" t="s">
        <v>295</v>
      </c>
      <c r="C344" s="127">
        <f>((51.58))*10.764</f>
        <v>555.20711999999992</v>
      </c>
      <c r="D344" s="128">
        <f t="shared" si="25"/>
        <v>666.24854399999992</v>
      </c>
      <c r="E344" s="126">
        <f>((2.9+2.9)*2.5+(2.9*2.2)+(2.4*1.5))*10.764</f>
        <v>263.50271999999995</v>
      </c>
      <c r="F344" s="150">
        <f t="shared" si="23"/>
        <v>920.64491999999984</v>
      </c>
      <c r="G344" s="132">
        <f>(2.9*2.25+2.4*1.5+2.9*2.5+2.9*2.5)*10.764</f>
        <v>265.06349999999998</v>
      </c>
    </row>
    <row r="345" spans="1:14" ht="15.75" customHeight="1" x14ac:dyDescent="0.25">
      <c r="A345" s="149">
        <v>6</v>
      </c>
      <c r="B345" s="304" t="s">
        <v>161</v>
      </c>
      <c r="C345" s="305"/>
      <c r="D345" s="305"/>
      <c r="E345" s="306"/>
      <c r="F345" s="150">
        <f t="shared" si="23"/>
        <v>0</v>
      </c>
    </row>
    <row r="346" spans="1:14" ht="15.75" customHeight="1" x14ac:dyDescent="0.25">
      <c r="A346" s="149">
        <v>7</v>
      </c>
      <c r="B346" s="307"/>
      <c r="C346" s="308"/>
      <c r="D346" s="308"/>
      <c r="E346" s="309"/>
      <c r="F346" s="150">
        <f t="shared" ref="F346" si="26">C346*(($F$312)+1)+(IF(E346&lt;101,E346,IF(E346&lt;201,E346/2,IF(E346&lt;=301,E346/3,E346/4))))</f>
        <v>0</v>
      </c>
    </row>
    <row r="347" spans="1:14" s="83" customFormat="1" x14ac:dyDescent="0.25">
      <c r="A347" s="213" t="s">
        <v>297</v>
      </c>
      <c r="B347" s="214"/>
      <c r="C347" s="214"/>
      <c r="D347" s="214"/>
      <c r="E347" s="214"/>
      <c r="F347" s="215"/>
      <c r="G347" s="83" t="s">
        <v>301</v>
      </c>
    </row>
    <row r="348" spans="1:14" x14ac:dyDescent="0.25">
      <c r="A348" s="153">
        <v>1</v>
      </c>
      <c r="B348" s="99" t="s">
        <v>294</v>
      </c>
      <c r="C348" s="127">
        <f>(35.07+0.6*(2.9+2.9)+0.75*2.4)*10.764</f>
        <v>434.3273999999999</v>
      </c>
      <c r="D348" s="128">
        <f t="shared" si="25"/>
        <v>521.19287999999983</v>
      </c>
      <c r="E348" s="126">
        <v>0</v>
      </c>
      <c r="F348" s="150">
        <f t="shared" ref="F348:F353" si="27">C348*(($F$312)+1)+(IF(E348&lt;101,E348,IF(E348&lt;201,E348/2,IF(E348&lt;=301,E348/3,E348/4))))</f>
        <v>651.49109999999985</v>
      </c>
    </row>
    <row r="349" spans="1:14" x14ac:dyDescent="0.25">
      <c r="A349" s="153">
        <v>2</v>
      </c>
      <c r="B349" s="99" t="s">
        <v>295</v>
      </c>
      <c r="C349" s="127">
        <f>(52.74+0.6*(2.9+2.9+2.9)+0.75*2.4)*10.764</f>
        <v>643.25663999999995</v>
      </c>
      <c r="D349" s="128">
        <f t="shared" si="25"/>
        <v>771.90796799999987</v>
      </c>
      <c r="E349" s="126">
        <v>0</v>
      </c>
      <c r="F349" s="150">
        <f t="shared" si="27"/>
        <v>964.88495999999986</v>
      </c>
    </row>
    <row r="350" spans="1:14" x14ac:dyDescent="0.25">
      <c r="A350" s="153">
        <v>3</v>
      </c>
      <c r="B350" s="99" t="s">
        <v>294</v>
      </c>
      <c r="C350" s="127">
        <f>(35.04+0.6*(2.9+2.9)+0.75*2.4)*10.764</f>
        <v>434.00447999999989</v>
      </c>
      <c r="D350" s="128">
        <f t="shared" si="25"/>
        <v>520.8053759999998</v>
      </c>
      <c r="E350" s="126">
        <v>0</v>
      </c>
      <c r="F350" s="150">
        <f t="shared" si="27"/>
        <v>651.00671999999986</v>
      </c>
    </row>
    <row r="351" spans="1:14" x14ac:dyDescent="0.25">
      <c r="A351" s="153">
        <v>4</v>
      </c>
      <c r="B351" s="99" t="s">
        <v>295</v>
      </c>
      <c r="C351" s="127">
        <f>(51.46+0.6*(2.9+2.9+2.9)+0.75*2.4)*10.764</f>
        <v>629.47871999999995</v>
      </c>
      <c r="D351" s="128">
        <f t="shared" si="25"/>
        <v>755.37446399999988</v>
      </c>
      <c r="E351" s="126">
        <v>0</v>
      </c>
      <c r="F351" s="150">
        <f t="shared" si="27"/>
        <v>944.21807999999987</v>
      </c>
    </row>
    <row r="352" spans="1:14" x14ac:dyDescent="0.25">
      <c r="A352" s="153">
        <v>5</v>
      </c>
      <c r="B352" s="99" t="s">
        <v>294</v>
      </c>
      <c r="C352" s="127">
        <f>(35.07+0.6*(2.9+2.9)+0.75*2.4)*10.764</f>
        <v>434.3273999999999</v>
      </c>
      <c r="D352" s="128">
        <f t="shared" si="25"/>
        <v>521.19287999999983</v>
      </c>
      <c r="E352" s="126">
        <v>0</v>
      </c>
      <c r="F352" s="150">
        <f t="shared" si="27"/>
        <v>651.49109999999985</v>
      </c>
    </row>
    <row r="353" spans="1:11" x14ac:dyDescent="0.25">
      <c r="A353" s="153">
        <v>6</v>
      </c>
      <c r="B353" s="99" t="s">
        <v>294</v>
      </c>
      <c r="C353" s="127">
        <f>(34.49+0.6*(2.75+2.75)+0.75*2.4)*10.764</f>
        <v>426.14675999999992</v>
      </c>
      <c r="D353" s="128">
        <f t="shared" si="25"/>
        <v>511.37611199999986</v>
      </c>
      <c r="E353" s="126">
        <v>0</v>
      </c>
      <c r="F353" s="150">
        <f t="shared" si="27"/>
        <v>639.2201399999999</v>
      </c>
    </row>
    <row r="354" spans="1:11" x14ac:dyDescent="0.25">
      <c r="A354" s="153">
        <v>7</v>
      </c>
      <c r="B354" s="99" t="s">
        <v>294</v>
      </c>
      <c r="C354" s="127">
        <f>(34.49+0.6*(2.75+2.75)+0.75*2.4)*10.764</f>
        <v>426.14675999999992</v>
      </c>
      <c r="D354" s="128">
        <f t="shared" si="25"/>
        <v>511.37611199999986</v>
      </c>
      <c r="E354" s="126">
        <v>0</v>
      </c>
      <c r="F354" s="150">
        <f t="shared" ref="F354" si="28">C354*(($F$312)+1)+(IF(E354&lt;101,E354,IF(E354&lt;201,E354/2,IF(E354&lt;=301,E354/3,E354/4))))</f>
        <v>639.2201399999999</v>
      </c>
    </row>
    <row r="355" spans="1:11" x14ac:dyDescent="0.25">
      <c r="A355" s="216" t="s">
        <v>299</v>
      </c>
      <c r="B355" s="217"/>
      <c r="C355" s="217"/>
      <c r="D355" s="217"/>
      <c r="E355" s="217"/>
      <c r="F355" s="218"/>
    </row>
    <row r="356" spans="1:11" x14ac:dyDescent="0.25">
      <c r="A356" s="153">
        <v>1</v>
      </c>
      <c r="B356" s="99" t="s">
        <v>294</v>
      </c>
      <c r="C356" s="127">
        <f>(35.07+0.6*(2.9+2.9)+0.75*2.4)*10.764</f>
        <v>434.3273999999999</v>
      </c>
      <c r="D356" s="128">
        <f t="shared" si="25"/>
        <v>521.19287999999983</v>
      </c>
      <c r="E356" s="126">
        <v>0</v>
      </c>
      <c r="F356" s="150">
        <f t="shared" ref="F356:F362" si="29">C356*(($F$312)+1)+(IF(E356&lt;101,E356,IF(E356&lt;201,E356/2,IF(E356&lt;=301,E356/3,E356/4))))</f>
        <v>651.49109999999985</v>
      </c>
    </row>
    <row r="357" spans="1:11" x14ac:dyDescent="0.25">
      <c r="A357" s="153">
        <v>2</v>
      </c>
      <c r="B357" s="99" t="s">
        <v>294</v>
      </c>
      <c r="C357" s="127">
        <f>(37.1+0.6*(2.9+2.9)+0.75*2.4)*10.764</f>
        <v>456.17831999999993</v>
      </c>
      <c r="D357" s="128">
        <f t="shared" si="25"/>
        <v>547.41398399999991</v>
      </c>
      <c r="E357" s="126">
        <v>0</v>
      </c>
      <c r="F357" s="150">
        <f t="shared" si="29"/>
        <v>684.26747999999986</v>
      </c>
    </row>
    <row r="358" spans="1:11" x14ac:dyDescent="0.25">
      <c r="A358" s="153">
        <v>3</v>
      </c>
      <c r="B358" s="99" t="s">
        <v>294</v>
      </c>
      <c r="C358" s="127">
        <f>(35.04+0.6*(2.9+2.9)+0.75*2.4)*10.764</f>
        <v>434.00447999999989</v>
      </c>
      <c r="D358" s="128">
        <f t="shared" si="25"/>
        <v>520.8053759999998</v>
      </c>
      <c r="E358" s="126">
        <v>0</v>
      </c>
      <c r="F358" s="150">
        <f t="shared" si="29"/>
        <v>651.00671999999986</v>
      </c>
    </row>
    <row r="359" spans="1:11" x14ac:dyDescent="0.25">
      <c r="A359" s="153">
        <v>4</v>
      </c>
      <c r="B359" s="99" t="s">
        <v>295</v>
      </c>
      <c r="C359" s="127">
        <f>(51.46+0.6*(2.9+2.9+2.9)+0.75*2.4)*10.764</f>
        <v>629.47871999999995</v>
      </c>
      <c r="D359" s="128">
        <f t="shared" si="25"/>
        <v>755.37446399999988</v>
      </c>
      <c r="E359" s="126">
        <v>0</v>
      </c>
      <c r="F359" s="150">
        <f t="shared" si="29"/>
        <v>944.21807999999987</v>
      </c>
    </row>
    <row r="360" spans="1:11" x14ac:dyDescent="0.25">
      <c r="A360" s="153">
        <v>5</v>
      </c>
      <c r="B360" s="99" t="s">
        <v>294</v>
      </c>
      <c r="C360" s="127">
        <f>(35.07+0.6*(2.9+2.9)+0.75*2.4)*10.764</f>
        <v>434.3273999999999</v>
      </c>
      <c r="D360" s="128">
        <f t="shared" si="25"/>
        <v>521.19287999999983</v>
      </c>
      <c r="E360" s="126">
        <v>0</v>
      </c>
      <c r="F360" s="150">
        <f t="shared" si="29"/>
        <v>651.49109999999985</v>
      </c>
    </row>
    <row r="361" spans="1:11" x14ac:dyDescent="0.25">
      <c r="A361" s="153">
        <v>6</v>
      </c>
      <c r="B361" s="99" t="s">
        <v>294</v>
      </c>
      <c r="C361" s="127">
        <f>(34.49+0.6*(2.75+2.75)+0.75*2.4)*10.764</f>
        <v>426.14675999999992</v>
      </c>
      <c r="D361" s="128">
        <f t="shared" si="25"/>
        <v>511.37611199999986</v>
      </c>
      <c r="E361" s="126">
        <v>0</v>
      </c>
      <c r="F361" s="150">
        <f t="shared" si="29"/>
        <v>639.2201399999999</v>
      </c>
    </row>
    <row r="362" spans="1:11" x14ac:dyDescent="0.25">
      <c r="A362" s="153">
        <v>7</v>
      </c>
      <c r="B362" s="99" t="s">
        <v>294</v>
      </c>
      <c r="C362" s="127">
        <f>(34.49+0.6*(2.75+2.75)+0.75*2.4)*10.764</f>
        <v>426.14675999999992</v>
      </c>
      <c r="D362" s="128">
        <f t="shared" si="25"/>
        <v>511.37611199999986</v>
      </c>
      <c r="E362" s="126">
        <v>0</v>
      </c>
      <c r="F362" s="150">
        <f t="shared" si="29"/>
        <v>639.2201399999999</v>
      </c>
    </row>
    <row r="363" spans="1:11" s="36" customFormat="1" ht="15.75" x14ac:dyDescent="0.25">
      <c r="A363" s="241" t="s">
        <v>302</v>
      </c>
      <c r="B363" s="242"/>
      <c r="C363" s="242"/>
      <c r="D363" s="242"/>
      <c r="E363" s="242"/>
      <c r="F363" s="243"/>
      <c r="G363" s="44"/>
      <c r="H363" s="44"/>
      <c r="I363" s="45"/>
      <c r="J363" s="45"/>
    </row>
    <row r="364" spans="1:11" s="80" customFormat="1" ht="15.75" customHeight="1" x14ac:dyDescent="0.25">
      <c r="A364" s="244" t="s">
        <v>303</v>
      </c>
      <c r="B364" s="245"/>
      <c r="C364" s="245"/>
      <c r="D364" s="245"/>
      <c r="E364" s="245"/>
      <c r="F364" s="246"/>
      <c r="G364" s="47"/>
      <c r="H364" s="47"/>
      <c r="I364" s="48"/>
      <c r="J364" s="48"/>
      <c r="K364" s="42">
        <v>10.763999999999999</v>
      </c>
    </row>
    <row r="365" spans="1:11" s="80" customFormat="1" ht="15.75" customHeight="1" x14ac:dyDescent="0.25">
      <c r="A365" s="244" t="s">
        <v>304</v>
      </c>
      <c r="B365" s="245"/>
      <c r="C365" s="245"/>
      <c r="D365" s="245"/>
      <c r="E365" s="245"/>
      <c r="F365" s="246"/>
      <c r="G365" s="47"/>
      <c r="H365" s="47"/>
      <c r="I365" s="48"/>
      <c r="J365" s="48"/>
      <c r="K365" s="42">
        <v>10.763999999999999</v>
      </c>
    </row>
    <row r="366" spans="1:11" s="80" customFormat="1" ht="15.75" customHeight="1" x14ac:dyDescent="0.25">
      <c r="A366" s="244" t="s">
        <v>305</v>
      </c>
      <c r="B366" s="245"/>
      <c r="C366" s="245"/>
      <c r="D366" s="245"/>
      <c r="E366" s="245"/>
      <c r="F366" s="246"/>
      <c r="G366" s="47"/>
      <c r="H366" s="47"/>
      <c r="I366" s="48"/>
      <c r="J366" s="48"/>
      <c r="K366" s="42">
        <v>10.763999999999999</v>
      </c>
    </row>
    <row r="367" spans="1:11" x14ac:dyDescent="0.25">
      <c r="A367" s="216" t="s">
        <v>297</v>
      </c>
      <c r="B367" s="217"/>
      <c r="C367" s="217"/>
      <c r="D367" s="217"/>
      <c r="E367" s="217"/>
      <c r="F367" s="218"/>
    </row>
    <row r="368" spans="1:11" x14ac:dyDescent="0.25">
      <c r="A368" s="153">
        <v>1</v>
      </c>
      <c r="B368" s="99" t="s">
        <v>294</v>
      </c>
      <c r="C368" s="127">
        <f>(35.14+0.6*(2.9+2.9)+0.75*2.4)*10.764</f>
        <v>435.08087999999992</v>
      </c>
      <c r="D368" s="128">
        <f t="shared" ref="D368:D376" si="30">C368*1.2</f>
        <v>522.09705599999984</v>
      </c>
      <c r="E368" s="126">
        <v>0</v>
      </c>
      <c r="F368" s="150">
        <f t="shared" ref="F368:F371" si="31">C368*(($F$312)+1)+(IF(E368&lt;101,E368,IF(E368&lt;201,E368/2,IF(E368&lt;=301,E368/3,E368/4))))</f>
        <v>652.62131999999986</v>
      </c>
    </row>
    <row r="369" spans="1:14" x14ac:dyDescent="0.25">
      <c r="A369" s="153">
        <v>2</v>
      </c>
      <c r="B369" s="99" t="s">
        <v>294</v>
      </c>
      <c r="C369" s="127">
        <f>(34.98+0.6*(2.9+2.9)+0.75*2.4)*10.764</f>
        <v>433.35863999999987</v>
      </c>
      <c r="D369" s="128">
        <f t="shared" si="30"/>
        <v>520.03036799999984</v>
      </c>
      <c r="E369" s="126">
        <v>0</v>
      </c>
      <c r="F369" s="150">
        <f t="shared" si="31"/>
        <v>650.03795999999977</v>
      </c>
    </row>
    <row r="370" spans="1:14" x14ac:dyDescent="0.25">
      <c r="A370" s="153">
        <v>3</v>
      </c>
      <c r="B370" s="99" t="s">
        <v>294</v>
      </c>
      <c r="C370" s="127">
        <f>(34.83+0.6*(3.2+2.9)+0.75*2.4)*10.764</f>
        <v>433.68155999999988</v>
      </c>
      <c r="D370" s="128">
        <f t="shared" si="30"/>
        <v>520.41787199999987</v>
      </c>
      <c r="E370" s="126">
        <v>0</v>
      </c>
      <c r="F370" s="150">
        <f t="shared" si="31"/>
        <v>650.52233999999976</v>
      </c>
    </row>
    <row r="371" spans="1:14" x14ac:dyDescent="0.25">
      <c r="A371" s="153">
        <v>4</v>
      </c>
      <c r="B371" s="99" t="s">
        <v>294</v>
      </c>
      <c r="C371" s="127">
        <f>(34.96+0.6*(3.2+2.9)+0.75*2.4)*10.764</f>
        <v>435.08087999999992</v>
      </c>
      <c r="D371" s="128">
        <f t="shared" si="30"/>
        <v>522.09705599999984</v>
      </c>
      <c r="E371" s="126">
        <v>0</v>
      </c>
      <c r="F371" s="150">
        <f t="shared" si="31"/>
        <v>652.62131999999986</v>
      </c>
    </row>
    <row r="372" spans="1:14" x14ac:dyDescent="0.25">
      <c r="A372" s="216" t="s">
        <v>299</v>
      </c>
      <c r="B372" s="217"/>
      <c r="C372" s="217"/>
      <c r="D372" s="217"/>
      <c r="E372" s="217"/>
      <c r="F372" s="218"/>
    </row>
    <row r="373" spans="1:14" x14ac:dyDescent="0.25">
      <c r="A373" s="153">
        <v>1</v>
      </c>
      <c r="B373" s="99" t="s">
        <v>294</v>
      </c>
      <c r="C373" s="127">
        <f>(35.14+0.6*(2.9+2.9)+0.75*2.4)*10.764</f>
        <v>435.08087999999992</v>
      </c>
      <c r="D373" s="128">
        <f t="shared" si="30"/>
        <v>522.09705599999984</v>
      </c>
      <c r="E373" s="126">
        <v>0</v>
      </c>
      <c r="F373" s="150">
        <f t="shared" ref="F373:F376" si="32">C373*(($F$312)+1)+(IF(E373&lt;101,E373,IF(E373&lt;201,E373/2,IF(E373&lt;=301,E373/3,E373/4))))</f>
        <v>652.62131999999986</v>
      </c>
    </row>
    <row r="374" spans="1:14" x14ac:dyDescent="0.25">
      <c r="A374" s="153">
        <v>2</v>
      </c>
      <c r="B374" s="99" t="s">
        <v>294</v>
      </c>
      <c r="C374" s="127">
        <f>(34.98+0.6*(2.9+2.9)+0.75*2.4)*10.764</f>
        <v>433.35863999999987</v>
      </c>
      <c r="D374" s="128">
        <f t="shared" si="30"/>
        <v>520.03036799999984</v>
      </c>
      <c r="E374" s="126">
        <v>0</v>
      </c>
      <c r="F374" s="150">
        <f t="shared" si="32"/>
        <v>650.03795999999977</v>
      </c>
    </row>
    <row r="375" spans="1:14" x14ac:dyDescent="0.25">
      <c r="A375" s="153">
        <v>3</v>
      </c>
      <c r="B375" s="99" t="s">
        <v>294</v>
      </c>
      <c r="C375" s="127">
        <f>(34.83+0.6*(3.2+2.9)+0.75*2.4)*10.764</f>
        <v>433.68155999999988</v>
      </c>
      <c r="D375" s="128">
        <f t="shared" si="30"/>
        <v>520.41787199999987</v>
      </c>
      <c r="E375" s="126">
        <v>0</v>
      </c>
      <c r="F375" s="150">
        <f t="shared" si="32"/>
        <v>650.52233999999976</v>
      </c>
    </row>
    <row r="376" spans="1:14" x14ac:dyDescent="0.25">
      <c r="A376" s="153">
        <v>4</v>
      </c>
      <c r="B376" s="99" t="s">
        <v>294</v>
      </c>
      <c r="C376" s="127">
        <f>(34.96+0.6*(3.2+2.9)+0.75*2.4)*10.764</f>
        <v>435.08087999999992</v>
      </c>
      <c r="D376" s="128">
        <f t="shared" si="30"/>
        <v>522.09705599999984</v>
      </c>
      <c r="E376" s="126">
        <v>0</v>
      </c>
      <c r="F376" s="150">
        <f t="shared" si="32"/>
        <v>652.62131999999986</v>
      </c>
    </row>
    <row r="377" spans="1:14" s="36" customFormat="1" ht="15.75" x14ac:dyDescent="0.25">
      <c r="A377" s="241" t="s">
        <v>292</v>
      </c>
      <c r="B377" s="242"/>
      <c r="C377" s="242"/>
      <c r="D377" s="242"/>
      <c r="E377" s="242"/>
      <c r="F377" s="243"/>
      <c r="G377" s="44"/>
      <c r="H377" s="44"/>
      <c r="I377" s="45"/>
      <c r="J377" s="45"/>
    </row>
    <row r="378" spans="1:14" s="80" customFormat="1" ht="15.75" customHeight="1" x14ac:dyDescent="0.25">
      <c r="A378" s="244" t="s">
        <v>296</v>
      </c>
      <c r="B378" s="245"/>
      <c r="C378" s="245"/>
      <c r="D378" s="245"/>
      <c r="E378" s="245"/>
      <c r="F378" s="246"/>
      <c r="G378" s="47"/>
      <c r="H378" s="47"/>
      <c r="I378" s="48"/>
      <c r="J378" s="48"/>
      <c r="K378" s="42">
        <v>10.763999999999999</v>
      </c>
    </row>
    <row r="379" spans="1:14" s="80" customFormat="1" ht="15.75" x14ac:dyDescent="0.25">
      <c r="A379" s="149">
        <v>1</v>
      </c>
      <c r="B379" s="247" t="s">
        <v>161</v>
      </c>
      <c r="C379" s="248"/>
      <c r="D379" s="248"/>
      <c r="E379" s="249"/>
      <c r="F379" s="150">
        <f>C379*(($F$312)+1)+(IF(E379&lt;101,E379,IF(E379&lt;201,E379/2,IF(E379&lt;=301,E379/3,E379/4))))</f>
        <v>0</v>
      </c>
      <c r="I379" s="49"/>
      <c r="J379" s="50"/>
      <c r="L379" s="240"/>
      <c r="M379" s="240"/>
      <c r="N379" s="39"/>
    </row>
    <row r="380" spans="1:14" ht="15.75" customHeight="1" x14ac:dyDescent="0.25">
      <c r="A380" s="149">
        <v>2</v>
      </c>
      <c r="B380" s="99" t="s">
        <v>294</v>
      </c>
      <c r="C380" s="127">
        <f>((33.79))*10.764</f>
        <v>363.71555999999998</v>
      </c>
      <c r="D380" s="128">
        <f t="shared" ref="D380:D398" si="33">C380*1.2</f>
        <v>436.45867199999998</v>
      </c>
      <c r="E380" s="126">
        <f>((2.75+2.4)*2.2+2.75*2.5)*10.764</f>
        <v>195.95862</v>
      </c>
      <c r="F380" s="150">
        <f t="shared" ref="F380:F384" si="34">C380*(($F$312)+1)+(IF(E380&lt;101,E380,IF(E380&lt;201,E380/2,IF(E380&lt;=301,E380/3,E380/4))))</f>
        <v>643.55264999999986</v>
      </c>
    </row>
    <row r="381" spans="1:14" ht="15.75" customHeight="1" x14ac:dyDescent="0.25">
      <c r="A381" s="149">
        <v>3</v>
      </c>
      <c r="B381" s="99" t="s">
        <v>294</v>
      </c>
      <c r="C381" s="127">
        <f>((37.82))*10.764</f>
        <v>407.09447999999998</v>
      </c>
      <c r="D381" s="128">
        <f t="shared" si="33"/>
        <v>488.51337599999994</v>
      </c>
      <c r="E381" s="126">
        <f>((12.65+1.5)*1.5+(3.6*1.5))*10.764</f>
        <v>286.5915</v>
      </c>
      <c r="F381" s="150">
        <f t="shared" si="34"/>
        <v>706.17221999999992</v>
      </c>
    </row>
    <row r="382" spans="1:14" ht="15.75" x14ac:dyDescent="0.25">
      <c r="A382" s="149">
        <v>4</v>
      </c>
      <c r="B382" s="99" t="s">
        <v>295</v>
      </c>
      <c r="C382" s="127">
        <f>((49.78))*10.764</f>
        <v>535.83191999999997</v>
      </c>
      <c r="D382" s="128">
        <f t="shared" si="33"/>
        <v>642.99830399999996</v>
      </c>
      <c r="E382" s="126">
        <f>((8.55*1.5)+(3.05*2.6))*10.764</f>
        <v>223.40682000000001</v>
      </c>
      <c r="F382" s="150">
        <f t="shared" si="34"/>
        <v>878.21681999999987</v>
      </c>
      <c r="G382" s="212"/>
      <c r="H382" s="212"/>
    </row>
    <row r="383" spans="1:14" x14ac:dyDescent="0.25">
      <c r="A383" s="149">
        <v>5</v>
      </c>
      <c r="B383" s="99" t="s">
        <v>295</v>
      </c>
      <c r="C383" s="127">
        <f>((55.65)+0.6*3.05)*10.764</f>
        <v>618.71471999999994</v>
      </c>
      <c r="D383" s="128">
        <f t="shared" si="33"/>
        <v>742.45766399999991</v>
      </c>
      <c r="E383" s="126">
        <f>((2.55*3.05)+(2.4+3.1)*1.5)*10.764</f>
        <v>172.52000999999998</v>
      </c>
      <c r="F383" s="150">
        <f t="shared" si="34"/>
        <v>1014.3320849999999</v>
      </c>
      <c r="G383" s="132">
        <f>(2.9*2.25+2.4*1.5+2.9*2.5+2.9*2.5)*10.764</f>
        <v>265.06349999999998</v>
      </c>
    </row>
    <row r="384" spans="1:14" ht="15.75" customHeight="1" x14ac:dyDescent="0.25">
      <c r="A384" s="149">
        <v>6</v>
      </c>
      <c r="B384" s="247" t="s">
        <v>161</v>
      </c>
      <c r="C384" s="248"/>
      <c r="D384" s="248"/>
      <c r="E384" s="249"/>
      <c r="F384" s="150">
        <f t="shared" si="34"/>
        <v>0</v>
      </c>
    </row>
    <row r="385" spans="1:11" s="82" customFormat="1" x14ac:dyDescent="0.25">
      <c r="A385" s="213" t="s">
        <v>297</v>
      </c>
      <c r="B385" s="214"/>
      <c r="C385" s="214"/>
      <c r="D385" s="214"/>
      <c r="E385" s="214"/>
      <c r="F385" s="215"/>
    </row>
    <row r="386" spans="1:11" x14ac:dyDescent="0.25">
      <c r="A386" s="153">
        <v>1</v>
      </c>
      <c r="B386" s="99" t="s">
        <v>294</v>
      </c>
      <c r="C386" s="127">
        <f>(33.79+0.6*(2.75+2.75)+0.75*2.4)*10.764</f>
        <v>418.6119599999999</v>
      </c>
      <c r="D386" s="128">
        <f t="shared" si="33"/>
        <v>502.33435199999985</v>
      </c>
      <c r="E386" s="126">
        <v>0</v>
      </c>
      <c r="F386" s="150">
        <f t="shared" ref="F386:F391" si="35">C386*(($F$312)+1)+(IF(E386&lt;101,E386,IF(E386&lt;201,E386/2,IF(E386&lt;=301,E386/3,E386/4))))</f>
        <v>627.91793999999982</v>
      </c>
    </row>
    <row r="387" spans="1:11" x14ac:dyDescent="0.25">
      <c r="A387" s="153">
        <v>2</v>
      </c>
      <c r="B387" s="99" t="s">
        <v>294</v>
      </c>
      <c r="C387" s="127">
        <f>(33.79+0.6*(2.75+2.75)+0.75*2.4)*10.764</f>
        <v>418.6119599999999</v>
      </c>
      <c r="D387" s="128">
        <f t="shared" si="33"/>
        <v>502.33435199999985</v>
      </c>
      <c r="E387" s="126">
        <v>0</v>
      </c>
      <c r="F387" s="150">
        <f t="shared" si="35"/>
        <v>627.91793999999982</v>
      </c>
    </row>
    <row r="388" spans="1:11" x14ac:dyDescent="0.25">
      <c r="A388" s="153">
        <v>3</v>
      </c>
      <c r="B388" s="99" t="s">
        <v>294</v>
      </c>
      <c r="C388" s="127">
        <f>(37.38+0.6*(2.75+3.45)+0.75*2.4)*10.764</f>
        <v>461.77559999999994</v>
      </c>
      <c r="D388" s="128">
        <f t="shared" si="33"/>
        <v>554.13071999999988</v>
      </c>
      <c r="E388" s="126">
        <v>0</v>
      </c>
      <c r="F388" s="150">
        <f t="shared" si="35"/>
        <v>692.66339999999991</v>
      </c>
    </row>
    <row r="389" spans="1:11" x14ac:dyDescent="0.25">
      <c r="A389" s="153">
        <v>4</v>
      </c>
      <c r="B389" s="99" t="s">
        <v>295</v>
      </c>
      <c r="C389" s="127">
        <f>(49.78+0.6*(2.75+2.75+3.05)+0.75*2.45)*10.764</f>
        <v>610.83009000000004</v>
      </c>
      <c r="D389" s="128">
        <f t="shared" si="33"/>
        <v>732.99610800000005</v>
      </c>
      <c r="E389" s="126">
        <v>0</v>
      </c>
      <c r="F389" s="150">
        <f t="shared" si="35"/>
        <v>916.24513500000012</v>
      </c>
    </row>
    <row r="390" spans="1:11" x14ac:dyDescent="0.25">
      <c r="A390" s="153">
        <v>5</v>
      </c>
      <c r="B390" s="99" t="s">
        <v>295</v>
      </c>
      <c r="C390" s="127">
        <f>(55.55+0.6*(3.05+3.1+3.05)+0.75*2.4)*10.764</f>
        <v>676.73267999999985</v>
      </c>
      <c r="D390" s="128">
        <f t="shared" si="33"/>
        <v>812.07921599999975</v>
      </c>
      <c r="E390" s="126">
        <v>0</v>
      </c>
      <c r="F390" s="150">
        <f t="shared" si="35"/>
        <v>1015.0990199999998</v>
      </c>
    </row>
    <row r="391" spans="1:11" x14ac:dyDescent="0.25">
      <c r="A391" s="153">
        <v>6</v>
      </c>
      <c r="B391" s="99" t="s">
        <v>295</v>
      </c>
      <c r="C391" s="127">
        <f>(55.55+0.6*(3.05+3.1+3.05)+0.75*2.4)*10.764</f>
        <v>676.73267999999985</v>
      </c>
      <c r="D391" s="128">
        <f t="shared" si="33"/>
        <v>812.07921599999975</v>
      </c>
      <c r="E391" s="126">
        <v>0</v>
      </c>
      <c r="F391" s="150">
        <f t="shared" si="35"/>
        <v>1015.0990199999998</v>
      </c>
    </row>
    <row r="392" spans="1:11" x14ac:dyDescent="0.25">
      <c r="A392" s="216" t="s">
        <v>299</v>
      </c>
      <c r="B392" s="217"/>
      <c r="C392" s="217"/>
      <c r="D392" s="217"/>
      <c r="E392" s="217"/>
      <c r="F392" s="218"/>
    </row>
    <row r="393" spans="1:11" x14ac:dyDescent="0.25">
      <c r="A393" s="153">
        <v>1</v>
      </c>
      <c r="B393" s="99" t="s">
        <v>294</v>
      </c>
      <c r="C393" s="127">
        <f>(33.79+0.6*(2.75+2.75)+0.75*2.4)*10.764</f>
        <v>418.6119599999999</v>
      </c>
      <c r="D393" s="128">
        <f t="shared" si="33"/>
        <v>502.33435199999985</v>
      </c>
      <c r="E393" s="126">
        <v>0</v>
      </c>
      <c r="F393" s="150">
        <f t="shared" ref="F393:F398" si="36">C393*(($F$312)+1)+(IF(E393&lt;101,E393,IF(E393&lt;201,E393/2,IF(E393&lt;=301,E393/3,E393/4))))</f>
        <v>627.91793999999982</v>
      </c>
    </row>
    <row r="394" spans="1:11" x14ac:dyDescent="0.25">
      <c r="A394" s="153">
        <v>2</v>
      </c>
      <c r="B394" s="99" t="s">
        <v>294</v>
      </c>
      <c r="C394" s="127">
        <f>(33.79+0.6*(2.75+2.75)+0.75*2.4)*10.764</f>
        <v>418.6119599999999</v>
      </c>
      <c r="D394" s="128">
        <f t="shared" si="33"/>
        <v>502.33435199999985</v>
      </c>
      <c r="E394" s="126">
        <v>0</v>
      </c>
      <c r="F394" s="150">
        <f t="shared" si="36"/>
        <v>627.91793999999982</v>
      </c>
    </row>
    <row r="395" spans="1:11" x14ac:dyDescent="0.25">
      <c r="A395" s="153">
        <v>3</v>
      </c>
      <c r="B395" s="99" t="s">
        <v>294</v>
      </c>
      <c r="C395" s="127">
        <f>(37.38+0.6*(2.75+3.45)+0.75*2.4)*10.764</f>
        <v>461.77559999999994</v>
      </c>
      <c r="D395" s="128">
        <f t="shared" si="33"/>
        <v>554.13071999999988</v>
      </c>
      <c r="E395" s="126">
        <v>0</v>
      </c>
      <c r="F395" s="150">
        <f t="shared" si="36"/>
        <v>692.66339999999991</v>
      </c>
    </row>
    <row r="396" spans="1:11" x14ac:dyDescent="0.25">
      <c r="A396" s="153">
        <v>4</v>
      </c>
      <c r="B396" s="99" t="s">
        <v>294</v>
      </c>
      <c r="C396" s="127">
        <f>(38.1+0.6*(2.75+2.75)+0.75*2.45)*10.764</f>
        <v>465.40844999999996</v>
      </c>
      <c r="D396" s="128">
        <f t="shared" si="33"/>
        <v>558.49013999999988</v>
      </c>
      <c r="E396" s="126">
        <v>0</v>
      </c>
      <c r="F396" s="150">
        <f t="shared" si="36"/>
        <v>698.11267499999997</v>
      </c>
    </row>
    <row r="397" spans="1:11" x14ac:dyDescent="0.25">
      <c r="A397" s="153">
        <v>5</v>
      </c>
      <c r="B397" s="99" t="s">
        <v>295</v>
      </c>
      <c r="C397" s="127">
        <f>(55.55+0.6*(3.05+3.1+3.05)+0.75*2.4)*10.764</f>
        <v>676.73267999999985</v>
      </c>
      <c r="D397" s="128">
        <f t="shared" si="33"/>
        <v>812.07921599999975</v>
      </c>
      <c r="E397" s="126">
        <v>0</v>
      </c>
      <c r="F397" s="150">
        <f t="shared" si="36"/>
        <v>1015.0990199999998</v>
      </c>
    </row>
    <row r="398" spans="1:11" x14ac:dyDescent="0.25">
      <c r="A398" s="153">
        <v>6</v>
      </c>
      <c r="B398" s="99" t="s">
        <v>295</v>
      </c>
      <c r="C398" s="127">
        <f>(55.55+0.6*(3.05+3.1+3.05)+0.75*2.4)*10.764</f>
        <v>676.73267999999985</v>
      </c>
      <c r="D398" s="128">
        <f t="shared" si="33"/>
        <v>812.07921599999975</v>
      </c>
      <c r="E398" s="126">
        <v>0</v>
      </c>
      <c r="F398" s="150">
        <f t="shared" si="36"/>
        <v>1015.0990199999998</v>
      </c>
    </row>
    <row r="399" spans="1:11" s="36" customFormat="1" ht="15.75" x14ac:dyDescent="0.25">
      <c r="A399" s="241" t="s">
        <v>293</v>
      </c>
      <c r="B399" s="242"/>
      <c r="C399" s="242"/>
      <c r="D399" s="242"/>
      <c r="E399" s="242"/>
      <c r="F399" s="243"/>
      <c r="G399" s="44"/>
      <c r="H399" s="44"/>
      <c r="I399" s="45"/>
      <c r="J399" s="45"/>
    </row>
    <row r="400" spans="1:11" s="80" customFormat="1" ht="15.75" customHeight="1" x14ac:dyDescent="0.25">
      <c r="A400" s="244" t="s">
        <v>305</v>
      </c>
      <c r="B400" s="245"/>
      <c r="C400" s="245"/>
      <c r="D400" s="245"/>
      <c r="E400" s="245"/>
      <c r="F400" s="246"/>
      <c r="G400" s="47"/>
      <c r="H400" s="47"/>
      <c r="I400" s="48"/>
      <c r="J400" s="48"/>
      <c r="K400" s="42">
        <v>10.763999999999999</v>
      </c>
    </row>
    <row r="401" spans="1:11" x14ac:dyDescent="0.25">
      <c r="A401" s="153">
        <v>1</v>
      </c>
      <c r="B401" s="99" t="s">
        <v>294</v>
      </c>
      <c r="C401" s="127">
        <f>(34.96)*10.764</f>
        <v>376.30944</v>
      </c>
      <c r="D401" s="128">
        <f t="shared" ref="D401:D404" si="37">C401*1.2</f>
        <v>451.57132799999999</v>
      </c>
      <c r="E401" s="126">
        <f>(5.95*1.5+3*2.5)*10.764</f>
        <v>176.7987</v>
      </c>
      <c r="F401" s="150">
        <f t="shared" ref="F401:F404" si="38">C401*(($F$312)+1)+(IF(E401&lt;101,E401,IF(E401&lt;201,E401/2,IF(E401&lt;=301,E401/3,E401/4))))</f>
        <v>652.86351000000002</v>
      </c>
    </row>
    <row r="402" spans="1:11" x14ac:dyDescent="0.25">
      <c r="A402" s="153">
        <v>2</v>
      </c>
      <c r="B402" s="259" t="s">
        <v>161</v>
      </c>
      <c r="C402" s="260"/>
      <c r="D402" s="260"/>
      <c r="E402" s="261"/>
      <c r="F402" s="150">
        <f t="shared" si="38"/>
        <v>0</v>
      </c>
    </row>
    <row r="403" spans="1:11" x14ac:dyDescent="0.25">
      <c r="A403" s="153">
        <v>3</v>
      </c>
      <c r="B403" s="262"/>
      <c r="C403" s="263"/>
      <c r="D403" s="263"/>
      <c r="E403" s="264"/>
      <c r="F403" s="150">
        <f t="shared" si="38"/>
        <v>0</v>
      </c>
    </row>
    <row r="404" spans="1:11" x14ac:dyDescent="0.25">
      <c r="A404" s="153">
        <v>4</v>
      </c>
      <c r="B404" s="99" t="s">
        <v>295</v>
      </c>
      <c r="C404" s="127">
        <f>(55.45+0.6*3.05)*10.764</f>
        <v>616.56191999999999</v>
      </c>
      <c r="D404" s="128">
        <f t="shared" si="37"/>
        <v>739.87430399999994</v>
      </c>
      <c r="E404" s="126">
        <f>(1.5*9.9+2*2.9)*10.764</f>
        <v>222.2766</v>
      </c>
      <c r="F404" s="150">
        <f t="shared" si="38"/>
        <v>998.93507999999997</v>
      </c>
    </row>
    <row r="405" spans="1:11" x14ac:dyDescent="0.25">
      <c r="A405" s="216" t="s">
        <v>297</v>
      </c>
      <c r="B405" s="217"/>
      <c r="C405" s="217"/>
      <c r="D405" s="217"/>
      <c r="E405" s="217"/>
      <c r="F405" s="218"/>
    </row>
    <row r="406" spans="1:11" x14ac:dyDescent="0.25">
      <c r="A406" s="153">
        <v>1</v>
      </c>
      <c r="B406" s="99" t="s">
        <v>294</v>
      </c>
      <c r="C406" s="127">
        <f>(35.96+0.6*(2.9+2.9)+0.75*2.4)*10.764</f>
        <v>443.90735999999993</v>
      </c>
      <c r="D406" s="128">
        <f t="shared" ref="D406:D414" si="39">C406*1.2</f>
        <v>532.68883199999993</v>
      </c>
      <c r="E406" s="126">
        <v>0</v>
      </c>
      <c r="F406" s="150">
        <f t="shared" ref="F406:F409" si="40">C406*(($F$312)+1)+(IF(E406&lt;101,E406,IF(E406&lt;201,E406/2,IF(E406&lt;=301,E406/3,E406/4))))</f>
        <v>665.86103999999989</v>
      </c>
    </row>
    <row r="407" spans="1:11" x14ac:dyDescent="0.25">
      <c r="A407" s="153">
        <v>2</v>
      </c>
      <c r="B407" s="99" t="s">
        <v>294</v>
      </c>
      <c r="C407" s="127">
        <f>(34.83+0.6*(2.9+3.2)+0.75*2.4)*10.764</f>
        <v>433.68155999999988</v>
      </c>
      <c r="D407" s="128">
        <f t="shared" si="39"/>
        <v>520.41787199999987</v>
      </c>
      <c r="E407" s="126">
        <v>0</v>
      </c>
      <c r="F407" s="150">
        <f t="shared" si="40"/>
        <v>650.52233999999976</v>
      </c>
    </row>
    <row r="408" spans="1:11" x14ac:dyDescent="0.25">
      <c r="A408" s="153">
        <v>3</v>
      </c>
      <c r="B408" s="99" t="s">
        <v>295</v>
      </c>
      <c r="C408" s="127">
        <f>(55.45+0.6*(3.05+3.1+3)+0.75*2.4)*10.764</f>
        <v>675.33335999999997</v>
      </c>
      <c r="D408" s="128">
        <f t="shared" si="39"/>
        <v>810.4000319999999</v>
      </c>
      <c r="E408" s="126">
        <v>0</v>
      </c>
      <c r="F408" s="150">
        <f t="shared" si="40"/>
        <v>1013.0000399999999</v>
      </c>
    </row>
    <row r="409" spans="1:11" x14ac:dyDescent="0.25">
      <c r="A409" s="153">
        <v>4</v>
      </c>
      <c r="B409" s="99" t="s">
        <v>295</v>
      </c>
      <c r="C409" s="127">
        <f>(55.45+0.6*(3.05+3.1+3)+0.75*2.4)*10.764</f>
        <v>675.33335999999997</v>
      </c>
      <c r="D409" s="128">
        <f t="shared" si="39"/>
        <v>810.4000319999999</v>
      </c>
      <c r="E409" s="126">
        <v>0</v>
      </c>
      <c r="F409" s="150">
        <f t="shared" si="40"/>
        <v>1013.0000399999999</v>
      </c>
    </row>
    <row r="410" spans="1:11" x14ac:dyDescent="0.25">
      <c r="A410" s="216" t="s">
        <v>299</v>
      </c>
      <c r="B410" s="217"/>
      <c r="C410" s="217"/>
      <c r="D410" s="217"/>
      <c r="E410" s="217"/>
      <c r="F410" s="218"/>
    </row>
    <row r="411" spans="1:11" x14ac:dyDescent="0.25">
      <c r="A411" s="153">
        <v>1</v>
      </c>
      <c r="B411" s="99" t="s">
        <v>294</v>
      </c>
      <c r="C411" s="127">
        <f>(35.96+0.6*(2.9+2.9)+0.75*2.4)*10.764</f>
        <v>443.90735999999993</v>
      </c>
      <c r="D411" s="128">
        <f t="shared" si="39"/>
        <v>532.68883199999993</v>
      </c>
      <c r="E411" s="126">
        <v>0</v>
      </c>
      <c r="F411" s="150">
        <f t="shared" ref="F411:F414" si="41">C411*(($F$312)+1)+(IF(E411&lt;101,E411,IF(E411&lt;201,E411/2,IF(E411&lt;=301,E411/3,E411/4))))</f>
        <v>665.86103999999989</v>
      </c>
    </row>
    <row r="412" spans="1:11" x14ac:dyDescent="0.25">
      <c r="A412" s="153">
        <v>2</v>
      </c>
      <c r="B412" s="99" t="s">
        <v>294</v>
      </c>
      <c r="C412" s="127">
        <f>(34.83+0.6*(2.9+3.2)+0.75*2.4)*10.764</f>
        <v>433.68155999999988</v>
      </c>
      <c r="D412" s="128">
        <f t="shared" si="39"/>
        <v>520.41787199999987</v>
      </c>
      <c r="E412" s="126">
        <v>0</v>
      </c>
      <c r="F412" s="150">
        <f t="shared" si="41"/>
        <v>650.52233999999976</v>
      </c>
    </row>
    <row r="413" spans="1:11" x14ac:dyDescent="0.25">
      <c r="A413" s="153">
        <v>3</v>
      </c>
      <c r="B413" s="99" t="s">
        <v>295</v>
      </c>
      <c r="C413" s="127">
        <f>(55.45+0.6*(3.05+3.1+3)+0.75*2.4)*10.764</f>
        <v>675.33335999999997</v>
      </c>
      <c r="D413" s="128">
        <f t="shared" si="39"/>
        <v>810.4000319999999</v>
      </c>
      <c r="E413" s="126">
        <v>0</v>
      </c>
      <c r="F413" s="150">
        <f t="shared" si="41"/>
        <v>1013.0000399999999</v>
      </c>
    </row>
    <row r="414" spans="1:11" x14ac:dyDescent="0.25">
      <c r="A414" s="153">
        <v>4</v>
      </c>
      <c r="B414" s="99" t="s">
        <v>295</v>
      </c>
      <c r="C414" s="127">
        <f>(55.45+0.6*(3.05+3.1+3)+0.75*2.4)*10.764</f>
        <v>675.33335999999997</v>
      </c>
      <c r="D414" s="128">
        <f t="shared" si="39"/>
        <v>810.4000319999999</v>
      </c>
      <c r="E414" s="126">
        <v>0</v>
      </c>
      <c r="F414" s="150">
        <f t="shared" si="41"/>
        <v>1013.0000399999999</v>
      </c>
    </row>
    <row r="415" spans="1:11" s="36" customFormat="1" ht="15.75" x14ac:dyDescent="0.25">
      <c r="A415" s="241" t="s">
        <v>307</v>
      </c>
      <c r="B415" s="242"/>
      <c r="C415" s="242"/>
      <c r="D415" s="242"/>
      <c r="E415" s="242"/>
      <c r="F415" s="243"/>
      <c r="G415" s="44"/>
      <c r="H415" s="44"/>
      <c r="I415" s="45"/>
      <c r="J415" s="45"/>
    </row>
    <row r="416" spans="1:11" s="80" customFormat="1" ht="15.75" customHeight="1" x14ac:dyDescent="0.25">
      <c r="A416" s="244" t="s">
        <v>303</v>
      </c>
      <c r="B416" s="245"/>
      <c r="C416" s="245"/>
      <c r="D416" s="245"/>
      <c r="E416" s="245"/>
      <c r="F416" s="246"/>
      <c r="G416" s="47"/>
      <c r="H416" s="47"/>
      <c r="I416" s="48"/>
      <c r="J416" s="48"/>
      <c r="K416" s="42">
        <v>10.763999999999999</v>
      </c>
    </row>
    <row r="417" spans="1:14" s="80" customFormat="1" ht="15.75" customHeight="1" x14ac:dyDescent="0.25">
      <c r="A417" s="244" t="s">
        <v>308</v>
      </c>
      <c r="B417" s="245"/>
      <c r="C417" s="245"/>
      <c r="D417" s="245"/>
      <c r="E417" s="245"/>
      <c r="F417" s="246"/>
      <c r="G417" s="47"/>
      <c r="H417" s="47"/>
      <c r="I417" s="48"/>
      <c r="J417" s="48"/>
      <c r="K417" s="42">
        <v>10.763999999999999</v>
      </c>
    </row>
    <row r="418" spans="1:14" s="80" customFormat="1" ht="15.75" x14ac:dyDescent="0.25">
      <c r="A418" s="149">
        <v>1</v>
      </c>
      <c r="B418" s="250" t="s">
        <v>161</v>
      </c>
      <c r="C418" s="251"/>
      <c r="D418" s="251"/>
      <c r="E418" s="252"/>
      <c r="F418" s="150">
        <f>C418*(($F$312)+1)+(IF(E418&lt;101,E418,IF(E418&lt;201,E418/2,IF(E418&lt;=301,E418/3,E418/4))))</f>
        <v>0</v>
      </c>
      <c r="I418" s="49"/>
      <c r="J418" s="50"/>
      <c r="L418" s="240"/>
      <c r="M418" s="240"/>
      <c r="N418" s="39"/>
    </row>
    <row r="419" spans="1:14" ht="15.75" customHeight="1" x14ac:dyDescent="0.25">
      <c r="A419" s="149">
        <v>2</v>
      </c>
      <c r="B419" s="253"/>
      <c r="C419" s="254"/>
      <c r="D419" s="254"/>
      <c r="E419" s="255"/>
      <c r="F419" s="150">
        <f t="shared" ref="F419:F424" si="42">C419*(($F$312)+1)+(IF(E419&lt;101,E419,IF(E419&lt;201,E419/2,IF(E419&lt;=301,E419/3,E419/4))))</f>
        <v>0</v>
      </c>
    </row>
    <row r="420" spans="1:14" ht="15.75" customHeight="1" x14ac:dyDescent="0.25">
      <c r="A420" s="149">
        <v>3</v>
      </c>
      <c r="B420" s="256"/>
      <c r="C420" s="257"/>
      <c r="D420" s="257"/>
      <c r="E420" s="258"/>
      <c r="F420" s="150">
        <f t="shared" si="42"/>
        <v>0</v>
      </c>
    </row>
    <row r="421" spans="1:14" ht="15.75" x14ac:dyDescent="0.25">
      <c r="A421" s="149">
        <v>4</v>
      </c>
      <c r="B421" s="99" t="s">
        <v>295</v>
      </c>
      <c r="C421" s="127">
        <f>((51.46+0.6*(2.9+2.9+2.9)+0.75*2.4))*10.764</f>
        <v>629.47871999999995</v>
      </c>
      <c r="D421" s="128">
        <f t="shared" ref="D421:D448" si="43">C421*1.2</f>
        <v>755.37446399999988</v>
      </c>
      <c r="E421" s="126">
        <v>0</v>
      </c>
      <c r="F421" s="150">
        <f t="shared" si="42"/>
        <v>944.21807999999987</v>
      </c>
      <c r="G421" s="212"/>
      <c r="H421" s="212"/>
    </row>
    <row r="422" spans="1:14" x14ac:dyDescent="0.25">
      <c r="A422" s="149">
        <v>5</v>
      </c>
      <c r="B422" s="99" t="s">
        <v>294</v>
      </c>
      <c r="C422" s="127">
        <f>(35.04+0.6*(2.9+2.9)+0.75*2.4)*10.764</f>
        <v>434.00447999999989</v>
      </c>
      <c r="D422" s="128">
        <f t="shared" si="43"/>
        <v>520.8053759999998</v>
      </c>
      <c r="E422" s="126">
        <v>0</v>
      </c>
      <c r="F422" s="150">
        <f t="shared" si="42"/>
        <v>651.00671999999986</v>
      </c>
      <c r="G422" s="132">
        <f>(2.9*2.25+2.4*1.5+2.9*2.5+2.9*2.5)*10.764</f>
        <v>265.06349999999998</v>
      </c>
    </row>
    <row r="423" spans="1:14" ht="15.75" customHeight="1" x14ac:dyDescent="0.25">
      <c r="A423" s="149">
        <v>6</v>
      </c>
      <c r="B423" s="99" t="s">
        <v>295</v>
      </c>
      <c r="C423" s="127">
        <f>(52.74+0.6*(2.9+2.9+2.9)+0.75*2.4)*10.764</f>
        <v>643.25663999999995</v>
      </c>
      <c r="D423" s="128">
        <f t="shared" si="43"/>
        <v>771.90796799999987</v>
      </c>
      <c r="E423" s="126">
        <v>0</v>
      </c>
      <c r="F423" s="150">
        <f t="shared" si="42"/>
        <v>964.88495999999986</v>
      </c>
    </row>
    <row r="424" spans="1:14" ht="15.75" customHeight="1" x14ac:dyDescent="0.25">
      <c r="A424" s="149">
        <v>7</v>
      </c>
      <c r="B424" s="219" t="s">
        <v>161</v>
      </c>
      <c r="C424" s="220"/>
      <c r="D424" s="220"/>
      <c r="E424" s="221"/>
      <c r="F424" s="150">
        <f t="shared" si="42"/>
        <v>0</v>
      </c>
    </row>
    <row r="425" spans="1:14" s="80" customFormat="1" ht="15.75" customHeight="1" x14ac:dyDescent="0.25">
      <c r="A425" s="244" t="s">
        <v>296</v>
      </c>
      <c r="B425" s="245"/>
      <c r="C425" s="245"/>
      <c r="D425" s="245"/>
      <c r="E425" s="245"/>
      <c r="F425" s="246"/>
      <c r="G425" s="47"/>
      <c r="H425" s="47"/>
      <c r="I425" s="48"/>
      <c r="J425" s="48"/>
      <c r="K425" s="42">
        <v>10.763999999999999</v>
      </c>
    </row>
    <row r="426" spans="1:14" s="80" customFormat="1" ht="15.75" x14ac:dyDescent="0.25">
      <c r="A426" s="149">
        <v>1</v>
      </c>
      <c r="B426" s="231" t="s">
        <v>161</v>
      </c>
      <c r="C426" s="232"/>
      <c r="D426" s="232"/>
      <c r="E426" s="233"/>
      <c r="F426" s="150">
        <f>C426*(($F$312)+1)+(IF(E426&lt;101,E426,IF(E426&lt;201,E426/2,IF(E426&lt;=301,E426/3,E426/4))))</f>
        <v>0</v>
      </c>
      <c r="I426" s="49"/>
      <c r="J426" s="50"/>
      <c r="L426" s="240"/>
      <c r="M426" s="240"/>
      <c r="N426" s="39"/>
    </row>
    <row r="427" spans="1:14" ht="15.75" customHeight="1" x14ac:dyDescent="0.25">
      <c r="A427" s="149">
        <v>2</v>
      </c>
      <c r="B427" s="234"/>
      <c r="C427" s="235"/>
      <c r="D427" s="235"/>
      <c r="E427" s="236"/>
      <c r="F427" s="150">
        <f t="shared" ref="F427:F432" si="44">C427*(($F$312)+1)+(IF(E427&lt;101,E427,IF(E427&lt;201,E427/2,IF(E427&lt;=301,E427/3,E427/4))))</f>
        <v>0</v>
      </c>
    </row>
    <row r="428" spans="1:14" ht="15.75" customHeight="1" x14ac:dyDescent="0.25">
      <c r="A428" s="149">
        <v>3</v>
      </c>
      <c r="B428" s="237"/>
      <c r="C428" s="238"/>
      <c r="D428" s="238"/>
      <c r="E428" s="239"/>
      <c r="F428" s="150">
        <f t="shared" si="44"/>
        <v>0</v>
      </c>
    </row>
    <row r="429" spans="1:14" ht="15.75" x14ac:dyDescent="0.25">
      <c r="A429" s="149">
        <v>4</v>
      </c>
      <c r="B429" s="99" t="s">
        <v>295</v>
      </c>
      <c r="C429" s="127">
        <f>((51.46+0.6*(2.9+2.9+2.9)+0.75*2.4))*10.764</f>
        <v>629.47871999999995</v>
      </c>
      <c r="D429" s="128">
        <f t="shared" si="43"/>
        <v>755.37446399999988</v>
      </c>
      <c r="E429" s="126">
        <v>0</v>
      </c>
      <c r="F429" s="150">
        <f t="shared" si="44"/>
        <v>944.21807999999987</v>
      </c>
      <c r="G429" s="212"/>
      <c r="H429" s="212"/>
    </row>
    <row r="430" spans="1:14" x14ac:dyDescent="0.25">
      <c r="A430" s="149">
        <v>5</v>
      </c>
      <c r="B430" s="99" t="s">
        <v>294</v>
      </c>
      <c r="C430" s="127">
        <f>(35.04+0.6*(2.9+2.9)+0.75*2.4)*10.764</f>
        <v>434.00447999999989</v>
      </c>
      <c r="D430" s="128">
        <f t="shared" si="43"/>
        <v>520.8053759999998</v>
      </c>
      <c r="E430" s="126">
        <v>0</v>
      </c>
      <c r="F430" s="150">
        <f t="shared" si="44"/>
        <v>651.00671999999986</v>
      </c>
      <c r="G430" s="132">
        <f>(2.9*2.25+2.4*1.5+2.9*2.5+2.9*2.5)*10.764</f>
        <v>265.06349999999998</v>
      </c>
    </row>
    <row r="431" spans="1:14" ht="15.75" customHeight="1" x14ac:dyDescent="0.25">
      <c r="A431" s="149">
        <v>6</v>
      </c>
      <c r="B431" s="99" t="s">
        <v>295</v>
      </c>
      <c r="C431" s="127">
        <f>(52.74+0.6*(2.9+2.9+2.9)+0.75*2.4)*10.764</f>
        <v>643.25663999999995</v>
      </c>
      <c r="D431" s="128">
        <f t="shared" si="43"/>
        <v>771.90796799999987</v>
      </c>
      <c r="E431" s="126">
        <v>0</v>
      </c>
      <c r="F431" s="150">
        <f t="shared" si="44"/>
        <v>964.88495999999986</v>
      </c>
    </row>
    <row r="432" spans="1:14" ht="15.75" customHeight="1" x14ac:dyDescent="0.25">
      <c r="A432" s="149">
        <v>7</v>
      </c>
      <c r="B432" s="219" t="s">
        <v>161</v>
      </c>
      <c r="C432" s="220"/>
      <c r="D432" s="220"/>
      <c r="E432" s="221"/>
      <c r="F432" s="150">
        <f t="shared" si="44"/>
        <v>0</v>
      </c>
    </row>
    <row r="433" spans="1:6" s="82" customFormat="1" x14ac:dyDescent="0.25">
      <c r="A433" s="213" t="s">
        <v>297</v>
      </c>
      <c r="B433" s="214"/>
      <c r="C433" s="214"/>
      <c r="D433" s="214"/>
      <c r="E433" s="214"/>
      <c r="F433" s="215"/>
    </row>
    <row r="434" spans="1:6" x14ac:dyDescent="0.25">
      <c r="A434" s="153">
        <v>1</v>
      </c>
      <c r="B434" s="99" t="s">
        <v>294</v>
      </c>
      <c r="C434" s="127">
        <f>(34.94+0.6*(2.75+2.75)+0.75*2.4)*10.764</f>
        <v>430.9905599999999</v>
      </c>
      <c r="D434" s="128">
        <f t="shared" si="43"/>
        <v>517.18867199999988</v>
      </c>
      <c r="E434" s="126">
        <v>0</v>
      </c>
      <c r="F434" s="150">
        <f t="shared" ref="F434:F440" si="45">C434*(($F$312)+1)+(IF(E434&lt;101,E434,IF(E434&lt;201,E434/2,IF(E434&lt;=301,E434/3,E434/4))))</f>
        <v>646.48583999999983</v>
      </c>
    </row>
    <row r="435" spans="1:6" x14ac:dyDescent="0.25">
      <c r="A435" s="153">
        <v>2</v>
      </c>
      <c r="B435" s="99" t="s">
        <v>294</v>
      </c>
      <c r="C435" s="127">
        <f>(34.94+0.6*(2.75+2.75)+0.75*2.4)*10.764</f>
        <v>430.9905599999999</v>
      </c>
      <c r="D435" s="128">
        <f t="shared" si="43"/>
        <v>517.18867199999988</v>
      </c>
      <c r="E435" s="126">
        <v>0</v>
      </c>
      <c r="F435" s="150">
        <f t="shared" si="45"/>
        <v>646.48583999999983</v>
      </c>
    </row>
    <row r="436" spans="1:6" x14ac:dyDescent="0.25">
      <c r="A436" s="153">
        <v>3</v>
      </c>
      <c r="B436" s="99" t="s">
        <v>294</v>
      </c>
      <c r="C436" s="127">
        <f>(35.07+0.6*(2.9+2.9)+0.75*2.4)*10.764</f>
        <v>434.3273999999999</v>
      </c>
      <c r="D436" s="128">
        <f t="shared" si="43"/>
        <v>521.19287999999983</v>
      </c>
      <c r="E436" s="126">
        <v>0</v>
      </c>
      <c r="F436" s="150">
        <f t="shared" si="45"/>
        <v>651.49109999999985</v>
      </c>
    </row>
    <row r="437" spans="1:6" x14ac:dyDescent="0.25">
      <c r="A437" s="153">
        <v>4</v>
      </c>
      <c r="B437" s="99" t="s">
        <v>295</v>
      </c>
      <c r="C437" s="127">
        <f>(51.46+0.6*(2.9+2.9+2.9)+0.75*2.4)*10.764</f>
        <v>629.47871999999995</v>
      </c>
      <c r="D437" s="128">
        <f t="shared" si="43"/>
        <v>755.37446399999988</v>
      </c>
      <c r="E437" s="126">
        <v>0</v>
      </c>
      <c r="F437" s="150">
        <f t="shared" si="45"/>
        <v>944.21807999999987</v>
      </c>
    </row>
    <row r="438" spans="1:6" x14ac:dyDescent="0.25">
      <c r="A438" s="153">
        <v>5</v>
      </c>
      <c r="B438" s="99" t="s">
        <v>294</v>
      </c>
      <c r="C438" s="127">
        <f>(35.04+0.6*(2.9+2.9)+0.75*2.4)*10.764</f>
        <v>434.00447999999989</v>
      </c>
      <c r="D438" s="128">
        <f t="shared" si="43"/>
        <v>520.8053759999998</v>
      </c>
      <c r="E438" s="126">
        <v>0</v>
      </c>
      <c r="F438" s="150">
        <f t="shared" si="45"/>
        <v>651.00671999999986</v>
      </c>
    </row>
    <row r="439" spans="1:6" x14ac:dyDescent="0.25">
      <c r="A439" s="153">
        <v>6</v>
      </c>
      <c r="B439" s="99" t="s">
        <v>295</v>
      </c>
      <c r="C439" s="127">
        <f>(52.74+0.6*(2.9+2.9+2.9)+0.75*2.4)*10.764</f>
        <v>643.25663999999995</v>
      </c>
      <c r="D439" s="128">
        <f t="shared" si="43"/>
        <v>771.90796799999987</v>
      </c>
      <c r="E439" s="126">
        <v>0</v>
      </c>
      <c r="F439" s="150">
        <f t="shared" si="45"/>
        <v>964.88495999999986</v>
      </c>
    </row>
    <row r="440" spans="1:6" x14ac:dyDescent="0.25">
      <c r="A440" s="153">
        <v>7</v>
      </c>
      <c r="B440" s="99" t="s">
        <v>294</v>
      </c>
      <c r="C440" s="127">
        <f>(35.07+0.6*(2.9+2.9)+0.75*2.4)*10.764</f>
        <v>434.3273999999999</v>
      </c>
      <c r="D440" s="128">
        <f t="shared" si="43"/>
        <v>521.19287999999983</v>
      </c>
      <c r="E440" s="126">
        <v>0</v>
      </c>
      <c r="F440" s="150">
        <f t="shared" si="45"/>
        <v>651.49109999999985</v>
      </c>
    </row>
    <row r="441" spans="1:6" x14ac:dyDescent="0.25">
      <c r="A441" s="216" t="s">
        <v>299</v>
      </c>
      <c r="B441" s="217"/>
      <c r="C441" s="217"/>
      <c r="D441" s="217"/>
      <c r="E441" s="217"/>
      <c r="F441" s="218"/>
    </row>
    <row r="442" spans="1:6" x14ac:dyDescent="0.25">
      <c r="A442" s="153">
        <v>1</v>
      </c>
      <c r="B442" s="99" t="s">
        <v>294</v>
      </c>
      <c r="C442" s="127">
        <f>(34.94+0.6*(2.75+2.75)+0.75*2.4)*10.764</f>
        <v>430.9905599999999</v>
      </c>
      <c r="D442" s="128">
        <f t="shared" si="43"/>
        <v>517.18867199999988</v>
      </c>
      <c r="E442" s="126">
        <v>0</v>
      </c>
      <c r="F442" s="150">
        <f t="shared" ref="F442:F448" si="46">C442*(($F$312)+1)+(IF(E442&lt;101,E442,IF(E442&lt;201,E442/2,IF(E442&lt;=301,E442/3,E442/4))))</f>
        <v>646.48583999999983</v>
      </c>
    </row>
    <row r="443" spans="1:6" x14ac:dyDescent="0.25">
      <c r="A443" s="153">
        <v>2</v>
      </c>
      <c r="B443" s="99" t="s">
        <v>294</v>
      </c>
      <c r="C443" s="127">
        <f>(34.94+0.6*(2.75+2.75)+0.75*2.4)*10.764</f>
        <v>430.9905599999999</v>
      </c>
      <c r="D443" s="128">
        <f t="shared" si="43"/>
        <v>517.18867199999988</v>
      </c>
      <c r="E443" s="126">
        <v>0</v>
      </c>
      <c r="F443" s="150">
        <f t="shared" si="46"/>
        <v>646.48583999999983</v>
      </c>
    </row>
    <row r="444" spans="1:6" x14ac:dyDescent="0.25">
      <c r="A444" s="153">
        <v>3</v>
      </c>
      <c r="B444" s="99" t="s">
        <v>294</v>
      </c>
      <c r="C444" s="127">
        <f>(35.07+0.6*(2.9+2.9)+0.75*2.4)*10.764</f>
        <v>434.3273999999999</v>
      </c>
      <c r="D444" s="128">
        <f t="shared" si="43"/>
        <v>521.19287999999983</v>
      </c>
      <c r="E444" s="126">
        <v>0</v>
      </c>
      <c r="F444" s="150">
        <f t="shared" si="46"/>
        <v>651.49109999999985</v>
      </c>
    </row>
    <row r="445" spans="1:6" x14ac:dyDescent="0.25">
      <c r="A445" s="153">
        <v>4</v>
      </c>
      <c r="B445" s="99" t="s">
        <v>295</v>
      </c>
      <c r="C445" s="127">
        <f>(51.46+0.6*(2.9+2.9+2.9)+0.75*2.4)*10.764</f>
        <v>629.47871999999995</v>
      </c>
      <c r="D445" s="128">
        <f t="shared" si="43"/>
        <v>755.37446399999988</v>
      </c>
      <c r="E445" s="126">
        <v>0</v>
      </c>
      <c r="F445" s="150">
        <f t="shared" si="46"/>
        <v>944.21807999999987</v>
      </c>
    </row>
    <row r="446" spans="1:6" x14ac:dyDescent="0.25">
      <c r="A446" s="153">
        <v>5</v>
      </c>
      <c r="B446" s="99" t="s">
        <v>294</v>
      </c>
      <c r="C446" s="127">
        <f>(35.04+0.6*(2.9+2.9)+0.75*2.4)*10.764</f>
        <v>434.00447999999989</v>
      </c>
      <c r="D446" s="128">
        <f t="shared" si="43"/>
        <v>520.8053759999998</v>
      </c>
      <c r="E446" s="126">
        <v>0</v>
      </c>
      <c r="F446" s="150">
        <f t="shared" si="46"/>
        <v>651.00671999999986</v>
      </c>
    </row>
    <row r="447" spans="1:6" x14ac:dyDescent="0.25">
      <c r="A447" s="153">
        <v>6</v>
      </c>
      <c r="B447" s="99" t="s">
        <v>294</v>
      </c>
      <c r="C447" s="127">
        <f>(37.1+0.6*(2.9+2.9)+0.75*2.4)*10.764</f>
        <v>456.17831999999993</v>
      </c>
      <c r="D447" s="128">
        <f t="shared" si="43"/>
        <v>547.41398399999991</v>
      </c>
      <c r="E447" s="126">
        <v>0</v>
      </c>
      <c r="F447" s="150">
        <f t="shared" si="46"/>
        <v>684.26747999999986</v>
      </c>
    </row>
    <row r="448" spans="1:6" x14ac:dyDescent="0.25">
      <c r="A448" s="153">
        <v>7</v>
      </c>
      <c r="B448" s="99" t="s">
        <v>294</v>
      </c>
      <c r="C448" s="127">
        <f>(35.07+0.6*(2.9+2.9)+0.75*2.4)*10.764</f>
        <v>434.3273999999999</v>
      </c>
      <c r="D448" s="128">
        <f t="shared" si="43"/>
        <v>521.19287999999983</v>
      </c>
      <c r="E448" s="126">
        <v>0</v>
      </c>
      <c r="F448" s="150">
        <f t="shared" si="46"/>
        <v>651.49109999999985</v>
      </c>
    </row>
    <row r="449" spans="1:14" s="36" customFormat="1" ht="15.75" x14ac:dyDescent="0.25">
      <c r="A449" s="241" t="s">
        <v>309</v>
      </c>
      <c r="B449" s="242"/>
      <c r="C449" s="242"/>
      <c r="D449" s="242"/>
      <c r="E449" s="242"/>
      <c r="F449" s="243"/>
      <c r="G449" s="44"/>
      <c r="H449" s="44"/>
      <c r="I449" s="45"/>
      <c r="J449" s="45"/>
    </row>
    <row r="450" spans="1:14" s="80" customFormat="1" ht="15.75" customHeight="1" x14ac:dyDescent="0.25">
      <c r="A450" s="244" t="s">
        <v>310</v>
      </c>
      <c r="B450" s="245"/>
      <c r="C450" s="245"/>
      <c r="D450" s="245"/>
      <c r="E450" s="245"/>
      <c r="F450" s="246"/>
      <c r="G450" s="47"/>
      <c r="H450" s="47"/>
      <c r="I450" s="48"/>
      <c r="J450" s="48"/>
      <c r="K450" s="42">
        <v>10.763999999999999</v>
      </c>
    </row>
    <row r="451" spans="1:14" s="80" customFormat="1" ht="15.75" customHeight="1" x14ac:dyDescent="0.25">
      <c r="A451" s="244" t="s">
        <v>311</v>
      </c>
      <c r="B451" s="245"/>
      <c r="C451" s="245"/>
      <c r="D451" s="245"/>
      <c r="E451" s="245"/>
      <c r="F451" s="246"/>
      <c r="G451" s="47"/>
      <c r="H451" s="47"/>
      <c r="I451" s="48"/>
      <c r="J451" s="48"/>
      <c r="K451" s="42">
        <v>10.763999999999999</v>
      </c>
    </row>
    <row r="452" spans="1:14" s="80" customFormat="1" ht="15.75" x14ac:dyDescent="0.25">
      <c r="A452" s="149">
        <v>1</v>
      </c>
      <c r="B452" s="222" t="s">
        <v>161</v>
      </c>
      <c r="C452" s="223"/>
      <c r="D452" s="223"/>
      <c r="E452" s="224"/>
      <c r="F452" s="150">
        <f>C452*(($F$312)+1)+(IF(E452&lt;101,E452,IF(E452&lt;201,E452/2,IF(E452&lt;=301,E452/3,E452/4))))</f>
        <v>0</v>
      </c>
      <c r="I452" s="49"/>
      <c r="J452" s="50"/>
      <c r="L452" s="240"/>
      <c r="M452" s="240"/>
      <c r="N452" s="39"/>
    </row>
    <row r="453" spans="1:14" ht="15.75" customHeight="1" x14ac:dyDescent="0.25">
      <c r="A453" s="149">
        <v>2</v>
      </c>
      <c r="B453" s="225"/>
      <c r="C453" s="226"/>
      <c r="D453" s="226"/>
      <c r="E453" s="227"/>
      <c r="F453" s="150">
        <f t="shared" ref="F453:F458" si="47">C453*(($F$312)+1)+(IF(E453&lt;101,E453,IF(E453&lt;201,E453/2,IF(E453&lt;=301,E453/3,E453/4))))</f>
        <v>0</v>
      </c>
    </row>
    <row r="454" spans="1:14" ht="15.75" customHeight="1" x14ac:dyDescent="0.25">
      <c r="A454" s="149">
        <v>3</v>
      </c>
      <c r="B454" s="225"/>
      <c r="C454" s="226"/>
      <c r="D454" s="226"/>
      <c r="E454" s="227"/>
      <c r="F454" s="150">
        <f t="shared" si="47"/>
        <v>0</v>
      </c>
    </row>
    <row r="455" spans="1:14" ht="15.75" x14ac:dyDescent="0.25">
      <c r="A455" s="149">
        <v>4</v>
      </c>
      <c r="B455" s="225"/>
      <c r="C455" s="226"/>
      <c r="D455" s="226"/>
      <c r="E455" s="227"/>
      <c r="F455" s="150">
        <f t="shared" si="47"/>
        <v>0</v>
      </c>
      <c r="G455" s="212"/>
      <c r="H455" s="212"/>
    </row>
    <row r="456" spans="1:14" x14ac:dyDescent="0.25">
      <c r="A456" s="149">
        <v>5</v>
      </c>
      <c r="B456" s="228"/>
      <c r="C456" s="229"/>
      <c r="D456" s="229"/>
      <c r="E456" s="230"/>
      <c r="F456" s="150">
        <f t="shared" si="47"/>
        <v>0</v>
      </c>
      <c r="G456" s="132">
        <f>(2.9*2.25+2.4*1.5+2.9*2.5+2.9*2.5)*10.764</f>
        <v>265.06349999999998</v>
      </c>
    </row>
    <row r="457" spans="1:14" ht="15.75" customHeight="1" x14ac:dyDescent="0.25">
      <c r="A457" s="149">
        <v>6</v>
      </c>
      <c r="B457" s="99" t="s">
        <v>295</v>
      </c>
      <c r="C457" s="127">
        <f>(42.93+0.6*(2.9+2.9+2.9)+0.75*2.4)*10.764</f>
        <v>537.66179999999997</v>
      </c>
      <c r="D457" s="128">
        <f t="shared" ref="D457:D486" si="48">C457*1.2</f>
        <v>645.1941599999999</v>
      </c>
      <c r="E457" s="126">
        <v>0</v>
      </c>
      <c r="F457" s="150">
        <f t="shared" si="47"/>
        <v>806.49270000000001</v>
      </c>
    </row>
    <row r="458" spans="1:14" ht="15.75" customHeight="1" x14ac:dyDescent="0.25">
      <c r="A458" s="149">
        <v>7</v>
      </c>
      <c r="B458" s="99" t="s">
        <v>295</v>
      </c>
      <c r="C458" s="127">
        <f>(42.93+0.6*(2.9+2.9+2.9)+0.75*2.4)*10.764</f>
        <v>537.66179999999997</v>
      </c>
      <c r="D458" s="128">
        <f t="shared" si="48"/>
        <v>645.1941599999999</v>
      </c>
      <c r="E458" s="126">
        <v>0</v>
      </c>
      <c r="F458" s="150">
        <f t="shared" si="47"/>
        <v>806.49270000000001</v>
      </c>
    </row>
    <row r="459" spans="1:14" ht="15.75" customHeight="1" x14ac:dyDescent="0.25">
      <c r="A459" s="149">
        <v>8</v>
      </c>
      <c r="B459" s="219" t="s">
        <v>312</v>
      </c>
      <c r="C459" s="220"/>
      <c r="D459" s="220"/>
      <c r="E459" s="221"/>
      <c r="F459" s="150">
        <f t="shared" ref="F459" si="49">C459*(($F$312)+1)+(IF(E459&lt;101,E459,IF(E459&lt;201,E459/2,IF(E459&lt;=301,E459/3,E459/4))))</f>
        <v>0</v>
      </c>
    </row>
    <row r="460" spans="1:14" s="80" customFormat="1" ht="15.75" customHeight="1" x14ac:dyDescent="0.25">
      <c r="A460" s="244" t="s">
        <v>296</v>
      </c>
      <c r="B460" s="245"/>
      <c r="C460" s="245"/>
      <c r="D460" s="245"/>
      <c r="E460" s="245"/>
      <c r="F460" s="246"/>
      <c r="G460" s="47"/>
      <c r="H460" s="47"/>
      <c r="I460" s="48"/>
      <c r="J460" s="48"/>
      <c r="K460" s="42">
        <v>10.763999999999999</v>
      </c>
    </row>
    <row r="461" spans="1:14" s="80" customFormat="1" ht="15.75" x14ac:dyDescent="0.25">
      <c r="A461" s="149">
        <v>1</v>
      </c>
      <c r="B461" s="231" t="s">
        <v>161</v>
      </c>
      <c r="C461" s="232"/>
      <c r="D461" s="232"/>
      <c r="E461" s="233"/>
      <c r="F461" s="150">
        <f>C461*(($F$312)+1)+(IF(E461&lt;101,E461,IF(E461&lt;201,E461/2,IF(E461&lt;=301,E461/3,E461/4))))</f>
        <v>0</v>
      </c>
      <c r="I461" s="49"/>
      <c r="J461" s="50"/>
      <c r="L461" s="240"/>
      <c r="M461" s="240"/>
      <c r="N461" s="39"/>
    </row>
    <row r="462" spans="1:14" ht="15.75" customHeight="1" x14ac:dyDescent="0.25">
      <c r="A462" s="149">
        <v>2</v>
      </c>
      <c r="B462" s="234"/>
      <c r="C462" s="235"/>
      <c r="D462" s="235"/>
      <c r="E462" s="236"/>
      <c r="F462" s="150">
        <f t="shared" ref="F462:F468" si="50">C462*(($F$312)+1)+(IF(E462&lt;101,E462,IF(E462&lt;201,E462/2,IF(E462&lt;=301,E462/3,E462/4))))</f>
        <v>0</v>
      </c>
    </row>
    <row r="463" spans="1:14" ht="15.75" customHeight="1" x14ac:dyDescent="0.25">
      <c r="A463" s="149">
        <v>3</v>
      </c>
      <c r="B463" s="234"/>
      <c r="C463" s="235"/>
      <c r="D463" s="235"/>
      <c r="E463" s="236"/>
      <c r="F463" s="150">
        <f t="shared" si="50"/>
        <v>0</v>
      </c>
    </row>
    <row r="464" spans="1:14" ht="15.75" x14ac:dyDescent="0.25">
      <c r="A464" s="149">
        <v>4</v>
      </c>
      <c r="B464" s="234"/>
      <c r="C464" s="235"/>
      <c r="D464" s="235"/>
      <c r="E464" s="236"/>
      <c r="F464" s="150">
        <f t="shared" si="50"/>
        <v>0</v>
      </c>
      <c r="G464" s="212"/>
      <c r="H464" s="212"/>
    </row>
    <row r="465" spans="1:7" x14ac:dyDescent="0.25">
      <c r="A465" s="149">
        <v>5</v>
      </c>
      <c r="B465" s="237"/>
      <c r="C465" s="238"/>
      <c r="D465" s="238"/>
      <c r="E465" s="239"/>
      <c r="F465" s="150">
        <f t="shared" si="50"/>
        <v>0</v>
      </c>
      <c r="G465" s="132">
        <f>(2.9*2.25+2.4*1.5+2.9*2.5+2.9*2.5)*10.764</f>
        <v>265.06349999999998</v>
      </c>
    </row>
    <row r="466" spans="1:7" ht="15.75" customHeight="1" x14ac:dyDescent="0.25">
      <c r="A466" s="149">
        <v>6</v>
      </c>
      <c r="B466" s="99" t="s">
        <v>295</v>
      </c>
      <c r="C466" s="127">
        <f>(42.93+0.6*(2.9+2.9+2.9)+0.75*2.4)*10.764</f>
        <v>537.66179999999997</v>
      </c>
      <c r="D466" s="128">
        <f t="shared" si="48"/>
        <v>645.1941599999999</v>
      </c>
      <c r="E466" s="126">
        <v>0</v>
      </c>
      <c r="F466" s="150">
        <f t="shared" si="50"/>
        <v>806.49270000000001</v>
      </c>
    </row>
    <row r="467" spans="1:7" ht="15.75" customHeight="1" x14ac:dyDescent="0.25">
      <c r="A467" s="149">
        <v>7</v>
      </c>
      <c r="B467" s="99" t="s">
        <v>295</v>
      </c>
      <c r="C467" s="127">
        <f>(42.93+0.6*(2.9+2.9+2.9)+0.75*2.4)*10.764</f>
        <v>537.66179999999997</v>
      </c>
      <c r="D467" s="128">
        <f t="shared" si="48"/>
        <v>645.1941599999999</v>
      </c>
      <c r="E467" s="126">
        <v>0</v>
      </c>
      <c r="F467" s="150">
        <f t="shared" si="50"/>
        <v>806.49270000000001</v>
      </c>
    </row>
    <row r="468" spans="1:7" ht="15.75" customHeight="1" x14ac:dyDescent="0.25">
      <c r="A468" s="149">
        <v>8</v>
      </c>
      <c r="B468" s="219" t="s">
        <v>313</v>
      </c>
      <c r="C468" s="220"/>
      <c r="D468" s="220"/>
      <c r="E468" s="221"/>
      <c r="F468" s="150">
        <f t="shared" si="50"/>
        <v>0</v>
      </c>
    </row>
    <row r="469" spans="1:7" s="83" customFormat="1" x14ac:dyDescent="0.25">
      <c r="A469" s="213" t="s">
        <v>373</v>
      </c>
      <c r="B469" s="214"/>
      <c r="C469" s="214"/>
      <c r="D469" s="214"/>
      <c r="E469" s="214"/>
      <c r="F469" s="215"/>
      <c r="G469" s="83" t="s">
        <v>301</v>
      </c>
    </row>
    <row r="470" spans="1:7" x14ac:dyDescent="0.25">
      <c r="A470" s="153">
        <v>1</v>
      </c>
      <c r="B470" s="99" t="s">
        <v>295</v>
      </c>
      <c r="C470" s="127">
        <f>(46.9+0.6*(3.05+3.15+2.9)+0.75*2.4)*10.764</f>
        <v>582.97823999999991</v>
      </c>
      <c r="D470" s="128">
        <f t="shared" si="48"/>
        <v>699.5738879999999</v>
      </c>
      <c r="E470" s="126">
        <v>0</v>
      </c>
      <c r="F470" s="150">
        <f t="shared" ref="F470:F476" si="51">C470*(($F$312)+1)+(IF(E470&lt;101,E470,IF(E470&lt;201,E470/2,IF(E470&lt;=301,E470/3,E470/4))))</f>
        <v>874.46735999999987</v>
      </c>
    </row>
    <row r="471" spans="1:7" x14ac:dyDescent="0.25">
      <c r="A471" s="153">
        <v>2</v>
      </c>
      <c r="B471" s="99" t="s">
        <v>298</v>
      </c>
      <c r="C471" s="127">
        <f>(60.64+0.6*(2.9+2.9+2.9+2.9)+0.75*2.4)*10.764</f>
        <v>747.02159999999981</v>
      </c>
      <c r="D471" s="128">
        <f t="shared" si="48"/>
        <v>896.42591999999979</v>
      </c>
      <c r="E471" s="126">
        <v>0</v>
      </c>
      <c r="F471" s="150">
        <f t="shared" si="51"/>
        <v>1120.5323999999996</v>
      </c>
    </row>
    <row r="472" spans="1:7" x14ac:dyDescent="0.25">
      <c r="A472" s="153">
        <v>3</v>
      </c>
      <c r="B472" s="99" t="s">
        <v>298</v>
      </c>
      <c r="C472" s="127">
        <f>(57.83+0.6*(2.9+2.9+2.9+2.9)+0.75*2.4)*10.764</f>
        <v>716.77475999999979</v>
      </c>
      <c r="D472" s="128">
        <f t="shared" si="48"/>
        <v>860.1297119999997</v>
      </c>
      <c r="E472" s="126">
        <v>0</v>
      </c>
      <c r="F472" s="150">
        <f t="shared" si="51"/>
        <v>1075.1621399999997</v>
      </c>
    </row>
    <row r="473" spans="1:7" x14ac:dyDescent="0.25">
      <c r="A473" s="153">
        <v>4</v>
      </c>
      <c r="B473" s="99" t="s">
        <v>295</v>
      </c>
      <c r="C473" s="127">
        <f>(46.29+0.6*(3.05+3.15+2.9)+0.75*2.4)*10.764</f>
        <v>576.41219999999998</v>
      </c>
      <c r="D473" s="128">
        <f t="shared" si="48"/>
        <v>691.69463999999994</v>
      </c>
      <c r="E473" s="126">
        <v>0</v>
      </c>
      <c r="F473" s="150">
        <f t="shared" si="51"/>
        <v>864.61829999999998</v>
      </c>
    </row>
    <row r="474" spans="1:7" x14ac:dyDescent="0.25">
      <c r="A474" s="153">
        <v>5</v>
      </c>
      <c r="B474" s="99" t="s">
        <v>294</v>
      </c>
      <c r="C474" s="127">
        <f>(29.96+0.6*(2.9+2.9)+0.75*2.4)*10.764</f>
        <v>379.32335999999992</v>
      </c>
      <c r="D474" s="128">
        <f t="shared" si="48"/>
        <v>455.18803199999991</v>
      </c>
      <c r="E474" s="126">
        <v>0</v>
      </c>
      <c r="F474" s="150">
        <f t="shared" si="51"/>
        <v>568.98503999999991</v>
      </c>
    </row>
    <row r="475" spans="1:7" x14ac:dyDescent="0.25">
      <c r="A475" s="153">
        <v>6</v>
      </c>
      <c r="B475" s="99" t="s">
        <v>295</v>
      </c>
      <c r="C475" s="127">
        <f>(42.93+0.6*(2.9+2.9+2.9)+0.75*2.4)*10.764</f>
        <v>537.66179999999997</v>
      </c>
      <c r="D475" s="128">
        <f t="shared" si="48"/>
        <v>645.1941599999999</v>
      </c>
      <c r="E475" s="126">
        <v>0</v>
      </c>
      <c r="F475" s="150">
        <f t="shared" si="51"/>
        <v>806.49270000000001</v>
      </c>
    </row>
    <row r="476" spans="1:7" x14ac:dyDescent="0.25">
      <c r="A476" s="153">
        <v>7</v>
      </c>
      <c r="B476" s="99" t="s">
        <v>295</v>
      </c>
      <c r="C476" s="127">
        <f>(42.93+0.6*(2.9+2.9+2.9)+0.75*2.4)*10.764</f>
        <v>537.66179999999997</v>
      </c>
      <c r="D476" s="128">
        <f t="shared" si="48"/>
        <v>645.1941599999999</v>
      </c>
      <c r="E476" s="126">
        <v>0</v>
      </c>
      <c r="F476" s="150">
        <f t="shared" si="51"/>
        <v>806.49270000000001</v>
      </c>
    </row>
    <row r="477" spans="1:7" x14ac:dyDescent="0.25">
      <c r="A477" s="153">
        <v>8</v>
      </c>
      <c r="B477" s="99" t="s">
        <v>295</v>
      </c>
      <c r="C477" s="127">
        <f>(52.55+0.6*(3.05+3.05+3.05)+0.75*3.05)*10.764</f>
        <v>649.36520999999993</v>
      </c>
      <c r="D477" s="128">
        <f t="shared" si="48"/>
        <v>779.23825199999987</v>
      </c>
      <c r="E477" s="126">
        <v>0</v>
      </c>
      <c r="F477" s="150">
        <f t="shared" ref="F477" si="52">C477*(($F$312)+1)+(IF(E477&lt;101,E477,IF(E477&lt;201,E477/2,IF(E477&lt;=301,E477/3,E477/4))))</f>
        <v>974.0478149999999</v>
      </c>
    </row>
    <row r="478" spans="1:7" x14ac:dyDescent="0.25">
      <c r="A478" s="216" t="s">
        <v>299</v>
      </c>
      <c r="B478" s="217"/>
      <c r="C478" s="217"/>
      <c r="D478" s="217"/>
      <c r="E478" s="217"/>
      <c r="F478" s="218"/>
    </row>
    <row r="479" spans="1:7" x14ac:dyDescent="0.25">
      <c r="A479" s="153">
        <v>1</v>
      </c>
      <c r="B479" s="99" t="s">
        <v>295</v>
      </c>
      <c r="C479" s="127">
        <f>(46.9+0.6*(3.05+3.15+2.9)+0.75*2.4)*10.764</f>
        <v>582.97823999999991</v>
      </c>
      <c r="D479" s="128">
        <f t="shared" si="48"/>
        <v>699.5738879999999</v>
      </c>
      <c r="E479" s="126">
        <v>0</v>
      </c>
      <c r="F479" s="150">
        <f t="shared" ref="F479:F486" si="53">C479*(($F$312)+1)+(IF(E479&lt;101,E479,IF(E479&lt;201,E479/2,IF(E479&lt;=301,E479/3,E479/4))))</f>
        <v>874.46735999999987</v>
      </c>
    </row>
    <row r="480" spans="1:7" x14ac:dyDescent="0.25">
      <c r="A480" s="153">
        <v>2</v>
      </c>
      <c r="B480" s="99" t="s">
        <v>298</v>
      </c>
      <c r="C480" s="127">
        <f>(60.64+0.6*(2.9+2.9+2.9+2.9)+0.75*2.4)*10.764</f>
        <v>747.02159999999981</v>
      </c>
      <c r="D480" s="128">
        <f t="shared" si="48"/>
        <v>896.42591999999979</v>
      </c>
      <c r="E480" s="126">
        <v>0</v>
      </c>
      <c r="F480" s="150">
        <f t="shared" si="53"/>
        <v>1120.5323999999996</v>
      </c>
    </row>
    <row r="481" spans="1:12" x14ac:dyDescent="0.25">
      <c r="A481" s="153">
        <v>3</v>
      </c>
      <c r="B481" s="99" t="s">
        <v>298</v>
      </c>
      <c r="C481" s="127">
        <f>(57.83+0.6*(2.9+2.9+2.9+2.9)+0.75*2.4)*10.764</f>
        <v>716.77475999999979</v>
      </c>
      <c r="D481" s="128">
        <f t="shared" si="48"/>
        <v>860.1297119999997</v>
      </c>
      <c r="E481" s="126">
        <v>0</v>
      </c>
      <c r="F481" s="150">
        <f t="shared" si="53"/>
        <v>1075.1621399999997</v>
      </c>
    </row>
    <row r="482" spans="1:12" x14ac:dyDescent="0.25">
      <c r="A482" s="153">
        <v>4</v>
      </c>
      <c r="B482" s="99" t="s">
        <v>295</v>
      </c>
      <c r="C482" s="127">
        <f>(46.29+0.6*(3.05+3.15+2.9)+0.75*2.4)*10.764</f>
        <v>576.41219999999998</v>
      </c>
      <c r="D482" s="128">
        <f t="shared" si="48"/>
        <v>691.69463999999994</v>
      </c>
      <c r="E482" s="126">
        <v>0</v>
      </c>
      <c r="F482" s="150">
        <f t="shared" si="53"/>
        <v>864.61829999999998</v>
      </c>
    </row>
    <row r="483" spans="1:12" x14ac:dyDescent="0.25">
      <c r="A483" s="153">
        <v>5</v>
      </c>
      <c r="B483" s="99" t="s">
        <v>294</v>
      </c>
      <c r="C483" s="127">
        <f>(29.96+0.6*(2.9+2.9)+0.75*2.4)*10.764</f>
        <v>379.32335999999992</v>
      </c>
      <c r="D483" s="128">
        <f t="shared" si="48"/>
        <v>455.18803199999991</v>
      </c>
      <c r="E483" s="126">
        <v>0</v>
      </c>
      <c r="F483" s="150">
        <f t="shared" si="53"/>
        <v>568.98503999999991</v>
      </c>
    </row>
    <row r="484" spans="1:12" x14ac:dyDescent="0.25">
      <c r="A484" s="153">
        <v>6</v>
      </c>
      <c r="B484" s="99" t="s">
        <v>294</v>
      </c>
      <c r="C484" s="127">
        <f>(31.36+0.6*(2.9+2.9)+0.75*2.4)*10.764</f>
        <v>394.3929599999999</v>
      </c>
      <c r="D484" s="128">
        <f t="shared" si="48"/>
        <v>473.27155199999987</v>
      </c>
      <c r="E484" s="126">
        <v>0</v>
      </c>
      <c r="F484" s="150">
        <f t="shared" si="53"/>
        <v>591.58943999999985</v>
      </c>
    </row>
    <row r="485" spans="1:12" x14ac:dyDescent="0.25">
      <c r="A485" s="153">
        <v>7</v>
      </c>
      <c r="B485" s="99" t="s">
        <v>294</v>
      </c>
      <c r="C485" s="127">
        <f>(35+0.6*(2.9+2.9)+0.75*2.4)*10.764</f>
        <v>433.57391999999993</v>
      </c>
      <c r="D485" s="128">
        <f t="shared" si="48"/>
        <v>520.28870399999994</v>
      </c>
      <c r="E485" s="126">
        <v>0</v>
      </c>
      <c r="F485" s="150">
        <f t="shared" si="53"/>
        <v>650.36087999999995</v>
      </c>
    </row>
    <row r="486" spans="1:12" x14ac:dyDescent="0.25">
      <c r="A486" s="153">
        <v>8</v>
      </c>
      <c r="B486" s="99" t="s">
        <v>295</v>
      </c>
      <c r="C486" s="127">
        <f>(52.55+0.6*(3.05+3.05+3.05)+0.75*3.05)*10.764</f>
        <v>649.36520999999993</v>
      </c>
      <c r="D486" s="128">
        <f t="shared" si="48"/>
        <v>779.23825199999987</v>
      </c>
      <c r="E486" s="126">
        <v>0</v>
      </c>
      <c r="F486" s="150">
        <f t="shared" si="53"/>
        <v>974.0478149999999</v>
      </c>
    </row>
    <row r="487" spans="1:12" x14ac:dyDescent="0.25">
      <c r="A487" s="323" t="s">
        <v>68</v>
      </c>
      <c r="B487" s="324"/>
      <c r="C487" s="324"/>
      <c r="D487" s="324"/>
      <c r="E487" s="324"/>
      <c r="F487" s="325"/>
    </row>
    <row r="488" spans="1:12" s="1" customFormat="1" ht="32.25" customHeight="1" x14ac:dyDescent="0.2">
      <c r="A488" s="93" t="s">
        <v>226</v>
      </c>
      <c r="B488" s="271" t="s">
        <v>227</v>
      </c>
      <c r="C488" s="272"/>
      <c r="D488" s="94" t="s">
        <v>228</v>
      </c>
      <c r="E488" s="271" t="s">
        <v>229</v>
      </c>
      <c r="F488" s="273"/>
      <c r="G488" s="77"/>
      <c r="H488" s="191"/>
      <c r="I488" s="191"/>
      <c r="J488" s="77"/>
      <c r="K488" s="191"/>
      <c r="L488" s="191"/>
    </row>
    <row r="489" spans="1:12" s="1" customFormat="1" ht="12.75" x14ac:dyDescent="0.2">
      <c r="A489" s="93">
        <v>1</v>
      </c>
      <c r="B489" s="271" t="s">
        <v>355</v>
      </c>
      <c r="C489" s="272"/>
      <c r="D489" s="94">
        <v>6200</v>
      </c>
      <c r="E489" s="271" t="s">
        <v>356</v>
      </c>
      <c r="F489" s="273"/>
    </row>
    <row r="490" spans="1:12" s="1" customFormat="1" ht="12.75" hidden="1" x14ac:dyDescent="0.2">
      <c r="A490" s="93">
        <v>2</v>
      </c>
      <c r="B490" s="271"/>
      <c r="C490" s="272"/>
      <c r="D490" s="94"/>
      <c r="E490" s="271"/>
      <c r="F490" s="273"/>
    </row>
    <row r="491" spans="1:12" s="1" customFormat="1" ht="12.75" hidden="1" x14ac:dyDescent="0.2">
      <c r="A491" s="93">
        <v>3</v>
      </c>
      <c r="B491" s="271"/>
      <c r="C491" s="272"/>
      <c r="D491" s="94"/>
      <c r="E491" s="271"/>
      <c r="F491" s="273"/>
    </row>
    <row r="492" spans="1:12" s="1" customFormat="1" ht="12.75" hidden="1" x14ac:dyDescent="0.2">
      <c r="A492" s="93">
        <v>4</v>
      </c>
      <c r="B492" s="271"/>
      <c r="C492" s="272"/>
      <c r="D492" s="94"/>
      <c r="E492" s="271"/>
      <c r="F492" s="273"/>
    </row>
    <row r="493" spans="1:12" s="1" customFormat="1" ht="12.75" hidden="1" x14ac:dyDescent="0.2">
      <c r="A493" s="93">
        <v>5</v>
      </c>
      <c r="B493" s="271"/>
      <c r="C493" s="272"/>
      <c r="D493" s="94"/>
      <c r="E493" s="271"/>
      <c r="F493" s="273"/>
    </row>
    <row r="494" spans="1:12" s="1" customFormat="1" ht="12.75" hidden="1" x14ac:dyDescent="0.2">
      <c r="A494" s="93">
        <v>6</v>
      </c>
      <c r="B494" s="271"/>
      <c r="C494" s="272"/>
      <c r="D494" s="94"/>
      <c r="E494" s="271"/>
      <c r="F494" s="273"/>
    </row>
    <row r="495" spans="1:12" s="1" customFormat="1" ht="41.25" customHeight="1" x14ac:dyDescent="0.2">
      <c r="A495" s="93" t="s">
        <v>230</v>
      </c>
      <c r="B495" s="94" t="s">
        <v>231</v>
      </c>
      <c r="C495" s="94" t="s">
        <v>232</v>
      </c>
      <c r="D495" s="94" t="s">
        <v>233</v>
      </c>
      <c r="E495" s="94" t="s">
        <v>234</v>
      </c>
      <c r="F495" s="139" t="s">
        <v>235</v>
      </c>
      <c r="G495" s="77"/>
      <c r="H495" s="77"/>
      <c r="I495" s="77"/>
      <c r="J495" s="87" t="str">
        <f t="shared" ref="J495" si="54">PROPER(D495)</f>
        <v>Applicable From Floor No.</v>
      </c>
      <c r="K495" s="74" t="str">
        <f t="shared" ref="K495" si="55">PROPER(E495)</f>
        <v>Applicable To Floor No.</v>
      </c>
      <c r="L495" s="74" t="str">
        <f t="shared" ref="L495" si="56">PROPER(F495)</f>
        <v>Applicable To Building /W Ing</v>
      </c>
    </row>
    <row r="496" spans="1:12" s="1" customFormat="1" ht="12.75" x14ac:dyDescent="0.2">
      <c r="A496" s="93" t="s">
        <v>236</v>
      </c>
      <c r="B496" s="94" t="s">
        <v>263</v>
      </c>
      <c r="C496" s="94" t="s">
        <v>263</v>
      </c>
      <c r="D496" s="94"/>
      <c r="E496" s="94"/>
      <c r="F496" s="139"/>
    </row>
    <row r="497" spans="1:12" s="1" customFormat="1" ht="12.75" hidden="1" x14ac:dyDescent="0.2">
      <c r="A497" s="93" t="s">
        <v>237</v>
      </c>
      <c r="B497" s="94"/>
      <c r="C497" s="94"/>
      <c r="D497" s="94"/>
      <c r="E497" s="94"/>
      <c r="F497" s="139"/>
    </row>
    <row r="498" spans="1:12" s="1" customFormat="1" ht="12.75" hidden="1" x14ac:dyDescent="0.2">
      <c r="A498" s="93" t="s">
        <v>238</v>
      </c>
      <c r="B498" s="94"/>
      <c r="C498" s="94"/>
      <c r="D498" s="94"/>
      <c r="E498" s="94"/>
      <c r="F498" s="139"/>
    </row>
    <row r="499" spans="1:12" s="1" customFormat="1" ht="12.75" hidden="1" x14ac:dyDescent="0.2">
      <c r="A499" s="93" t="s">
        <v>239</v>
      </c>
      <c r="B499" s="94"/>
      <c r="C499" s="94"/>
      <c r="D499" s="94"/>
      <c r="E499" s="94"/>
      <c r="F499" s="139"/>
    </row>
    <row r="500" spans="1:12" s="1" customFormat="1" ht="36" x14ac:dyDescent="0.2">
      <c r="A500" s="93" t="s">
        <v>240</v>
      </c>
      <c r="B500" s="94" t="s">
        <v>231</v>
      </c>
      <c r="C500" s="94" t="s">
        <v>232</v>
      </c>
      <c r="D500" s="271" t="s">
        <v>241</v>
      </c>
      <c r="E500" s="272"/>
      <c r="F500" s="139" t="s">
        <v>242</v>
      </c>
      <c r="G500" s="78"/>
      <c r="H500" s="78"/>
      <c r="I500" s="78"/>
      <c r="J500" s="78"/>
      <c r="K500" s="78"/>
      <c r="L500" s="78"/>
    </row>
    <row r="501" spans="1:12" s="1" customFormat="1" ht="12.75" x14ac:dyDescent="0.2">
      <c r="A501" s="93" t="s">
        <v>243</v>
      </c>
      <c r="B501" s="94" t="s">
        <v>263</v>
      </c>
      <c r="C501" s="94" t="s">
        <v>263</v>
      </c>
      <c r="D501" s="271"/>
      <c r="E501" s="272"/>
      <c r="F501" s="139"/>
    </row>
    <row r="502" spans="1:12" s="1" customFormat="1" ht="12.75" hidden="1" x14ac:dyDescent="0.2">
      <c r="A502" s="93" t="s">
        <v>244</v>
      </c>
      <c r="B502" s="94"/>
      <c r="C502" s="94"/>
      <c r="D502" s="271"/>
      <c r="E502" s="272"/>
      <c r="F502" s="139"/>
    </row>
    <row r="503" spans="1:12" s="1" customFormat="1" ht="12.75" hidden="1" x14ac:dyDescent="0.2">
      <c r="A503" s="93" t="s">
        <v>245</v>
      </c>
      <c r="B503" s="94"/>
      <c r="C503" s="94"/>
      <c r="D503" s="271"/>
      <c r="E503" s="272"/>
      <c r="F503" s="139"/>
    </row>
    <row r="504" spans="1:12" s="1" customFormat="1" ht="46.5" customHeight="1" x14ac:dyDescent="0.2">
      <c r="A504" s="93" t="s">
        <v>246</v>
      </c>
      <c r="B504" s="94" t="s">
        <v>231</v>
      </c>
      <c r="C504" s="94" t="s">
        <v>232</v>
      </c>
      <c r="D504" s="271" t="s">
        <v>247</v>
      </c>
      <c r="E504" s="272"/>
      <c r="F504" s="139" t="s">
        <v>248</v>
      </c>
      <c r="G504" s="77"/>
      <c r="H504" s="77"/>
      <c r="I504" s="77"/>
      <c r="J504" s="191"/>
      <c r="K504" s="191"/>
      <c r="L504" s="77"/>
    </row>
    <row r="505" spans="1:12" s="1" customFormat="1" ht="24" hidden="1" x14ac:dyDescent="0.2">
      <c r="A505" s="93" t="s">
        <v>249</v>
      </c>
      <c r="B505" s="94"/>
      <c r="C505" s="94"/>
      <c r="D505" s="271"/>
      <c r="E505" s="272"/>
      <c r="F505" s="139"/>
      <c r="G505" s="77"/>
      <c r="H505" s="79"/>
      <c r="I505" s="79"/>
      <c r="J505" s="79"/>
      <c r="K505" s="79"/>
      <c r="L505" s="79"/>
    </row>
    <row r="506" spans="1:12" s="1" customFormat="1" ht="12.75" x14ac:dyDescent="0.2">
      <c r="A506" s="93" t="s">
        <v>161</v>
      </c>
      <c r="B506" s="94" t="s">
        <v>263</v>
      </c>
      <c r="C506" s="94">
        <v>200000</v>
      </c>
      <c r="D506" s="271"/>
      <c r="E506" s="272"/>
      <c r="F506" s="139"/>
      <c r="G506" s="77"/>
      <c r="H506" s="79"/>
      <c r="I506" s="79"/>
      <c r="J506" s="79"/>
      <c r="K506" s="79"/>
      <c r="L506" s="79"/>
    </row>
    <row r="507" spans="1:12" s="1" customFormat="1" ht="24" hidden="1" x14ac:dyDescent="0.2">
      <c r="A507" s="93" t="s">
        <v>250</v>
      </c>
      <c r="B507" s="94"/>
      <c r="C507" s="94"/>
      <c r="D507" s="271"/>
      <c r="E507" s="272"/>
      <c r="F507" s="139"/>
      <c r="G507" s="77"/>
      <c r="H507" s="79"/>
      <c r="I507" s="79"/>
      <c r="J507" s="79"/>
      <c r="K507" s="79"/>
      <c r="L507" s="79"/>
    </row>
    <row r="508" spans="1:12" s="1" customFormat="1" ht="12.75" hidden="1" x14ac:dyDescent="0.2">
      <c r="A508" s="93" t="s">
        <v>251</v>
      </c>
      <c r="B508" s="94"/>
      <c r="C508" s="94"/>
      <c r="D508" s="271"/>
      <c r="E508" s="272"/>
      <c r="F508" s="139"/>
      <c r="G508" s="77"/>
      <c r="H508" s="79"/>
      <c r="I508" s="79"/>
      <c r="J508" s="79"/>
      <c r="K508" s="79"/>
      <c r="L508" s="79"/>
    </row>
    <row r="509" spans="1:12" s="1" customFormat="1" ht="12.75" hidden="1" x14ac:dyDescent="0.2">
      <c r="A509" s="93" t="s">
        <v>252</v>
      </c>
      <c r="B509" s="94"/>
      <c r="C509" s="94"/>
      <c r="D509" s="271"/>
      <c r="E509" s="272"/>
      <c r="F509" s="139"/>
      <c r="G509" s="77"/>
      <c r="H509" s="79"/>
      <c r="I509" s="79"/>
      <c r="J509" s="79"/>
      <c r="K509" s="79"/>
      <c r="L509" s="79"/>
    </row>
    <row r="510" spans="1:12" s="1" customFormat="1" ht="12.75" hidden="1" x14ac:dyDescent="0.2">
      <c r="A510" s="93" t="s">
        <v>253</v>
      </c>
      <c r="B510" s="94"/>
      <c r="C510" s="94"/>
      <c r="D510" s="271"/>
      <c r="E510" s="272"/>
      <c r="F510" s="139"/>
      <c r="G510" s="77"/>
      <c r="H510" s="79"/>
      <c r="I510" s="79"/>
      <c r="J510" s="79"/>
      <c r="K510" s="79"/>
      <c r="L510" s="79"/>
    </row>
    <row r="511" spans="1:12" s="1" customFormat="1" ht="12.75" hidden="1" x14ac:dyDescent="0.2">
      <c r="A511" s="93" t="s">
        <v>254</v>
      </c>
      <c r="B511" s="94"/>
      <c r="C511" s="94"/>
      <c r="D511" s="271"/>
      <c r="E511" s="272"/>
      <c r="F511" s="139"/>
      <c r="G511" s="77"/>
      <c r="H511" s="79"/>
      <c r="I511" s="79"/>
      <c r="J511" s="79"/>
      <c r="K511" s="79"/>
      <c r="L511" s="79"/>
    </row>
    <row r="512" spans="1:12" s="1" customFormat="1" ht="12.75" hidden="1" x14ac:dyDescent="0.2">
      <c r="A512" s="93" t="s">
        <v>255</v>
      </c>
      <c r="B512" s="94"/>
      <c r="C512" s="94"/>
      <c r="D512" s="271"/>
      <c r="E512" s="272"/>
      <c r="F512" s="139"/>
      <c r="G512" s="77"/>
      <c r="H512" s="79"/>
      <c r="I512" s="79"/>
      <c r="J512" s="79"/>
      <c r="K512" s="79"/>
      <c r="L512" s="79"/>
    </row>
    <row r="513" spans="1:12" s="1" customFormat="1" ht="12.75" hidden="1" x14ac:dyDescent="0.2">
      <c r="A513" s="93" t="s">
        <v>256</v>
      </c>
      <c r="B513" s="94"/>
      <c r="C513" s="94"/>
      <c r="D513" s="271"/>
      <c r="E513" s="272"/>
      <c r="F513" s="139"/>
      <c r="G513" s="77"/>
      <c r="H513" s="79"/>
      <c r="I513" s="79"/>
      <c r="J513" s="79"/>
      <c r="K513" s="79"/>
      <c r="L513" s="79"/>
    </row>
    <row r="514" spans="1:12" s="51" customFormat="1" x14ac:dyDescent="0.25">
      <c r="A514" s="301" t="s">
        <v>69</v>
      </c>
      <c r="B514" s="302"/>
      <c r="C514" s="302"/>
      <c r="D514" s="302"/>
      <c r="E514" s="302"/>
      <c r="F514" s="303"/>
    </row>
    <row r="515" spans="1:12" s="51" customFormat="1" ht="147.75" customHeight="1" thickBot="1" x14ac:dyDescent="0.3">
      <c r="A515" s="316" t="s">
        <v>384</v>
      </c>
      <c r="B515" s="317"/>
      <c r="C515" s="317"/>
      <c r="D515" s="317"/>
      <c r="E515" s="317"/>
      <c r="F515" s="318"/>
    </row>
    <row r="516" spans="1:12" x14ac:dyDescent="0.25">
      <c r="A516" s="287" t="s">
        <v>70</v>
      </c>
      <c r="B516" s="287"/>
      <c r="C516" s="288" t="str">
        <f>B2</f>
        <v>Imperial Splendora A to E, G &amp; H wing</v>
      </c>
      <c r="D516" s="288"/>
      <c r="E516" s="288"/>
      <c r="F516" s="288"/>
    </row>
    <row r="562" spans="1:1" x14ac:dyDescent="0.25">
      <c r="A562" s="70" t="s">
        <v>71</v>
      </c>
    </row>
    <row r="605" spans="1:1" x14ac:dyDescent="0.25">
      <c r="A605" s="70" t="s">
        <v>72</v>
      </c>
    </row>
    <row r="647" spans="1:6" ht="57" customHeight="1" x14ac:dyDescent="0.25">
      <c r="A647" s="71" t="s">
        <v>73</v>
      </c>
      <c r="B647" s="131" t="s">
        <v>316</v>
      </c>
      <c r="C647" s="289" t="s">
        <v>74</v>
      </c>
      <c r="D647" s="289"/>
      <c r="E647" s="290"/>
      <c r="F647" s="290"/>
    </row>
  </sheetData>
  <mergeCells count="452">
    <mergeCell ref="A54:B54"/>
    <mergeCell ref="C54:F54"/>
    <mergeCell ref="A61:B61"/>
    <mergeCell ref="A77:F77"/>
    <mergeCell ref="D107:F107"/>
    <mergeCell ref="D108:F108"/>
    <mergeCell ref="D109:F109"/>
    <mergeCell ref="G54:H54"/>
    <mergeCell ref="G55:H55"/>
    <mergeCell ref="G56:H56"/>
    <mergeCell ref="G57:H57"/>
    <mergeCell ref="G58:H58"/>
    <mergeCell ref="A59:B59"/>
    <mergeCell ref="C59:F59"/>
    <mergeCell ref="G59:H59"/>
    <mergeCell ref="A55:B55"/>
    <mergeCell ref="C55:F55"/>
    <mergeCell ref="A56:B56"/>
    <mergeCell ref="C56:F56"/>
    <mergeCell ref="A57:B57"/>
    <mergeCell ref="C57:F57"/>
    <mergeCell ref="G45:H45"/>
    <mergeCell ref="G46:H46"/>
    <mergeCell ref="G47:H47"/>
    <mergeCell ref="G48:H48"/>
    <mergeCell ref="G49:H49"/>
    <mergeCell ref="G50:H50"/>
    <mergeCell ref="G51:H51"/>
    <mergeCell ref="G52:H52"/>
    <mergeCell ref="G53:H53"/>
    <mergeCell ref="G35:H35"/>
    <mergeCell ref="G36:H36"/>
    <mergeCell ref="G37:H37"/>
    <mergeCell ref="G38:H38"/>
    <mergeCell ref="G39:H39"/>
    <mergeCell ref="G40:H40"/>
    <mergeCell ref="G41:H41"/>
    <mergeCell ref="G42:H42"/>
    <mergeCell ref="G44:H44"/>
    <mergeCell ref="G43:H43"/>
    <mergeCell ref="I12:J12"/>
    <mergeCell ref="I13:J13"/>
    <mergeCell ref="G28:H28"/>
    <mergeCell ref="G29:H29"/>
    <mergeCell ref="G30:H30"/>
    <mergeCell ref="G31:H31"/>
    <mergeCell ref="G32:H32"/>
    <mergeCell ref="G33:H33"/>
    <mergeCell ref="G34:H34"/>
    <mergeCell ref="A137:B137"/>
    <mergeCell ref="C137:F137"/>
    <mergeCell ref="A128:F128"/>
    <mergeCell ref="A129:D129"/>
    <mergeCell ref="E129:F129"/>
    <mergeCell ref="A130:D130"/>
    <mergeCell ref="E130:F130"/>
    <mergeCell ref="A127:B127"/>
    <mergeCell ref="B113:F113"/>
    <mergeCell ref="A114:F114"/>
    <mergeCell ref="A119:F119"/>
    <mergeCell ref="B118:C118"/>
    <mergeCell ref="E118:F118"/>
    <mergeCell ref="E121:F121"/>
    <mergeCell ref="B121:C121"/>
    <mergeCell ref="B120:C120"/>
    <mergeCell ref="E120:F120"/>
    <mergeCell ref="B122:C122"/>
    <mergeCell ref="E122:F122"/>
    <mergeCell ref="B116:F116"/>
    <mergeCell ref="B117:C117"/>
    <mergeCell ref="A8:B8"/>
    <mergeCell ref="C7:F7"/>
    <mergeCell ref="C8:F8"/>
    <mergeCell ref="A9:B9"/>
    <mergeCell ref="C9:F9"/>
    <mergeCell ref="A15:B15"/>
    <mergeCell ref="A44:B44"/>
    <mergeCell ref="C44:F44"/>
    <mergeCell ref="A42:B42"/>
    <mergeCell ref="C42:F42"/>
    <mergeCell ref="C15:F15"/>
    <mergeCell ref="B25:C25"/>
    <mergeCell ref="E25:F25"/>
    <mergeCell ref="B20:C20"/>
    <mergeCell ref="E20:F20"/>
    <mergeCell ref="E19:F19"/>
    <mergeCell ref="B21:C21"/>
    <mergeCell ref="E21:F21"/>
    <mergeCell ref="B22:C22"/>
    <mergeCell ref="E22:F22"/>
    <mergeCell ref="A16:F16"/>
    <mergeCell ref="A26:F26"/>
    <mergeCell ref="A31:F31"/>
    <mergeCell ref="B18:F18"/>
    <mergeCell ref="A1:F1"/>
    <mergeCell ref="B2:D2"/>
    <mergeCell ref="A3:F3"/>
    <mergeCell ref="A10:F10"/>
    <mergeCell ref="A4:B4"/>
    <mergeCell ref="A79:F79"/>
    <mergeCell ref="B80:F80"/>
    <mergeCell ref="A41:F41"/>
    <mergeCell ref="C4:F4"/>
    <mergeCell ref="A5:B5"/>
    <mergeCell ref="A6:B6"/>
    <mergeCell ref="C5:F5"/>
    <mergeCell ref="C6:F6"/>
    <mergeCell ref="A7:B7"/>
    <mergeCell ref="A14:F14"/>
    <mergeCell ref="C12:D12"/>
    <mergeCell ref="E12:F12"/>
    <mergeCell ref="C13:D13"/>
    <mergeCell ref="E13:F13"/>
    <mergeCell ref="A36:B36"/>
    <mergeCell ref="C36:F36"/>
    <mergeCell ref="A37:B37"/>
    <mergeCell ref="C37:F37"/>
    <mergeCell ref="A64:F64"/>
    <mergeCell ref="I203:L206"/>
    <mergeCell ref="C206:D206"/>
    <mergeCell ref="E206:F206"/>
    <mergeCell ref="G206:H206"/>
    <mergeCell ref="C207:D207"/>
    <mergeCell ref="E207:F207"/>
    <mergeCell ref="G207:H207"/>
    <mergeCell ref="A199:F199"/>
    <mergeCell ref="C203:D203"/>
    <mergeCell ref="E203:F203"/>
    <mergeCell ref="G203:H203"/>
    <mergeCell ref="A202:F202"/>
    <mergeCell ref="E204:F204"/>
    <mergeCell ref="G204:H204"/>
    <mergeCell ref="C205:D205"/>
    <mergeCell ref="E205:F205"/>
    <mergeCell ref="G205:H205"/>
    <mergeCell ref="C214:D214"/>
    <mergeCell ref="E214:F214"/>
    <mergeCell ref="G214:H214"/>
    <mergeCell ref="C217:D217"/>
    <mergeCell ref="E217:F217"/>
    <mergeCell ref="G217:H217"/>
    <mergeCell ref="C204:D204"/>
    <mergeCell ref="G210:H210"/>
    <mergeCell ref="C215:D215"/>
    <mergeCell ref="E215:F215"/>
    <mergeCell ref="G215:H215"/>
    <mergeCell ref="C210:D210"/>
    <mergeCell ref="E210:F210"/>
    <mergeCell ref="C211:D211"/>
    <mergeCell ref="C213:D213"/>
    <mergeCell ref="E213:F213"/>
    <mergeCell ref="G213:H213"/>
    <mergeCell ref="G208:H208"/>
    <mergeCell ref="C208:D208"/>
    <mergeCell ref="C212:D212"/>
    <mergeCell ref="E212:F212"/>
    <mergeCell ref="G212:H212"/>
    <mergeCell ref="A209:F209"/>
    <mergeCell ref="E211:F211"/>
    <mergeCell ref="G227:H227"/>
    <mergeCell ref="C216:D216"/>
    <mergeCell ref="E216:F216"/>
    <mergeCell ref="G216:H216"/>
    <mergeCell ref="C218:D218"/>
    <mergeCell ref="E218:F218"/>
    <mergeCell ref="G218:H218"/>
    <mergeCell ref="A220:F220"/>
    <mergeCell ref="A221:F221"/>
    <mergeCell ref="G223:H223"/>
    <mergeCell ref="A222:A223"/>
    <mergeCell ref="B222:B223"/>
    <mergeCell ref="C222:C223"/>
    <mergeCell ref="D222:D223"/>
    <mergeCell ref="E222:E223"/>
    <mergeCell ref="A224:F224"/>
    <mergeCell ref="A226:F226"/>
    <mergeCell ref="A225:F225"/>
    <mergeCell ref="G222:H222"/>
    <mergeCell ref="C219:D219"/>
    <mergeCell ref="E219:F219"/>
    <mergeCell ref="G219:H219"/>
    <mergeCell ref="L227:M227"/>
    <mergeCell ref="A310:F310"/>
    <mergeCell ref="A311:A312"/>
    <mergeCell ref="B311:B312"/>
    <mergeCell ref="C311:C312"/>
    <mergeCell ref="D311:D312"/>
    <mergeCell ref="E311:E312"/>
    <mergeCell ref="G311:H311"/>
    <mergeCell ref="G312:H312"/>
    <mergeCell ref="A237:F237"/>
    <mergeCell ref="G238:H238"/>
    <mergeCell ref="L238:M238"/>
    <mergeCell ref="A248:F248"/>
    <mergeCell ref="A249:F249"/>
    <mergeCell ref="G250:H250"/>
    <mergeCell ref="L250:M250"/>
    <mergeCell ref="A260:F260"/>
    <mergeCell ref="G261:H261"/>
    <mergeCell ref="L261:M261"/>
    <mergeCell ref="A271:F271"/>
    <mergeCell ref="A272:F272"/>
    <mergeCell ref="G273:H273"/>
    <mergeCell ref="L273:M273"/>
    <mergeCell ref="A284:F284"/>
    <mergeCell ref="A515:F515"/>
    <mergeCell ref="A32:B32"/>
    <mergeCell ref="C32:F32"/>
    <mergeCell ref="A33:B33"/>
    <mergeCell ref="C33:F33"/>
    <mergeCell ref="A34:B34"/>
    <mergeCell ref="C34:F34"/>
    <mergeCell ref="A38:B38"/>
    <mergeCell ref="C38:F38"/>
    <mergeCell ref="A39:B39"/>
    <mergeCell ref="C39:F39"/>
    <mergeCell ref="A40:B40"/>
    <mergeCell ref="C40:F40"/>
    <mergeCell ref="A35:B35"/>
    <mergeCell ref="C35:F35"/>
    <mergeCell ref="A50:B50"/>
    <mergeCell ref="C50:F50"/>
    <mergeCell ref="A51:F51"/>
    <mergeCell ref="A52:B52"/>
    <mergeCell ref="C52:F52"/>
    <mergeCell ref="A53:B53"/>
    <mergeCell ref="A313:F313"/>
    <mergeCell ref="A314:F314"/>
    <mergeCell ref="A487:F487"/>
    <mergeCell ref="A514:F514"/>
    <mergeCell ref="B488:C488"/>
    <mergeCell ref="E488:F488"/>
    <mergeCell ref="B489:C489"/>
    <mergeCell ref="E489:F489"/>
    <mergeCell ref="B315:E317"/>
    <mergeCell ref="B321:E321"/>
    <mergeCell ref="A330:F330"/>
    <mergeCell ref="A338:F338"/>
    <mergeCell ref="A339:F339"/>
    <mergeCell ref="A363:F363"/>
    <mergeCell ref="A366:F366"/>
    <mergeCell ref="A365:F365"/>
    <mergeCell ref="A364:F364"/>
    <mergeCell ref="A367:F367"/>
    <mergeCell ref="A372:F372"/>
    <mergeCell ref="A441:F441"/>
    <mergeCell ref="A347:F347"/>
    <mergeCell ref="A355:F355"/>
    <mergeCell ref="B340:E341"/>
    <mergeCell ref="B345:E346"/>
    <mergeCell ref="D508:E508"/>
    <mergeCell ref="D509:E509"/>
    <mergeCell ref="D510:E510"/>
    <mergeCell ref="A516:B516"/>
    <mergeCell ref="C516:F516"/>
    <mergeCell ref="C647:D647"/>
    <mergeCell ref="E647:F647"/>
    <mergeCell ref="A27:B27"/>
    <mergeCell ref="A28:B28"/>
    <mergeCell ref="A29:B29"/>
    <mergeCell ref="A30:B30"/>
    <mergeCell ref="A138:B138"/>
    <mergeCell ref="A139:B139"/>
    <mergeCell ref="C138:F138"/>
    <mergeCell ref="C139:F139"/>
    <mergeCell ref="A140:F140"/>
    <mergeCell ref="A126:B126"/>
    <mergeCell ref="C126:F126"/>
    <mergeCell ref="C127:F127"/>
    <mergeCell ref="A135:B135"/>
    <mergeCell ref="C135:F135"/>
    <mergeCell ref="A136:B136"/>
    <mergeCell ref="C136:F136"/>
    <mergeCell ref="A58:B58"/>
    <mergeCell ref="C58:F58"/>
    <mergeCell ref="A45:B45"/>
    <mergeCell ref="C45:F45"/>
    <mergeCell ref="J81:L81"/>
    <mergeCell ref="G126:H126"/>
    <mergeCell ref="G61:H61"/>
    <mergeCell ref="G62:H62"/>
    <mergeCell ref="G63:H63"/>
    <mergeCell ref="G64:H64"/>
    <mergeCell ref="D81:F81"/>
    <mergeCell ref="D82:F82"/>
    <mergeCell ref="D102:F102"/>
    <mergeCell ref="D103:F103"/>
    <mergeCell ref="D104:F104"/>
    <mergeCell ref="D105:F105"/>
    <mergeCell ref="A68:F68"/>
    <mergeCell ref="B78:F78"/>
    <mergeCell ref="A62:B62"/>
    <mergeCell ref="A63:B63"/>
    <mergeCell ref="C61:F61"/>
    <mergeCell ref="C62:F62"/>
    <mergeCell ref="C63:F63"/>
    <mergeCell ref="E117:F117"/>
    <mergeCell ref="B123:C123"/>
    <mergeCell ref="E123:F123"/>
    <mergeCell ref="E124:F124"/>
    <mergeCell ref="B124:C124"/>
    <mergeCell ref="D511:E511"/>
    <mergeCell ref="D512:E512"/>
    <mergeCell ref="D513:E513"/>
    <mergeCell ref="D500:E500"/>
    <mergeCell ref="D504:E504"/>
    <mergeCell ref="J504:K504"/>
    <mergeCell ref="D501:E501"/>
    <mergeCell ref="D502:E502"/>
    <mergeCell ref="D503:E503"/>
    <mergeCell ref="D505:E505"/>
    <mergeCell ref="D506:E506"/>
    <mergeCell ref="D507:E507"/>
    <mergeCell ref="B494:C494"/>
    <mergeCell ref="E494:F494"/>
    <mergeCell ref="H488:I488"/>
    <mergeCell ref="K488:L488"/>
    <mergeCell ref="B490:C490"/>
    <mergeCell ref="E490:F490"/>
    <mergeCell ref="B491:C491"/>
    <mergeCell ref="E491:F491"/>
    <mergeCell ref="B492:C492"/>
    <mergeCell ref="E492:F492"/>
    <mergeCell ref="B493:C493"/>
    <mergeCell ref="E493:F493"/>
    <mergeCell ref="G285:H285"/>
    <mergeCell ref="A322:F322"/>
    <mergeCell ref="A400:F400"/>
    <mergeCell ref="A405:F405"/>
    <mergeCell ref="A410:F410"/>
    <mergeCell ref="B402:E403"/>
    <mergeCell ref="A415:F415"/>
    <mergeCell ref="A417:F417"/>
    <mergeCell ref="L418:M418"/>
    <mergeCell ref="L285:M285"/>
    <mergeCell ref="A296:F296"/>
    <mergeCell ref="A297:F297"/>
    <mergeCell ref="G298:H298"/>
    <mergeCell ref="L298:M298"/>
    <mergeCell ref="A303:F303"/>
    <mergeCell ref="G304:H304"/>
    <mergeCell ref="L304:M304"/>
    <mergeCell ref="G318:H318"/>
    <mergeCell ref="L315:M315"/>
    <mergeCell ref="A309:F309"/>
    <mergeCell ref="L340:M340"/>
    <mergeCell ref="G343:H343"/>
    <mergeCell ref="A377:F377"/>
    <mergeCell ref="A378:F378"/>
    <mergeCell ref="G421:H421"/>
    <mergeCell ref="L379:M379"/>
    <mergeCell ref="G382:H382"/>
    <mergeCell ref="B384:E384"/>
    <mergeCell ref="A385:F385"/>
    <mergeCell ref="A392:F392"/>
    <mergeCell ref="B379:E379"/>
    <mergeCell ref="A399:F399"/>
    <mergeCell ref="A433:F433"/>
    <mergeCell ref="A416:F416"/>
    <mergeCell ref="B424:E424"/>
    <mergeCell ref="B418:E420"/>
    <mergeCell ref="A425:F425"/>
    <mergeCell ref="B426:E428"/>
    <mergeCell ref="L426:M426"/>
    <mergeCell ref="G429:H429"/>
    <mergeCell ref="B432:E432"/>
    <mergeCell ref="G464:H464"/>
    <mergeCell ref="A469:F469"/>
    <mergeCell ref="A478:F478"/>
    <mergeCell ref="B459:E459"/>
    <mergeCell ref="B468:E468"/>
    <mergeCell ref="B452:E456"/>
    <mergeCell ref="B461:E465"/>
    <mergeCell ref="L461:M461"/>
    <mergeCell ref="A449:F449"/>
    <mergeCell ref="A450:F450"/>
    <mergeCell ref="A451:F451"/>
    <mergeCell ref="L452:M452"/>
    <mergeCell ref="G455:H455"/>
    <mergeCell ref="A460:F460"/>
    <mergeCell ref="G127:H127"/>
    <mergeCell ref="G135:H135"/>
    <mergeCell ref="G136:H136"/>
    <mergeCell ref="G137:H137"/>
    <mergeCell ref="G138:H138"/>
    <mergeCell ref="G139:H139"/>
    <mergeCell ref="E208:F208"/>
    <mergeCell ref="B143:F143"/>
    <mergeCell ref="E144:F144"/>
    <mergeCell ref="E145:F154"/>
    <mergeCell ref="A169:B170"/>
    <mergeCell ref="B171:F171"/>
    <mergeCell ref="E172:F172"/>
    <mergeCell ref="E173:F182"/>
    <mergeCell ref="A155:B156"/>
    <mergeCell ref="B157:F157"/>
    <mergeCell ref="E158:F158"/>
    <mergeCell ref="E159:F168"/>
    <mergeCell ref="A183:B184"/>
    <mergeCell ref="B185:F185"/>
    <mergeCell ref="E186:F186"/>
    <mergeCell ref="E187:F196"/>
    <mergeCell ref="A197:D198"/>
    <mergeCell ref="E197:F198"/>
    <mergeCell ref="B17:F17"/>
    <mergeCell ref="A133:B133"/>
    <mergeCell ref="C133:F133"/>
    <mergeCell ref="A134:B134"/>
    <mergeCell ref="C134:F134"/>
    <mergeCell ref="A101:F101"/>
    <mergeCell ref="A83:F83"/>
    <mergeCell ref="D84:F84"/>
    <mergeCell ref="D85:F85"/>
    <mergeCell ref="A86:F86"/>
    <mergeCell ref="D87:F87"/>
    <mergeCell ref="D88:F88"/>
    <mergeCell ref="A89:F89"/>
    <mergeCell ref="D90:F90"/>
    <mergeCell ref="D91:F91"/>
    <mergeCell ref="A92:F92"/>
    <mergeCell ref="D93:F93"/>
    <mergeCell ref="D94:F94"/>
    <mergeCell ref="B125:C125"/>
    <mergeCell ref="E125:F125"/>
    <mergeCell ref="B19:C19"/>
    <mergeCell ref="E23:F23"/>
    <mergeCell ref="B23:C23"/>
    <mergeCell ref="A60:F60"/>
    <mergeCell ref="G211:H211"/>
    <mergeCell ref="B24:F24"/>
    <mergeCell ref="D110:F110"/>
    <mergeCell ref="D111:F111"/>
    <mergeCell ref="D112:F112"/>
    <mergeCell ref="A141:B142"/>
    <mergeCell ref="C53:F53"/>
    <mergeCell ref="A43:B43"/>
    <mergeCell ref="C43:F43"/>
    <mergeCell ref="A95:F95"/>
    <mergeCell ref="D96:F96"/>
    <mergeCell ref="D97:F97"/>
    <mergeCell ref="A98:F98"/>
    <mergeCell ref="D99:F99"/>
    <mergeCell ref="D100:F100"/>
    <mergeCell ref="D106:F106"/>
    <mergeCell ref="A46:B46"/>
    <mergeCell ref="C46:F46"/>
    <mergeCell ref="A47:B47"/>
    <mergeCell ref="C47:F47"/>
    <mergeCell ref="A48:B48"/>
    <mergeCell ref="C48:F48"/>
    <mergeCell ref="A49:B49"/>
    <mergeCell ref="C49:F49"/>
  </mergeCells>
  <dataValidations count="10">
    <dataValidation type="list" allowBlank="1" showInputMessage="1" showErrorMessage="1" sqref="B39:B40 B33:B34 B36:B37">
      <formula1>$C$520:$C$525</formula1>
    </dataValidation>
    <dataValidation type="list" allowBlank="1" showInputMessage="1" showErrorMessage="1" sqref="F33:F34">
      <formula1>$G$516:$G$518</formula1>
    </dataValidation>
    <dataValidation type="list" allowBlank="1" showInputMessage="1" showErrorMessage="1" sqref="B120">
      <formula1>$E$516:$E$516</formula1>
    </dataValidation>
    <dataValidation type="list" allowBlank="1" showInputMessage="1" showErrorMessage="1" sqref="E118 B118 E122:E125 B122:B125 E120 C136:C137 B116">
      <formula1>#REF!</formula1>
    </dataValidation>
    <dataValidation type="list" allowBlank="1" showInputMessage="1" showErrorMessage="1" sqref="E121">
      <formula1>$F$516:$F$517</formula1>
    </dataValidation>
    <dataValidation type="list" allowBlank="1" showInputMessage="1" showErrorMessage="1" sqref="F39 F36:F37">
      <formula1>$G$351:$G$353</formula1>
    </dataValidation>
    <dataValidation type="list" allowBlank="1" showInputMessage="1" showErrorMessage="1" sqref="F40">
      <formula1>$G$254:$G$256</formula1>
    </dataValidation>
    <dataValidation type="list" allowBlank="1" showInputMessage="1" showErrorMessage="1" sqref="B70:F70 B72:F72 B75:F75 B115">
      <formula1>"Yes,No"</formula1>
    </dataValidation>
    <dataValidation type="list" allowBlank="1" showInputMessage="1" showErrorMessage="1" sqref="B82 B84:B85 B87:B88 B90:B91 B93:B94 B96:B97 B99:B100 B102:B112">
      <formula1>"Applicable and Received,Applicable and Not Received,Not Applicable"</formula1>
    </dataValidation>
    <dataValidation type="list" allowBlank="1" showInputMessage="1" showErrorMessage="1" sqref="D115">
      <formula1>"Registered,Not Registered"</formula1>
    </dataValidation>
  </dataValidations>
  <hyperlinks>
    <hyperlink ref="C6" r:id="rId1"/>
    <hyperlink ref="B24" r:id="rId2"/>
  </hyperlinks>
  <pageMargins left="0.39370078740157483" right="0.39370078740157483" top="0.78740157480314965" bottom="0.78740157480314965" header="0.31496062992125984" footer="0.31496062992125984"/>
  <pageSetup fitToHeight="0" orientation="portrait" r:id="rId3"/>
  <headerFooter>
    <oddHeader>&amp;C&amp;G</oddHeader>
    <oddFooter>&amp;L&amp;"-,Bold"Ref No: &amp;F</oddFooter>
  </headerFooter>
  <rowBreaks count="7" manualBreakCount="7">
    <brk id="127" max="5" man="1"/>
    <brk id="168" max="16383" man="1"/>
    <brk id="346" max="5" man="1"/>
    <brk id="391" max="5" man="1"/>
    <brk id="515" max="16383" man="1"/>
    <brk id="561" max="16383" man="1"/>
    <brk id="604"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4:K124"/>
  <sheetViews>
    <sheetView topLeftCell="A117" workbookViewId="0">
      <selection activeCell="B124" sqref="B124"/>
    </sheetView>
  </sheetViews>
  <sheetFormatPr defaultRowHeight="15" x14ac:dyDescent="0.25"/>
  <sheetData>
    <row r="104" spans="2:11" ht="15.75" thickBot="1" x14ac:dyDescent="0.3"/>
    <row r="105" spans="2:11" ht="15.75" x14ac:dyDescent="0.25">
      <c r="B105" s="431" t="s">
        <v>8</v>
      </c>
      <c r="C105" s="432"/>
      <c r="D105" s="433" t="s">
        <v>48</v>
      </c>
      <c r="E105" s="434"/>
      <c r="F105" s="434"/>
      <c r="G105" s="434"/>
      <c r="H105" s="434"/>
      <c r="I105" s="435"/>
      <c r="J105" s="12" t="str">
        <f ca="1">(IF(F109&gt;99%,"All work completed. Please provide OC.",IF(F109&gt;89.8%,"Plinth, RCC, Brick, Plaster, Flooring, Painting work Completed. Finishing work is in process.",IF(F109&lt;94%,(IF(D109=0,"Work not yet Started.",IF(E109=25%,"Piling work in process",IF(E109=50%,"Excavation work in process",IF(E109=100%,"Excavation work Completed. ","0")))&amp;(IF(D110=0%,"",IF(D110=K111,"Footing work is process",IF(D110=K112,"Footing work Completed",IF(D110=K113,"1st Basement Completed",IF(D110=K114,"1st &amp; 2nd Basement Completed",IF(D110=K115,"1st to 3rd Basement Completed",IF(D110=K116,"1st to 4th Basement Completed",IF(D110=K117,"Plinth work is process",IF(D110=K118,"Plinth work completed","0")))))))))))&amp;(IF(D111=(D106+E106+F106),", RCC Slab",IF(D111&gt;0,", RCC upto "&amp;D111&amp;" Slab",""))&amp;(IF(D112=F106,", Brickwork",IF(D112&gt;0,", Brickwork upto "&amp;D112&amp;" Floor",""))&amp;(IF(D113=F106,", Internal Plaster",IF(D113&gt;0,", Internal Plaster upto "&amp;D113&amp;" Floor",""))&amp;(IF(D114=F106,", External Plaster",IF(D114&gt;0,", External Plaster upto "&amp;D114&amp;" Floor",""))&amp;(IF(D115=F106,", Flooring",IF(D115&gt;0,", Flooring upto "&amp;D115&amp;" Floor",""))&amp;(IF(D116=F106,", Painting",IF(D116&gt;0,", Painting upto "&amp;D116&amp;" Floor",""))&amp;(IF(D117&gt;0,", Finishing upto "&amp;D117&amp;" Floor","")&amp;(IF(D111&gt;0.5," Completed",""))))))))))))))</f>
        <v>All work completed. Please provide OC.</v>
      </c>
      <c r="K105" s="13"/>
    </row>
    <row r="106" spans="2:11" ht="15.75" x14ac:dyDescent="0.25">
      <c r="B106" s="14" t="s">
        <v>9</v>
      </c>
      <c r="C106" s="15">
        <v>0</v>
      </c>
      <c r="D106" s="31">
        <v>1</v>
      </c>
      <c r="E106" s="32">
        <v>0</v>
      </c>
      <c r="F106" s="32">
        <f ca="1">--TRIM(RIGHT(SUBSTITUTE(LEFT(D105,_xlfn.AGGREGATE(16,6,FIND({0,1,2,3,4,5,6,7,8,9},D105,ROW(INDIRECT("1:"&amp;LEN(D105)))),1))," ",REPT(" ",LEN(D105))),LEN(D105)))</f>
        <v>7</v>
      </c>
      <c r="G106" s="32"/>
      <c r="H106" s="32"/>
      <c r="I106" s="33"/>
      <c r="J106" s="16"/>
      <c r="K106" s="17"/>
    </row>
    <row r="107" spans="2:11" ht="15.75" x14ac:dyDescent="0.25">
      <c r="B107" s="436" t="s">
        <v>13</v>
      </c>
      <c r="C107" s="437"/>
      <c r="D107" s="438" t="str">
        <f>J107</f>
        <v>All work Completed. OC Received.</v>
      </c>
      <c r="E107" s="438"/>
      <c r="F107" s="438"/>
      <c r="G107" s="438"/>
      <c r="H107" s="438"/>
      <c r="I107" s="439"/>
      <c r="J107" s="16" t="s">
        <v>14</v>
      </c>
      <c r="K107" s="17"/>
    </row>
    <row r="108" spans="2:11" ht="31.5" x14ac:dyDescent="0.25">
      <c r="B108" s="421" t="s">
        <v>15</v>
      </c>
      <c r="C108" s="422"/>
      <c r="D108" s="18" t="s">
        <v>17</v>
      </c>
      <c r="E108" s="18" t="s">
        <v>18</v>
      </c>
      <c r="F108" s="422" t="s">
        <v>19</v>
      </c>
      <c r="G108" s="422"/>
      <c r="H108" s="422" t="s">
        <v>45</v>
      </c>
      <c r="I108" s="440"/>
      <c r="J108" s="19" t="s">
        <v>20</v>
      </c>
      <c r="K108" s="20">
        <f ca="1">F106*25%</f>
        <v>1.75</v>
      </c>
    </row>
    <row r="109" spans="2:11" ht="15.75" x14ac:dyDescent="0.25">
      <c r="B109" s="421" t="s">
        <v>21</v>
      </c>
      <c r="C109" s="422"/>
      <c r="D109" s="21">
        <f ca="1">K110</f>
        <v>7</v>
      </c>
      <c r="E109" s="22">
        <f ca="1">((100/F106)*D109)/100</f>
        <v>1</v>
      </c>
      <c r="F109" s="425">
        <f ca="1">(((D110/F106*10)+(40/(D106+E106+F106)*D111)+(7.5/(F106)*D112)+(7.5/(F106)*D113)+(10/F106*D114)+(10/F106*D115)+(5/F106*D116)+(5/F106*D117)+(5/F106*D118))/100)</f>
        <v>1</v>
      </c>
      <c r="G109" s="425"/>
      <c r="H109" s="425">
        <f ca="1">((((D109/F106)*20)+((D110/F106)*25)+(30/(F106+E106+D106)*D111)+(5/F106*D112)+(5/F106*D113)+(5/F106*D114)+(5/F106*D115)+(0/F106*D116)+(0/F106*D117)+(5/F106*D118))/100)</f>
        <v>1</v>
      </c>
      <c r="I109" s="427"/>
      <c r="J109" s="19" t="s">
        <v>22</v>
      </c>
      <c r="K109" s="23">
        <f ca="1">F106*50%</f>
        <v>3.5</v>
      </c>
    </row>
    <row r="110" spans="2:11" ht="15.75" x14ac:dyDescent="0.25">
      <c r="B110" s="421" t="s">
        <v>23</v>
      </c>
      <c r="C110" s="422"/>
      <c r="D110" s="24">
        <f ca="1">K118</f>
        <v>7</v>
      </c>
      <c r="E110" s="22">
        <f ca="1">((100/F106)*D110)/100</f>
        <v>1</v>
      </c>
      <c r="F110" s="425"/>
      <c r="G110" s="425"/>
      <c r="H110" s="425"/>
      <c r="I110" s="427"/>
      <c r="J110" s="19" t="s">
        <v>24</v>
      </c>
      <c r="K110" s="23">
        <f ca="1">F106</f>
        <v>7</v>
      </c>
    </row>
    <row r="111" spans="2:11" ht="15.75" x14ac:dyDescent="0.25">
      <c r="B111" s="429" t="s">
        <v>25</v>
      </c>
      <c r="C111" s="430"/>
      <c r="D111" s="24">
        <v>8</v>
      </c>
      <c r="E111" s="22">
        <f ca="1">((100/(D106+E106+F106))*D111)/100</f>
        <v>1</v>
      </c>
      <c r="F111" s="425"/>
      <c r="G111" s="425"/>
      <c r="H111" s="425"/>
      <c r="I111" s="427"/>
      <c r="J111" s="19" t="s">
        <v>26</v>
      </c>
      <c r="K111" s="25">
        <f ca="1">(IF(C106&gt;1,(F106/(C106+2)),F106/4))</f>
        <v>1.75</v>
      </c>
    </row>
    <row r="112" spans="2:11" ht="15.75" x14ac:dyDescent="0.25">
      <c r="B112" s="421" t="s">
        <v>27</v>
      </c>
      <c r="C112" s="422" t="s">
        <v>46</v>
      </c>
      <c r="D112" s="21">
        <v>7</v>
      </c>
      <c r="E112" s="22">
        <f ca="1">((100/F106)*D112)/100</f>
        <v>1</v>
      </c>
      <c r="F112" s="425"/>
      <c r="G112" s="425"/>
      <c r="H112" s="425"/>
      <c r="I112" s="427"/>
      <c r="J112" s="19" t="s">
        <v>28</v>
      </c>
      <c r="K112" s="25">
        <f ca="1">(IF(C106&gt;1,(F106/(C106+2)+K111),F106/4+K111))</f>
        <v>3.5</v>
      </c>
    </row>
    <row r="113" spans="2:11" ht="15.75" x14ac:dyDescent="0.25">
      <c r="B113" s="421" t="s">
        <v>29</v>
      </c>
      <c r="C113" s="422" t="s">
        <v>46</v>
      </c>
      <c r="D113" s="21">
        <v>7</v>
      </c>
      <c r="E113" s="22">
        <f ca="1">((100/F106)*D113)/100</f>
        <v>1</v>
      </c>
      <c r="F113" s="425"/>
      <c r="G113" s="425"/>
      <c r="H113" s="425"/>
      <c r="I113" s="427"/>
      <c r="J113" s="19" t="s">
        <v>30</v>
      </c>
      <c r="K113" s="25">
        <f>(IF(C106&gt;1,(F106/(C106+2)+K112),0))</f>
        <v>0</v>
      </c>
    </row>
    <row r="114" spans="2:11" ht="15.75" x14ac:dyDescent="0.25">
      <c r="B114" s="421" t="s">
        <v>31</v>
      </c>
      <c r="C114" s="422" t="s">
        <v>47</v>
      </c>
      <c r="D114" s="21">
        <v>7</v>
      </c>
      <c r="E114" s="22">
        <f ca="1">((100/(F106))*D114)/100</f>
        <v>1</v>
      </c>
      <c r="F114" s="425"/>
      <c r="G114" s="425"/>
      <c r="H114" s="425"/>
      <c r="I114" s="427"/>
      <c r="J114" s="19" t="s">
        <v>32</v>
      </c>
      <c r="K114" s="25">
        <f>(IF(C106&gt;2,(F106/(C106+2)+K113),0))</f>
        <v>0</v>
      </c>
    </row>
    <row r="115" spans="2:11" ht="15.75" x14ac:dyDescent="0.25">
      <c r="B115" s="421" t="s">
        <v>33</v>
      </c>
      <c r="C115" s="422" t="s">
        <v>33</v>
      </c>
      <c r="D115" s="21">
        <v>7</v>
      </c>
      <c r="E115" s="22">
        <f ca="1">((100/F106)*D115)/100</f>
        <v>1</v>
      </c>
      <c r="F115" s="425"/>
      <c r="G115" s="425"/>
      <c r="H115" s="425"/>
      <c r="I115" s="427"/>
      <c r="J115" s="19" t="s">
        <v>34</v>
      </c>
      <c r="K115" s="26">
        <f>(IF(C106&gt;3,(F106/(C106+2)+K114),0))</f>
        <v>0</v>
      </c>
    </row>
    <row r="116" spans="2:11" ht="15.75" x14ac:dyDescent="0.25">
      <c r="B116" s="421" t="s">
        <v>35</v>
      </c>
      <c r="C116" s="422"/>
      <c r="D116" s="21">
        <v>7</v>
      </c>
      <c r="E116" s="22">
        <f ca="1">((100/F106)*D116)/100</f>
        <v>1</v>
      </c>
      <c r="F116" s="425"/>
      <c r="G116" s="425"/>
      <c r="H116" s="425"/>
      <c r="I116" s="427"/>
      <c r="J116" s="19" t="s">
        <v>36</v>
      </c>
      <c r="K116" s="25">
        <f>(IF(C106&gt;4,(F106/(C106+2)+K115),0))</f>
        <v>0</v>
      </c>
    </row>
    <row r="117" spans="2:11" ht="15.75" x14ac:dyDescent="0.25">
      <c r="B117" s="421" t="s">
        <v>37</v>
      </c>
      <c r="C117" s="422" t="s">
        <v>37</v>
      </c>
      <c r="D117" s="21">
        <v>7</v>
      </c>
      <c r="E117" s="22">
        <f ca="1">((100/(F106))*D117)/100</f>
        <v>1</v>
      </c>
      <c r="F117" s="425"/>
      <c r="G117" s="425"/>
      <c r="H117" s="425"/>
      <c r="I117" s="427"/>
      <c r="J117" s="19" t="s">
        <v>38</v>
      </c>
      <c r="K117" s="25">
        <f ca="1">(IF(C106=1,(F106/(C106+3)+K112),IF(C106=0,(F106/4+K112),IF(C106&gt;1,0))))</f>
        <v>5.25</v>
      </c>
    </row>
    <row r="118" spans="2:11" ht="16.5" thickBot="1" x14ac:dyDescent="0.3">
      <c r="B118" s="423" t="s">
        <v>39</v>
      </c>
      <c r="C118" s="424"/>
      <c r="D118" s="27">
        <v>7</v>
      </c>
      <c r="E118" s="28">
        <f ca="1">((100/(F106))*D118)/100</f>
        <v>1</v>
      </c>
      <c r="F118" s="426"/>
      <c r="G118" s="426"/>
      <c r="H118" s="426"/>
      <c r="I118" s="428"/>
      <c r="J118" s="29" t="s">
        <v>40</v>
      </c>
      <c r="K118" s="30">
        <f ca="1">(IF(C106&gt;1.5,(F106/(C106+2)+K112+MAX(0,K113-K112)+MAX(0,K114-K113)+MAX(0,K115-K114)+MAX(0,K116-K115)+MAX(0,K117-K116)),IF(C106=1,(F106/(C106+3)+K117),IF(C106=0,F106/4+K117))))</f>
        <v>7</v>
      </c>
    </row>
    <row r="124" spans="2:11" x14ac:dyDescent="0.25">
      <c r="B124" t="str">
        <f>(IF(E125&gt;99%,"All work completed. Please provide OC.",IF(E125&gt;89.8%,"Plinth, RCC, Brick, Plaster, Flooring, Painting work Completed. Finishing work is in process.",IF(E125&lt;94%,(IF(C125=0,"Work not yet Started.",IF(D125=25%,"Piling work in process",IF(D125=50%,"Excavation work in process",IF(D125=100%,"Excavation work Completed. ","0")))&amp;(IF(C126=0%,"",IF(C126=H127,"Footing work is process",IF(C126=H128,"Footing work Completed",IF(C126=H129,"1st Basement Completed",IF(C126=H130,"1st &amp; 2nd Basement Completed",IF(C126=H131,"1st to 3rd Basement Completed",IF(C126=H132,"1st to 4th Basement Completed",IF(C126=H133,"Plinth work is process",IF(C126=H134,"Plinth work completed","0")))))))))))&amp;(IF(C127=(D122+E122+F122),", RCC Slab",IF(C127&gt;0,", RCC upto "&amp;C127&amp;" Slab",""))&amp;(IF(C128=F122,", Brickwork",IF(C128&gt;0,", Brickwork upto "&amp;C128&amp;" Floor",""))&amp;(IF(C129=F122,", Internal Plaster",IF(C129&gt;0,", Internal Plaster upto "&amp;C129&amp;" Floor",""))&amp;(IF(C130=F122,", External Plaster",IF(C130&gt;0,", External Plaster upto "&amp;C130&amp;" Floor",""))&amp;(IF(C131=F122,", Flooring",IF(C131&gt;0,", Flooring upto "&amp;C131&amp;" Floor",""))&amp;(IF(C132=F122,", Painting",IF(C132&gt;0,", Painting upto "&amp;C132&amp;" Floor",""))&amp;(IF(C133&gt;0,", Finishing upto "&amp;C133&amp;" Floor","")&amp;(IF(C127&gt;0.5," Completed",""))))))))))))))</f>
        <v>Work not yet Started., RCC Slab, Brickwork, Internal Plaster, External Plaster, Flooring, Painting</v>
      </c>
    </row>
  </sheetData>
  <mergeCells count="19">
    <mergeCell ref="B105:C105"/>
    <mergeCell ref="D105:I105"/>
    <mergeCell ref="B107:C107"/>
    <mergeCell ref="D107:I107"/>
    <mergeCell ref="B108:C108"/>
    <mergeCell ref="F108:G108"/>
    <mergeCell ref="H108:I108"/>
    <mergeCell ref="B117:C117"/>
    <mergeCell ref="B118:C118"/>
    <mergeCell ref="B109:C109"/>
    <mergeCell ref="F109:G118"/>
    <mergeCell ref="H109:I118"/>
    <mergeCell ref="B110:C110"/>
    <mergeCell ref="B111:C111"/>
    <mergeCell ref="B112:C112"/>
    <mergeCell ref="B113:C113"/>
    <mergeCell ref="B114:C114"/>
    <mergeCell ref="B115:C115"/>
    <mergeCell ref="B116:C1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dc:creator>
  <cp:lastModifiedBy>VSJC</cp:lastModifiedBy>
  <cp:lastPrinted>2025-08-12T09:16:13Z</cp:lastPrinted>
  <dcterms:created xsi:type="dcterms:W3CDTF">2023-05-19T08:34:56Z</dcterms:created>
  <dcterms:modified xsi:type="dcterms:W3CDTF">2025-08-12T09:16:15Z</dcterms:modified>
</cp:coreProperties>
</file>