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Shruti\Aug 25\RBL Old\"/>
    </mc:Choice>
  </mc:AlternateContent>
  <bookViews>
    <workbookView xWindow="0" yWindow="0" windowWidth="20490" windowHeight="7755"/>
  </bookViews>
  <sheets>
    <sheet name="Sheet1" sheetId="1" r:id="rId1"/>
    <sheet name="Sheet2" sheetId="2" r:id="rId2"/>
  </sheets>
  <definedNames>
    <definedName name="_xlnm._FilterDatabase" localSheetId="0" hidden="1">Sheet1!$A$1:$H$58</definedName>
    <definedName name="_xlnm.Print_Area" localSheetId="0">Sheet1!$A$1:$F$760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78" i="1" l="1"/>
  <c r="A579" i="1" s="1"/>
  <c r="A577" i="1"/>
  <c r="E251" i="1" l="1"/>
  <c r="C60" i="1" l="1"/>
  <c r="E201" i="1"/>
  <c r="C201" i="1"/>
  <c r="B201" i="1"/>
  <c r="E198" i="1"/>
  <c r="B198" i="1"/>
  <c r="B189" i="1"/>
  <c r="E189" i="1"/>
  <c r="C189" i="1"/>
  <c r="C198" i="1"/>
  <c r="B178" i="1" l="1"/>
  <c r="C178" i="1"/>
  <c r="E178" i="1"/>
  <c r="B177" i="1"/>
  <c r="B176" i="1"/>
  <c r="B175" i="1"/>
  <c r="B174" i="1"/>
  <c r="B192" i="1"/>
  <c r="C192" i="1"/>
  <c r="E192" i="1"/>
  <c r="B200" i="1"/>
  <c r="C200" i="1"/>
  <c r="E200" i="1"/>
  <c r="B196" i="1"/>
  <c r="C196" i="1"/>
  <c r="B199" i="1"/>
  <c r="B197" i="1"/>
  <c r="B195" i="1"/>
  <c r="E199" i="1"/>
  <c r="C199" i="1"/>
  <c r="E197" i="1"/>
  <c r="C197" i="1"/>
  <c r="C195" i="1"/>
  <c r="B187" i="1"/>
  <c r="C342" i="1"/>
  <c r="B191" i="1"/>
  <c r="B190" i="1"/>
  <c r="B188" i="1"/>
  <c r="B186" i="1"/>
  <c r="C187" i="1"/>
  <c r="C191" i="1"/>
  <c r="C190" i="1"/>
  <c r="C188" i="1"/>
  <c r="C186" i="1"/>
  <c r="E176" i="1"/>
  <c r="C177" i="1"/>
  <c r="C176" i="1"/>
  <c r="C175" i="1"/>
  <c r="C174" i="1"/>
  <c r="C535" i="1"/>
  <c r="E538" i="1"/>
  <c r="C538" i="1"/>
  <c r="D538" i="1" s="1"/>
  <c r="E535" i="1"/>
  <c r="D535" i="1"/>
  <c r="E534" i="1"/>
  <c r="D534" i="1"/>
  <c r="C534" i="1"/>
  <c r="F533" i="1"/>
  <c r="E533" i="1"/>
  <c r="D533" i="1"/>
  <c r="C533" i="1"/>
  <c r="C528" i="1"/>
  <c r="D528" i="1" s="1"/>
  <c r="F526" i="1"/>
  <c r="C531" i="1"/>
  <c r="D531" i="1" s="1"/>
  <c r="C527" i="1"/>
  <c r="D527" i="1" s="1"/>
  <c r="C526" i="1"/>
  <c r="C524" i="1"/>
  <c r="E524" i="1" s="1"/>
  <c r="C523" i="1"/>
  <c r="E523" i="1" s="1"/>
  <c r="C522" i="1"/>
  <c r="C521" i="1"/>
  <c r="E521" i="1" s="1"/>
  <c r="C520" i="1"/>
  <c r="C519" i="1"/>
  <c r="E519" i="1" s="1"/>
  <c r="F519" i="1"/>
  <c r="F512" i="1"/>
  <c r="C517" i="1"/>
  <c r="E517" i="1" s="1"/>
  <c r="C516" i="1"/>
  <c r="C515" i="1"/>
  <c r="C514" i="1"/>
  <c r="C513" i="1"/>
  <c r="E513" i="1" s="1"/>
  <c r="C512" i="1"/>
  <c r="E526" i="1"/>
  <c r="D526" i="1"/>
  <c r="D524" i="1"/>
  <c r="E522" i="1"/>
  <c r="D522" i="1"/>
  <c r="D521" i="1"/>
  <c r="E520" i="1"/>
  <c r="D520" i="1"/>
  <c r="D519" i="1"/>
  <c r="E516" i="1"/>
  <c r="D516" i="1"/>
  <c r="E515" i="1"/>
  <c r="D515" i="1"/>
  <c r="E514" i="1"/>
  <c r="D514" i="1"/>
  <c r="E512" i="1"/>
  <c r="D512" i="1"/>
  <c r="E509" i="1"/>
  <c r="D509" i="1"/>
  <c r="C509" i="1"/>
  <c r="E508" i="1"/>
  <c r="D508" i="1"/>
  <c r="C508" i="1"/>
  <c r="E507" i="1"/>
  <c r="D507" i="1"/>
  <c r="C507" i="1"/>
  <c r="E506" i="1"/>
  <c r="D506" i="1"/>
  <c r="C506" i="1"/>
  <c r="C502" i="1"/>
  <c r="C501" i="1"/>
  <c r="C500" i="1"/>
  <c r="C499" i="1"/>
  <c r="C495" i="1"/>
  <c r="C494" i="1"/>
  <c r="C493" i="1"/>
  <c r="C492" i="1"/>
  <c r="C491" i="1"/>
  <c r="E491" i="1" s="1"/>
  <c r="C490" i="1"/>
  <c r="C488" i="1"/>
  <c r="C487" i="1"/>
  <c r="C486" i="1"/>
  <c r="C485" i="1"/>
  <c r="C484" i="1"/>
  <c r="C483" i="1"/>
  <c r="D483" i="1" s="1"/>
  <c r="C481" i="1"/>
  <c r="C480" i="1"/>
  <c r="C479" i="1"/>
  <c r="C478" i="1"/>
  <c r="C477" i="1"/>
  <c r="E477" i="1" s="1"/>
  <c r="C476" i="1"/>
  <c r="E476" i="1" s="1"/>
  <c r="C474" i="1"/>
  <c r="C473" i="1"/>
  <c r="D473" i="1" s="1"/>
  <c r="C472" i="1"/>
  <c r="C471" i="1"/>
  <c r="E471" i="1" s="1"/>
  <c r="C470" i="1"/>
  <c r="D470" i="1" s="1"/>
  <c r="C469" i="1"/>
  <c r="E495" i="1"/>
  <c r="D495" i="1"/>
  <c r="E494" i="1"/>
  <c r="D494" i="1"/>
  <c r="E493" i="1"/>
  <c r="D493" i="1"/>
  <c r="E492" i="1"/>
  <c r="D492" i="1"/>
  <c r="E490" i="1"/>
  <c r="D490" i="1"/>
  <c r="E488" i="1"/>
  <c r="D488" i="1"/>
  <c r="E487" i="1"/>
  <c r="D487" i="1"/>
  <c r="E486" i="1"/>
  <c r="D486" i="1"/>
  <c r="E485" i="1"/>
  <c r="D485" i="1"/>
  <c r="E484" i="1"/>
  <c r="D484" i="1"/>
  <c r="E483" i="1"/>
  <c r="E481" i="1"/>
  <c r="D481" i="1"/>
  <c r="E480" i="1"/>
  <c r="D480" i="1"/>
  <c r="E479" i="1"/>
  <c r="D479" i="1"/>
  <c r="E478" i="1"/>
  <c r="D478" i="1"/>
  <c r="E474" i="1"/>
  <c r="D474" i="1"/>
  <c r="E472" i="1"/>
  <c r="D472" i="1"/>
  <c r="D471" i="1"/>
  <c r="E470" i="1"/>
  <c r="E469" i="1"/>
  <c r="D469" i="1"/>
  <c r="C464" i="1"/>
  <c r="E466" i="1"/>
  <c r="D466" i="1"/>
  <c r="C466" i="1"/>
  <c r="E465" i="1"/>
  <c r="D465" i="1"/>
  <c r="C465" i="1"/>
  <c r="E464" i="1"/>
  <c r="D464" i="1"/>
  <c r="E461" i="1"/>
  <c r="D461" i="1"/>
  <c r="C461" i="1"/>
  <c r="C459" i="1"/>
  <c r="C457" i="1"/>
  <c r="E459" i="1"/>
  <c r="D459" i="1"/>
  <c r="E458" i="1"/>
  <c r="D458" i="1"/>
  <c r="C458" i="1"/>
  <c r="E457" i="1"/>
  <c r="D457" i="1"/>
  <c r="E454" i="1"/>
  <c r="D454" i="1"/>
  <c r="C454" i="1"/>
  <c r="E502" i="1"/>
  <c r="D502" i="1"/>
  <c r="E501" i="1"/>
  <c r="D501" i="1"/>
  <c r="E500" i="1"/>
  <c r="D500" i="1"/>
  <c r="E499" i="1"/>
  <c r="D499" i="1"/>
  <c r="C452" i="1"/>
  <c r="C451" i="1"/>
  <c r="E451" i="1" s="1"/>
  <c r="C450" i="1"/>
  <c r="C449" i="1"/>
  <c r="E449" i="1" s="1"/>
  <c r="C448" i="1"/>
  <c r="C447" i="1"/>
  <c r="E447" i="1" s="1"/>
  <c r="C445" i="1"/>
  <c r="E445" i="1" s="1"/>
  <c r="C444" i="1"/>
  <c r="C443" i="1"/>
  <c r="C442" i="1"/>
  <c r="C441" i="1"/>
  <c r="C440" i="1"/>
  <c r="C438" i="1"/>
  <c r="D438" i="1" s="1"/>
  <c r="C437" i="1"/>
  <c r="C436" i="1"/>
  <c r="C435" i="1"/>
  <c r="C434" i="1"/>
  <c r="C433" i="1"/>
  <c r="E433" i="1" s="1"/>
  <c r="C431" i="1"/>
  <c r="C430" i="1"/>
  <c r="C429" i="1"/>
  <c r="C428" i="1"/>
  <c r="C427" i="1"/>
  <c r="C426" i="1"/>
  <c r="E426" i="1" s="1"/>
  <c r="E452" i="1"/>
  <c r="D452" i="1"/>
  <c r="D451" i="1"/>
  <c r="E450" i="1"/>
  <c r="D450" i="1"/>
  <c r="D449" i="1"/>
  <c r="E448" i="1"/>
  <c r="D448" i="1"/>
  <c r="D447" i="1"/>
  <c r="D445" i="1"/>
  <c r="E444" i="1"/>
  <c r="D444" i="1"/>
  <c r="E443" i="1"/>
  <c r="D443" i="1"/>
  <c r="E442" i="1"/>
  <c r="D442" i="1"/>
  <c r="E441" i="1"/>
  <c r="D441" i="1"/>
  <c r="E440" i="1"/>
  <c r="D440" i="1"/>
  <c r="E438" i="1"/>
  <c r="E437" i="1"/>
  <c r="D437" i="1"/>
  <c r="E436" i="1"/>
  <c r="D436" i="1"/>
  <c r="E435" i="1"/>
  <c r="D435" i="1"/>
  <c r="E434" i="1"/>
  <c r="D434" i="1"/>
  <c r="E431" i="1"/>
  <c r="D431" i="1"/>
  <c r="E430" i="1"/>
  <c r="D430" i="1"/>
  <c r="E429" i="1"/>
  <c r="C423" i="1"/>
  <c r="C421" i="1"/>
  <c r="C420" i="1"/>
  <c r="C418" i="1"/>
  <c r="C417" i="1"/>
  <c r="E417" i="1" s="1"/>
  <c r="C416" i="1"/>
  <c r="C415" i="1"/>
  <c r="C413" i="1"/>
  <c r="D413" i="1" s="1"/>
  <c r="C412" i="1"/>
  <c r="C411" i="1"/>
  <c r="C410" i="1"/>
  <c r="C408" i="1"/>
  <c r="E408" i="1" s="1"/>
  <c r="C407" i="1"/>
  <c r="C406" i="1"/>
  <c r="C405" i="1"/>
  <c r="E428" i="1"/>
  <c r="D428" i="1"/>
  <c r="E427" i="1"/>
  <c r="D427" i="1"/>
  <c r="D426" i="1"/>
  <c r="E423" i="1"/>
  <c r="D423" i="1"/>
  <c r="A422" i="1"/>
  <c r="A423" i="1" s="1"/>
  <c r="E421" i="1"/>
  <c r="D421" i="1"/>
  <c r="A421" i="1"/>
  <c r="E420" i="1"/>
  <c r="D420" i="1"/>
  <c r="E418" i="1"/>
  <c r="D418" i="1"/>
  <c r="D417" i="1"/>
  <c r="A417" i="1"/>
  <c r="A418" i="1" s="1"/>
  <c r="E416" i="1"/>
  <c r="D416" i="1"/>
  <c r="A416" i="1"/>
  <c r="E415" i="1"/>
  <c r="D415" i="1"/>
  <c r="E413" i="1"/>
  <c r="E412" i="1"/>
  <c r="D412" i="1"/>
  <c r="A412" i="1"/>
  <c r="A413" i="1" s="1"/>
  <c r="E411" i="1"/>
  <c r="D411" i="1"/>
  <c r="A411" i="1"/>
  <c r="E410" i="1"/>
  <c r="D410" i="1"/>
  <c r="E407" i="1"/>
  <c r="E406" i="1"/>
  <c r="E405" i="1"/>
  <c r="E188" i="1" s="1"/>
  <c r="E400" i="1"/>
  <c r="E399" i="1"/>
  <c r="E398" i="1"/>
  <c r="E397" i="1"/>
  <c r="E396" i="1"/>
  <c r="E395" i="1"/>
  <c r="E391" i="1"/>
  <c r="E390" i="1"/>
  <c r="E389" i="1"/>
  <c r="E388" i="1"/>
  <c r="E386" i="1"/>
  <c r="E385" i="1"/>
  <c r="E384" i="1"/>
  <c r="E383" i="1"/>
  <c r="E382" i="1"/>
  <c r="E381" i="1"/>
  <c r="E379" i="1"/>
  <c r="E378" i="1"/>
  <c r="E377" i="1"/>
  <c r="E376" i="1"/>
  <c r="E375" i="1"/>
  <c r="E374" i="1"/>
  <c r="E372" i="1"/>
  <c r="E371" i="1"/>
  <c r="E370" i="1"/>
  <c r="E369" i="1"/>
  <c r="E368" i="1"/>
  <c r="E367" i="1"/>
  <c r="E365" i="1"/>
  <c r="E364" i="1"/>
  <c r="E363" i="1"/>
  <c r="E362" i="1"/>
  <c r="E361" i="1"/>
  <c r="E360" i="1"/>
  <c r="E358" i="1"/>
  <c r="E357" i="1"/>
  <c r="E356" i="1"/>
  <c r="E355" i="1"/>
  <c r="E354" i="1"/>
  <c r="E353" i="1"/>
  <c r="E351" i="1"/>
  <c r="E350" i="1"/>
  <c r="E349" i="1"/>
  <c r="E348" i="1"/>
  <c r="E347" i="1"/>
  <c r="E346" i="1"/>
  <c r="E342" i="1"/>
  <c r="E341" i="1"/>
  <c r="E340" i="1"/>
  <c r="E339" i="1"/>
  <c r="E337" i="1"/>
  <c r="E336" i="1"/>
  <c r="E335" i="1"/>
  <c r="E334" i="1"/>
  <c r="E333" i="1"/>
  <c r="E332" i="1"/>
  <c r="E330" i="1"/>
  <c r="E329" i="1"/>
  <c r="E328" i="1"/>
  <c r="E327" i="1"/>
  <c r="E326" i="1"/>
  <c r="E325" i="1"/>
  <c r="E323" i="1"/>
  <c r="E322" i="1"/>
  <c r="E321" i="1"/>
  <c r="E320" i="1"/>
  <c r="E319" i="1"/>
  <c r="E318" i="1"/>
  <c r="E316" i="1"/>
  <c r="E315" i="1"/>
  <c r="E314" i="1"/>
  <c r="E313" i="1"/>
  <c r="E312" i="1"/>
  <c r="E311" i="1"/>
  <c r="E309" i="1"/>
  <c r="E308" i="1"/>
  <c r="E307" i="1"/>
  <c r="E306" i="1"/>
  <c r="E305" i="1"/>
  <c r="E304" i="1"/>
  <c r="E302" i="1"/>
  <c r="E301" i="1"/>
  <c r="E300" i="1"/>
  <c r="E299" i="1"/>
  <c r="E196" i="1" s="1"/>
  <c r="E298" i="1"/>
  <c r="E297" i="1"/>
  <c r="E187" i="1" s="1"/>
  <c r="E291" i="1"/>
  <c r="E290" i="1"/>
  <c r="E289" i="1"/>
  <c r="E286" i="1"/>
  <c r="E284" i="1"/>
  <c r="E283" i="1"/>
  <c r="E282" i="1"/>
  <c r="E279" i="1"/>
  <c r="E277" i="1"/>
  <c r="E276" i="1"/>
  <c r="E275" i="1"/>
  <c r="E274" i="1"/>
  <c r="E273" i="1"/>
  <c r="E272" i="1"/>
  <c r="E270" i="1"/>
  <c r="E269" i="1"/>
  <c r="E268" i="1"/>
  <c r="E195" i="1" s="1"/>
  <c r="E267" i="1"/>
  <c r="E266" i="1"/>
  <c r="E265" i="1"/>
  <c r="E260" i="1"/>
  <c r="E261" i="1"/>
  <c r="E262" i="1"/>
  <c r="E263" i="1"/>
  <c r="E259" i="1"/>
  <c r="E258" i="1"/>
  <c r="E252" i="1"/>
  <c r="E253" i="1"/>
  <c r="E254" i="1"/>
  <c r="E255" i="1"/>
  <c r="E256" i="1"/>
  <c r="E186" i="1"/>
  <c r="G251" i="1"/>
  <c r="D408" i="1"/>
  <c r="D407" i="1"/>
  <c r="A407" i="1"/>
  <c r="A408" i="1" s="1"/>
  <c r="D406" i="1"/>
  <c r="A406" i="1"/>
  <c r="D405" i="1"/>
  <c r="C391" i="1"/>
  <c r="D400" i="1"/>
  <c r="C400" i="1"/>
  <c r="D399" i="1"/>
  <c r="C399" i="1"/>
  <c r="D398" i="1"/>
  <c r="C398" i="1"/>
  <c r="D397" i="1"/>
  <c r="C397" i="1"/>
  <c r="A397" i="1"/>
  <c r="A398" i="1" s="1"/>
  <c r="A399" i="1" s="1"/>
  <c r="A400" i="1" s="1"/>
  <c r="D396" i="1"/>
  <c r="C396" i="1"/>
  <c r="A396" i="1"/>
  <c r="D395" i="1"/>
  <c r="C395" i="1"/>
  <c r="D391" i="1"/>
  <c r="D390" i="1"/>
  <c r="C390" i="1"/>
  <c r="A390" i="1"/>
  <c r="A391" i="1" s="1"/>
  <c r="A392" i="1" s="1"/>
  <c r="A393" i="1" s="1"/>
  <c r="D389" i="1"/>
  <c r="C389" i="1"/>
  <c r="A389" i="1"/>
  <c r="D388" i="1"/>
  <c r="C388" i="1"/>
  <c r="D386" i="1"/>
  <c r="C386" i="1"/>
  <c r="D385" i="1"/>
  <c r="C385" i="1"/>
  <c r="D384" i="1"/>
  <c r="C384" i="1"/>
  <c r="D383" i="1"/>
  <c r="C383" i="1"/>
  <c r="A383" i="1"/>
  <c r="A384" i="1" s="1"/>
  <c r="A385" i="1" s="1"/>
  <c r="A386" i="1" s="1"/>
  <c r="D382" i="1"/>
  <c r="C382" i="1"/>
  <c r="A382" i="1"/>
  <c r="D381" i="1"/>
  <c r="C381" i="1"/>
  <c r="D379" i="1"/>
  <c r="C379" i="1"/>
  <c r="D378" i="1"/>
  <c r="C378" i="1"/>
  <c r="D377" i="1"/>
  <c r="C377" i="1"/>
  <c r="D376" i="1"/>
  <c r="C376" i="1"/>
  <c r="A376" i="1"/>
  <c r="A377" i="1" s="1"/>
  <c r="A378" i="1" s="1"/>
  <c r="A379" i="1" s="1"/>
  <c r="D375" i="1"/>
  <c r="C375" i="1"/>
  <c r="A375" i="1"/>
  <c r="D374" i="1"/>
  <c r="C374" i="1"/>
  <c r="D372" i="1"/>
  <c r="C372" i="1"/>
  <c r="D371" i="1"/>
  <c r="C371" i="1"/>
  <c r="D370" i="1"/>
  <c r="C370" i="1"/>
  <c r="D369" i="1"/>
  <c r="C369" i="1"/>
  <c r="A369" i="1"/>
  <c r="A370" i="1" s="1"/>
  <c r="A371" i="1" s="1"/>
  <c r="A372" i="1" s="1"/>
  <c r="D368" i="1"/>
  <c r="C368" i="1"/>
  <c r="A368" i="1"/>
  <c r="D367" i="1"/>
  <c r="C367" i="1"/>
  <c r="D365" i="1"/>
  <c r="C365" i="1"/>
  <c r="D364" i="1"/>
  <c r="C364" i="1"/>
  <c r="D363" i="1"/>
  <c r="C363" i="1"/>
  <c r="D362" i="1"/>
  <c r="C362" i="1"/>
  <c r="A362" i="1"/>
  <c r="A363" i="1" s="1"/>
  <c r="A364" i="1" s="1"/>
  <c r="A365" i="1" s="1"/>
  <c r="D361" i="1"/>
  <c r="C361" i="1"/>
  <c r="A361" i="1"/>
  <c r="D360" i="1"/>
  <c r="C360" i="1"/>
  <c r="D358" i="1"/>
  <c r="C358" i="1"/>
  <c r="D357" i="1"/>
  <c r="C357" i="1"/>
  <c r="D356" i="1"/>
  <c r="C356" i="1"/>
  <c r="D355" i="1"/>
  <c r="C355" i="1"/>
  <c r="A355" i="1"/>
  <c r="A356" i="1" s="1"/>
  <c r="A357" i="1" s="1"/>
  <c r="A358" i="1" s="1"/>
  <c r="D354" i="1"/>
  <c r="C354" i="1"/>
  <c r="A354" i="1"/>
  <c r="D353" i="1"/>
  <c r="C353" i="1"/>
  <c r="D351" i="1"/>
  <c r="C351" i="1"/>
  <c r="D350" i="1"/>
  <c r="C350" i="1"/>
  <c r="D349" i="1"/>
  <c r="C349" i="1"/>
  <c r="D348" i="1"/>
  <c r="C348" i="1"/>
  <c r="A348" i="1"/>
  <c r="A349" i="1" s="1"/>
  <c r="A350" i="1" s="1"/>
  <c r="A351" i="1" s="1"/>
  <c r="D347" i="1"/>
  <c r="C347" i="1"/>
  <c r="A347" i="1"/>
  <c r="D346" i="1"/>
  <c r="C346" i="1"/>
  <c r="D342" i="1"/>
  <c r="D341" i="1"/>
  <c r="C341" i="1"/>
  <c r="A341" i="1"/>
  <c r="A342" i="1" s="1"/>
  <c r="A343" i="1" s="1"/>
  <c r="A344" i="1" s="1"/>
  <c r="D340" i="1"/>
  <c r="C340" i="1"/>
  <c r="A340" i="1"/>
  <c r="D339" i="1"/>
  <c r="C339" i="1"/>
  <c r="D337" i="1"/>
  <c r="C337" i="1"/>
  <c r="D336" i="1"/>
  <c r="C336" i="1"/>
  <c r="D335" i="1"/>
  <c r="C335" i="1"/>
  <c r="D334" i="1"/>
  <c r="C334" i="1"/>
  <c r="A334" i="1"/>
  <c r="A335" i="1" s="1"/>
  <c r="A336" i="1" s="1"/>
  <c r="A337" i="1" s="1"/>
  <c r="D333" i="1"/>
  <c r="C333" i="1"/>
  <c r="A333" i="1"/>
  <c r="D332" i="1"/>
  <c r="C332" i="1"/>
  <c r="D330" i="1"/>
  <c r="C330" i="1"/>
  <c r="D329" i="1"/>
  <c r="C329" i="1"/>
  <c r="D328" i="1"/>
  <c r="C328" i="1"/>
  <c r="D327" i="1"/>
  <c r="C327" i="1"/>
  <c r="A327" i="1"/>
  <c r="A328" i="1" s="1"/>
  <c r="A329" i="1" s="1"/>
  <c r="A330" i="1" s="1"/>
  <c r="D326" i="1"/>
  <c r="C326" i="1"/>
  <c r="A326" i="1"/>
  <c r="D325" i="1"/>
  <c r="C325" i="1"/>
  <c r="D323" i="1"/>
  <c r="C323" i="1"/>
  <c r="D322" i="1"/>
  <c r="C322" i="1"/>
  <c r="D321" i="1"/>
  <c r="C321" i="1"/>
  <c r="D320" i="1"/>
  <c r="C320" i="1"/>
  <c r="A320" i="1"/>
  <c r="A321" i="1" s="1"/>
  <c r="A322" i="1" s="1"/>
  <c r="A323" i="1" s="1"/>
  <c r="D319" i="1"/>
  <c r="C319" i="1"/>
  <c r="A319" i="1"/>
  <c r="D318" i="1"/>
  <c r="C318" i="1"/>
  <c r="D316" i="1"/>
  <c r="C316" i="1"/>
  <c r="D315" i="1"/>
  <c r="C315" i="1"/>
  <c r="D314" i="1"/>
  <c r="C314" i="1"/>
  <c r="D313" i="1"/>
  <c r="C313" i="1"/>
  <c r="A313" i="1"/>
  <c r="A314" i="1" s="1"/>
  <c r="A315" i="1" s="1"/>
  <c r="A316" i="1" s="1"/>
  <c r="D312" i="1"/>
  <c r="C312" i="1"/>
  <c r="A312" i="1"/>
  <c r="D311" i="1"/>
  <c r="C311" i="1"/>
  <c r="D309" i="1"/>
  <c r="C309" i="1"/>
  <c r="D308" i="1"/>
  <c r="C308" i="1"/>
  <c r="D307" i="1"/>
  <c r="C307" i="1"/>
  <c r="D306" i="1"/>
  <c r="C306" i="1"/>
  <c r="A306" i="1"/>
  <c r="A307" i="1" s="1"/>
  <c r="A308" i="1" s="1"/>
  <c r="A309" i="1" s="1"/>
  <c r="D305" i="1"/>
  <c r="C305" i="1"/>
  <c r="A305" i="1"/>
  <c r="D304" i="1"/>
  <c r="C304" i="1"/>
  <c r="C302" i="1"/>
  <c r="C301" i="1"/>
  <c r="C300" i="1"/>
  <c r="C299" i="1"/>
  <c r="C298" i="1"/>
  <c r="C297" i="1"/>
  <c r="D302" i="1"/>
  <c r="D300" i="1"/>
  <c r="A299" i="1"/>
  <c r="A300" i="1" s="1"/>
  <c r="A301" i="1" s="1"/>
  <c r="A302" i="1" s="1"/>
  <c r="D298" i="1"/>
  <c r="A298" i="1"/>
  <c r="C289" i="1"/>
  <c r="D284" i="1"/>
  <c r="C284" i="1"/>
  <c r="D283" i="1"/>
  <c r="C283" i="1"/>
  <c r="D282" i="1"/>
  <c r="C282" i="1"/>
  <c r="A281" i="1"/>
  <c r="A282" i="1" s="1"/>
  <c r="A283" i="1" s="1"/>
  <c r="A284" i="1" s="1"/>
  <c r="A280" i="1"/>
  <c r="D279" i="1"/>
  <c r="C279" i="1"/>
  <c r="C291" i="1"/>
  <c r="C290" i="1"/>
  <c r="C286" i="1"/>
  <c r="C277" i="1"/>
  <c r="C276" i="1"/>
  <c r="C275" i="1"/>
  <c r="C274" i="1"/>
  <c r="C273" i="1"/>
  <c r="C272" i="1"/>
  <c r="C270" i="1"/>
  <c r="C269" i="1"/>
  <c r="C268" i="1"/>
  <c r="C267" i="1"/>
  <c r="C266" i="1"/>
  <c r="C265" i="1"/>
  <c r="C263" i="1"/>
  <c r="C262" i="1"/>
  <c r="C261" i="1"/>
  <c r="C260" i="1"/>
  <c r="C259" i="1"/>
  <c r="C258" i="1"/>
  <c r="C256" i="1"/>
  <c r="C255" i="1"/>
  <c r="C254" i="1"/>
  <c r="C253" i="1"/>
  <c r="C252" i="1"/>
  <c r="C251" i="1"/>
  <c r="C243" i="1"/>
  <c r="F243" i="1" s="1"/>
  <c r="C242" i="1"/>
  <c r="F242" i="1" s="1"/>
  <c r="C241" i="1"/>
  <c r="C240" i="1"/>
  <c r="F240" i="1" s="1"/>
  <c r="C239" i="1"/>
  <c r="F239" i="1" s="1"/>
  <c r="C238" i="1"/>
  <c r="D238" i="1" s="1"/>
  <c r="C237" i="1"/>
  <c r="F237" i="1" s="1"/>
  <c r="C236" i="1"/>
  <c r="F236" i="1" s="1"/>
  <c r="C235" i="1"/>
  <c r="D242" i="1"/>
  <c r="F241" i="1"/>
  <c r="D241" i="1"/>
  <c r="A236" i="1"/>
  <c r="A237" i="1" s="1"/>
  <c r="A238" i="1" s="1"/>
  <c r="A239" i="1" s="1"/>
  <c r="A240" i="1" s="1"/>
  <c r="A241" i="1" s="1"/>
  <c r="A242" i="1" s="1"/>
  <c r="A243" i="1" s="1"/>
  <c r="F235" i="1"/>
  <c r="D235" i="1"/>
  <c r="C231" i="1"/>
  <c r="D231" i="1" s="1"/>
  <c r="C230" i="1"/>
  <c r="D230" i="1" s="1"/>
  <c r="C229" i="1"/>
  <c r="F229" i="1" s="1"/>
  <c r="C228" i="1"/>
  <c r="D228" i="1" s="1"/>
  <c r="C227" i="1"/>
  <c r="F227" i="1" s="1"/>
  <c r="C226" i="1"/>
  <c r="F226" i="1" s="1"/>
  <c r="C225" i="1"/>
  <c r="F225" i="1" s="1"/>
  <c r="C224" i="1"/>
  <c r="F224" i="1" s="1"/>
  <c r="F231" i="1"/>
  <c r="F230" i="1"/>
  <c r="F228" i="1"/>
  <c r="A225" i="1"/>
  <c r="A226" i="1" s="1"/>
  <c r="A227" i="1" s="1"/>
  <c r="A228" i="1" s="1"/>
  <c r="A229" i="1" s="1"/>
  <c r="A230" i="1" s="1"/>
  <c r="A231" i="1" s="1"/>
  <c r="C220" i="1"/>
  <c r="F220" i="1" s="1"/>
  <c r="C219" i="1"/>
  <c r="C218" i="1"/>
  <c r="C217" i="1"/>
  <c r="C216" i="1"/>
  <c r="C215" i="1"/>
  <c r="C214" i="1"/>
  <c r="D220" i="1"/>
  <c r="C210" i="1"/>
  <c r="C209" i="1"/>
  <c r="E528" i="1" l="1"/>
  <c r="E527" i="1"/>
  <c r="E191" i="1" s="1"/>
  <c r="E531" i="1"/>
  <c r="D523" i="1"/>
  <c r="D513" i="1"/>
  <c r="D517" i="1"/>
  <c r="D491" i="1"/>
  <c r="D476" i="1"/>
  <c r="D477" i="1"/>
  <c r="E473" i="1"/>
  <c r="E190" i="1" s="1"/>
  <c r="D433" i="1"/>
  <c r="D429" i="1"/>
  <c r="D297" i="1"/>
  <c r="D299" i="1"/>
  <c r="D301" i="1"/>
  <c r="D229" i="1"/>
  <c r="D240" i="1"/>
  <c r="D225" i="1"/>
  <c r="D243" i="1"/>
  <c r="D237" i="1"/>
  <c r="F238" i="1"/>
  <c r="E177" i="1" s="1"/>
  <c r="D239" i="1"/>
  <c r="D236" i="1"/>
  <c r="D226" i="1"/>
  <c r="D224" i="1"/>
  <c r="D227" i="1"/>
  <c r="C45" i="1"/>
  <c r="A568" i="1" l="1"/>
  <c r="A569" i="1" s="1"/>
  <c r="A570" i="1" s="1"/>
  <c r="A571" i="1" s="1"/>
  <c r="A572" i="1" s="1"/>
  <c r="A287" i="1"/>
  <c r="A288" i="1" s="1"/>
  <c r="A289" i="1" s="1"/>
  <c r="A290" i="1" s="1"/>
  <c r="A291" i="1" s="1"/>
  <c r="A273" i="1"/>
  <c r="A274" i="1" s="1"/>
  <c r="A275" i="1" s="1"/>
  <c r="A276" i="1" s="1"/>
  <c r="A277" i="1" s="1"/>
  <c r="A266" i="1"/>
  <c r="A267" i="1" s="1"/>
  <c r="A268" i="1" s="1"/>
  <c r="A269" i="1" s="1"/>
  <c r="A270" i="1" s="1"/>
  <c r="A259" i="1"/>
  <c r="A260" i="1" s="1"/>
  <c r="A261" i="1" s="1"/>
  <c r="A262" i="1" s="1"/>
  <c r="A263" i="1" s="1"/>
  <c r="A252" i="1"/>
  <c r="A253" i="1" s="1"/>
  <c r="A254" i="1" s="1"/>
  <c r="A255" i="1" s="1"/>
  <c r="A256" i="1" s="1"/>
  <c r="A573" i="1" l="1"/>
  <c r="A215" i="1"/>
  <c r="A216" i="1" s="1"/>
  <c r="A217" i="1" s="1"/>
  <c r="A218" i="1" s="1"/>
  <c r="A219" i="1" s="1"/>
  <c r="A220" i="1" s="1"/>
  <c r="A210" i="1"/>
  <c r="F209" i="1"/>
  <c r="B183" i="1"/>
  <c r="C183" i="1"/>
  <c r="E183" i="1"/>
  <c r="A153" i="1"/>
  <c r="A574" i="1" l="1"/>
  <c r="B80" i="1"/>
  <c r="C57" i="1"/>
  <c r="H164" i="1"/>
  <c r="H163" i="1"/>
  <c r="H162" i="1"/>
  <c r="H161" i="1"/>
  <c r="H150" i="1"/>
  <c r="H149" i="1"/>
  <c r="H148" i="1"/>
  <c r="H147" i="1"/>
  <c r="C35" i="1"/>
  <c r="F154" i="1"/>
  <c r="F140" i="1"/>
  <c r="A575" i="1" l="1"/>
  <c r="H158" i="1"/>
  <c r="D157" i="1"/>
  <c r="D160" i="1"/>
  <c r="H156" i="1"/>
  <c r="H159" i="1"/>
  <c r="H160" i="1" s="1"/>
  <c r="H165" i="1" s="1"/>
  <c r="H166" i="1" s="1"/>
  <c r="D166" i="1"/>
  <c r="D164" i="1"/>
  <c r="D162" i="1"/>
  <c r="D158" i="1"/>
  <c r="H157" i="1"/>
  <c r="D165" i="1"/>
  <c r="D163" i="1"/>
  <c r="D161" i="1"/>
  <c r="D159" i="1"/>
  <c r="E157" i="1"/>
  <c r="G153" i="1" s="1"/>
  <c r="B155" i="1" s="1"/>
  <c r="H144" i="1"/>
  <c r="D143" i="1" s="1"/>
  <c r="H142" i="1"/>
  <c r="H143" i="1"/>
  <c r="D152" i="1"/>
  <c r="D150" i="1"/>
  <c r="D148" i="1"/>
  <c r="D146" i="1"/>
  <c r="H145" i="1"/>
  <c r="H146" i="1" s="1"/>
  <c r="H151" i="1" s="1"/>
  <c r="H152" i="1" s="1"/>
  <c r="C144" i="1" s="1"/>
  <c r="D151" i="1"/>
  <c r="D149" i="1"/>
  <c r="D147" i="1"/>
  <c r="D145" i="1"/>
  <c r="A576" i="1" l="1"/>
  <c r="E143" i="1"/>
  <c r="D144" i="1"/>
  <c r="G139" i="1" s="1"/>
  <c r="B141" i="1" s="1"/>
  <c r="B13" i="1"/>
  <c r="D290" i="1" l="1"/>
  <c r="D286" i="1"/>
  <c r="D289" i="1"/>
  <c r="D276" i="1"/>
  <c r="D274" i="1"/>
  <c r="D272" i="1"/>
  <c r="D269" i="1"/>
  <c r="D265" i="1"/>
  <c r="D261" i="1"/>
  <c r="D253" i="1"/>
  <c r="D252" i="1"/>
  <c r="F219" i="1"/>
  <c r="D218" i="1"/>
  <c r="F217" i="1"/>
  <c r="F216" i="1"/>
  <c r="F215" i="1"/>
  <c r="F214" i="1"/>
  <c r="D210" i="1"/>
  <c r="D268" i="1" l="1"/>
  <c r="D275" i="1"/>
  <c r="D267" i="1"/>
  <c r="D266" i="1"/>
  <c r="D270" i="1"/>
  <c r="D273" i="1"/>
  <c r="D277" i="1"/>
  <c r="D256" i="1"/>
  <c r="D262" i="1"/>
  <c r="D255" i="1"/>
  <c r="D258" i="1"/>
  <c r="D291" i="1"/>
  <c r="D260" i="1"/>
  <c r="D254" i="1"/>
  <c r="D259" i="1"/>
  <c r="D263" i="1"/>
  <c r="D215" i="1"/>
  <c r="D216" i="1"/>
  <c r="D219" i="1"/>
  <c r="D214" i="1"/>
  <c r="F210" i="1"/>
  <c r="E174" i="1" s="1"/>
  <c r="D217" i="1"/>
  <c r="F218" i="1"/>
  <c r="E175" i="1" s="1"/>
  <c r="B124" i="2" l="1"/>
  <c r="G70" i="1" l="1"/>
  <c r="H70" i="1"/>
  <c r="I70" i="1"/>
  <c r="J70" i="1"/>
  <c r="K70" i="1"/>
  <c r="L70" i="1"/>
  <c r="M64" i="1"/>
  <c r="C580" i="1" l="1"/>
  <c r="D251" i="1" l="1"/>
  <c r="D209" i="1"/>
  <c r="K116" i="2" l="1"/>
  <c r="K115" i="2"/>
  <c r="K114" i="2"/>
  <c r="K113" i="2"/>
  <c r="D107" i="2"/>
  <c r="F106" i="2"/>
  <c r="E116" i="2" l="1"/>
  <c r="E115" i="2"/>
  <c r="K109" i="2"/>
  <c r="E111" i="2"/>
  <c r="E114" i="2"/>
  <c r="E113" i="2"/>
  <c r="K108" i="2"/>
  <c r="E112" i="2"/>
  <c r="E118" i="2"/>
  <c r="K111" i="2"/>
  <c r="K112" i="2" s="1"/>
  <c r="K117" i="2" s="1"/>
  <c r="K118" i="2" s="1"/>
  <c r="D110" i="2" s="1"/>
  <c r="E117" i="2"/>
  <c r="K110" i="2"/>
  <c r="D109" i="2" s="1"/>
  <c r="H109" i="2" l="1"/>
  <c r="F109" i="2"/>
  <c r="J105" i="2" s="1"/>
  <c r="E110" i="2"/>
  <c r="E109" i="2"/>
  <c r="H136" i="1" l="1"/>
  <c r="H135" i="1"/>
  <c r="H134" i="1"/>
  <c r="H133" i="1"/>
  <c r="F126" i="1"/>
  <c r="H129" i="1" l="1"/>
  <c r="D137" i="1"/>
  <c r="D131" i="1"/>
  <c r="H130" i="1"/>
  <c r="C129" i="1" s="1"/>
  <c r="D129" i="1" s="1"/>
  <c r="D136" i="1"/>
  <c r="D135" i="1"/>
  <c r="H128" i="1"/>
  <c r="D133" i="1"/>
  <c r="H131" i="1"/>
  <c r="H132" i="1" s="1"/>
  <c r="H137" i="1" s="1"/>
  <c r="H138" i="1" s="1"/>
  <c r="C130" i="1" s="1"/>
  <c r="D130" i="1" s="1"/>
  <c r="D134" i="1"/>
  <c r="D132" i="1"/>
  <c r="D138" i="1"/>
  <c r="E129" i="1" l="1"/>
  <c r="E167" i="1" s="1"/>
  <c r="C37" i="1" l="1"/>
  <c r="G125" i="1"/>
  <c r="B127" i="1" s="1"/>
</calcChain>
</file>

<file path=xl/comments1.xml><?xml version="1.0" encoding="utf-8"?>
<comments xmlns="http://schemas.openxmlformats.org/spreadsheetml/2006/main">
  <authors>
    <author>Sachin</author>
  </authors>
  <commentList>
    <comment ref="C122" authorId="0" shapeId="0">
      <text>
        <r>
          <rPr>
            <b/>
            <sz val="9"/>
            <color indexed="81"/>
            <rFont val="Tahoma"/>
            <family val="2"/>
          </rPr>
          <t>Sachin:</t>
        </r>
        <r>
          <rPr>
            <sz val="9"/>
            <color indexed="81"/>
            <rFont val="Tahoma"/>
            <family val="2"/>
          </rPr>
          <t xml:space="preserve">
Builder"s recent project names 
take from builder documents
</t>
        </r>
      </text>
    </comment>
    <comment ref="C123" authorId="0" shapeId="0">
      <text>
        <r>
          <rPr>
            <b/>
            <sz val="9"/>
            <color indexed="81"/>
            <rFont val="Tahoma"/>
            <family val="2"/>
          </rPr>
          <t>Sachin:</t>
        </r>
        <r>
          <rPr>
            <sz val="9"/>
            <color indexed="81"/>
            <rFont val="Tahoma"/>
            <family val="2"/>
          </rPr>
          <t xml:space="preserve">
Positive or negavtive points
Surrounding buildings or mall etc or less distance from stn</t>
        </r>
      </text>
    </comment>
  </commentList>
</comments>
</file>

<file path=xl/sharedStrings.xml><?xml version="1.0" encoding="utf-8"?>
<sst xmlns="http://schemas.openxmlformats.org/spreadsheetml/2006/main" count="1122" uniqueCount="397">
  <si>
    <t>PROJECT TECHNICAL REPORT</t>
  </si>
  <si>
    <t>RBL BRANCH NAME</t>
  </si>
  <si>
    <t>TDR FSI</t>
  </si>
  <si>
    <t>QUALITY, SPECS</t>
  </si>
  <si>
    <t>Construction details:</t>
  </si>
  <si>
    <t>Basement</t>
  </si>
  <si>
    <t>Ground</t>
  </si>
  <si>
    <t>Podium</t>
  </si>
  <si>
    <t>Floors</t>
  </si>
  <si>
    <t xml:space="preserve">Stage of construction: </t>
  </si>
  <si>
    <t>All work Completed. OC Received.</t>
  </si>
  <si>
    <t>Type of Work</t>
  </si>
  <si>
    <t>Project Progress %</t>
  </si>
  <si>
    <t>Slab/Floor</t>
  </si>
  <si>
    <t>Complition %</t>
  </si>
  <si>
    <t>Progress %</t>
  </si>
  <si>
    <t>Piling Work in process</t>
  </si>
  <si>
    <t>Excavation</t>
  </si>
  <si>
    <t>Excavation in process</t>
  </si>
  <si>
    <t>Plinth</t>
  </si>
  <si>
    <t>Excavation Completed</t>
  </si>
  <si>
    <t>RCC (Including podiums)</t>
  </si>
  <si>
    <t>Footing in Process</t>
  </si>
  <si>
    <t>Brickwork</t>
  </si>
  <si>
    <t>Footing Completed</t>
  </si>
  <si>
    <t>Internal Plaster</t>
  </si>
  <si>
    <t>Basement 1</t>
  </si>
  <si>
    <t>Ext. Plaster &amp; Plumbing</t>
  </si>
  <si>
    <t>Basement 2</t>
  </si>
  <si>
    <t>Flooring &amp; Fitting</t>
  </si>
  <si>
    <t>Basement 3</t>
  </si>
  <si>
    <t>Painting &amp; Wooden</t>
  </si>
  <si>
    <t>Basement 4</t>
  </si>
  <si>
    <t>Building Common Amenities</t>
  </si>
  <si>
    <t>Plinth in process</t>
  </si>
  <si>
    <t>Possession</t>
  </si>
  <si>
    <t>Plinth completed</t>
  </si>
  <si>
    <t>Completion %</t>
  </si>
  <si>
    <t>Plaster</t>
  </si>
  <si>
    <t>Electrical &amp; Plumbing</t>
  </si>
  <si>
    <t>Finishing</t>
  </si>
  <si>
    <t>Disbursement %</t>
  </si>
  <si>
    <t>Brickwork &amp; Internal Plaster</t>
  </si>
  <si>
    <t>External Plaster &amp; Plumbing</t>
  </si>
  <si>
    <t>g +7</t>
  </si>
  <si>
    <t>BUILDING/TOWERWISE UNIT - AREA DETAILS</t>
  </si>
  <si>
    <t>Building &amp; Wing</t>
  </si>
  <si>
    <t>No. of Units</t>
  </si>
  <si>
    <t>Total Carpet Area</t>
  </si>
  <si>
    <t>Total Saleable Area</t>
  </si>
  <si>
    <t>Wing A</t>
  </si>
  <si>
    <t>Total</t>
  </si>
  <si>
    <t>Building details Floor Wise</t>
  </si>
  <si>
    <t xml:space="preserve">Details of Flats in Building   </t>
  </si>
  <si>
    <t>Description</t>
  </si>
  <si>
    <t>Gross Carpet area</t>
  </si>
  <si>
    <t>Attached Terrace area</t>
  </si>
  <si>
    <t>Builtup Area</t>
  </si>
  <si>
    <t>Saleable area
Loading:</t>
  </si>
  <si>
    <t xml:space="preserve">Details of Commercial in Building   </t>
  </si>
  <si>
    <t>VALUE PARAMETERS</t>
  </si>
  <si>
    <t>Remarks:</t>
  </si>
  <si>
    <t>Photographs Of Property :</t>
  </si>
  <si>
    <t>Layout Of Property :</t>
  </si>
  <si>
    <t xml:space="preserve">Google Map : </t>
  </si>
  <si>
    <t>Name of Engineer Visited the property</t>
  </si>
  <si>
    <t xml:space="preserve">Authorized Signatory
Name &amp; Seal of the agency
                                               </t>
  </si>
  <si>
    <r>
      <t xml:space="preserve">Shop No.
</t>
    </r>
    <r>
      <rPr>
        <b/>
        <sz val="9"/>
        <color rgb="FF000000"/>
        <rFont val="Garamond"/>
        <family val="1"/>
      </rPr>
      <t>(Approved Plan)</t>
    </r>
  </si>
  <si>
    <t>Project Name</t>
  </si>
  <si>
    <t>Valuer Details</t>
  </si>
  <si>
    <t xml:space="preserve">Name Of Valuer </t>
  </si>
  <si>
    <t>Official Email Id</t>
  </si>
  <si>
    <t>Rvo Name Of Which Valuer Is Member</t>
  </si>
  <si>
    <t>Address Of Valution Agency</t>
  </si>
  <si>
    <t>Contact Person Name  &amp; Number</t>
  </si>
  <si>
    <t>Name Of Valuation Agency/Firm</t>
  </si>
  <si>
    <t>Apf Technical Report Assignment Details</t>
  </si>
  <si>
    <t>Builder Company/Entity Details - Seller Of The Project</t>
  </si>
  <si>
    <t>Name Of Entity Formed For Current Project</t>
  </si>
  <si>
    <t>Project Address Details</t>
  </si>
  <si>
    <t>Plot No.</t>
  </si>
  <si>
    <t>Date of Assignment</t>
  </si>
  <si>
    <t>Date of Visit</t>
  </si>
  <si>
    <t>Date of Valuation</t>
  </si>
  <si>
    <t>Street Name &amp;/No.</t>
  </si>
  <si>
    <t>State</t>
  </si>
  <si>
    <t>Pincode</t>
  </si>
  <si>
    <t>Nearest Rbl Bank Location</t>
  </si>
  <si>
    <t>Landmark</t>
  </si>
  <si>
    <t>District</t>
  </si>
  <si>
    <t>Country</t>
  </si>
  <si>
    <t>Lat, Long</t>
  </si>
  <si>
    <t>Distance From Rbl Bank Location (Kms.)</t>
  </si>
  <si>
    <t>Assigned By</t>
  </si>
  <si>
    <t>Property Visited By (Name)</t>
  </si>
  <si>
    <t>Report Prepared By (Name)</t>
  </si>
  <si>
    <t>North</t>
  </si>
  <si>
    <t>South</t>
  </si>
  <si>
    <t>East</t>
  </si>
  <si>
    <t>West</t>
  </si>
  <si>
    <t>As Per Ownership Docs</t>
  </si>
  <si>
    <t>As Per Site Investigation</t>
  </si>
  <si>
    <t>Project Boundaries Verification</t>
  </si>
  <si>
    <t>General Details</t>
  </si>
  <si>
    <t>Municipal Limit</t>
  </si>
  <si>
    <t>Municipal Authority (Name)</t>
  </si>
  <si>
    <t>Approach Road To Project</t>
  </si>
  <si>
    <t>Location Type*</t>
  </si>
  <si>
    <t>Quality Of Construction*</t>
  </si>
  <si>
    <t>Overall % Completion Of Project</t>
  </si>
  <si>
    <t>Project Falling In Caution Area</t>
  </si>
  <si>
    <t>Reason For Caution</t>
  </si>
  <si>
    <t>Project Architect Name</t>
  </si>
  <si>
    <t>Square Meter</t>
  </si>
  <si>
    <t>Project Area Details ( As Per Approved Plan )</t>
  </si>
  <si>
    <t>Area Type</t>
  </si>
  <si>
    <t>Total Plot Area</t>
  </si>
  <si>
    <t>Total Built Up Area</t>
  </si>
  <si>
    <t>Total Residential Built Up Area</t>
  </si>
  <si>
    <t>Total Commercial Built Up Area</t>
  </si>
  <si>
    <t>Area Under Road</t>
  </si>
  <si>
    <t>Area Under D.P. Reservation</t>
  </si>
  <si>
    <t>Area Under R.G./Garden</t>
  </si>
  <si>
    <t>FSI / FAR Details</t>
  </si>
  <si>
    <t>Plot FSI / FAR</t>
  </si>
  <si>
    <t>Premium FSI / FAR</t>
  </si>
  <si>
    <t>Fungible FSI</t>
  </si>
  <si>
    <t>Addl .FSI Under any Other Regulation(1)</t>
  </si>
  <si>
    <t>Addl .FSI Under any Other Regulation(2)</t>
  </si>
  <si>
    <t>Total FSI/FAR</t>
  </si>
  <si>
    <t>Overall Remarks on Project Area &amp; FSI /FAR</t>
  </si>
  <si>
    <t>Total No. Of Units/Tenaments</t>
  </si>
  <si>
    <t>Total No. Of Parking</t>
  </si>
  <si>
    <t>Residential /Commercial Ratio</t>
  </si>
  <si>
    <t>Surrounding External Amenities</t>
  </si>
  <si>
    <t>Nearestr Bus Stop</t>
  </si>
  <si>
    <t>Nearest Bank</t>
  </si>
  <si>
    <t>Nearest Hospital</t>
  </si>
  <si>
    <t>Name Of The Premises/Description</t>
  </si>
  <si>
    <t>Approx. Distance From Property (In Kms)</t>
  </si>
  <si>
    <t>Nearest Multiplex / Mall/ Market</t>
  </si>
  <si>
    <t>Nearest School/ College</t>
  </si>
  <si>
    <t>Internal Project Specs - Comment On Availability &amp; Quality</t>
  </si>
  <si>
    <t>Structural Elements &amp; Wall Thickness</t>
  </si>
  <si>
    <t>Plaster &amp; Painting</t>
  </si>
  <si>
    <t>Electrification</t>
  </si>
  <si>
    <t>Plumbing &amp; Bath Fittings</t>
  </si>
  <si>
    <t>Door, Windows</t>
  </si>
  <si>
    <t>Availability (Y/N)</t>
  </si>
  <si>
    <t>Potable Water Connection</t>
  </si>
  <si>
    <t>Sewerage System</t>
  </si>
  <si>
    <t>Lift</t>
  </si>
  <si>
    <t>Power Backup</t>
  </si>
  <si>
    <t>Parking</t>
  </si>
  <si>
    <t>Clubhouse</t>
  </si>
  <si>
    <t>Gym</t>
  </si>
  <si>
    <t>Swimming Pool</t>
  </si>
  <si>
    <t>Garden</t>
  </si>
  <si>
    <t>Community Hall</t>
  </si>
  <si>
    <t>Any Additional Amenities, To Above, Pls Specify</t>
  </si>
  <si>
    <t>Technical Documents Details</t>
  </si>
  <si>
    <t>Document Name</t>
  </si>
  <si>
    <t>Approved Layout Plan</t>
  </si>
  <si>
    <t>Approved Floor Plan</t>
  </si>
  <si>
    <t>Construction  / Building Permission / Commencement Certificate</t>
  </si>
  <si>
    <t>Non Agricultural Permission / Land Conversion / Diversion</t>
  </si>
  <si>
    <t>Building Completion / Occupation Permission / Use Permission</t>
  </si>
  <si>
    <t>Location Sketch/ Certificate</t>
  </si>
  <si>
    <t>Authority Allotment Letter</t>
  </si>
  <si>
    <t>Ownership Doc 1</t>
  </si>
  <si>
    <t>Ownership Doc 2</t>
  </si>
  <si>
    <t>Remarks On Documents Verified</t>
  </si>
  <si>
    <t>Approving Authority Name</t>
  </si>
  <si>
    <t>Applicability &amp; Availability</t>
  </si>
  <si>
    <t>Approving Authority</t>
  </si>
  <si>
    <t>Details Of Approval</t>
  </si>
  <si>
    <t>Rera Details ( If Applicable)</t>
  </si>
  <si>
    <t>Rera Applicable</t>
  </si>
  <si>
    <t>Rera Registration No</t>
  </si>
  <si>
    <t>Project Start Date As Per Rera</t>
  </si>
  <si>
    <t>If Any Litigation Record On Project As Per Rera</t>
  </si>
  <si>
    <t>If Applicable, Rera Registration Status</t>
  </si>
  <si>
    <t>Project Completion Date As Per Rera</t>
  </si>
  <si>
    <t xml:space="preserve">Litigation Details As Per Rera Website </t>
  </si>
  <si>
    <t>Critical Parameters</t>
  </si>
  <si>
    <t>Flood Prone Area</t>
  </si>
  <si>
    <t>Coastal Regulatory Zone</t>
  </si>
  <si>
    <t>Falling In Present Or Proposed Road Widening</t>
  </si>
  <si>
    <t>Property Near High/Low Tension (Ht)/(Lt) Lines ?</t>
  </si>
  <si>
    <t>Presence Of Nallah/ Lake / Water Body Nearby</t>
  </si>
  <si>
    <t>Unit Deviation</t>
  </si>
  <si>
    <t>Seismic Zone</t>
  </si>
  <si>
    <t>Zoning As Per Development Plan</t>
  </si>
  <si>
    <t>Falling In Reservation As Per Development Plan</t>
  </si>
  <si>
    <t>Property Within 30 Mtrs From Railway Boundary ?</t>
  </si>
  <si>
    <t>Fsi Deviation</t>
  </si>
  <si>
    <t>Vertical Deviation</t>
  </si>
  <si>
    <t>Habitation In ( % ) Within 1 Kms Around Project</t>
  </si>
  <si>
    <t>Remarks In Case Project Affected By Any Of Critical Parameter</t>
  </si>
  <si>
    <t>Technical Deviations Observed In Project</t>
  </si>
  <si>
    <t>Demolition Risk</t>
  </si>
  <si>
    <t>Detail Of Deviation, If Any</t>
  </si>
  <si>
    <t>Total Phases</t>
  </si>
  <si>
    <t>Total No. Of Buildings</t>
  </si>
  <si>
    <t>Total No. Of Wings</t>
  </si>
  <si>
    <t>Total No. Of Approved Units (A)</t>
  </si>
  <si>
    <t>Total No. Of Unapproved Units (B)</t>
  </si>
  <si>
    <t>Total No. Of (A+B) Units</t>
  </si>
  <si>
    <t>Is The Project Technically Acceptable ?</t>
  </si>
  <si>
    <t>Is The Project Marketable ?</t>
  </si>
  <si>
    <t>Comment On Builder Group Involved In Project Development</t>
  </si>
  <si>
    <t>Overall Comments On Project Acceptability &amp; Marketablity</t>
  </si>
  <si>
    <t>FOUNDATION WIP</t>
  </si>
  <si>
    <t>PLINTH WIP</t>
  </si>
  <si>
    <t>YET TO START</t>
  </si>
  <si>
    <t>Sr.No.</t>
  </si>
  <si>
    <t>Base Rate Psf Rs.</t>
  </si>
  <si>
    <t>Floor Rise
(If Applicable)</t>
  </si>
  <si>
    <t>In Rs. Psf
(If Applicable)</t>
  </si>
  <si>
    <t>In Lumpsum Basis
(If Applicable)</t>
  </si>
  <si>
    <t>Applicable From Floor No.</t>
  </si>
  <si>
    <t>Applicable To Floor No.</t>
  </si>
  <si>
    <t>Applicable To Building /W ing</t>
  </si>
  <si>
    <t xml:space="preserve">Floor Rise 1 </t>
  </si>
  <si>
    <t>Floor Rise 2</t>
  </si>
  <si>
    <t>Floor Rise 3</t>
  </si>
  <si>
    <t>Floor Rise 4</t>
  </si>
  <si>
    <t>Plc Charges
(If Applicable)</t>
  </si>
  <si>
    <t>Details Of Plc/View</t>
  </si>
  <si>
    <t>List Of Unit Nos - Plc Applicable</t>
  </si>
  <si>
    <t>PLC Type 1</t>
  </si>
  <si>
    <t>PLC Type 2</t>
  </si>
  <si>
    <t>PLC Type 3</t>
  </si>
  <si>
    <t>Amenities Details</t>
  </si>
  <si>
    <t>Details Of Amenity Cost - Optional/Compulsory To Buyer, No Of Years, Etc</t>
  </si>
  <si>
    <t>Remarks, If Any</t>
  </si>
  <si>
    <t>Clubhouse &amp; 
Recreational</t>
  </si>
  <si>
    <t>Electricity &amp; Water Con.</t>
  </si>
  <si>
    <t>Infra</t>
  </si>
  <si>
    <t>Development</t>
  </si>
  <si>
    <t>Maintenance</t>
  </si>
  <si>
    <t>Any Other Amenity 1</t>
  </si>
  <si>
    <t>Any Other Amenity 2</t>
  </si>
  <si>
    <t>Any Other Amenity 3</t>
  </si>
  <si>
    <t>Maharashtra</t>
  </si>
  <si>
    <t>India</t>
  </si>
  <si>
    <t>400m</t>
  </si>
  <si>
    <t>Yes</t>
  </si>
  <si>
    <t>V.S Jadon &amp; Co.Valuers LLP</t>
  </si>
  <si>
    <t>Mr. Vishwajeet Singh Jadon</t>
  </si>
  <si>
    <t>vsjc.apf@gmail.com</t>
  </si>
  <si>
    <t>Mr. Sachin Sawant - 9820058999</t>
  </si>
  <si>
    <t>NA</t>
  </si>
  <si>
    <t>Taluka</t>
  </si>
  <si>
    <t>City</t>
  </si>
  <si>
    <t>Village</t>
  </si>
  <si>
    <t>As Per Layout Plan</t>
  </si>
  <si>
    <t>Same</t>
  </si>
  <si>
    <t>Location Link</t>
  </si>
  <si>
    <t>Palghar</t>
  </si>
  <si>
    <t>Good</t>
  </si>
  <si>
    <t>No</t>
  </si>
  <si>
    <t>Fire Noc &amp; Plans</t>
  </si>
  <si>
    <t>Environmental Clearance</t>
  </si>
  <si>
    <t>Coastal Regulatory Zonex ( Crz ) Noc</t>
  </si>
  <si>
    <t>Registered</t>
  </si>
  <si>
    <t>Zone III</t>
  </si>
  <si>
    <t>Not Appicable</t>
  </si>
  <si>
    <t>Approved no of Floors</t>
  </si>
  <si>
    <t>Proposed no of Floors</t>
  </si>
  <si>
    <t>Commercial Area Details : Shops</t>
  </si>
  <si>
    <t>1st Floor</t>
  </si>
  <si>
    <t>Commercial Area Details : Office</t>
  </si>
  <si>
    <t>2nd Floor</t>
  </si>
  <si>
    <t>Grand Total</t>
  </si>
  <si>
    <r>
      <t xml:space="preserve">Flat No.
</t>
    </r>
    <r>
      <rPr>
        <b/>
        <sz val="9"/>
        <color rgb="FF000000"/>
        <rFont val="Garamond"/>
        <family val="1"/>
      </rPr>
      <t>(Approved Plan)</t>
    </r>
  </si>
  <si>
    <t>Building /Wing - Name /No</t>
  </si>
  <si>
    <t xml:space="preserve">Base Rate Considered On Area - 
Carpet/ Bua/ Saleale </t>
  </si>
  <si>
    <t>Saleable Area</t>
  </si>
  <si>
    <t>Construction Work is in process at the time of visit.</t>
  </si>
  <si>
    <t>Saleable area 
Loading :</t>
  </si>
  <si>
    <t>We considered Gross carpet area = Net carpet.</t>
  </si>
  <si>
    <t>We have considered rate by verifying it from market inquire.</t>
  </si>
  <si>
    <t>Car parking is subjected to authentic documentation.</t>
  </si>
  <si>
    <t>Recommended rate should be considered as all inclusive rate if other charges are not mentioned. (Excluding GST &amp; other government Taxes)</t>
  </si>
  <si>
    <t>Documents received on:</t>
  </si>
  <si>
    <t xml:space="preserve"> Galaxy Heights Tower 1</t>
  </si>
  <si>
    <t>Airoli</t>
  </si>
  <si>
    <t xml:space="preserve">  Maharashtra Police Cooperative Housing Federation Limited</t>
  </si>
  <si>
    <t>CTS No.</t>
  </si>
  <si>
    <t>3525 (Pt)</t>
  </si>
  <si>
    <t>C-2</t>
  </si>
  <si>
    <t>Malad West</t>
  </si>
  <si>
    <t>Kala Vidyalaya Rd/Abdul Hamig Marg</t>
  </si>
  <si>
    <t>Borivali</t>
  </si>
  <si>
    <t>Malvani</t>
  </si>
  <si>
    <t>https://goo.gl/maps/3ycddBWjNprJSTFr8</t>
  </si>
  <si>
    <t>19.183066, 72.814688</t>
  </si>
  <si>
    <t>Kala Vidya Mandir (Polytechnic)</t>
  </si>
  <si>
    <t>RBL Bank Ltd - Malad Link Road Branch, Shop No-7, Ground Floor, Bhagat Grandeur, Opp. Infinity Mall, New Link Rd, Mumbai, Maharashtra 400064</t>
  </si>
  <si>
    <t>5.1Km</t>
  </si>
  <si>
    <t>Slum</t>
  </si>
  <si>
    <t xml:space="preserve">Dr Baba Saheb Ambedkar Rd/Kala Vidya Mandir </t>
  </si>
  <si>
    <t>Abdul Hamid Marg/Kala Vidyalaya Rd</t>
  </si>
  <si>
    <t>Gurukul English High School/M H B School</t>
  </si>
  <si>
    <t>Maharashtra Housing and Area Development Authority (MHADA)</t>
  </si>
  <si>
    <t>Ar. Hemant Kankaraiya (Deeksha City Scape, D4/68, S.V.P Nagar, Lokhandwala Complex, Andheri West, Mumbai 400053.</t>
  </si>
  <si>
    <t>-</t>
  </si>
  <si>
    <t>Kala Vidyalaya</t>
  </si>
  <si>
    <t>170m</t>
  </si>
  <si>
    <t>Hdfc Bank</t>
  </si>
  <si>
    <t>1.3Km</t>
  </si>
  <si>
    <t>Little Wonders School</t>
  </si>
  <si>
    <t>Care Hospital</t>
  </si>
  <si>
    <t>450m</t>
  </si>
  <si>
    <t>Mahavir Super Market</t>
  </si>
  <si>
    <t>350m</t>
  </si>
  <si>
    <t>Skating Area Open Gym, Badminton Jogging and Walking Track, Rock Garden, Box Cricket and, Boxing Ring, Washroom and, Changing Room Area, Drinking Water Area, Security Cabin, Plantations and, Natural Grass, Music Speakers, Volley Ball and, Basket Ball Multipurpose Court for Outdoor Games, Podium for Flag Hoisting, Newspaper and Library Section, Open Amphitheatre.</t>
  </si>
  <si>
    <t>MHADA-64/1081/2023
Date : 04/05/2023</t>
  </si>
  <si>
    <t>Applicable and Received</t>
  </si>
  <si>
    <t>MHADA</t>
  </si>
  <si>
    <t>Not Applicable</t>
  </si>
  <si>
    <t>Applicable and Not Received</t>
  </si>
  <si>
    <t>To be Obtained</t>
  </si>
  <si>
    <t xml:space="preserve"> P51800045503</t>
  </si>
  <si>
    <t xml:space="preserve">No  </t>
  </si>
  <si>
    <t>Wing A to F = Basement + Gr + 1st to 22nd Floor</t>
  </si>
  <si>
    <t>Saraf Choudhari Nagar, Dadasaheb Gaikwad Nagar</t>
  </si>
  <si>
    <t>Basement Floor for Pump</t>
  </si>
  <si>
    <t>Ground Floor for Commercial, Entrance Lobby, Meter Room, Society Office, Public Toilet &amp; Parking</t>
  </si>
  <si>
    <t>Shop</t>
  </si>
  <si>
    <t>Wing D</t>
  </si>
  <si>
    <t>Ground Floor for Commercial, Entrance Lobby, Public Toilet</t>
  </si>
  <si>
    <t>Wing E</t>
  </si>
  <si>
    <t>Ground Floor for Commercial, Entrance Lobby &amp; Meter Room</t>
  </si>
  <si>
    <t>Wing F</t>
  </si>
  <si>
    <t>1st Floor for Fitness Centre</t>
  </si>
  <si>
    <t>2nd Floor for Residential</t>
  </si>
  <si>
    <t>1.5BHK</t>
  </si>
  <si>
    <t>1BHK</t>
  </si>
  <si>
    <t>3rd, 5th, 6th, 7th, 9th, 11th to 14th, 16th to 22nd Floor</t>
  </si>
  <si>
    <t>4th Floor</t>
  </si>
  <si>
    <t>10th Floor</t>
  </si>
  <si>
    <t>8th Floor (Part Refuge Area)</t>
  </si>
  <si>
    <t>Refuge Area</t>
  </si>
  <si>
    <t>15th Floor (Part Refuge Area)</t>
  </si>
  <si>
    <t>Wing B</t>
  </si>
  <si>
    <t>Ground Floor for Entrance Lobby, Meter Room &amp; Parking</t>
  </si>
  <si>
    <t>3rd Floor</t>
  </si>
  <si>
    <t>5th Floor</t>
  </si>
  <si>
    <t>6th Floor</t>
  </si>
  <si>
    <t>7th Floor</t>
  </si>
  <si>
    <t>9th Floor</t>
  </si>
  <si>
    <t>11th Floor</t>
  </si>
  <si>
    <t>12th Floor</t>
  </si>
  <si>
    <t>13th Floor</t>
  </si>
  <si>
    <t>14th, 17th to 22nd Floor</t>
  </si>
  <si>
    <t>16th Floor</t>
  </si>
  <si>
    <t>Wing C</t>
  </si>
  <si>
    <t xml:space="preserve">Sale </t>
  </si>
  <si>
    <t>Mhada</t>
  </si>
  <si>
    <t>3rd to 7th, 9th to 14th, 16th to 22nd Floor</t>
  </si>
  <si>
    <t>8th &amp; 15th Floor (Part Refuge Area)</t>
  </si>
  <si>
    <t>1st Floor for Residential</t>
  </si>
  <si>
    <t>2nd, 4th to 7th, 10th to 14th, 16th to 22nd Floor</t>
  </si>
  <si>
    <t>2nd to 5th, 7th, 9th to 14th, 17th to 22nd Floor</t>
  </si>
  <si>
    <t>Sale</t>
  </si>
  <si>
    <t>Residential Area Details : Sale Flats</t>
  </si>
  <si>
    <t>Residential Area Details : Mhada Flats</t>
  </si>
  <si>
    <t>97 : 3</t>
  </si>
  <si>
    <t>Verified by Adv. Sachin Suryakant Bhide (Advocate High Court)</t>
  </si>
  <si>
    <t>Shops = 26
Sale Flats = 593
Mhada Flats = 121</t>
  </si>
  <si>
    <t>Sale / Mhada</t>
  </si>
  <si>
    <t>2BHK</t>
  </si>
  <si>
    <t>Wing A to F</t>
  </si>
  <si>
    <t>Shops = 26,
 Sale Flats = 593,
 Mhada Flats = 121.</t>
  </si>
  <si>
    <t>Building adjacent to project are schools and Growmore Bliss</t>
  </si>
  <si>
    <t>As per Approved Floor plan (Area Statement), Wing A to F consist of 714 Flats ( Rehab = 100 Flats, Mhada = 121 Flats &amp; Sale = 493 Flats),  but which Flat no should be considered as rehab or sale is not mentioned in Approved Floor plans.</t>
  </si>
  <si>
    <t>Labours &amp; Materials found on site at the time of visit.</t>
  </si>
  <si>
    <t>We considered  Saleable area as per our calculation. (i.e 50% Loading)</t>
  </si>
  <si>
    <t>On Site, we meet Mr Sanjay Yadav - 9819332212.</t>
  </si>
  <si>
    <t>Remark No. 9 is solved by letter provided by bank (i.e. architecture letter from builder), letter stats that project consist of 714 Flats ( Mhada = 121 Flats &amp; Sale = 593 Flats) instead of (Rehab = 100 Flats, Mhada = 121 Flats &amp; Sale = 493 Flats). (Typographical error)</t>
  </si>
  <si>
    <t>Architecture letter from builder is attached below.</t>
  </si>
  <si>
    <t>SIA/MH/MIS/266319/2022
Date: 10/08/2022</t>
  </si>
  <si>
    <t>Ministry of Environment, Forest and Climate Change</t>
  </si>
  <si>
    <t>2nd to 7th, 9th to 14th, 16th to 22nd Floor</t>
  </si>
  <si>
    <t>Office No. 1031, Wing J, Akshar Business Park, Plot No. 03 Sector 25, Near APMC Market, Vashi, Navi Mumbai, Maharashtra 400703 TEL: 022-46090378/79/80</t>
  </si>
  <si>
    <t>Mr. Abhishek Manjarekar</t>
  </si>
  <si>
    <t>Shruti Tathare</t>
  </si>
  <si>
    <t>Mr. Suraj Mali</t>
  </si>
  <si>
    <t>Suraj Mali</t>
  </si>
  <si>
    <t xml:space="preserve">MH/EE/(BP)/GM/MHADA 64/1081/2025/FCC/2/Amend
Date : 02/06/2025 
Valid Upto : 30/03/2026
</t>
  </si>
  <si>
    <t>This Full C.C. is issued for wing ‘A’, comprising of Ground (Part) for shops &amp; Stilt (Part) + 1st to 22nd upper floor having height 68.45 mt. + OHT &amp; LMR, Wing ‘B’ comprising of Ground(Pt) + Stilt Part (for parking) + 1st to 22nd upper floor having height 68.45 mt. + OHT &amp; LMR, Wing ‘C’ comprising of Ground(pt) + Stilt (for parking) + 1st to 22nd upper floor having height 68.45 mt. + OHT &amp; LMR, Wing ‘D’ &amp; ‘F’ comprising of Ground (for shops) +1st to 22nd upper floor having height 68.45 mt. + OHT &amp; LMR &amp; Wing ‘E’ comprising of Basement (for pump room) + Ground (for shops)+ 1st to 22nd upper floor having height 68.45 mt. + OHT &amp; LMR with Parking tower as per approved amended plans dated 02/07/2024.</t>
  </si>
  <si>
    <t>Please provide revised approved plans dtd. 02/07/2024.</t>
  </si>
  <si>
    <t>We have updated revised CC from MHADA site on 11/08/2025.</t>
  </si>
  <si>
    <t>Wing A, B &amp; C = Basement + Gr + 1st to 22nd Floor</t>
  </si>
  <si>
    <t>Wing D, E &amp; F = Basement + Gr + 1st to 22nd Floor</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</si>
</sst>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Calibri"/>
      <family val="2"/>
      <scheme val="minor"/>
    </font>
    <font>
      <sz val="11"/>
      <color theme="1"/>
      <name val="Calibri"/>
      <family val="2"/>
      <scheme val="minor"/>
    </font>
    <font>
      <b/>
      <sz val="9"/>
      <color rgb="FF000000"/>
      <name val="Garamond"/>
      <family val="1"/>
    </font>
    <font>
      <sz val="11"/>
      <color theme="1"/>
      <name val="Garamond"/>
      <family val="1"/>
    </font>
    <font>
      <sz val="11"/>
      <color rgb="FF000000"/>
      <name val="Book Antiqua"/>
      <family val="1"/>
    </font>
    <font>
      <sz val="9"/>
      <color rgb="FF000000"/>
      <name val="Garamond"/>
      <family val="1"/>
    </font>
    <font>
      <sz val="10"/>
      <color theme="1"/>
      <name val="Times New Roman"/>
      <family val="1"/>
    </font>
    <font>
      <sz val="10"/>
      <color rgb="FF000000"/>
      <name val="Times New Roman"/>
      <family val="1"/>
    </font>
    <font>
      <b/>
      <sz val="12"/>
      <color theme="1"/>
      <name val="Times New Roman"/>
      <family val="1"/>
    </font>
    <font>
      <sz val="12"/>
      <color theme="1"/>
      <name val="Times New Roman"/>
      <family val="1"/>
    </font>
    <font>
      <sz val="11"/>
      <color theme="1"/>
      <name val="Times New Roman"/>
      <family val="1"/>
    </font>
    <font>
      <sz val="11"/>
      <color theme="1"/>
      <name val="Calibri"/>
      <family val="2"/>
    </font>
    <font>
      <b/>
      <sz val="12"/>
      <color indexed="8"/>
      <name val="Times New Roman"/>
      <family val="1"/>
    </font>
    <font>
      <sz val="12"/>
      <color indexed="8"/>
      <name val="Times New Roman"/>
      <family val="1"/>
    </font>
    <font>
      <sz val="11"/>
      <color indexed="8"/>
      <name val="Calibri"/>
      <family val="2"/>
    </font>
    <font>
      <b/>
      <sz val="11"/>
      <color theme="1"/>
      <name val="Calibri"/>
      <family val="2"/>
      <scheme val="minor"/>
    </font>
    <font>
      <b/>
      <sz val="10"/>
      <color rgb="FF000000"/>
      <name val="Times New Roman"/>
      <family val="1"/>
    </font>
    <font>
      <b/>
      <sz val="10"/>
      <color theme="1"/>
      <name val="Garamond"/>
      <family val="1"/>
    </font>
    <font>
      <b/>
      <sz val="9"/>
      <color theme="1"/>
      <name val="Garamond"/>
      <family val="1"/>
    </font>
    <font>
      <b/>
      <sz val="9"/>
      <color indexed="8"/>
      <name val="Garamond"/>
      <family val="1"/>
    </font>
    <font>
      <u/>
      <sz val="11"/>
      <color theme="10"/>
      <name val="Calibri"/>
      <family val="2"/>
      <scheme val="minor"/>
    </font>
    <font>
      <b/>
      <sz val="10"/>
      <color rgb="FF000000"/>
      <name val="Garamond"/>
      <family val="1"/>
    </font>
    <font>
      <b/>
      <sz val="11"/>
      <color rgb="FF000000"/>
      <name val="Garamond"/>
      <family val="1"/>
    </font>
    <font>
      <sz val="12"/>
      <color theme="1"/>
      <name val="Garamond"/>
      <family val="1"/>
    </font>
    <font>
      <sz val="9"/>
      <color indexed="81"/>
      <name val="Tahoma"/>
      <family val="2"/>
    </font>
    <font>
      <b/>
      <sz val="9"/>
      <color indexed="81"/>
      <name val="Tahoma"/>
      <family val="2"/>
    </font>
    <font>
      <sz val="11"/>
      <color rgb="FF000000"/>
      <name val="Garamond"/>
      <family val="1"/>
    </font>
    <font>
      <sz val="10"/>
      <color theme="1"/>
      <name val="Garamond"/>
      <family val="1"/>
    </font>
    <font>
      <b/>
      <sz val="11"/>
      <color theme="1"/>
      <name val="Garamond"/>
      <family val="1"/>
    </font>
    <font>
      <sz val="10"/>
      <color indexed="8"/>
      <name val="Garamond"/>
      <family val="1"/>
    </font>
    <font>
      <sz val="11"/>
      <color indexed="8"/>
      <name val="Garamond"/>
      <family val="1"/>
    </font>
    <font>
      <b/>
      <sz val="11"/>
      <color indexed="8"/>
      <name val="Garamond"/>
      <family val="1"/>
    </font>
    <font>
      <sz val="10"/>
      <color indexed="8"/>
      <name val="Times New Roman"/>
      <family val="1"/>
    </font>
    <font>
      <sz val="9"/>
      <name val="Garamond"/>
      <family val="1"/>
    </font>
    <font>
      <sz val="11"/>
      <name val="Garamond"/>
      <family val="1"/>
    </font>
    <font>
      <b/>
      <sz val="10"/>
      <name val="Garamond"/>
      <family val="1"/>
    </font>
    <font>
      <b/>
      <sz val="9"/>
      <name val="Garamond"/>
      <family val="1"/>
    </font>
    <font>
      <sz val="10"/>
      <name val="Garamond"/>
      <family val="1"/>
    </font>
    <font>
      <sz val="10"/>
      <name val="Times New Roman"/>
      <family val="1"/>
    </font>
    <font>
      <sz val="9"/>
      <color theme="1"/>
      <name val="Garamond"/>
      <family val="1"/>
    </font>
  </fonts>
  <fills count="9">
    <fill>
      <patternFill patternType="none"/>
    </fill>
    <fill>
      <patternFill patternType="gray125"/>
    </fill>
    <fill>
      <patternFill patternType="solid">
        <fgColor theme="6" tint="0.79998168889431442"/>
        <bgColor indexed="64"/>
      </patternFill>
    </fill>
    <fill>
      <patternFill patternType="solid">
        <fgColor rgb="FFFFFFFF"/>
        <bgColor auto="1"/>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bgColor indexed="64"/>
      </patternFill>
    </fill>
    <fill>
      <patternFill patternType="solid">
        <fgColor theme="9" tint="0.59999389629810485"/>
        <bgColor indexed="64"/>
      </patternFill>
    </fill>
  </fills>
  <borders count="60">
    <border>
      <left/>
      <right/>
      <top/>
      <bottom/>
      <diagonal/>
    </border>
    <border>
      <left style="thin">
        <color theme="0"/>
      </left>
      <right style="thin">
        <color theme="0"/>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theme="0"/>
      </right>
      <top style="medium">
        <color indexed="64"/>
      </top>
      <bottom/>
      <diagonal/>
    </border>
    <border>
      <left style="medium">
        <color indexed="64"/>
      </left>
      <right style="thin">
        <color theme="0"/>
      </right>
      <top/>
      <bottom/>
      <diagonal/>
    </border>
    <border>
      <left style="thin">
        <color theme="0"/>
      </left>
      <right style="thin">
        <color theme="0"/>
      </right>
      <top/>
      <bottom/>
      <diagonal/>
    </border>
    <border>
      <left style="medium">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left>
      <right style="medium">
        <color indexed="64"/>
      </right>
      <top style="medium">
        <color indexed="64"/>
      </top>
      <bottom/>
      <diagonal/>
    </border>
    <border>
      <left style="thin">
        <color theme="0"/>
      </left>
      <right style="medium">
        <color indexed="64"/>
      </right>
      <top/>
      <bottom/>
      <diagonal/>
    </border>
    <border>
      <left style="thin">
        <color theme="0"/>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4" fillId="0" borderId="0"/>
    <xf numFmtId="0" fontId="1" fillId="0" borderId="0"/>
    <xf numFmtId="0" fontId="14" fillId="0" borderId="0"/>
    <xf numFmtId="0" fontId="20" fillId="0" borderId="0" applyNumberFormat="0" applyFill="0" applyBorder="0" applyAlignment="0" applyProtection="0"/>
  </cellStyleXfs>
  <cellXfs count="449">
    <xf numFmtId="0" fontId="0" fillId="0" borderId="0" xfId="0"/>
    <xf numFmtId="0" fontId="6" fillId="0" borderId="0" xfId="0" applyFont="1"/>
    <xf numFmtId="0" fontId="6" fillId="0" borderId="20" xfId="2" applyFont="1" applyBorder="1" applyProtection="1">
      <protection hidden="1"/>
    </xf>
    <xf numFmtId="0" fontId="6" fillId="0" borderId="21" xfId="2" applyFont="1" applyBorder="1" applyProtection="1">
      <protection hidden="1"/>
    </xf>
    <xf numFmtId="0" fontId="6" fillId="0" borderId="0" xfId="2" applyFont="1" applyProtection="1">
      <protection hidden="1"/>
    </xf>
    <xf numFmtId="0" fontId="6" fillId="0" borderId="2" xfId="2" applyFont="1" applyBorder="1" applyProtection="1">
      <protection hidden="1"/>
    </xf>
    <xf numFmtId="0" fontId="7" fillId="0" borderId="0" xfId="0" applyFont="1" applyProtection="1">
      <protection hidden="1"/>
    </xf>
    <xf numFmtId="0" fontId="6" fillId="0" borderId="2" xfId="2" applyFont="1" applyBorder="1"/>
    <xf numFmtId="0" fontId="7" fillId="0" borderId="2" xfId="0" applyFont="1" applyBorder="1" applyProtection="1">
      <protection hidden="1"/>
    </xf>
    <xf numFmtId="1" fontId="6" fillId="0" borderId="2" xfId="0" applyNumberFormat="1" applyFont="1" applyBorder="1"/>
    <xf numFmtId="1" fontId="6" fillId="0" borderId="2" xfId="0" applyNumberFormat="1" applyFont="1" applyBorder="1" applyAlignment="1">
      <alignment horizontal="right"/>
    </xf>
    <xf numFmtId="0" fontId="7" fillId="0" borderId="25" xfId="0" applyFont="1" applyBorder="1" applyProtection="1">
      <protection hidden="1"/>
    </xf>
    <xf numFmtId="1" fontId="6" fillId="0" borderId="24" xfId="0" applyNumberFormat="1" applyFont="1" applyBorder="1"/>
    <xf numFmtId="0" fontId="9" fillId="0" borderId="20" xfId="2" applyFont="1" applyBorder="1" applyProtection="1">
      <protection hidden="1"/>
    </xf>
    <xf numFmtId="0" fontId="9" fillId="0" borderId="21" xfId="2" applyFont="1" applyBorder="1" applyProtection="1">
      <protection hidden="1"/>
    </xf>
    <xf numFmtId="0" fontId="9" fillId="0" borderId="9" xfId="2" applyFont="1" applyBorder="1" applyAlignment="1" applyProtection="1">
      <alignment horizontal="center" vertical="top"/>
      <protection locked="0"/>
    </xf>
    <xf numFmtId="0" fontId="9" fillId="0" borderId="10" xfId="2" applyFont="1" applyBorder="1" applyAlignment="1" applyProtection="1">
      <alignment horizontal="center" vertical="top"/>
      <protection locked="0"/>
    </xf>
    <xf numFmtId="0" fontId="9" fillId="0" borderId="0" xfId="2" applyFont="1" applyProtection="1">
      <protection hidden="1"/>
    </xf>
    <xf numFmtId="0" fontId="9" fillId="0" borderId="2" xfId="2" applyFont="1" applyBorder="1" applyProtection="1">
      <protection hidden="1"/>
    </xf>
    <xf numFmtId="0" fontId="9" fillId="0" borderId="10" xfId="2" applyFont="1" applyBorder="1" applyAlignment="1" applyProtection="1">
      <alignment horizontal="center" vertical="top" wrapText="1"/>
      <protection locked="0"/>
    </xf>
    <xf numFmtId="0" fontId="10" fillId="0" borderId="0" xfId="0" applyFont="1" applyProtection="1">
      <protection hidden="1"/>
    </xf>
    <xf numFmtId="0" fontId="9" fillId="0" borderId="2" xfId="2" applyFont="1" applyBorder="1"/>
    <xf numFmtId="0" fontId="9" fillId="0" borderId="10" xfId="2" applyFont="1" applyBorder="1" applyAlignment="1" applyProtection="1">
      <alignment horizontal="center" wrapText="1"/>
      <protection locked="0"/>
    </xf>
    <xf numFmtId="9" fontId="9" fillId="4" borderId="10" xfId="2" applyNumberFormat="1" applyFont="1" applyFill="1" applyBorder="1" applyAlignment="1" applyProtection="1">
      <alignment horizontal="center" vertical="center" wrapText="1"/>
      <protection hidden="1"/>
    </xf>
    <xf numFmtId="0" fontId="10" fillId="0" borderId="2" xfId="0" applyFont="1" applyBorder="1" applyProtection="1">
      <protection hidden="1"/>
    </xf>
    <xf numFmtId="1" fontId="9" fillId="0" borderId="10" xfId="2" applyNumberFormat="1" applyFont="1" applyBorder="1" applyAlignment="1" applyProtection="1">
      <alignment horizontal="center" wrapText="1"/>
      <protection locked="0"/>
    </xf>
    <xf numFmtId="1" fontId="11" fillId="0" borderId="2" xfId="0" applyNumberFormat="1" applyFont="1" applyBorder="1"/>
    <xf numFmtId="1" fontId="11" fillId="0" borderId="2" xfId="0" applyNumberFormat="1" applyFont="1" applyBorder="1" applyAlignment="1">
      <alignment horizontal="right"/>
    </xf>
    <xf numFmtId="0" fontId="9" fillId="0" borderId="23" xfId="2" applyFont="1" applyBorder="1" applyAlignment="1" applyProtection="1">
      <alignment horizontal="center" wrapText="1"/>
      <protection locked="0"/>
    </xf>
    <xf numFmtId="9" fontId="9" fillId="4" borderId="23" xfId="2" applyNumberFormat="1" applyFont="1" applyFill="1" applyBorder="1" applyAlignment="1" applyProtection="1">
      <alignment horizontal="center" vertical="center" wrapText="1"/>
      <protection hidden="1"/>
    </xf>
    <xf numFmtId="0" fontId="10" fillId="0" borderId="25" xfId="0" applyFont="1" applyBorder="1" applyProtection="1">
      <protection hidden="1"/>
    </xf>
    <xf numFmtId="1" fontId="11" fillId="0" borderId="24" xfId="0" applyNumberFormat="1" applyFont="1" applyBorder="1"/>
    <xf numFmtId="0" fontId="9" fillId="0" borderId="13" xfId="2" applyFont="1" applyBorder="1" applyAlignment="1" applyProtection="1">
      <alignment vertical="top"/>
      <protection locked="0"/>
    </xf>
    <xf numFmtId="0" fontId="9" fillId="0" borderId="6" xfId="2" applyFont="1" applyBorder="1" applyAlignment="1" applyProtection="1">
      <alignment vertical="top"/>
      <protection locked="0"/>
    </xf>
    <xf numFmtId="0" fontId="9" fillId="0" borderId="3" xfId="2" applyFont="1" applyBorder="1" applyAlignment="1" applyProtection="1">
      <alignment vertical="top"/>
      <protection locked="0"/>
    </xf>
    <xf numFmtId="0" fontId="9" fillId="0" borderId="0" xfId="0" applyFont="1" applyAlignment="1">
      <alignment horizontal="center" vertical="center"/>
    </xf>
    <xf numFmtId="1" fontId="9" fillId="0" borderId="0" xfId="0" applyNumberFormat="1" applyFont="1" applyAlignment="1">
      <alignment horizontal="center" vertical="center"/>
    </xf>
    <xf numFmtId="0" fontId="13" fillId="0" borderId="0" xfId="3" applyFont="1"/>
    <xf numFmtId="0" fontId="9" fillId="0" borderId="0" xfId="2" applyFont="1"/>
    <xf numFmtId="0" fontId="9" fillId="0" borderId="0" xfId="2" applyFont="1" applyAlignment="1">
      <alignment horizontal="center" vertical="center"/>
    </xf>
    <xf numFmtId="1" fontId="9" fillId="0" borderId="0" xfId="2" applyNumberFormat="1" applyFont="1" applyAlignment="1">
      <alignment horizontal="center" vertical="center"/>
    </xf>
    <xf numFmtId="1" fontId="12" fillId="0" borderId="0" xfId="0" applyNumberFormat="1" applyFont="1" applyAlignment="1" applyProtection="1">
      <alignment vertical="center" wrapText="1"/>
      <protection locked="0"/>
    </xf>
    <xf numFmtId="0" fontId="12" fillId="0" borderId="0" xfId="2" applyFont="1" applyAlignment="1" applyProtection="1">
      <alignment vertical="top"/>
      <protection locked="0"/>
    </xf>
    <xf numFmtId="1" fontId="12" fillId="0" borderId="0" xfId="2" applyNumberFormat="1" applyFont="1" applyAlignment="1" applyProtection="1">
      <alignment vertical="center" wrapText="1"/>
      <protection locked="0"/>
    </xf>
    <xf numFmtId="2" fontId="9" fillId="0" borderId="0" xfId="2" applyNumberFormat="1" applyFont="1" applyAlignment="1">
      <alignment horizontal="center" vertical="center"/>
    </xf>
    <xf numFmtId="0" fontId="15" fillId="0" borderId="0" xfId="0" applyFont="1"/>
    <xf numFmtId="0" fontId="5" fillId="3" borderId="10" xfId="1" applyFont="1" applyFill="1" applyBorder="1" applyAlignment="1" applyProtection="1">
      <alignment vertical="center" wrapText="1"/>
      <protection locked="0"/>
    </xf>
    <xf numFmtId="0" fontId="2" fillId="5" borderId="10" xfId="1" applyFont="1" applyFill="1" applyBorder="1" applyAlignment="1">
      <alignment vertical="center" wrapText="1"/>
    </xf>
    <xf numFmtId="1" fontId="19" fillId="5" borderId="10" xfId="0" applyNumberFormat="1" applyFont="1" applyFill="1" applyBorder="1" applyAlignment="1" applyProtection="1">
      <alignment horizontal="center" vertical="center" wrapText="1"/>
      <protection locked="0"/>
    </xf>
    <xf numFmtId="0" fontId="2" fillId="5" borderId="10" xfId="0" applyFont="1" applyFill="1" applyBorder="1" applyAlignment="1">
      <alignment horizontal="center" vertical="center" wrapText="1"/>
    </xf>
    <xf numFmtId="0" fontId="15" fillId="0" borderId="0" xfId="0" applyFont="1" applyAlignment="1">
      <alignment horizontal="left"/>
    </xf>
    <xf numFmtId="0" fontId="16" fillId="6" borderId="10" xfId="0" applyFont="1" applyFill="1" applyBorder="1" applyAlignment="1">
      <alignment horizontal="left" vertical="center" wrapText="1"/>
    </xf>
    <xf numFmtId="0" fontId="0" fillId="0" borderId="0" xfId="0" applyAlignment="1">
      <alignment horizontal="left"/>
    </xf>
    <xf numFmtId="0" fontId="2" fillId="0" borderId="0" xfId="0" applyFont="1" applyAlignment="1">
      <alignment vertical="top" wrapText="1"/>
    </xf>
    <xf numFmtId="0" fontId="2" fillId="5" borderId="14" xfId="0" applyFont="1" applyFill="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6" fillId="0" borderId="0" xfId="0" applyFont="1" applyBorder="1"/>
    <xf numFmtId="0" fontId="2" fillId="0" borderId="0" xfId="0" applyFont="1" applyBorder="1" applyAlignment="1">
      <alignment horizontal="center" vertical="top" wrapText="1"/>
    </xf>
    <xf numFmtId="0" fontId="2" fillId="5" borderId="0" xfId="0" applyFont="1" applyFill="1" applyBorder="1" applyAlignment="1">
      <alignment vertical="top" wrapText="1"/>
    </xf>
    <xf numFmtId="1" fontId="9" fillId="0" borderId="0" xfId="2" applyNumberFormat="1" applyFont="1" applyBorder="1" applyAlignment="1">
      <alignment horizontal="center" vertical="center"/>
    </xf>
    <xf numFmtId="2" fontId="9" fillId="0" borderId="0" xfId="2" applyNumberFormat="1" applyFont="1" applyBorder="1" applyAlignment="1">
      <alignment horizontal="center" vertical="center"/>
    </xf>
    <xf numFmtId="0" fontId="0" fillId="0" borderId="0" xfId="0" applyBorder="1"/>
    <xf numFmtId="0" fontId="9" fillId="0" borderId="0" xfId="2" applyFont="1" applyBorder="1" applyAlignment="1">
      <alignment horizontal="center" vertical="center"/>
    </xf>
    <xf numFmtId="0" fontId="13" fillId="0" borderId="0" xfId="3" applyFont="1" applyBorder="1"/>
    <xf numFmtId="0" fontId="9" fillId="0" borderId="0" xfId="2" applyFont="1" applyBorder="1"/>
    <xf numFmtId="0" fontId="2" fillId="0" borderId="0" xfId="0" applyFont="1" applyBorder="1" applyAlignment="1">
      <alignment vertical="top" wrapText="1"/>
    </xf>
    <xf numFmtId="0" fontId="2" fillId="5" borderId="0" xfId="1" applyFont="1" applyFill="1" applyBorder="1" applyAlignment="1">
      <alignment vertical="center" wrapText="1"/>
    </xf>
    <xf numFmtId="0" fontId="2" fillId="5" borderId="0" xfId="0" applyFont="1" applyFill="1" applyBorder="1" applyAlignment="1">
      <alignment horizontal="left" vertical="top" wrapText="1"/>
    </xf>
    <xf numFmtId="0" fontId="2" fillId="2" borderId="0" xfId="0" applyFont="1" applyFill="1" applyBorder="1" applyAlignment="1">
      <alignment vertical="center" wrapText="1"/>
    </xf>
    <xf numFmtId="0" fontId="21" fillId="5" borderId="10" xfId="0" applyFont="1" applyFill="1" applyBorder="1" applyAlignment="1">
      <alignment horizontal="left" vertical="top" wrapText="1"/>
    </xf>
    <xf numFmtId="0" fontId="0" fillId="0" borderId="0" xfId="0" applyAlignment="1">
      <alignment horizontal="center" vertical="center"/>
    </xf>
    <xf numFmtId="0" fontId="7" fillId="0" borderId="0" xfId="0" applyFont="1" applyBorder="1" applyAlignment="1" applyProtection="1">
      <alignment horizontal="center" vertical="center"/>
      <protection hidden="1"/>
    </xf>
    <xf numFmtId="1" fontId="6" fillId="0" borderId="0" xfId="0" applyNumberFormat="1" applyFont="1" applyBorder="1" applyAlignment="1">
      <alignment horizontal="center" vertical="center"/>
    </xf>
    <xf numFmtId="0" fontId="3" fillId="0" borderId="10" xfId="0" applyFont="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1" xfId="0" applyFont="1" applyBorder="1" applyAlignment="1">
      <alignment horizontal="center" vertical="center"/>
    </xf>
    <xf numFmtId="1" fontId="19" fillId="5" borderId="9" xfId="0" applyNumberFormat="1" applyFont="1" applyFill="1" applyBorder="1" applyAlignment="1" applyProtection="1">
      <alignment horizontal="center" vertical="center" wrapText="1"/>
      <protection locked="0"/>
    </xf>
    <xf numFmtId="9" fontId="19" fillId="0" borderId="32" xfId="2" applyNumberFormat="1" applyFont="1" applyBorder="1" applyAlignment="1" applyProtection="1">
      <alignment horizontal="center" vertical="center" wrapText="1"/>
      <protection locked="0"/>
    </xf>
    <xf numFmtId="14" fontId="5" fillId="3" borderId="10" xfId="1" applyNumberFormat="1" applyFont="1" applyFill="1" applyBorder="1" applyAlignment="1" applyProtection="1">
      <alignment vertical="center" wrapText="1"/>
      <protection locked="0"/>
    </xf>
    <xf numFmtId="0" fontId="2" fillId="5" borderId="10" xfId="0" applyFont="1" applyFill="1" applyBorder="1" applyAlignment="1">
      <alignment horizontal="left" vertical="center" wrapText="1"/>
    </xf>
    <xf numFmtId="0" fontId="22" fillId="0" borderId="10" xfId="0" applyFont="1" applyBorder="1" applyAlignment="1">
      <alignment horizontal="center" vertical="center" wrapText="1"/>
    </xf>
    <xf numFmtId="0" fontId="3" fillId="5" borderId="18" xfId="2" applyFont="1" applyFill="1" applyBorder="1" applyAlignment="1" applyProtection="1">
      <alignment horizontal="center" vertical="center"/>
      <protection locked="0"/>
    </xf>
    <xf numFmtId="0" fontId="3" fillId="5" borderId="19" xfId="2" applyFont="1" applyFill="1" applyBorder="1" applyAlignment="1" applyProtection="1">
      <alignment horizontal="center" vertical="center"/>
      <protection locked="0"/>
    </xf>
    <xf numFmtId="0" fontId="3" fillId="5" borderId="10" xfId="2" applyFont="1" applyFill="1" applyBorder="1" applyAlignment="1" applyProtection="1">
      <alignment horizontal="center" vertical="center"/>
      <protection locked="0"/>
    </xf>
    <xf numFmtId="0" fontId="3" fillId="5" borderId="11" xfId="2" applyFont="1" applyFill="1" applyBorder="1" applyAlignment="1" applyProtection="1">
      <alignment horizontal="center" vertical="center"/>
      <protection locked="0"/>
    </xf>
    <xf numFmtId="0" fontId="28" fillId="5" borderId="4" xfId="0" applyFont="1" applyFill="1" applyBorder="1" applyAlignment="1">
      <alignment horizontal="left" vertical="top"/>
    </xf>
    <xf numFmtId="0" fontId="3" fillId="5" borderId="9" xfId="2" applyFont="1" applyFill="1" applyBorder="1" applyAlignment="1" applyProtection="1">
      <alignment horizontal="left" vertical="top" wrapText="1"/>
      <protection locked="0"/>
    </xf>
    <xf numFmtId="0" fontId="3" fillId="5" borderId="10" xfId="0" applyFont="1" applyFill="1" applyBorder="1" applyAlignment="1">
      <alignment horizontal="center"/>
    </xf>
    <xf numFmtId="0" fontId="3" fillId="5" borderId="10" xfId="2" applyFont="1" applyFill="1" applyBorder="1" applyAlignment="1" applyProtection="1">
      <alignment horizontal="center" vertical="top" wrapText="1"/>
      <protection locked="0"/>
    </xf>
    <xf numFmtId="9" fontId="3" fillId="5" borderId="10" xfId="0" applyNumberFormat="1" applyFont="1" applyFill="1" applyBorder="1" applyAlignment="1">
      <alignment horizontal="center" vertical="center"/>
    </xf>
    <xf numFmtId="0" fontId="3" fillId="5" borderId="10" xfId="2" applyFont="1" applyFill="1" applyBorder="1" applyAlignment="1" applyProtection="1">
      <alignment horizontal="center" wrapText="1"/>
      <protection locked="0"/>
    </xf>
    <xf numFmtId="9" fontId="3" fillId="5" borderId="10" xfId="2" applyNumberFormat="1" applyFont="1" applyFill="1" applyBorder="1" applyAlignment="1" applyProtection="1">
      <alignment horizontal="center" vertical="center" wrapText="1"/>
      <protection hidden="1"/>
    </xf>
    <xf numFmtId="1" fontId="3" fillId="5" borderId="10" xfId="2" applyNumberFormat="1" applyFont="1" applyFill="1" applyBorder="1" applyAlignment="1" applyProtection="1">
      <alignment horizontal="center" wrapText="1"/>
      <protection locked="0"/>
    </xf>
    <xf numFmtId="0" fontId="3" fillId="5" borderId="40" xfId="2" applyFont="1" applyFill="1" applyBorder="1" applyAlignment="1" applyProtection="1">
      <alignment horizontal="left" vertical="top" wrapText="1"/>
      <protection locked="0"/>
    </xf>
    <xf numFmtId="9" fontId="3" fillId="5" borderId="16" xfId="0" applyNumberFormat="1" applyFont="1" applyFill="1" applyBorder="1" applyAlignment="1">
      <alignment horizontal="center" vertical="center"/>
    </xf>
    <xf numFmtId="0" fontId="3" fillId="5" borderId="16" xfId="2" applyFont="1" applyFill="1" applyBorder="1" applyAlignment="1" applyProtection="1">
      <alignment horizontal="center" wrapText="1"/>
      <protection locked="0"/>
    </xf>
    <xf numFmtId="9" fontId="3" fillId="5" borderId="16" xfId="2" applyNumberFormat="1" applyFont="1" applyFill="1" applyBorder="1" applyAlignment="1" applyProtection="1">
      <alignment horizontal="center" vertical="center" wrapText="1"/>
      <protection hidden="1"/>
    </xf>
    <xf numFmtId="1" fontId="30" fillId="5" borderId="9" xfId="0" applyNumberFormat="1" applyFont="1" applyFill="1" applyBorder="1" applyAlignment="1" applyProtection="1">
      <alignment horizontal="center" vertical="center" wrapText="1"/>
      <protection locked="0"/>
    </xf>
    <xf numFmtId="1" fontId="30" fillId="0" borderId="10" xfId="0" applyNumberFormat="1" applyFont="1" applyBorder="1" applyAlignment="1" applyProtection="1">
      <alignment horizontal="center" vertical="center" wrapText="1"/>
      <protection locked="0"/>
    </xf>
    <xf numFmtId="1" fontId="31" fillId="5" borderId="22" xfId="0" applyNumberFormat="1" applyFont="1" applyFill="1" applyBorder="1" applyAlignment="1" applyProtection="1">
      <alignment horizontal="center" vertical="center" wrapText="1"/>
      <protection locked="0"/>
    </xf>
    <xf numFmtId="1" fontId="31" fillId="0" borderId="23" xfId="0" applyNumberFormat="1" applyFont="1" applyBorder="1" applyAlignment="1" applyProtection="1">
      <alignment horizontal="center" vertical="center" wrapText="1"/>
      <protection locked="0"/>
    </xf>
    <xf numFmtId="1" fontId="31" fillId="5" borderId="40" xfId="0" applyNumberFormat="1" applyFont="1" applyFill="1" applyBorder="1" applyAlignment="1" applyProtection="1">
      <alignment horizontal="center" vertical="center" wrapText="1"/>
      <protection locked="0"/>
    </xf>
    <xf numFmtId="1" fontId="31" fillId="0" borderId="16" xfId="0" applyNumberFormat="1" applyFont="1" applyBorder="1" applyAlignment="1" applyProtection="1">
      <alignment horizontal="center" vertical="center" wrapText="1"/>
      <protection locked="0"/>
    </xf>
    <xf numFmtId="1" fontId="31" fillId="5" borderId="44" xfId="0" applyNumberFormat="1" applyFont="1" applyFill="1" applyBorder="1" applyAlignment="1" applyProtection="1">
      <alignment horizontal="center" vertical="center" wrapText="1"/>
      <protection locked="0"/>
    </xf>
    <xf numFmtId="1" fontId="31" fillId="0" borderId="45" xfId="0" applyNumberFormat="1" applyFont="1" applyBorder="1" applyAlignment="1" applyProtection="1">
      <alignment horizontal="center" vertical="center" wrapText="1"/>
      <protection locked="0"/>
    </xf>
    <xf numFmtId="1" fontId="29" fillId="0" borderId="10" xfId="2" applyNumberFormat="1" applyFont="1" applyBorder="1" applyAlignment="1" applyProtection="1">
      <alignment horizontal="center" vertical="center" wrapText="1"/>
      <protection locked="0"/>
    </xf>
    <xf numFmtId="1" fontId="32" fillId="0" borderId="10" xfId="2" applyNumberFormat="1" applyFont="1" applyBorder="1" applyAlignment="1" applyProtection="1">
      <alignment horizontal="center" vertical="center" wrapText="1"/>
      <protection locked="0"/>
    </xf>
    <xf numFmtId="1" fontId="27" fillId="0" borderId="10" xfId="2" applyNumberFormat="1" applyFont="1" applyBorder="1" applyAlignment="1">
      <alignment horizontal="center" vertical="center"/>
    </xf>
    <xf numFmtId="0" fontId="21" fillId="5" borderId="10" xfId="0" applyFont="1" applyFill="1" applyBorder="1" applyAlignment="1">
      <alignment horizontal="center" vertical="center" wrapText="1"/>
    </xf>
    <xf numFmtId="0" fontId="9" fillId="0" borderId="0" xfId="2" applyFont="1" applyBorder="1" applyAlignment="1">
      <alignment horizontal="center" vertical="center"/>
    </xf>
    <xf numFmtId="0" fontId="9" fillId="0" borderId="0" xfId="2" applyFont="1" applyAlignment="1">
      <alignment horizontal="center" vertical="center"/>
    </xf>
    <xf numFmtId="14" fontId="5" fillId="3" borderId="10" xfId="1" applyNumberFormat="1" applyFont="1" applyFill="1" applyBorder="1" applyAlignment="1" applyProtection="1">
      <alignment horizontal="left" vertical="center" wrapText="1"/>
      <protection locked="0"/>
    </xf>
    <xf numFmtId="1" fontId="12" fillId="0" borderId="0" xfId="2" applyNumberFormat="1" applyFont="1" applyFill="1" applyAlignment="1" applyProtection="1">
      <alignment vertical="center" wrapText="1"/>
      <protection locked="0"/>
    </xf>
    <xf numFmtId="0" fontId="9" fillId="0" borderId="0" xfId="2" applyFont="1" applyFill="1" applyBorder="1" applyAlignment="1">
      <alignment horizontal="center" vertical="center"/>
    </xf>
    <xf numFmtId="0" fontId="9" fillId="0" borderId="0" xfId="2" applyFont="1" applyFill="1" applyAlignment="1">
      <alignment horizontal="center" vertical="center"/>
    </xf>
    <xf numFmtId="0" fontId="3" fillId="0" borderId="23" xfId="0" applyFont="1" applyBorder="1" applyAlignment="1">
      <alignment horizontal="center" vertical="center" wrapText="1"/>
    </xf>
    <xf numFmtId="0" fontId="3" fillId="0" borderId="10" xfId="0" applyFont="1" applyBorder="1" applyAlignment="1">
      <alignment horizontal="center" vertical="center"/>
    </xf>
    <xf numFmtId="0" fontId="3" fillId="0" borderId="10" xfId="0" applyFont="1" applyBorder="1" applyAlignment="1">
      <alignment horizontal="left" vertical="top"/>
    </xf>
    <xf numFmtId="1" fontId="19" fillId="0" borderId="15" xfId="2" applyNumberFormat="1" applyFont="1" applyBorder="1" applyAlignment="1" applyProtection="1">
      <alignment horizontal="center" vertical="center" wrapText="1"/>
      <protection locked="0"/>
    </xf>
    <xf numFmtId="0" fontId="26" fillId="0" borderId="10" xfId="0" applyFont="1" applyBorder="1" applyAlignment="1">
      <alignment horizontal="center" vertical="center" wrapText="1"/>
    </xf>
    <xf numFmtId="0" fontId="36" fillId="0" borderId="10" xfId="0" applyFont="1" applyBorder="1" applyAlignment="1">
      <alignment horizontal="center" vertical="center" wrapText="1"/>
    </xf>
    <xf numFmtId="0" fontId="34" fillId="0" borderId="13" xfId="0" applyFont="1" applyBorder="1" applyAlignment="1">
      <alignment horizontal="center" vertical="center"/>
    </xf>
    <xf numFmtId="0" fontId="36" fillId="5" borderId="10" xfId="0" applyFont="1" applyFill="1" applyBorder="1" applyAlignment="1">
      <alignment horizontal="center" vertical="center" wrapText="1"/>
    </xf>
    <xf numFmtId="0" fontId="36" fillId="5" borderId="10" xfId="0" applyFont="1" applyFill="1" applyBorder="1" applyAlignment="1">
      <alignment vertical="center" wrapText="1"/>
    </xf>
    <xf numFmtId="0" fontId="36" fillId="5" borderId="10" xfId="0" applyFont="1" applyFill="1" applyBorder="1" applyAlignment="1">
      <alignment horizontal="left" vertical="top" wrapText="1"/>
    </xf>
    <xf numFmtId="0" fontId="3" fillId="5" borderId="9" xfId="2" applyFont="1" applyFill="1" applyBorder="1" applyAlignment="1" applyProtection="1">
      <alignment horizontal="center" vertical="center" wrapText="1"/>
      <protection locked="0"/>
    </xf>
    <xf numFmtId="1" fontId="3" fillId="5" borderId="10" xfId="2" applyNumberFormat="1" applyFont="1" applyFill="1" applyBorder="1" applyAlignment="1" applyProtection="1">
      <alignment horizontal="center" vertical="center" wrapText="1"/>
      <protection locked="0"/>
    </xf>
    <xf numFmtId="0" fontId="3" fillId="5" borderId="10" xfId="2" applyFont="1" applyFill="1" applyBorder="1" applyAlignment="1" applyProtection="1">
      <alignment horizontal="center" vertical="center" wrapText="1"/>
      <protection locked="0"/>
    </xf>
    <xf numFmtId="0" fontId="3" fillId="5" borderId="40" xfId="2" applyFont="1" applyFill="1" applyBorder="1" applyAlignment="1" applyProtection="1">
      <alignment horizontal="center" vertical="center" wrapText="1"/>
      <protection locked="0"/>
    </xf>
    <xf numFmtId="0" fontId="3" fillId="5" borderId="16" xfId="2" applyFont="1" applyFill="1" applyBorder="1" applyAlignment="1" applyProtection="1">
      <alignment horizontal="center" vertical="center" wrapText="1"/>
      <protection locked="0"/>
    </xf>
    <xf numFmtId="0" fontId="3" fillId="5" borderId="10" xfId="0" applyFont="1" applyFill="1" applyBorder="1" applyAlignment="1">
      <alignment horizontal="center" vertical="center"/>
    </xf>
    <xf numFmtId="1" fontId="37" fillId="0" borderId="10" xfId="2" applyNumberFormat="1" applyFont="1" applyBorder="1" applyAlignment="1" applyProtection="1">
      <alignment horizontal="center" vertical="center" wrapText="1"/>
      <protection locked="0"/>
    </xf>
    <xf numFmtId="1" fontId="38" fillId="0" borderId="10" xfId="2" applyNumberFormat="1" applyFont="1" applyBorder="1" applyAlignment="1" applyProtection="1">
      <alignment horizontal="center" vertical="center" wrapText="1"/>
      <protection locked="0"/>
    </xf>
    <xf numFmtId="0" fontId="38" fillId="5" borderId="10" xfId="0" applyFont="1" applyFill="1" applyBorder="1" applyAlignment="1">
      <alignment horizontal="center" vertical="center" wrapText="1"/>
    </xf>
    <xf numFmtId="0" fontId="22" fillId="5" borderId="9" xfId="0" applyFont="1" applyFill="1" applyBorder="1" applyAlignment="1">
      <alignment horizontal="left" vertical="top" wrapText="1"/>
    </xf>
    <xf numFmtId="0" fontId="3" fillId="0" borderId="11" xfId="0" applyFont="1" applyBorder="1" applyAlignment="1">
      <alignment horizontal="left" vertical="top" wrapText="1"/>
    </xf>
    <xf numFmtId="0" fontId="2" fillId="5" borderId="9" xfId="1" applyFont="1" applyFill="1" applyBorder="1" applyAlignment="1">
      <alignment vertical="center" wrapText="1"/>
    </xf>
    <xf numFmtId="14" fontId="33" fillId="3" borderId="11" xfId="1" applyNumberFormat="1" applyFont="1" applyFill="1" applyBorder="1" applyAlignment="1">
      <alignment horizontal="left" vertical="center"/>
    </xf>
    <xf numFmtId="0" fontId="2" fillId="5" borderId="9" xfId="0" applyFont="1" applyFill="1" applyBorder="1" applyAlignment="1">
      <alignment horizontal="left" vertical="center" wrapText="1"/>
    </xf>
    <xf numFmtId="0" fontId="2" fillId="5" borderId="11"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9" xfId="0" applyFont="1" applyBorder="1" applyAlignment="1">
      <alignment horizontal="center"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left" vertical="top" wrapText="1"/>
    </xf>
    <xf numFmtId="0" fontId="3" fillId="0" borderId="11" xfId="0" applyFont="1" applyBorder="1" applyAlignment="1">
      <alignment horizontal="left" vertical="top"/>
    </xf>
    <xf numFmtId="0" fontId="34" fillId="0" borderId="11" xfId="0" applyFont="1" applyBorder="1" applyAlignment="1">
      <alignment horizontal="center" vertical="center"/>
    </xf>
    <xf numFmtId="0" fontId="36" fillId="5" borderId="9" xfId="0" applyFont="1" applyFill="1" applyBorder="1" applyAlignment="1">
      <alignment horizontal="left" vertical="top" wrapText="1"/>
    </xf>
    <xf numFmtId="1" fontId="19" fillId="0" borderId="41" xfId="2" applyNumberFormat="1" applyFont="1" applyBorder="1" applyAlignment="1" applyProtection="1">
      <alignment horizontal="center" vertical="center" wrapText="1"/>
      <protection locked="0"/>
    </xf>
    <xf numFmtId="9" fontId="19" fillId="0" borderId="43" xfId="2" applyNumberFormat="1" applyFont="1" applyBorder="1" applyAlignment="1" applyProtection="1">
      <alignment horizontal="center" vertical="center" wrapText="1"/>
      <protection locked="0"/>
    </xf>
    <xf numFmtId="1" fontId="29" fillId="0" borderId="9" xfId="2" applyNumberFormat="1" applyFont="1" applyBorder="1" applyAlignment="1" applyProtection="1">
      <alignment horizontal="center" vertical="center" wrapText="1"/>
      <protection locked="0"/>
    </xf>
    <xf numFmtId="1" fontId="29" fillId="0" borderId="11" xfId="2" applyNumberFormat="1" applyFont="1" applyBorder="1" applyAlignment="1" applyProtection="1">
      <alignment horizontal="center" vertical="center" wrapText="1"/>
      <protection locked="0"/>
    </xf>
    <xf numFmtId="0" fontId="21" fillId="5" borderId="11" xfId="0" applyFont="1" applyFill="1" applyBorder="1" applyAlignment="1">
      <alignment horizontal="center" vertical="center" wrapText="1"/>
    </xf>
    <xf numFmtId="0" fontId="18" fillId="0" borderId="9" xfId="0" applyFont="1" applyFill="1" applyBorder="1" applyAlignment="1">
      <alignment horizontal="center" vertical="center"/>
    </xf>
    <xf numFmtId="14" fontId="39" fillId="3" borderId="10" xfId="1" applyNumberFormat="1" applyFont="1" applyFill="1" applyBorder="1" applyAlignment="1" applyProtection="1">
      <alignment horizontal="left" vertical="center" wrapText="1"/>
      <protection locked="0"/>
    </xf>
    <xf numFmtId="0" fontId="35" fillId="0" borderId="13" xfId="0" applyFont="1" applyFill="1" applyBorder="1" applyAlignment="1">
      <alignment horizontal="left" vertical="center" wrapText="1"/>
    </xf>
    <xf numFmtId="0" fontId="35" fillId="0" borderId="6" xfId="0" applyFont="1" applyFill="1" applyBorder="1" applyAlignment="1">
      <alignment horizontal="left" vertical="center" wrapText="1"/>
    </xf>
    <xf numFmtId="0" fontId="35" fillId="0" borderId="3" xfId="0" applyFont="1" applyFill="1" applyBorder="1" applyAlignment="1">
      <alignment horizontal="left" vertical="center" wrapText="1"/>
    </xf>
    <xf numFmtId="1" fontId="19" fillId="0" borderId="8" xfId="2" applyNumberFormat="1" applyFont="1" applyBorder="1" applyAlignment="1" applyProtection="1">
      <alignment horizontal="center" vertical="center" wrapText="1"/>
      <protection locked="0"/>
    </xf>
    <xf numFmtId="1" fontId="19" fillId="0" borderId="6" xfId="2" applyNumberFormat="1" applyFont="1" applyBorder="1" applyAlignment="1" applyProtection="1">
      <alignment horizontal="center" vertical="center" wrapText="1"/>
      <protection locked="0"/>
    </xf>
    <xf numFmtId="1" fontId="19" fillId="0" borderId="3" xfId="2" applyNumberFormat="1" applyFont="1" applyBorder="1" applyAlignment="1" applyProtection="1">
      <alignment horizontal="center" vertical="center" wrapText="1"/>
      <protection locked="0"/>
    </xf>
    <xf numFmtId="0" fontId="19" fillId="5" borderId="8" xfId="2" applyFont="1" applyFill="1" applyBorder="1" applyAlignment="1" applyProtection="1">
      <alignment horizontal="center" vertical="center"/>
      <protection locked="0"/>
    </xf>
    <xf numFmtId="0" fontId="19" fillId="5" borderId="6" xfId="2" applyFont="1" applyFill="1" applyBorder="1" applyAlignment="1" applyProtection="1">
      <alignment horizontal="center" vertical="center"/>
      <protection locked="0"/>
    </xf>
    <xf numFmtId="0" fontId="19" fillId="5" borderId="3" xfId="2" applyFont="1" applyFill="1" applyBorder="1" applyAlignment="1" applyProtection="1">
      <alignment horizontal="center" vertical="center"/>
      <protection locked="0"/>
    </xf>
    <xf numFmtId="1" fontId="13" fillId="0" borderId="0" xfId="2" applyNumberFormat="1" applyFont="1" applyAlignment="1" applyProtection="1">
      <alignment horizontal="center" vertical="center" wrapText="1"/>
      <protection locked="0"/>
    </xf>
    <xf numFmtId="1" fontId="19" fillId="0" borderId="8" xfId="2" applyNumberFormat="1" applyFont="1" applyFill="1" applyBorder="1" applyAlignment="1" applyProtection="1">
      <alignment horizontal="center" vertical="center" wrapText="1"/>
      <protection locked="0"/>
    </xf>
    <xf numFmtId="1" fontId="19" fillId="0" borderId="6" xfId="2" applyNumberFormat="1" applyFont="1" applyFill="1" applyBorder="1" applyAlignment="1" applyProtection="1">
      <alignment horizontal="center" vertical="center" wrapText="1"/>
      <protection locked="0"/>
    </xf>
    <xf numFmtId="1" fontId="19" fillId="0" borderId="3" xfId="2" applyNumberFormat="1" applyFont="1" applyFill="1" applyBorder="1" applyAlignment="1" applyProtection="1">
      <alignment horizontal="center" vertical="center" wrapText="1"/>
      <protection locked="0"/>
    </xf>
    <xf numFmtId="1" fontId="19" fillId="0" borderId="41" xfId="2" applyNumberFormat="1" applyFont="1" applyBorder="1" applyAlignment="1" applyProtection="1">
      <alignment horizontal="center" vertical="center" wrapText="1"/>
      <protection locked="0"/>
    </xf>
    <xf numFmtId="1" fontId="19" fillId="0" borderId="43" xfId="2" applyNumberFormat="1" applyFont="1" applyBorder="1" applyAlignment="1" applyProtection="1">
      <alignment horizontal="center" vertical="center" wrapText="1"/>
      <protection locked="0"/>
    </xf>
    <xf numFmtId="0" fontId="21" fillId="5" borderId="13"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18" fillId="6" borderId="8" xfId="0" applyFont="1" applyFill="1" applyBorder="1" applyAlignment="1">
      <alignment horizontal="center"/>
    </xf>
    <xf numFmtId="0" fontId="18" fillId="6" borderId="6" xfId="0" applyFont="1" applyFill="1" applyBorder="1" applyAlignment="1">
      <alignment horizontal="center"/>
    </xf>
    <xf numFmtId="0" fontId="18" fillId="6" borderId="3" xfId="0" applyFont="1" applyFill="1" applyBorder="1" applyAlignment="1">
      <alignment horizontal="center"/>
    </xf>
    <xf numFmtId="0" fontId="2" fillId="5" borderId="0" xfId="0" applyFont="1" applyFill="1" applyBorder="1" applyAlignment="1">
      <alignment horizontal="center" vertical="top" wrapText="1"/>
    </xf>
    <xf numFmtId="0" fontId="2" fillId="5" borderId="52" xfId="0" applyFont="1" applyFill="1" applyBorder="1" applyAlignment="1">
      <alignment horizontal="center" vertical="top" wrapText="1"/>
    </xf>
    <xf numFmtId="0" fontId="2" fillId="5" borderId="38" xfId="0" applyFont="1" applyFill="1" applyBorder="1" applyAlignment="1">
      <alignment horizontal="center" vertical="top" wrapText="1"/>
    </xf>
    <xf numFmtId="0" fontId="2" fillId="5" borderId="4" xfId="0" applyFont="1" applyFill="1" applyBorder="1" applyAlignment="1">
      <alignment horizontal="center" vertical="top" wrapText="1"/>
    </xf>
    <xf numFmtId="0" fontId="2" fillId="5" borderId="53" xfId="0" applyFont="1" applyFill="1" applyBorder="1" applyAlignment="1">
      <alignment horizontal="center" vertical="top" wrapText="1"/>
    </xf>
    <xf numFmtId="0" fontId="2" fillId="5" borderId="39" xfId="0" applyFont="1" applyFill="1" applyBorder="1" applyAlignment="1">
      <alignment horizontal="center" vertical="top" wrapText="1"/>
    </xf>
    <xf numFmtId="1" fontId="19" fillId="6" borderId="17" xfId="0" applyNumberFormat="1" applyFont="1" applyFill="1" applyBorder="1" applyAlignment="1" applyProtection="1">
      <alignment horizontal="center" vertical="center" wrapText="1"/>
      <protection locked="0"/>
    </xf>
    <xf numFmtId="1" fontId="19" fillId="6" borderId="18" xfId="0" applyNumberFormat="1" applyFont="1" applyFill="1" applyBorder="1" applyAlignment="1" applyProtection="1">
      <alignment horizontal="center" vertical="center" wrapText="1"/>
      <protection locked="0"/>
    </xf>
    <xf numFmtId="1" fontId="19" fillId="6" borderId="19" xfId="0" applyNumberFormat="1" applyFont="1" applyFill="1" applyBorder="1" applyAlignment="1" applyProtection="1">
      <alignment horizontal="center" vertical="center" wrapText="1"/>
      <protection locked="0"/>
    </xf>
    <xf numFmtId="0" fontId="18" fillId="5" borderId="10" xfId="0" applyFont="1" applyFill="1" applyBorder="1" applyAlignment="1" applyProtection="1">
      <alignment horizontal="center" vertical="center"/>
      <protection locked="0"/>
    </xf>
    <xf numFmtId="0" fontId="18" fillId="5" borderId="10" xfId="0" applyFont="1" applyFill="1" applyBorder="1" applyAlignment="1" applyProtection="1">
      <alignment horizontal="center" vertical="center" wrapText="1"/>
      <protection locked="0"/>
    </xf>
    <xf numFmtId="0" fontId="18" fillId="5" borderId="11" xfId="0" applyFont="1" applyFill="1" applyBorder="1" applyAlignment="1" applyProtection="1">
      <alignment horizontal="center" vertical="center" wrapText="1"/>
      <protection locked="0"/>
    </xf>
    <xf numFmtId="1" fontId="12" fillId="0" borderId="0" xfId="0" applyNumberFormat="1" applyFont="1" applyAlignment="1" applyProtection="1">
      <alignment horizontal="center" vertical="top" wrapText="1"/>
      <protection locked="0"/>
    </xf>
    <xf numFmtId="0" fontId="9" fillId="0" borderId="0" xfId="0" applyFont="1" applyAlignment="1">
      <alignment horizontal="center" vertical="center" wrapText="1"/>
    </xf>
    <xf numFmtId="1" fontId="3" fillId="0" borderId="10" xfId="0" applyNumberFormat="1"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1" fontId="9" fillId="0" borderId="0" xfId="0" applyNumberFormat="1" applyFont="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9" fontId="0" fillId="0" borderId="18" xfId="0" applyNumberFormat="1" applyBorder="1" applyAlignment="1">
      <alignment horizontal="center" vertical="center"/>
    </xf>
    <xf numFmtId="0" fontId="0" fillId="0" borderId="19" xfId="0" applyBorder="1" applyAlignment="1">
      <alignment horizontal="center" vertical="center"/>
    </xf>
    <xf numFmtId="0" fontId="0" fillId="0" borderId="41" xfId="0" applyBorder="1" applyAlignment="1">
      <alignment horizontal="center" vertical="center"/>
    </xf>
    <xf numFmtId="0" fontId="28" fillId="5" borderId="17" xfId="2" applyFont="1" applyFill="1" applyBorder="1" applyAlignment="1" applyProtection="1">
      <alignment horizontal="left" vertical="top" wrapText="1"/>
      <protection locked="0"/>
    </xf>
    <xf numFmtId="0" fontId="28" fillId="5" borderId="18" xfId="2" applyFont="1" applyFill="1" applyBorder="1" applyAlignment="1" applyProtection="1">
      <alignment horizontal="left" vertical="top" wrapText="1"/>
      <protection locked="0"/>
    </xf>
    <xf numFmtId="0" fontId="28" fillId="5" borderId="9" xfId="2" applyFont="1" applyFill="1" applyBorder="1" applyAlignment="1" applyProtection="1">
      <alignment horizontal="left" vertical="top" wrapText="1"/>
      <protection locked="0"/>
    </xf>
    <xf numFmtId="0" fontId="28" fillId="5" borderId="10" xfId="2" applyFont="1" applyFill="1" applyBorder="1" applyAlignment="1" applyProtection="1">
      <alignment horizontal="left" vertical="top" wrapText="1"/>
      <protection locked="0"/>
    </xf>
    <xf numFmtId="0" fontId="28" fillId="5" borderId="8" xfId="2" applyFont="1" applyFill="1" applyBorder="1" applyAlignment="1" applyProtection="1">
      <alignment horizontal="left" vertical="top" wrapText="1"/>
      <protection locked="0"/>
    </xf>
    <xf numFmtId="0" fontId="28" fillId="5" borderId="6" xfId="2" applyFont="1" applyFill="1" applyBorder="1" applyAlignment="1" applyProtection="1">
      <alignment horizontal="left" vertical="top" wrapText="1"/>
      <protection locked="0"/>
    </xf>
    <xf numFmtId="0" fontId="28" fillId="5" borderId="3" xfId="2" applyFont="1" applyFill="1" applyBorder="1" applyAlignment="1" applyProtection="1">
      <alignment horizontal="left" vertical="top" wrapText="1"/>
      <protection locked="0"/>
    </xf>
    <xf numFmtId="0" fontId="3" fillId="5" borderId="13" xfId="2" applyFont="1" applyFill="1" applyBorder="1" applyAlignment="1" applyProtection="1">
      <alignment horizontal="center" vertical="center" wrapText="1"/>
      <protection locked="0"/>
    </xf>
    <xf numFmtId="0" fontId="3" fillId="5" borderId="3" xfId="2" applyFont="1" applyFill="1" applyBorder="1" applyAlignment="1" applyProtection="1">
      <alignment horizontal="center" vertical="center" wrapText="1"/>
      <protection locked="0"/>
    </xf>
    <xf numFmtId="9" fontId="3" fillId="5" borderId="15" xfId="2" applyNumberFormat="1" applyFont="1" applyFill="1" applyBorder="1" applyAlignment="1" applyProtection="1">
      <alignment horizontal="center" vertical="center" wrapText="1"/>
      <protection hidden="1"/>
    </xf>
    <xf numFmtId="9" fontId="3" fillId="5" borderId="5" xfId="2" applyNumberFormat="1" applyFont="1" applyFill="1" applyBorder="1" applyAlignment="1" applyProtection="1">
      <alignment horizontal="center" vertical="center" wrapText="1"/>
      <protection hidden="1"/>
    </xf>
    <xf numFmtId="9" fontId="3" fillId="5" borderId="14" xfId="2" applyNumberFormat="1" applyFont="1" applyFill="1" applyBorder="1" applyAlignment="1" applyProtection="1">
      <alignment horizontal="center" vertical="center" wrapText="1"/>
      <protection hidden="1"/>
    </xf>
    <xf numFmtId="9" fontId="3" fillId="5" borderId="2" xfId="2" applyNumberFormat="1" applyFont="1" applyFill="1" applyBorder="1" applyAlignment="1" applyProtection="1">
      <alignment horizontal="center" vertical="center" wrapText="1"/>
      <protection hidden="1"/>
    </xf>
    <xf numFmtId="0" fontId="34" fillId="4" borderId="12" xfId="0" applyFont="1" applyFill="1" applyBorder="1" applyAlignment="1">
      <alignment horizontal="center" vertical="top" wrapText="1"/>
    </xf>
    <xf numFmtId="0" fontId="34" fillId="4" borderId="43" xfId="0" applyFont="1" applyFill="1" applyBorder="1" applyAlignment="1">
      <alignment horizontal="center" vertical="top" wrapText="1"/>
    </xf>
    <xf numFmtId="1" fontId="8" fillId="0" borderId="0" xfId="0" applyNumberFormat="1" applyFont="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2" fillId="5" borderId="9" xfId="0" applyFont="1" applyFill="1" applyBorder="1" applyAlignment="1">
      <alignment horizontal="center" vertical="top" wrapText="1"/>
    </xf>
    <xf numFmtId="0" fontId="2" fillId="5" borderId="10" xfId="0" applyFont="1" applyFill="1" applyBorder="1" applyAlignment="1">
      <alignment horizontal="center" vertical="top" wrapText="1"/>
    </xf>
    <xf numFmtId="9" fontId="26" fillId="4" borderId="10" xfId="0" applyNumberFormat="1" applyFont="1" applyFill="1" applyBorder="1" applyAlignment="1">
      <alignment horizontal="left" vertical="top" wrapText="1"/>
    </xf>
    <xf numFmtId="0" fontId="26" fillId="4" borderId="10" xfId="0" applyFont="1" applyFill="1" applyBorder="1" applyAlignment="1">
      <alignment horizontal="left" vertical="top" wrapText="1"/>
    </xf>
    <xf numFmtId="0" fontId="26" fillId="4" borderId="11" xfId="0" applyFont="1" applyFill="1" applyBorder="1" applyAlignment="1">
      <alignment horizontal="left" vertical="top" wrapText="1"/>
    </xf>
    <xf numFmtId="0" fontId="34" fillId="4" borderId="16" xfId="0" applyFont="1" applyFill="1" applyBorder="1" applyAlignment="1">
      <alignment horizontal="center" vertical="top" wrapText="1"/>
    </xf>
    <xf numFmtId="0" fontId="34" fillId="4" borderId="41" xfId="0" applyFont="1" applyFill="1" applyBorder="1" applyAlignment="1">
      <alignment horizontal="center" vertical="top" wrapText="1"/>
    </xf>
    <xf numFmtId="0" fontId="34" fillId="4" borderId="14" xfId="0" applyFont="1" applyFill="1" applyBorder="1" applyAlignment="1">
      <alignment horizontal="center" vertical="top" wrapText="1"/>
    </xf>
    <xf numFmtId="0" fontId="34" fillId="4" borderId="0" xfId="0" applyFont="1" applyFill="1" applyBorder="1" applyAlignment="1">
      <alignment horizontal="center" vertical="top" wrapText="1"/>
    </xf>
    <xf numFmtId="0" fontId="34" fillId="4" borderId="2" xfId="0" applyFont="1" applyFill="1" applyBorder="1" applyAlignment="1">
      <alignment horizontal="center" vertical="top" wrapText="1"/>
    </xf>
    <xf numFmtId="0" fontId="20" fillId="0" borderId="13" xfId="4"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center" vertical="top"/>
    </xf>
    <xf numFmtId="0" fontId="3" fillId="0" borderId="6" xfId="0" applyFont="1" applyBorder="1" applyAlignment="1">
      <alignment horizontal="center" vertical="top"/>
    </xf>
    <xf numFmtId="0" fontId="3" fillId="0" borderId="3" xfId="0" applyFont="1" applyBorder="1" applyAlignment="1">
      <alignment horizontal="center" vertical="top"/>
    </xf>
    <xf numFmtId="0" fontId="26" fillId="0" borderId="13" xfId="0" applyFont="1" applyBorder="1" applyAlignment="1">
      <alignment horizontal="left" vertical="top" wrapText="1"/>
    </xf>
    <xf numFmtId="0" fontId="26" fillId="0" borderId="6" xfId="0" applyFont="1" applyBorder="1" applyAlignment="1">
      <alignment horizontal="left" vertical="top" wrapText="1"/>
    </xf>
    <xf numFmtId="0" fontId="26" fillId="0" borderId="3" xfId="0" applyFont="1" applyBorder="1" applyAlignment="1">
      <alignment horizontal="left" vertical="top" wrapText="1"/>
    </xf>
    <xf numFmtId="0" fontId="2" fillId="5" borderId="40"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6" fillId="0" borderId="16" xfId="0" applyFont="1" applyBorder="1" applyAlignment="1">
      <alignment horizontal="center" vertical="center" wrapText="1"/>
    </xf>
    <xf numFmtId="0" fontId="26" fillId="0" borderId="12" xfId="0" applyFont="1" applyBorder="1" applyAlignment="1">
      <alignment horizontal="center" vertical="center" wrapText="1"/>
    </xf>
    <xf numFmtId="0" fontId="3" fillId="0" borderId="10" xfId="0" applyFont="1" applyBorder="1" applyAlignment="1">
      <alignment horizontal="center" vertical="top"/>
    </xf>
    <xf numFmtId="0" fontId="3" fillId="0" borderId="11" xfId="0" applyFont="1" applyBorder="1" applyAlignment="1">
      <alignment horizontal="center" vertical="top"/>
    </xf>
    <xf numFmtId="0" fontId="2" fillId="5" borderId="0" xfId="1" applyFont="1" applyFill="1" applyBorder="1" applyAlignment="1">
      <alignment horizontal="center" vertical="center" wrapText="1"/>
    </xf>
    <xf numFmtId="0" fontId="2" fillId="5" borderId="0" xfId="0" applyFont="1" applyFill="1" applyBorder="1" applyAlignment="1">
      <alignment horizontal="center" vertical="center" wrapText="1"/>
    </xf>
    <xf numFmtId="1" fontId="19" fillId="6" borderId="42" xfId="0" applyNumberFormat="1" applyFont="1" applyFill="1" applyBorder="1" applyAlignment="1" applyProtection="1">
      <alignment horizontal="center" vertical="center" wrapText="1"/>
      <protection locked="0"/>
    </xf>
    <xf numFmtId="1" fontId="19" fillId="6" borderId="12" xfId="0" applyNumberFormat="1" applyFont="1" applyFill="1" applyBorder="1" applyAlignment="1" applyProtection="1">
      <alignment horizontal="center" vertical="center" wrapText="1"/>
      <protection locked="0"/>
    </xf>
    <xf numFmtId="1" fontId="19" fillId="6" borderId="43" xfId="0" applyNumberFormat="1" applyFont="1" applyFill="1" applyBorder="1" applyAlignment="1" applyProtection="1">
      <alignment horizontal="center" vertical="center" wrapText="1"/>
      <protection locked="0"/>
    </xf>
    <xf numFmtId="0" fontId="2" fillId="6" borderId="8"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3" xfId="0" applyFont="1" applyFill="1" applyBorder="1" applyAlignment="1">
      <alignment horizontal="center" vertical="center"/>
    </xf>
    <xf numFmtId="0" fontId="3" fillId="0" borderId="13"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4" fillId="4" borderId="10" xfId="0" applyFont="1" applyFill="1" applyBorder="1" applyAlignment="1">
      <alignment horizontal="center" vertical="top" wrapText="1"/>
    </xf>
    <xf numFmtId="0" fontId="34" fillId="4" borderId="11" xfId="0" applyFont="1" applyFill="1" applyBorder="1" applyAlignment="1">
      <alignment horizontal="center" vertical="top" wrapText="1"/>
    </xf>
    <xf numFmtId="0" fontId="2" fillId="6" borderId="34" xfId="0" applyFont="1" applyFill="1" applyBorder="1" applyAlignment="1">
      <alignment horizontal="center" vertical="center"/>
    </xf>
    <xf numFmtId="0" fontId="2" fillId="6" borderId="35" xfId="0" applyFont="1" applyFill="1" applyBorder="1" applyAlignment="1">
      <alignment horizontal="center" vertical="center"/>
    </xf>
    <xf numFmtId="0" fontId="2" fillId="6" borderId="50"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4" fillId="0" borderId="10" xfId="0" applyFont="1" applyBorder="1" applyAlignment="1">
      <alignment horizontal="center" vertical="top"/>
    </xf>
    <xf numFmtId="0" fontId="34" fillId="0" borderId="11" xfId="0" applyFont="1" applyBorder="1" applyAlignment="1">
      <alignment horizontal="center" vertical="top"/>
    </xf>
    <xf numFmtId="0" fontId="36" fillId="5" borderId="9" xfId="0" applyFont="1" applyFill="1" applyBorder="1" applyAlignment="1">
      <alignment horizontal="center" vertical="top" wrapText="1"/>
    </xf>
    <xf numFmtId="0" fontId="36" fillId="5" borderId="10" xfId="0" applyFont="1" applyFill="1" applyBorder="1" applyAlignment="1">
      <alignment horizontal="center" vertical="top" wrapText="1"/>
    </xf>
    <xf numFmtId="0" fontId="2" fillId="5" borderId="8" xfId="0" applyFont="1" applyFill="1" applyBorder="1" applyAlignment="1">
      <alignment horizontal="center" vertical="top" wrapText="1"/>
    </xf>
    <xf numFmtId="0" fontId="2" fillId="5" borderId="7" xfId="0" applyFont="1" applyFill="1" applyBorder="1" applyAlignment="1">
      <alignment horizontal="center" vertical="top" wrapText="1"/>
    </xf>
    <xf numFmtId="0" fontId="5" fillId="5" borderId="13" xfId="1" applyFont="1" applyFill="1" applyBorder="1" applyAlignment="1">
      <alignment horizontal="left" vertical="center" wrapText="1"/>
    </xf>
    <xf numFmtId="0" fontId="5" fillId="5" borderId="6" xfId="1" applyFont="1" applyFill="1" applyBorder="1" applyAlignment="1">
      <alignment horizontal="left" vertical="center" wrapText="1"/>
    </xf>
    <xf numFmtId="0" fontId="5" fillId="5" borderId="3" xfId="1" applyFont="1" applyFill="1" applyBorder="1" applyAlignment="1">
      <alignment horizontal="left" vertical="center" wrapText="1"/>
    </xf>
    <xf numFmtId="0" fontId="2" fillId="5" borderId="9" xfId="1" applyFont="1" applyFill="1" applyBorder="1" applyAlignment="1">
      <alignment horizontal="left" vertical="center" wrapText="1"/>
    </xf>
    <xf numFmtId="0" fontId="2" fillId="5" borderId="10" xfId="1" applyFont="1" applyFill="1" applyBorder="1" applyAlignment="1">
      <alignment horizontal="left" vertical="center" wrapText="1"/>
    </xf>
    <xf numFmtId="0" fontId="2" fillId="5" borderId="11" xfId="0" applyFont="1" applyFill="1" applyBorder="1" applyAlignment="1">
      <alignment horizontal="center" vertical="top" wrapText="1"/>
    </xf>
    <xf numFmtId="0" fontId="3" fillId="0" borderId="10" xfId="0" applyFont="1" applyBorder="1" applyAlignment="1">
      <alignment horizontal="left" vertical="center" wrapText="1"/>
    </xf>
    <xf numFmtId="0" fontId="5" fillId="3" borderId="10" xfId="1" applyFont="1" applyFill="1" applyBorder="1" applyAlignment="1" applyProtection="1">
      <alignment horizontal="left" vertical="center" wrapText="1"/>
      <protection locked="0"/>
    </xf>
    <xf numFmtId="0" fontId="5" fillId="3" borderId="11" xfId="1" applyFont="1" applyFill="1" applyBorder="1" applyAlignment="1" applyProtection="1">
      <alignment horizontal="left" vertical="center" wrapText="1"/>
      <protection locked="0"/>
    </xf>
    <xf numFmtId="0" fontId="2" fillId="5" borderId="10" xfId="1" applyFont="1" applyFill="1" applyBorder="1" applyAlignment="1">
      <alignment horizontal="left" vertical="top" wrapText="1"/>
    </xf>
    <xf numFmtId="0" fontId="26" fillId="4" borderId="13" xfId="0" applyFont="1" applyFill="1" applyBorder="1" applyAlignment="1">
      <alignment horizontal="left" vertical="top" wrapText="1"/>
    </xf>
    <xf numFmtId="0" fontId="26" fillId="4" borderId="6" xfId="0" applyFont="1" applyFill="1" applyBorder="1" applyAlignment="1">
      <alignment horizontal="left" vertical="top" wrapText="1"/>
    </xf>
    <xf numFmtId="0" fontId="26" fillId="4" borderId="3" xfId="0" applyFont="1" applyFill="1" applyBorder="1" applyAlignment="1">
      <alignment horizontal="left" vertical="top" wrapText="1"/>
    </xf>
    <xf numFmtId="0" fontId="2" fillId="5" borderId="8" xfId="0" applyFont="1" applyFill="1" applyBorder="1" applyAlignment="1">
      <alignment horizontal="center" vertical="center" wrapText="1"/>
    </xf>
    <xf numFmtId="1" fontId="19" fillId="8" borderId="9" xfId="0" applyNumberFormat="1" applyFont="1" applyFill="1" applyBorder="1" applyAlignment="1" applyProtection="1">
      <alignment horizontal="center" vertical="center" wrapText="1"/>
      <protection locked="0"/>
    </xf>
    <xf numFmtId="1" fontId="19" fillId="8" borderId="10" xfId="0" applyNumberFormat="1" applyFont="1" applyFill="1" applyBorder="1" applyAlignment="1" applyProtection="1">
      <alignment horizontal="center" vertical="center" wrapText="1"/>
      <protection locked="0"/>
    </xf>
    <xf numFmtId="1" fontId="19" fillId="8" borderId="11" xfId="0" applyNumberFormat="1" applyFont="1" applyFill="1" applyBorder="1" applyAlignment="1" applyProtection="1">
      <alignment horizontal="center" vertical="center" wrapText="1"/>
      <protection locked="0"/>
    </xf>
    <xf numFmtId="0" fontId="17" fillId="7" borderId="33" xfId="0" applyFont="1" applyFill="1" applyBorder="1" applyAlignment="1">
      <alignment horizontal="center" vertical="center"/>
    </xf>
    <xf numFmtId="0" fontId="17" fillId="7" borderId="1" xfId="0" applyFont="1" applyFill="1" applyBorder="1" applyAlignment="1">
      <alignment horizontal="center" vertical="center"/>
    </xf>
    <xf numFmtId="0" fontId="17" fillId="7" borderId="49" xfId="0" applyFont="1" applyFill="1" applyBorder="1" applyAlignment="1">
      <alignment horizontal="center" vertical="center"/>
    </xf>
    <xf numFmtId="0" fontId="23" fillId="0" borderId="10" xfId="0" applyFont="1" applyBorder="1" applyAlignment="1">
      <alignment horizontal="left" vertical="top"/>
    </xf>
    <xf numFmtId="0" fontId="2" fillId="6" borderId="9" xfId="1" applyFont="1" applyFill="1" applyBorder="1" applyAlignment="1">
      <alignment horizontal="center" vertical="center"/>
    </xf>
    <xf numFmtId="0" fontId="2" fillId="6" borderId="10" xfId="1" applyFont="1" applyFill="1" applyBorder="1" applyAlignment="1">
      <alignment horizontal="center" vertical="center"/>
    </xf>
    <xf numFmtId="0" fontId="2" fillId="6" borderId="11" xfId="1" applyFont="1" applyFill="1" applyBorder="1" applyAlignment="1">
      <alignment horizontal="center" vertical="center"/>
    </xf>
    <xf numFmtId="0" fontId="2" fillId="5" borderId="9" xfId="1" applyFont="1" applyFill="1" applyBorder="1" applyAlignment="1">
      <alignment horizontal="left" vertical="top" wrapText="1"/>
    </xf>
    <xf numFmtId="0" fontId="22" fillId="4" borderId="10" xfId="0" applyFont="1" applyFill="1" applyBorder="1" applyAlignment="1">
      <alignment horizontal="center" vertical="top" wrapText="1"/>
    </xf>
    <xf numFmtId="0" fontId="22" fillId="4" borderId="11" xfId="0" applyFont="1" applyFill="1" applyBorder="1" applyAlignment="1">
      <alignment horizontal="center" vertical="top" wrapText="1"/>
    </xf>
    <xf numFmtId="0" fontId="2" fillId="5" borderId="8" xfId="1" applyFont="1" applyFill="1" applyBorder="1" applyAlignment="1">
      <alignment horizontal="left" vertical="center" wrapText="1"/>
    </xf>
    <xf numFmtId="0" fontId="2" fillId="5" borderId="7" xfId="1" applyFont="1" applyFill="1" applyBorder="1" applyAlignment="1">
      <alignment horizontal="left" vertical="center" wrapText="1"/>
    </xf>
    <xf numFmtId="0" fontId="20" fillId="5" borderId="13" xfId="4" applyFill="1" applyBorder="1" applyAlignment="1">
      <alignment horizontal="left" vertical="center" wrapText="1"/>
    </xf>
    <xf numFmtId="0" fontId="20" fillId="5" borderId="6" xfId="4" applyFill="1" applyBorder="1" applyAlignment="1">
      <alignment horizontal="left" vertical="center" wrapText="1"/>
    </xf>
    <xf numFmtId="0" fontId="20" fillId="5" borderId="3" xfId="4" applyFill="1" applyBorder="1" applyAlignment="1">
      <alignment horizontal="left" vertical="center" wrapText="1"/>
    </xf>
    <xf numFmtId="0" fontId="9" fillId="0" borderId="0" xfId="2" applyFont="1" applyBorder="1" applyAlignment="1">
      <alignment horizontal="center" vertical="center"/>
    </xf>
    <xf numFmtId="1" fontId="19" fillId="0" borderId="40" xfId="2" applyNumberFormat="1" applyFont="1" applyBorder="1" applyAlignment="1" applyProtection="1">
      <alignment horizontal="center" vertical="center" wrapText="1"/>
      <protection locked="0"/>
    </xf>
    <xf numFmtId="1" fontId="19" fillId="0" borderId="42" xfId="2" applyNumberFormat="1" applyFont="1" applyBorder="1" applyAlignment="1" applyProtection="1">
      <alignment horizontal="center" vertical="center" wrapText="1"/>
      <protection locked="0"/>
    </xf>
    <xf numFmtId="1" fontId="19" fillId="0" borderId="16" xfId="2" applyNumberFormat="1" applyFont="1" applyBorder="1" applyAlignment="1" applyProtection="1">
      <alignment horizontal="center" vertical="center" wrapText="1"/>
      <protection locked="0"/>
    </xf>
    <xf numFmtId="1" fontId="19" fillId="0" borderId="12" xfId="2" applyNumberFormat="1" applyFont="1" applyBorder="1" applyAlignment="1" applyProtection="1">
      <alignment horizontal="center" vertical="center" wrapText="1"/>
      <protection locked="0"/>
    </xf>
    <xf numFmtId="1" fontId="12" fillId="0" borderId="0" xfId="2" applyNumberFormat="1" applyFont="1" applyAlignment="1" applyProtection="1">
      <alignment horizontal="center" vertical="top" wrapText="1"/>
      <protection locked="0"/>
    </xf>
    <xf numFmtId="0" fontId="2" fillId="5" borderId="3"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9" fillId="0" borderId="0" xfId="2" applyFont="1" applyAlignment="1">
      <alignment horizontal="center" vertical="center"/>
    </xf>
    <xf numFmtId="0" fontId="2" fillId="0" borderId="0" xfId="0" applyFont="1" applyAlignment="1">
      <alignment horizontal="center" vertical="top" wrapText="1"/>
    </xf>
    <xf numFmtId="1" fontId="29" fillId="0" borderId="15" xfId="2" applyNumberFormat="1" applyFont="1" applyBorder="1" applyAlignment="1" applyProtection="1">
      <alignment horizontal="center" vertical="center" wrapText="1"/>
      <protection locked="0"/>
    </xf>
    <xf numFmtId="1" fontId="29" fillId="0" borderId="38" xfId="2" applyNumberFormat="1" applyFont="1" applyBorder="1" applyAlignment="1" applyProtection="1">
      <alignment horizontal="center" vertical="center" wrapText="1"/>
      <protection locked="0"/>
    </xf>
    <xf numFmtId="1" fontId="29" fillId="0" borderId="47" xfId="2" applyNumberFormat="1" applyFont="1" applyBorder="1" applyAlignment="1" applyProtection="1">
      <alignment horizontal="center" vertical="center" wrapText="1"/>
      <protection locked="0"/>
    </xf>
    <xf numFmtId="1" fontId="29" fillId="0" borderId="32" xfId="2" applyNumberFormat="1" applyFont="1" applyBorder="1" applyAlignment="1" applyProtection="1">
      <alignment horizontal="center" vertical="center" wrapText="1"/>
      <protection locked="0"/>
    </xf>
    <xf numFmtId="1" fontId="29" fillId="0" borderId="39" xfId="2" applyNumberFormat="1" applyFont="1" applyBorder="1" applyAlignment="1" applyProtection="1">
      <alignment horizontal="center" vertical="center" wrapText="1"/>
      <protection locked="0"/>
    </xf>
    <xf numFmtId="1" fontId="29" fillId="0" borderId="48" xfId="2" applyNumberFormat="1" applyFont="1" applyBorder="1" applyAlignment="1" applyProtection="1">
      <alignment horizontal="center" vertical="center" wrapText="1"/>
      <protection locked="0"/>
    </xf>
    <xf numFmtId="1" fontId="27" fillId="0" borderId="15" xfId="2" applyNumberFormat="1" applyFont="1" applyBorder="1" applyAlignment="1">
      <alignment horizontal="center" vertical="center"/>
    </xf>
    <xf numFmtId="1" fontId="27" fillId="0" borderId="38" xfId="2" applyNumberFormat="1" applyFont="1" applyBorder="1" applyAlignment="1">
      <alignment horizontal="center" vertical="center"/>
    </xf>
    <xf numFmtId="1" fontId="27" fillId="0" borderId="47" xfId="2" applyNumberFormat="1" applyFont="1" applyBorder="1" applyAlignment="1">
      <alignment horizontal="center" vertical="center"/>
    </xf>
    <xf numFmtId="1" fontId="27" fillId="0" borderId="32" xfId="2" applyNumberFormat="1" applyFont="1" applyBorder="1" applyAlignment="1">
      <alignment horizontal="center" vertical="center"/>
    </xf>
    <xf numFmtId="1" fontId="27" fillId="0" borderId="39" xfId="2" applyNumberFormat="1" applyFont="1" applyBorder="1" applyAlignment="1">
      <alignment horizontal="center" vertical="center"/>
    </xf>
    <xf numFmtId="1" fontId="27" fillId="0" borderId="48" xfId="2" applyNumberFormat="1" applyFont="1" applyBorder="1" applyAlignment="1">
      <alignment horizontal="center" vertical="center"/>
    </xf>
    <xf numFmtId="0" fontId="15" fillId="0" borderId="0" xfId="0" applyFont="1" applyAlignment="1">
      <alignment horizontal="center"/>
    </xf>
    <xf numFmtId="0" fontId="0" fillId="0" borderId="0" xfId="0" applyAlignment="1">
      <alignment horizontal="center"/>
    </xf>
    <xf numFmtId="0" fontId="16" fillId="6" borderId="10"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18" fillId="6" borderId="9" xfId="0" applyFont="1" applyFill="1" applyBorder="1" applyAlignment="1">
      <alignment horizontal="left"/>
    </xf>
    <xf numFmtId="0" fontId="18" fillId="6" borderId="10" xfId="0" applyFont="1" applyFill="1" applyBorder="1" applyAlignment="1">
      <alignment horizontal="left"/>
    </xf>
    <xf numFmtId="0" fontId="18" fillId="6" borderId="11" xfId="0" applyFont="1" applyFill="1" applyBorder="1" applyAlignment="1">
      <alignment horizontal="left"/>
    </xf>
    <xf numFmtId="0" fontId="35" fillId="0" borderId="10" xfId="0" applyFont="1" applyFill="1" applyBorder="1" applyAlignment="1">
      <alignment horizontal="left" vertical="center"/>
    </xf>
    <xf numFmtId="0" fontId="35" fillId="0" borderId="11" xfId="0" applyFont="1" applyFill="1" applyBorder="1" applyAlignment="1">
      <alignment horizontal="left" vertical="center"/>
    </xf>
    <xf numFmtId="0" fontId="35" fillId="0" borderId="6" xfId="0" applyFont="1" applyFill="1" applyBorder="1" applyAlignment="1">
      <alignment horizontal="left" vertical="center"/>
    </xf>
    <xf numFmtId="0" fontId="35" fillId="0" borderId="3" xfId="0" applyFont="1" applyFill="1" applyBorder="1" applyAlignment="1">
      <alignment horizontal="left" vertical="center"/>
    </xf>
    <xf numFmtId="1" fontId="28" fillId="0" borderId="23" xfId="0" applyNumberFormat="1" applyFont="1" applyBorder="1" applyAlignment="1" applyProtection="1">
      <alignment horizontal="center" vertical="center"/>
      <protection locked="0"/>
    </xf>
    <xf numFmtId="0" fontId="28" fillId="0" borderId="23" xfId="0" applyFont="1" applyBorder="1" applyAlignment="1" applyProtection="1">
      <alignment horizontal="center" vertical="center"/>
      <protection locked="0"/>
    </xf>
    <xf numFmtId="1" fontId="28" fillId="0" borderId="23" xfId="0" applyNumberFormat="1"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3" fillId="0" borderId="16" xfId="0" applyFont="1" applyBorder="1" applyAlignment="1">
      <alignment horizontal="center" vertical="top"/>
    </xf>
    <xf numFmtId="0" fontId="3" fillId="0" borderId="41" xfId="0" applyFont="1" applyBorder="1" applyAlignment="1">
      <alignment horizontal="center" vertical="top"/>
    </xf>
    <xf numFmtId="0" fontId="2" fillId="5" borderId="56" xfId="0" applyFont="1" applyFill="1" applyBorder="1" applyAlignment="1">
      <alignment horizontal="center" vertical="top" wrapText="1"/>
    </xf>
    <xf numFmtId="0" fontId="2" fillId="5" borderId="57" xfId="0" applyFont="1" applyFill="1" applyBorder="1" applyAlignment="1">
      <alignment horizontal="center" vertical="top" wrapText="1"/>
    </xf>
    <xf numFmtId="0" fontId="2" fillId="5" borderId="58" xfId="0" applyFont="1" applyFill="1" applyBorder="1" applyAlignment="1">
      <alignment horizontal="center" vertical="top" wrapText="1"/>
    </xf>
    <xf numFmtId="0" fontId="34" fillId="4" borderId="13" xfId="0" applyFont="1" applyFill="1" applyBorder="1" applyAlignment="1">
      <alignment horizontal="center" vertical="top" wrapText="1"/>
    </xf>
    <xf numFmtId="0" fontId="34" fillId="4" borderId="6" xfId="0" applyFont="1" applyFill="1" applyBorder="1" applyAlignment="1">
      <alignment horizontal="center" vertical="top" wrapText="1"/>
    </xf>
    <xf numFmtId="0" fontId="34" fillId="4" borderId="3" xfId="0" applyFont="1" applyFill="1" applyBorder="1" applyAlignment="1">
      <alignment horizontal="center" vertical="top" wrapText="1"/>
    </xf>
    <xf numFmtId="0" fontId="2" fillId="5" borderId="42" xfId="0" applyFont="1" applyFill="1" applyBorder="1" applyAlignment="1">
      <alignment horizontal="center" vertical="top" wrapText="1"/>
    </xf>
    <xf numFmtId="0" fontId="2" fillId="5" borderId="12" xfId="0" applyFont="1" applyFill="1" applyBorder="1" applyAlignment="1">
      <alignment horizontal="center" vertical="top" wrapText="1"/>
    </xf>
    <xf numFmtId="0" fontId="3" fillId="0" borderId="9" xfId="0" applyFont="1" applyBorder="1" applyAlignment="1">
      <alignment horizontal="left" vertical="center"/>
    </xf>
    <xf numFmtId="0" fontId="3" fillId="0" borderId="52" xfId="0" applyFont="1" applyBorder="1" applyAlignment="1">
      <alignment horizontal="center" vertical="top"/>
    </xf>
    <xf numFmtId="0" fontId="3" fillId="0" borderId="38" xfId="0" applyFont="1" applyBorder="1" applyAlignment="1">
      <alignment horizontal="center" vertical="top"/>
    </xf>
    <xf numFmtId="0" fontId="3" fillId="0" borderId="5" xfId="0" applyFont="1" applyBorder="1" applyAlignment="1">
      <alignment horizontal="center" vertical="top"/>
    </xf>
    <xf numFmtId="0" fontId="2" fillId="6" borderId="9" xfId="0" applyFont="1" applyFill="1" applyBorder="1" applyAlignment="1">
      <alignment horizontal="center" vertical="top" wrapText="1"/>
    </xf>
    <xf numFmtId="0" fontId="2" fillId="6" borderId="10" xfId="0" applyFont="1" applyFill="1" applyBorder="1" applyAlignment="1">
      <alignment horizontal="center" vertical="top" wrapText="1"/>
    </xf>
    <xf numFmtId="0" fontId="2" fillId="6" borderId="11" xfId="0" applyFont="1" applyFill="1" applyBorder="1" applyAlignment="1">
      <alignment horizontal="center" vertical="top" wrapText="1"/>
    </xf>
    <xf numFmtId="0" fontId="2" fillId="4" borderId="9" xfId="0" applyFont="1" applyFill="1" applyBorder="1" applyAlignment="1">
      <alignment horizontal="center" vertical="top" wrapText="1"/>
    </xf>
    <xf numFmtId="0" fontId="2" fillId="4" borderId="10" xfId="0" applyFont="1" applyFill="1" applyBorder="1" applyAlignment="1">
      <alignment horizontal="center" vertical="top" wrapText="1"/>
    </xf>
    <xf numFmtId="0" fontId="2" fillId="4" borderId="11" xfId="0" applyFont="1" applyFill="1" applyBorder="1" applyAlignment="1">
      <alignment horizontal="center" vertical="top" wrapText="1"/>
    </xf>
    <xf numFmtId="0" fontId="2" fillId="5" borderId="13" xfId="0" applyFont="1" applyFill="1" applyBorder="1" applyAlignment="1">
      <alignment horizontal="center" vertical="top" wrapText="1"/>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26" fillId="0" borderId="13" xfId="0" applyFont="1" applyBorder="1" applyAlignment="1">
      <alignment horizontal="center" vertical="top" wrapText="1"/>
    </xf>
    <xf numFmtId="0" fontId="26" fillId="0" borderId="6" xfId="0" applyFont="1" applyBorder="1" applyAlignment="1">
      <alignment horizontal="center" vertical="top" wrapText="1"/>
    </xf>
    <xf numFmtId="0" fontId="26" fillId="0" borderId="3" xfId="0" applyFont="1" applyBorder="1" applyAlignment="1">
      <alignment horizontal="center" vertical="top" wrapText="1"/>
    </xf>
    <xf numFmtId="0" fontId="26" fillId="0" borderId="13"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3" xfId="0" applyFont="1" applyBorder="1" applyAlignment="1">
      <alignment horizontal="center" vertical="center" wrapText="1"/>
    </xf>
    <xf numFmtId="0" fontId="2" fillId="6" borderId="36" xfId="0" applyFont="1" applyFill="1" applyBorder="1" applyAlignment="1">
      <alignment horizontal="center" vertical="center"/>
    </xf>
    <xf numFmtId="0" fontId="2" fillId="6" borderId="37" xfId="0" applyFont="1" applyFill="1" applyBorder="1" applyAlignment="1">
      <alignment horizontal="center" vertical="center"/>
    </xf>
    <xf numFmtId="0" fontId="2" fillId="6" borderId="51" xfId="0" applyFont="1" applyFill="1" applyBorder="1" applyAlignment="1">
      <alignment horizontal="center" vertical="center"/>
    </xf>
    <xf numFmtId="0" fontId="3" fillId="0" borderId="13"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left" vertical="top" wrapText="1"/>
    </xf>
    <xf numFmtId="0" fontId="0" fillId="0" borderId="10" xfId="0" applyBorder="1" applyAlignment="1">
      <alignment horizontal="center"/>
    </xf>
    <xf numFmtId="0" fontId="0" fillId="0" borderId="11" xfId="0" applyBorder="1" applyAlignment="1">
      <alignment horizontal="center"/>
    </xf>
    <xf numFmtId="49" fontId="0" fillId="0" borderId="10" xfId="0" applyNumberFormat="1" applyBorder="1" applyAlignment="1">
      <alignment horizontal="center"/>
    </xf>
    <xf numFmtId="49" fontId="0" fillId="0" borderId="11" xfId="0" applyNumberFormat="1" applyBorder="1" applyAlignment="1">
      <alignment horizontal="center"/>
    </xf>
    <xf numFmtId="0" fontId="22" fillId="0" borderId="13" xfId="0" applyFont="1" applyBorder="1" applyAlignment="1">
      <alignment horizontal="center" vertical="top" wrapText="1"/>
    </xf>
    <xf numFmtId="0" fontId="22" fillId="0" borderId="6" xfId="0" applyFont="1" applyBorder="1" applyAlignment="1">
      <alignment horizontal="center" vertical="top" wrapText="1"/>
    </xf>
    <xf numFmtId="0" fontId="22" fillId="0" borderId="3" xfId="0" applyFont="1" applyBorder="1" applyAlignment="1">
      <alignment horizontal="center" vertical="top" wrapText="1"/>
    </xf>
    <xf numFmtId="0" fontId="37" fillId="0" borderId="10" xfId="1" applyFont="1" applyBorder="1" applyAlignment="1" applyProtection="1">
      <alignment horizontal="center" vertical="top"/>
      <protection locked="0"/>
    </xf>
    <xf numFmtId="0" fontId="3" fillId="0" borderId="10" xfId="0" applyFont="1" applyBorder="1" applyAlignment="1">
      <alignment horizontal="left" vertical="top"/>
    </xf>
    <xf numFmtId="0" fontId="3" fillId="0" borderId="11" xfId="0" applyFont="1" applyBorder="1" applyAlignment="1">
      <alignment horizontal="left" vertical="top"/>
    </xf>
    <xf numFmtId="0" fontId="37" fillId="0" borderId="11" xfId="1" applyFont="1" applyBorder="1" applyAlignment="1" applyProtection="1">
      <alignment horizontal="center" vertical="top"/>
      <protection locked="0"/>
    </xf>
    <xf numFmtId="14" fontId="34" fillId="0" borderId="10" xfId="0" applyNumberFormat="1" applyFont="1" applyBorder="1" applyAlignment="1">
      <alignment horizontal="center" vertical="center"/>
    </xf>
    <xf numFmtId="0" fontId="34" fillId="0" borderId="10" xfId="0" applyFont="1" applyBorder="1" applyAlignment="1">
      <alignment horizontal="center" vertical="center"/>
    </xf>
    <xf numFmtId="14" fontId="34" fillId="0" borderId="10" xfId="0" applyNumberFormat="1" applyFont="1" applyBorder="1" applyAlignment="1">
      <alignment horizontal="center" vertical="center" wrapText="1"/>
    </xf>
    <xf numFmtId="0" fontId="34" fillId="0" borderId="11" xfId="0" applyFont="1" applyBorder="1" applyAlignment="1">
      <alignment horizontal="center" vertical="center"/>
    </xf>
    <xf numFmtId="1" fontId="28" fillId="0" borderId="16" xfId="0" applyNumberFormat="1"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1" fontId="28" fillId="0" borderId="16" xfId="0" applyNumberFormat="1" applyFont="1" applyBorder="1" applyAlignment="1" applyProtection="1">
      <alignment horizontal="center" vertical="center" wrapText="1"/>
      <protection locked="0"/>
    </xf>
    <xf numFmtId="0" fontId="28" fillId="0" borderId="41" xfId="0" applyFont="1" applyBorder="1" applyAlignment="1" applyProtection="1">
      <alignment horizontal="center" vertical="center" wrapText="1"/>
      <protection locked="0"/>
    </xf>
    <xf numFmtId="0" fontId="19" fillId="6" borderId="53" xfId="2" applyFont="1" applyFill="1" applyBorder="1" applyAlignment="1" applyProtection="1">
      <alignment horizontal="center" vertical="center"/>
      <protection locked="0"/>
    </xf>
    <xf numFmtId="0" fontId="19" fillId="6" borderId="39" xfId="2" applyFont="1" applyFill="1" applyBorder="1" applyAlignment="1" applyProtection="1">
      <alignment horizontal="center" vertical="center"/>
      <protection locked="0"/>
    </xf>
    <xf numFmtId="0" fontId="19" fillId="6" borderId="54" xfId="2" applyFont="1" applyFill="1" applyBorder="1" applyAlignment="1" applyProtection="1">
      <alignment horizontal="center" vertical="center"/>
      <protection locked="0"/>
    </xf>
    <xf numFmtId="0" fontId="2" fillId="5" borderId="40" xfId="0" applyFont="1" applyFill="1" applyBorder="1" applyAlignment="1">
      <alignment horizontal="center" vertical="top" wrapText="1"/>
    </xf>
    <xf numFmtId="0" fontId="2" fillId="5" borderId="16" xfId="0" applyFont="1" applyFill="1" applyBorder="1" applyAlignment="1">
      <alignment horizontal="center" vertical="top" wrapText="1"/>
    </xf>
    <xf numFmtId="0" fontId="19" fillId="0" borderId="8" xfId="2" applyFont="1" applyBorder="1" applyAlignment="1" applyProtection="1">
      <alignment horizontal="center" vertical="top"/>
      <protection locked="0"/>
    </xf>
    <xf numFmtId="0" fontId="19" fillId="0" borderId="6" xfId="2" applyFont="1" applyBorder="1" applyAlignment="1" applyProtection="1">
      <alignment horizontal="center" vertical="top"/>
      <protection locked="0"/>
    </xf>
    <xf numFmtId="0" fontId="19" fillId="0" borderId="3" xfId="2" applyFont="1" applyBorder="1" applyAlignment="1" applyProtection="1">
      <alignment horizontal="center" vertical="top"/>
      <protection locked="0"/>
    </xf>
    <xf numFmtId="1" fontId="29" fillId="0" borderId="13" xfId="2" applyNumberFormat="1" applyFont="1" applyBorder="1" applyAlignment="1" applyProtection="1">
      <alignment horizontal="center" vertical="center" wrapText="1"/>
      <protection locked="0"/>
    </xf>
    <xf numFmtId="1" fontId="29" fillId="0" borderId="6" xfId="2" applyNumberFormat="1" applyFont="1" applyBorder="1" applyAlignment="1" applyProtection="1">
      <alignment horizontal="center" vertical="center" wrapText="1"/>
      <protection locked="0"/>
    </xf>
    <xf numFmtId="1" fontId="29" fillId="0" borderId="7" xfId="2" applyNumberFormat="1" applyFont="1" applyBorder="1" applyAlignment="1" applyProtection="1">
      <alignment horizontal="center" vertical="center" wrapText="1"/>
      <protection locked="0"/>
    </xf>
    <xf numFmtId="1" fontId="3" fillId="0" borderId="13" xfId="0" applyNumberFormat="1" applyFont="1" applyBorder="1" applyAlignment="1" applyProtection="1">
      <alignment horizontal="center" vertical="center"/>
      <protection locked="0"/>
    </xf>
    <xf numFmtId="1" fontId="3" fillId="0" borderId="7" xfId="0" applyNumberFormat="1" applyFont="1" applyBorder="1" applyAlignment="1" applyProtection="1">
      <alignment horizontal="center" vertical="center"/>
      <protection locked="0"/>
    </xf>
    <xf numFmtId="1" fontId="3" fillId="0" borderId="3" xfId="0" applyNumberFormat="1" applyFont="1" applyBorder="1" applyAlignment="1" applyProtection="1">
      <alignment horizontal="center" vertical="center"/>
      <protection locked="0"/>
    </xf>
    <xf numFmtId="1" fontId="29" fillId="0" borderId="41" xfId="2" applyNumberFormat="1" applyFont="1" applyBorder="1" applyAlignment="1" applyProtection="1">
      <alignment horizontal="center" vertical="center" wrapText="1"/>
      <protection locked="0"/>
    </xf>
    <xf numFmtId="1" fontId="29" fillId="0" borderId="55" xfId="2" applyNumberFormat="1" applyFont="1" applyBorder="1" applyAlignment="1" applyProtection="1">
      <alignment horizontal="center" vertical="center" wrapText="1"/>
      <protection locked="0"/>
    </xf>
    <xf numFmtId="1" fontId="29" fillId="0" borderId="43" xfId="2" applyNumberFormat="1" applyFont="1" applyBorder="1" applyAlignment="1" applyProtection="1">
      <alignment horizontal="center" vertical="center" wrapText="1"/>
      <protection locked="0"/>
    </xf>
    <xf numFmtId="1" fontId="19" fillId="0" borderId="15" xfId="2" applyNumberFormat="1" applyFont="1" applyBorder="1" applyAlignment="1" applyProtection="1">
      <alignment horizontal="center" vertical="center" wrapText="1"/>
      <protection locked="0"/>
    </xf>
    <xf numFmtId="1" fontId="19" fillId="0" borderId="32" xfId="2" applyNumberFormat="1" applyFont="1" applyBorder="1" applyAlignment="1" applyProtection="1">
      <alignment horizontal="center" vertical="center" wrapText="1"/>
      <protection locked="0"/>
    </xf>
    <xf numFmtId="1" fontId="28" fillId="0" borderId="45" xfId="0" applyNumberFormat="1" applyFont="1" applyBorder="1" applyAlignment="1" applyProtection="1">
      <alignment horizontal="center" vertical="center"/>
      <protection locked="0"/>
    </xf>
    <xf numFmtId="0" fontId="28" fillId="0" borderId="45" xfId="0" applyFont="1" applyBorder="1" applyAlignment="1" applyProtection="1">
      <alignment horizontal="center" vertical="center"/>
      <protection locked="0"/>
    </xf>
    <xf numFmtId="0" fontId="28" fillId="0" borderId="46" xfId="0" applyFont="1" applyBorder="1" applyAlignment="1" applyProtection="1">
      <alignment horizontal="center" vertical="center"/>
      <protection locked="0"/>
    </xf>
    <xf numFmtId="0" fontId="8" fillId="0" borderId="26" xfId="2" applyFont="1" applyBorder="1" applyAlignment="1" applyProtection="1">
      <alignment horizontal="left" vertical="top" wrapText="1"/>
      <protection locked="0"/>
    </xf>
    <xf numFmtId="0" fontId="8" fillId="0" borderId="27" xfId="2" applyFont="1" applyBorder="1" applyAlignment="1" applyProtection="1">
      <alignment horizontal="left" vertical="top" wrapText="1"/>
      <protection locked="0"/>
    </xf>
    <xf numFmtId="0" fontId="8" fillId="0" borderId="28" xfId="2" applyFont="1" applyBorder="1" applyAlignment="1" applyProtection="1">
      <alignment horizontal="left" vertical="top" wrapText="1"/>
      <protection locked="0"/>
    </xf>
    <xf numFmtId="0" fontId="8" fillId="0" borderId="29" xfId="2" applyFont="1" applyBorder="1" applyAlignment="1" applyProtection="1">
      <alignment horizontal="left" vertical="top" wrapText="1"/>
      <protection locked="0"/>
    </xf>
    <xf numFmtId="0" fontId="8" fillId="0" borderId="30" xfId="2" applyFont="1" applyBorder="1" applyAlignment="1" applyProtection="1">
      <alignment horizontal="left" vertical="top" wrapText="1"/>
      <protection locked="0"/>
    </xf>
    <xf numFmtId="0" fontId="8" fillId="0" borderId="9" xfId="2" applyFont="1" applyBorder="1" applyAlignment="1" applyProtection="1">
      <alignment horizontal="left" vertical="top"/>
      <protection locked="0"/>
    </xf>
    <xf numFmtId="0" fontId="8" fillId="0" borderId="10" xfId="2" applyFont="1" applyBorder="1" applyAlignment="1" applyProtection="1">
      <alignment horizontal="left" vertical="top"/>
      <protection locked="0"/>
    </xf>
    <xf numFmtId="0" fontId="8" fillId="0" borderId="10" xfId="2" applyFont="1" applyBorder="1" applyAlignment="1" applyProtection="1">
      <alignment horizontal="left" vertical="top" wrapText="1"/>
      <protection locked="0"/>
    </xf>
    <xf numFmtId="0" fontId="8" fillId="0" borderId="11" xfId="2" applyFont="1" applyBorder="1" applyAlignment="1" applyProtection="1">
      <alignment horizontal="left" vertical="top" wrapText="1"/>
      <protection locked="0"/>
    </xf>
    <xf numFmtId="0" fontId="9" fillId="0" borderId="9" xfId="2" applyFont="1" applyBorder="1" applyAlignment="1" applyProtection="1">
      <alignment horizontal="center" vertical="top" wrapText="1"/>
      <protection locked="0"/>
    </xf>
    <xf numFmtId="0" fontId="9" fillId="0" borderId="10" xfId="2" applyFont="1" applyBorder="1" applyAlignment="1" applyProtection="1">
      <alignment horizontal="center" vertical="top" wrapText="1"/>
      <protection locked="0"/>
    </xf>
    <xf numFmtId="0" fontId="9" fillId="0" borderId="11" xfId="2" applyFont="1" applyBorder="1" applyAlignment="1" applyProtection="1">
      <alignment horizontal="center" vertical="top" wrapText="1"/>
      <protection locked="0"/>
    </xf>
    <xf numFmtId="0" fontId="9" fillId="0" borderId="22" xfId="2" applyFont="1" applyBorder="1" applyAlignment="1" applyProtection="1">
      <alignment horizontal="center" vertical="top" wrapText="1"/>
      <protection locked="0"/>
    </xf>
    <xf numFmtId="0" fontId="9" fillId="0" borderId="23" xfId="2" applyFont="1" applyBorder="1" applyAlignment="1" applyProtection="1">
      <alignment horizontal="center" vertical="top" wrapText="1"/>
      <protection locked="0"/>
    </xf>
    <xf numFmtId="9" fontId="9" fillId="4" borderId="10" xfId="2" applyNumberFormat="1" applyFont="1" applyFill="1" applyBorder="1" applyAlignment="1" applyProtection="1">
      <alignment horizontal="center" vertical="center" wrapText="1"/>
      <protection hidden="1"/>
    </xf>
    <xf numFmtId="9" fontId="9" fillId="4" borderId="23" xfId="2" applyNumberFormat="1" applyFont="1" applyFill="1" applyBorder="1" applyAlignment="1" applyProtection="1">
      <alignment horizontal="center" vertical="center" wrapText="1"/>
      <protection hidden="1"/>
    </xf>
    <xf numFmtId="9" fontId="9" fillId="4" borderId="11" xfId="2" applyNumberFormat="1" applyFont="1" applyFill="1" applyBorder="1" applyAlignment="1" applyProtection="1">
      <alignment horizontal="center" vertical="center" wrapText="1"/>
      <protection hidden="1"/>
    </xf>
    <xf numFmtId="9" fontId="9" fillId="4" borderId="31" xfId="2" applyNumberFormat="1" applyFont="1" applyFill="1" applyBorder="1" applyAlignment="1" applyProtection="1">
      <alignment horizontal="center" vertical="center" wrapText="1"/>
      <protection hidden="1"/>
    </xf>
    <xf numFmtId="0" fontId="9" fillId="0" borderId="9" xfId="2" applyFont="1" applyBorder="1" applyAlignment="1" applyProtection="1">
      <alignment horizontal="center" vertical="top"/>
      <protection locked="0"/>
    </xf>
    <xf numFmtId="0" fontId="9" fillId="0" borderId="10" xfId="2" applyFont="1" applyBorder="1" applyAlignment="1" applyProtection="1">
      <alignment horizontal="center" vertical="top"/>
      <protection locked="0"/>
    </xf>
    <xf numFmtId="0" fontId="3" fillId="5" borderId="9" xfId="2" applyFont="1" applyFill="1" applyBorder="1" applyAlignment="1" applyProtection="1">
      <alignment horizontal="center" vertical="top" wrapText="1"/>
      <protection locked="0"/>
    </xf>
    <xf numFmtId="0" fontId="35" fillId="0" borderId="59" xfId="0" applyFont="1" applyFill="1" applyBorder="1" applyAlignment="1">
      <alignment horizontal="left" vertical="center" wrapText="1"/>
    </xf>
    <xf numFmtId="0" fontId="35" fillId="0" borderId="25" xfId="0" applyFont="1" applyFill="1" applyBorder="1" applyAlignment="1">
      <alignment horizontal="left" vertical="center" wrapText="1"/>
    </xf>
    <xf numFmtId="0" fontId="35" fillId="0" borderId="24"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39" xfId="0" applyFont="1" applyFill="1" applyBorder="1" applyAlignment="1">
      <alignment horizontal="left" vertical="center" wrapText="1"/>
    </xf>
    <xf numFmtId="0" fontId="35" fillId="0" borderId="54" xfId="0" applyFont="1" applyFill="1" applyBorder="1" applyAlignment="1">
      <alignment horizontal="left" vertical="center" wrapText="1"/>
    </xf>
  </cellXfs>
  <cellStyles count="5">
    <cellStyle name="Excel Built-in Normal" xfId="3"/>
    <cellStyle name="Hyperlink" xfId="4"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emf"/><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1109374</xdr:colOff>
      <xdr:row>741</xdr:row>
      <xdr:rowOff>27754</xdr:rowOff>
    </xdr:from>
    <xdr:to>
      <xdr:col>4</xdr:col>
      <xdr:colOff>749797</xdr:colOff>
      <xdr:row>756</xdr:row>
      <xdr:rowOff>50254</xdr:rowOff>
    </xdr:to>
    <xdr:pic>
      <xdr:nvPicPr>
        <xdr:cNvPr id="2" name="Picture 1"/>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1109374" y="90873842"/>
          <a:ext cx="4384896" cy="2880000"/>
        </a:xfrm>
        <a:prstGeom prst="rect">
          <a:avLst/>
        </a:prstGeom>
        <a:ln>
          <a:solidFill>
            <a:schemeClr val="tx1"/>
          </a:solidFill>
        </a:ln>
      </xdr:spPr>
    </xdr:pic>
    <xdr:clientData/>
  </xdr:twoCellAnchor>
  <xdr:twoCellAnchor editAs="oneCell">
    <xdr:from>
      <xdr:col>0</xdr:col>
      <xdr:colOff>918873</xdr:colOff>
      <xdr:row>720</xdr:row>
      <xdr:rowOff>0</xdr:rowOff>
    </xdr:from>
    <xdr:to>
      <xdr:col>4</xdr:col>
      <xdr:colOff>872377</xdr:colOff>
      <xdr:row>740</xdr:row>
      <xdr:rowOff>150000</xdr:rowOff>
    </xdr:to>
    <xdr:pic>
      <xdr:nvPicPr>
        <xdr:cNvPr id="3" name="Picture 2"/>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918873" y="86845588"/>
          <a:ext cx="4765212" cy="3960000"/>
        </a:xfrm>
        <a:prstGeom prst="rect">
          <a:avLst/>
        </a:prstGeom>
        <a:ln>
          <a:solidFill>
            <a:schemeClr val="tx1"/>
          </a:solidFill>
        </a:ln>
      </xdr:spPr>
    </xdr:pic>
    <xdr:clientData/>
  </xdr:twoCellAnchor>
  <xdr:twoCellAnchor>
    <xdr:from>
      <xdr:col>1</xdr:col>
      <xdr:colOff>968502</xdr:colOff>
      <xdr:row>722</xdr:row>
      <xdr:rowOff>136071</xdr:rowOff>
    </xdr:from>
    <xdr:to>
      <xdr:col>3</xdr:col>
      <xdr:colOff>181689</xdr:colOff>
      <xdr:row>731</xdr:row>
      <xdr:rowOff>163286</xdr:rowOff>
    </xdr:to>
    <xdr:sp macro="" textlink="">
      <xdr:nvSpPr>
        <xdr:cNvPr id="4" name="Freeform 3"/>
        <xdr:cNvSpPr/>
      </xdr:nvSpPr>
      <xdr:spPr>
        <a:xfrm>
          <a:off x="2279590" y="87362659"/>
          <a:ext cx="1319893" cy="1741715"/>
        </a:xfrm>
        <a:custGeom>
          <a:avLst/>
          <a:gdLst>
            <a:gd name="connsiteX0" fmla="*/ 1319893 w 1319893"/>
            <a:gd name="connsiteY0" fmla="*/ 0 h 1741715"/>
            <a:gd name="connsiteX1" fmla="*/ 1088572 w 1319893"/>
            <a:gd name="connsiteY1" fmla="*/ 176893 h 1741715"/>
            <a:gd name="connsiteX2" fmla="*/ 857250 w 1319893"/>
            <a:gd name="connsiteY2" fmla="*/ 54429 h 1741715"/>
            <a:gd name="connsiteX3" fmla="*/ 775608 w 1319893"/>
            <a:gd name="connsiteY3" fmla="*/ 489858 h 1741715"/>
            <a:gd name="connsiteX4" fmla="*/ 231322 w 1319893"/>
            <a:gd name="connsiteY4" fmla="*/ 394608 h 1741715"/>
            <a:gd name="connsiteX5" fmla="*/ 0 w 1319893"/>
            <a:gd name="connsiteY5" fmla="*/ 1592036 h 1741715"/>
            <a:gd name="connsiteX6" fmla="*/ 1034143 w 1319893"/>
            <a:gd name="connsiteY6" fmla="*/ 1741715 h 1741715"/>
            <a:gd name="connsiteX7" fmla="*/ 1319893 w 1319893"/>
            <a:gd name="connsiteY7" fmla="*/ 0 h 174171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319893" h="1741715">
              <a:moveTo>
                <a:pt x="1319893" y="0"/>
              </a:moveTo>
              <a:lnTo>
                <a:pt x="1088572" y="176893"/>
              </a:lnTo>
              <a:lnTo>
                <a:pt x="857250" y="54429"/>
              </a:lnTo>
              <a:lnTo>
                <a:pt x="775608" y="489858"/>
              </a:lnTo>
              <a:lnTo>
                <a:pt x="231322" y="394608"/>
              </a:lnTo>
              <a:lnTo>
                <a:pt x="0" y="1592036"/>
              </a:lnTo>
              <a:lnTo>
                <a:pt x="1034143" y="1741715"/>
              </a:lnTo>
              <a:lnTo>
                <a:pt x="1319893" y="0"/>
              </a:lnTo>
              <a:close/>
            </a:path>
          </a:pathLst>
        </a:cu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editAs="oneCell">
    <xdr:from>
      <xdr:col>0</xdr:col>
      <xdr:colOff>885264</xdr:colOff>
      <xdr:row>627</xdr:row>
      <xdr:rowOff>33617</xdr:rowOff>
    </xdr:from>
    <xdr:to>
      <xdr:col>5</xdr:col>
      <xdr:colOff>231508</xdr:colOff>
      <xdr:row>652</xdr:row>
      <xdr:rowOff>45006</xdr:rowOff>
    </xdr:to>
    <xdr:pic>
      <xdr:nvPicPr>
        <xdr:cNvPr id="14" name="Picture 13"/>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885264" y="134627470"/>
          <a:ext cx="5176713" cy="4773889"/>
        </a:xfrm>
        <a:prstGeom prst="rect">
          <a:avLst/>
        </a:prstGeom>
        <a:ln>
          <a:solidFill>
            <a:schemeClr val="tx1"/>
          </a:solidFill>
        </a:ln>
      </xdr:spPr>
    </xdr:pic>
    <xdr:clientData/>
  </xdr:twoCellAnchor>
  <xdr:twoCellAnchor editAs="oneCell">
    <xdr:from>
      <xdr:col>0</xdr:col>
      <xdr:colOff>517072</xdr:colOff>
      <xdr:row>673</xdr:row>
      <xdr:rowOff>13607</xdr:rowOff>
    </xdr:from>
    <xdr:to>
      <xdr:col>5</xdr:col>
      <xdr:colOff>489453</xdr:colOff>
      <xdr:row>712</xdr:row>
      <xdr:rowOff>180107</xdr:rowOff>
    </xdr:to>
    <xdr:pic>
      <xdr:nvPicPr>
        <xdr:cNvPr id="16" name="Picture 15"/>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517072" y="142439571"/>
          <a:ext cx="5415238" cy="7596000"/>
        </a:xfrm>
        <a:prstGeom prst="rect">
          <a:avLst/>
        </a:prstGeom>
        <a:ln>
          <a:solidFill>
            <a:schemeClr val="tx1"/>
          </a:solidFill>
        </a:ln>
      </xdr:spPr>
    </xdr:pic>
    <xdr:clientData/>
  </xdr:twoCellAnchor>
  <xdr:twoCellAnchor>
    <xdr:from>
      <xdr:col>0</xdr:col>
      <xdr:colOff>142874</xdr:colOff>
      <xdr:row>580</xdr:row>
      <xdr:rowOff>104775</xdr:rowOff>
    </xdr:from>
    <xdr:to>
      <xdr:col>5</xdr:col>
      <xdr:colOff>1016793</xdr:colOff>
      <xdr:row>616</xdr:row>
      <xdr:rowOff>142874</xdr:rowOff>
    </xdr:to>
    <xdr:grpSp>
      <xdr:nvGrpSpPr>
        <xdr:cNvPr id="22" name="Group 21"/>
        <xdr:cNvGrpSpPr/>
      </xdr:nvGrpSpPr>
      <xdr:grpSpPr>
        <a:xfrm>
          <a:off x="142874" y="123825000"/>
          <a:ext cx="6303169" cy="6896099"/>
          <a:chOff x="142874" y="124529850"/>
          <a:chExt cx="6303169" cy="6896099"/>
        </a:xfrm>
      </xdr:grpSpPr>
      <xdr:pic>
        <xdr:nvPicPr>
          <xdr:cNvPr id="17" name="Picture 16" descr="https://vsjcllp.vsjadon.com/upload/insp-242930-862.jpeg"/>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a:ext>
            </a:extLst>
          </a:blip>
          <a:srcRect/>
          <a:stretch>
            <a:fillRect/>
          </a:stretch>
        </xdr:blipFill>
        <xdr:spPr bwMode="auto">
          <a:xfrm>
            <a:off x="4410074" y="128711324"/>
            <a:ext cx="2035969" cy="27146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18" name="Picture 17" descr="https://vsjcllp.vsjadon.com/upload/insp-242930-860.jpeg"/>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a:ext>
            </a:extLst>
          </a:blip>
          <a:srcRect/>
          <a:stretch>
            <a:fillRect/>
          </a:stretch>
        </xdr:blipFill>
        <xdr:spPr bwMode="auto">
          <a:xfrm>
            <a:off x="2276476" y="128709736"/>
            <a:ext cx="2037242" cy="27146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19" name="Picture 18" descr="https://vsjcllp.vsjadon.com/upload/insp-242930-848.jpeg"/>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a:ext>
            </a:extLst>
          </a:blip>
          <a:srcRect/>
          <a:stretch>
            <a:fillRect/>
          </a:stretch>
        </xdr:blipFill>
        <xdr:spPr bwMode="auto">
          <a:xfrm>
            <a:off x="142874" y="128711324"/>
            <a:ext cx="2035969" cy="27146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0" name="Picture 19" descr="https://vsjcllp.vsjadon.com/upload/insp-242930-847.jpeg"/>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a:ext>
            </a:extLst>
          </a:blip>
          <a:srcRect/>
          <a:stretch>
            <a:fillRect/>
          </a:stretch>
        </xdr:blipFill>
        <xdr:spPr bwMode="auto">
          <a:xfrm>
            <a:off x="3343275" y="124529850"/>
            <a:ext cx="3064669" cy="40862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1" name="Picture 20" descr="https://vsjcllp.vsjadon.com/upload/insp-242930-845.jpg"/>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a:ext>
            </a:extLst>
          </a:blip>
          <a:srcRect/>
          <a:stretch>
            <a:fillRect/>
          </a:stretch>
        </xdr:blipFill>
        <xdr:spPr bwMode="auto">
          <a:xfrm>
            <a:off x="171450" y="124529850"/>
            <a:ext cx="3064669" cy="40862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goo.gl/maps/3ycddBWjNprJSTFr8" TargetMode="External"/><Relationship Id="rId1" Type="http://schemas.openxmlformats.org/officeDocument/2006/relationships/hyperlink" Target="mailto:vsjc.apf@gmail.com"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760"/>
  <sheetViews>
    <sheetView tabSelected="1" view="pageBreakPreview" zoomScaleNormal="100" zoomScaleSheetLayoutView="100" workbookViewId="0">
      <selection activeCell="H85" sqref="H85"/>
    </sheetView>
  </sheetViews>
  <sheetFormatPr defaultRowHeight="15" x14ac:dyDescent="0.25"/>
  <cols>
    <col min="1" max="1" width="18.28515625" style="52" customWidth="1"/>
    <col min="2" max="2" width="16.28515625" customWidth="1"/>
    <col min="3" max="3" width="13.85546875" customWidth="1"/>
    <col min="4" max="4" width="17.7109375" customWidth="1"/>
    <col min="5" max="5" width="15.28515625" customWidth="1"/>
    <col min="6" max="6" width="16.28515625" customWidth="1"/>
    <col min="9" max="9" width="23.5703125" customWidth="1"/>
  </cols>
  <sheetData>
    <row r="1" spans="1:12" x14ac:dyDescent="0.25">
      <c r="A1" s="294" t="s">
        <v>0</v>
      </c>
      <c r="B1" s="295"/>
      <c r="C1" s="295"/>
      <c r="D1" s="295"/>
      <c r="E1" s="295"/>
      <c r="F1" s="296"/>
      <c r="G1" s="62"/>
      <c r="H1" s="62"/>
      <c r="I1" s="62"/>
      <c r="J1" s="62"/>
      <c r="K1" s="62"/>
      <c r="L1" s="62"/>
    </row>
    <row r="2" spans="1:12" ht="31.5" customHeight="1" x14ac:dyDescent="0.25">
      <c r="A2" s="139" t="s">
        <v>68</v>
      </c>
      <c r="B2" s="297" t="s">
        <v>286</v>
      </c>
      <c r="C2" s="297"/>
      <c r="D2" s="297"/>
      <c r="E2" s="70" t="s">
        <v>1</v>
      </c>
      <c r="F2" s="140" t="s">
        <v>287</v>
      </c>
      <c r="G2" s="62"/>
      <c r="H2" s="62"/>
      <c r="I2" s="62"/>
      <c r="J2" s="62"/>
      <c r="K2" s="62"/>
      <c r="L2" s="62"/>
    </row>
    <row r="3" spans="1:12" x14ac:dyDescent="0.25">
      <c r="A3" s="298" t="s">
        <v>69</v>
      </c>
      <c r="B3" s="299"/>
      <c r="C3" s="299"/>
      <c r="D3" s="299"/>
      <c r="E3" s="299"/>
      <c r="F3" s="300"/>
      <c r="G3" s="62"/>
      <c r="H3" s="62"/>
      <c r="I3" s="62"/>
      <c r="J3" s="62"/>
      <c r="K3" s="62"/>
      <c r="L3" s="62"/>
    </row>
    <row r="4" spans="1:12" ht="15" customHeight="1" x14ac:dyDescent="0.25">
      <c r="A4" s="301" t="s">
        <v>75</v>
      </c>
      <c r="B4" s="286"/>
      <c r="C4" s="277" t="s">
        <v>248</v>
      </c>
      <c r="D4" s="278"/>
      <c r="E4" s="278"/>
      <c r="F4" s="279"/>
      <c r="G4" s="62"/>
      <c r="H4" s="62"/>
      <c r="I4" s="62"/>
      <c r="J4" s="62"/>
      <c r="K4" s="62"/>
      <c r="L4" s="62"/>
    </row>
    <row r="5" spans="1:12" ht="15" customHeight="1" x14ac:dyDescent="0.25">
      <c r="A5" s="304" t="s">
        <v>70</v>
      </c>
      <c r="B5" s="305"/>
      <c r="C5" s="277" t="s">
        <v>249</v>
      </c>
      <c r="D5" s="278"/>
      <c r="E5" s="278"/>
      <c r="F5" s="279"/>
      <c r="G5" s="62"/>
      <c r="H5" s="62"/>
      <c r="I5" s="62"/>
      <c r="J5" s="62"/>
      <c r="K5" s="62"/>
      <c r="L5" s="62"/>
    </row>
    <row r="6" spans="1:12" ht="15" customHeight="1" x14ac:dyDescent="0.25">
      <c r="A6" s="280" t="s">
        <v>71</v>
      </c>
      <c r="B6" s="281"/>
      <c r="C6" s="306" t="s">
        <v>250</v>
      </c>
      <c r="D6" s="307"/>
      <c r="E6" s="307"/>
      <c r="F6" s="308"/>
      <c r="G6" s="62"/>
      <c r="H6" s="62"/>
      <c r="I6" s="62"/>
      <c r="J6" s="62"/>
      <c r="K6" s="62"/>
      <c r="L6" s="62"/>
    </row>
    <row r="7" spans="1:12" ht="15" customHeight="1" x14ac:dyDescent="0.25">
      <c r="A7" s="280" t="s">
        <v>74</v>
      </c>
      <c r="B7" s="281"/>
      <c r="C7" s="277" t="s">
        <v>251</v>
      </c>
      <c r="D7" s="278"/>
      <c r="E7" s="278"/>
      <c r="F7" s="279"/>
      <c r="G7" s="62"/>
      <c r="H7" s="62"/>
      <c r="I7" s="62"/>
      <c r="J7" s="62"/>
      <c r="K7" s="62"/>
      <c r="L7" s="62"/>
    </row>
    <row r="8" spans="1:12" ht="15" customHeight="1" x14ac:dyDescent="0.25">
      <c r="A8" s="280" t="s">
        <v>72</v>
      </c>
      <c r="B8" s="281"/>
      <c r="C8" s="277"/>
      <c r="D8" s="278"/>
      <c r="E8" s="278"/>
      <c r="F8" s="279"/>
      <c r="G8" s="62"/>
      <c r="H8" s="62"/>
      <c r="I8" s="62"/>
      <c r="J8" s="62"/>
      <c r="K8" s="62"/>
      <c r="L8" s="62"/>
    </row>
    <row r="9" spans="1:12" ht="33" customHeight="1" x14ac:dyDescent="0.25">
      <c r="A9" s="280" t="s">
        <v>73</v>
      </c>
      <c r="B9" s="281"/>
      <c r="C9" s="277" t="s">
        <v>386</v>
      </c>
      <c r="D9" s="278"/>
      <c r="E9" s="278"/>
      <c r="F9" s="279"/>
      <c r="G9" s="62"/>
      <c r="H9" s="62"/>
      <c r="I9" s="62"/>
      <c r="J9" s="62"/>
      <c r="K9" s="62"/>
      <c r="L9" s="62"/>
    </row>
    <row r="10" spans="1:12" x14ac:dyDescent="0.25">
      <c r="A10" s="298" t="s">
        <v>76</v>
      </c>
      <c r="B10" s="299"/>
      <c r="C10" s="299"/>
      <c r="D10" s="299"/>
      <c r="E10" s="299"/>
      <c r="F10" s="300"/>
      <c r="G10" s="62"/>
      <c r="H10" s="62"/>
      <c r="I10" s="62"/>
      <c r="J10" s="62"/>
      <c r="K10" s="62"/>
      <c r="L10" s="62"/>
    </row>
    <row r="11" spans="1:12" ht="24" x14ac:dyDescent="0.25">
      <c r="A11" s="141" t="s">
        <v>81</v>
      </c>
      <c r="B11" s="159">
        <v>45874</v>
      </c>
      <c r="C11" s="47" t="s">
        <v>93</v>
      </c>
      <c r="D11" s="46" t="s">
        <v>387</v>
      </c>
      <c r="E11" s="47" t="s">
        <v>285</v>
      </c>
      <c r="F11" s="142">
        <v>45096</v>
      </c>
      <c r="G11" s="62"/>
      <c r="H11" s="62"/>
      <c r="I11" s="67"/>
      <c r="J11" s="67"/>
      <c r="K11" s="67"/>
      <c r="L11" s="67"/>
    </row>
    <row r="12" spans="1:12" x14ac:dyDescent="0.25">
      <c r="A12" s="141" t="s">
        <v>82</v>
      </c>
      <c r="B12" s="116">
        <v>45877</v>
      </c>
      <c r="C12" s="286" t="s">
        <v>94</v>
      </c>
      <c r="D12" s="286"/>
      <c r="E12" s="284" t="s">
        <v>389</v>
      </c>
      <c r="F12" s="285"/>
      <c r="G12" s="62"/>
      <c r="H12" s="62"/>
      <c r="I12" s="250"/>
      <c r="J12" s="250"/>
      <c r="K12" s="67"/>
      <c r="L12" s="67"/>
    </row>
    <row r="13" spans="1:12" x14ac:dyDescent="0.25">
      <c r="A13" s="141" t="s">
        <v>83</v>
      </c>
      <c r="B13" s="83" t="str">
        <f ca="1">TEXT(TODAY(),"DD/MM/YYYY")</f>
        <v>11/08/2025</v>
      </c>
      <c r="C13" s="286" t="s">
        <v>95</v>
      </c>
      <c r="D13" s="286"/>
      <c r="E13" s="284" t="s">
        <v>388</v>
      </c>
      <c r="F13" s="285"/>
      <c r="G13" s="62"/>
      <c r="H13" s="62"/>
      <c r="I13" s="250"/>
      <c r="J13" s="250"/>
      <c r="K13" s="67"/>
      <c r="L13" s="67"/>
    </row>
    <row r="14" spans="1:12" x14ac:dyDescent="0.25">
      <c r="A14" s="255" t="s">
        <v>77</v>
      </c>
      <c r="B14" s="256"/>
      <c r="C14" s="256"/>
      <c r="D14" s="256"/>
      <c r="E14" s="256"/>
      <c r="F14" s="257"/>
      <c r="G14" s="62"/>
      <c r="H14" s="62"/>
      <c r="I14" s="62"/>
      <c r="J14" s="62"/>
      <c r="K14" s="62"/>
      <c r="L14" s="62"/>
    </row>
    <row r="15" spans="1:12" x14ac:dyDescent="0.25">
      <c r="A15" s="225" t="s">
        <v>78</v>
      </c>
      <c r="B15" s="226"/>
      <c r="C15" s="248" t="s">
        <v>288</v>
      </c>
      <c r="D15" s="248"/>
      <c r="E15" s="248"/>
      <c r="F15" s="249"/>
      <c r="G15" s="62"/>
      <c r="H15" s="62"/>
      <c r="I15" s="62"/>
      <c r="J15" s="62"/>
      <c r="K15" s="62"/>
      <c r="L15" s="62"/>
    </row>
    <row r="16" spans="1:12" x14ac:dyDescent="0.25">
      <c r="A16" s="255" t="s">
        <v>79</v>
      </c>
      <c r="B16" s="256"/>
      <c r="C16" s="256"/>
      <c r="D16" s="256"/>
      <c r="E16" s="256"/>
      <c r="F16" s="257"/>
      <c r="G16" s="62"/>
      <c r="H16" s="62"/>
      <c r="I16" s="62"/>
      <c r="J16" s="62"/>
      <c r="K16" s="62"/>
      <c r="L16" s="62"/>
    </row>
    <row r="17" spans="1:12" x14ac:dyDescent="0.25">
      <c r="A17" s="143" t="s">
        <v>68</v>
      </c>
      <c r="B17" s="258" t="s">
        <v>286</v>
      </c>
      <c r="C17" s="236"/>
      <c r="D17" s="236"/>
      <c r="E17" s="236"/>
      <c r="F17" s="237"/>
      <c r="G17" s="62"/>
      <c r="H17" s="62"/>
      <c r="I17" s="62"/>
      <c r="J17" s="62"/>
      <c r="K17" s="62"/>
      <c r="L17" s="62"/>
    </row>
    <row r="18" spans="1:12" x14ac:dyDescent="0.25">
      <c r="A18" s="143" t="s">
        <v>289</v>
      </c>
      <c r="B18" s="259" t="s">
        <v>290</v>
      </c>
      <c r="C18" s="259"/>
      <c r="D18" s="84" t="s">
        <v>80</v>
      </c>
      <c r="E18" s="259" t="s">
        <v>291</v>
      </c>
      <c r="F18" s="260"/>
      <c r="G18" s="62"/>
      <c r="H18" s="62"/>
      <c r="I18" s="62"/>
      <c r="J18" s="68"/>
      <c r="K18" s="62"/>
      <c r="L18" s="62"/>
    </row>
    <row r="19" spans="1:12" ht="27" customHeight="1" x14ac:dyDescent="0.25">
      <c r="A19" s="143" t="s">
        <v>84</v>
      </c>
      <c r="B19" s="259" t="s">
        <v>293</v>
      </c>
      <c r="C19" s="259"/>
      <c r="D19" s="84" t="s">
        <v>254</v>
      </c>
      <c r="E19" s="259" t="s">
        <v>292</v>
      </c>
      <c r="F19" s="260"/>
      <c r="G19" s="62"/>
      <c r="H19" s="62"/>
      <c r="I19" s="62"/>
      <c r="J19" s="68"/>
      <c r="K19" s="62"/>
      <c r="L19" s="62"/>
    </row>
    <row r="20" spans="1:12" x14ac:dyDescent="0.25">
      <c r="A20" s="143" t="s">
        <v>255</v>
      </c>
      <c r="B20" s="259" t="s">
        <v>295</v>
      </c>
      <c r="C20" s="259"/>
      <c r="D20" s="84" t="s">
        <v>88</v>
      </c>
      <c r="E20" s="259" t="s">
        <v>298</v>
      </c>
      <c r="F20" s="260"/>
      <c r="G20" s="62"/>
      <c r="H20" s="62"/>
      <c r="I20" s="62"/>
      <c r="J20" s="68"/>
      <c r="K20" s="62"/>
      <c r="L20" s="62"/>
    </row>
    <row r="21" spans="1:12" x14ac:dyDescent="0.25">
      <c r="A21" s="143" t="s">
        <v>253</v>
      </c>
      <c r="B21" s="259" t="s">
        <v>294</v>
      </c>
      <c r="C21" s="259"/>
      <c r="D21" s="84" t="s">
        <v>89</v>
      </c>
      <c r="E21" s="259" t="s">
        <v>259</v>
      </c>
      <c r="F21" s="260"/>
      <c r="G21" s="62"/>
      <c r="H21" s="62"/>
      <c r="I21" s="62"/>
      <c r="J21" s="68"/>
      <c r="K21" s="62"/>
      <c r="L21" s="62"/>
    </row>
    <row r="22" spans="1:12" x14ac:dyDescent="0.25">
      <c r="A22" s="143" t="s">
        <v>85</v>
      </c>
      <c r="B22" s="259" t="s">
        <v>244</v>
      </c>
      <c r="C22" s="259"/>
      <c r="D22" s="84" t="s">
        <v>90</v>
      </c>
      <c r="E22" s="259" t="s">
        <v>245</v>
      </c>
      <c r="F22" s="260"/>
      <c r="G22" s="62"/>
      <c r="H22" s="62"/>
      <c r="I22" s="62"/>
      <c r="J22" s="68"/>
      <c r="K22" s="62"/>
      <c r="L22" s="62"/>
    </row>
    <row r="23" spans="1:12" x14ac:dyDescent="0.25">
      <c r="A23" s="143" t="s">
        <v>86</v>
      </c>
      <c r="B23" s="259">
        <v>400095</v>
      </c>
      <c r="C23" s="259"/>
      <c r="D23" s="84" t="s">
        <v>91</v>
      </c>
      <c r="E23" s="283" t="s">
        <v>297</v>
      </c>
      <c r="F23" s="260"/>
      <c r="G23" s="62"/>
      <c r="H23" s="62"/>
      <c r="I23" s="62"/>
      <c r="J23" s="68"/>
      <c r="K23" s="62"/>
      <c r="L23" s="62"/>
    </row>
    <row r="24" spans="1:12" x14ac:dyDescent="0.25">
      <c r="A24" s="143" t="s">
        <v>258</v>
      </c>
      <c r="B24" s="235" t="s">
        <v>296</v>
      </c>
      <c r="C24" s="236"/>
      <c r="D24" s="236"/>
      <c r="E24" s="236"/>
      <c r="F24" s="237"/>
      <c r="G24" s="62"/>
      <c r="H24" s="62"/>
      <c r="I24" s="62"/>
      <c r="J24" s="68"/>
      <c r="K24" s="62"/>
      <c r="L24" s="62"/>
    </row>
    <row r="25" spans="1:12" ht="69.75" customHeight="1" x14ac:dyDescent="0.25">
      <c r="A25" s="143" t="s">
        <v>87</v>
      </c>
      <c r="B25" s="283" t="s">
        <v>299</v>
      </c>
      <c r="C25" s="283"/>
      <c r="D25" s="84" t="s">
        <v>92</v>
      </c>
      <c r="E25" s="259" t="s">
        <v>300</v>
      </c>
      <c r="F25" s="260"/>
      <c r="G25" s="62"/>
      <c r="H25" s="62"/>
      <c r="I25" s="62"/>
      <c r="J25" s="68"/>
      <c r="K25" s="62"/>
      <c r="L25" s="62"/>
    </row>
    <row r="26" spans="1:12" x14ac:dyDescent="0.25">
      <c r="A26" s="255" t="s">
        <v>102</v>
      </c>
      <c r="B26" s="256"/>
      <c r="C26" s="256"/>
      <c r="D26" s="256"/>
      <c r="E26" s="256"/>
      <c r="F26" s="257"/>
      <c r="G26" s="62"/>
      <c r="H26" s="62"/>
      <c r="I26" s="62"/>
      <c r="J26" s="62"/>
      <c r="K26" s="62"/>
      <c r="L26" s="62"/>
    </row>
    <row r="27" spans="1:12" x14ac:dyDescent="0.25">
      <c r="A27" s="290"/>
      <c r="B27" s="178"/>
      <c r="C27" s="49" t="s">
        <v>96</v>
      </c>
      <c r="D27" s="49" t="s">
        <v>97</v>
      </c>
      <c r="E27" s="49" t="s">
        <v>98</v>
      </c>
      <c r="F27" s="144" t="s">
        <v>99</v>
      </c>
      <c r="G27" s="62"/>
      <c r="H27" s="62"/>
      <c r="I27" s="62"/>
      <c r="J27" s="62"/>
      <c r="K27" s="62"/>
      <c r="L27" s="62"/>
    </row>
    <row r="28" spans="1:12" ht="30" customHeight="1" x14ac:dyDescent="0.25">
      <c r="A28" s="290" t="s">
        <v>100</v>
      </c>
      <c r="B28" s="178"/>
      <c r="C28" s="121" t="s">
        <v>252</v>
      </c>
      <c r="D28" s="121" t="s">
        <v>252</v>
      </c>
      <c r="E28" s="121" t="s">
        <v>252</v>
      </c>
      <c r="F28" s="145" t="s">
        <v>252</v>
      </c>
      <c r="G28" s="182"/>
      <c r="H28" s="182"/>
      <c r="I28" s="62"/>
      <c r="J28" s="62"/>
      <c r="K28" s="62"/>
      <c r="L28" s="62"/>
    </row>
    <row r="29" spans="1:12" ht="30" customHeight="1" x14ac:dyDescent="0.25">
      <c r="A29" s="290" t="s">
        <v>256</v>
      </c>
      <c r="B29" s="178"/>
      <c r="C29" s="121" t="s">
        <v>252</v>
      </c>
      <c r="D29" s="121" t="s">
        <v>252</v>
      </c>
      <c r="E29" s="121" t="s">
        <v>252</v>
      </c>
      <c r="F29" s="145" t="s">
        <v>252</v>
      </c>
      <c r="G29" s="182"/>
      <c r="H29" s="182"/>
      <c r="I29" s="62"/>
      <c r="J29" s="62"/>
      <c r="K29" s="62"/>
      <c r="L29" s="62"/>
    </row>
    <row r="30" spans="1:12" ht="51.75" customHeight="1" x14ac:dyDescent="0.25">
      <c r="A30" s="290" t="s">
        <v>101</v>
      </c>
      <c r="B30" s="178"/>
      <c r="C30" s="74" t="s">
        <v>301</v>
      </c>
      <c r="D30" s="74" t="s">
        <v>303</v>
      </c>
      <c r="E30" s="74" t="s">
        <v>304</v>
      </c>
      <c r="F30" s="146" t="s">
        <v>302</v>
      </c>
      <c r="G30" s="182"/>
      <c r="H30" s="182"/>
      <c r="I30" s="62"/>
      <c r="J30" s="62"/>
      <c r="K30" s="62"/>
      <c r="L30" s="62"/>
    </row>
    <row r="31" spans="1:12" x14ac:dyDescent="0.25">
      <c r="A31" s="255" t="s">
        <v>103</v>
      </c>
      <c r="B31" s="256"/>
      <c r="C31" s="256"/>
      <c r="D31" s="256"/>
      <c r="E31" s="256"/>
      <c r="F31" s="257"/>
      <c r="G31" s="182"/>
      <c r="H31" s="182"/>
      <c r="I31" s="62"/>
      <c r="J31" s="62"/>
      <c r="K31" s="62"/>
      <c r="L31" s="62"/>
    </row>
    <row r="32" spans="1:12" x14ac:dyDescent="0.25">
      <c r="A32" s="225" t="s">
        <v>104</v>
      </c>
      <c r="B32" s="226"/>
      <c r="C32" s="228" t="s">
        <v>305</v>
      </c>
      <c r="D32" s="228"/>
      <c r="E32" s="228"/>
      <c r="F32" s="229"/>
      <c r="G32" s="251" t="s">
        <v>257</v>
      </c>
      <c r="H32" s="251"/>
      <c r="I32" s="62"/>
      <c r="J32" s="62"/>
      <c r="K32" s="62"/>
      <c r="L32" s="62"/>
    </row>
    <row r="33" spans="1:12" ht="15" customHeight="1" x14ac:dyDescent="0.25">
      <c r="A33" s="225" t="s">
        <v>105</v>
      </c>
      <c r="B33" s="226"/>
      <c r="C33" s="228" t="s">
        <v>305</v>
      </c>
      <c r="D33" s="228"/>
      <c r="E33" s="228"/>
      <c r="F33" s="229"/>
      <c r="G33" s="251"/>
      <c r="H33" s="251"/>
      <c r="I33" s="62"/>
      <c r="J33" s="62"/>
      <c r="K33" s="62"/>
      <c r="L33" s="62"/>
    </row>
    <row r="34" spans="1:12" ht="15" customHeight="1" x14ac:dyDescent="0.25">
      <c r="A34" s="225" t="s">
        <v>106</v>
      </c>
      <c r="B34" s="226"/>
      <c r="C34" s="228" t="s">
        <v>293</v>
      </c>
      <c r="D34" s="228"/>
      <c r="E34" s="228"/>
      <c r="F34" s="229"/>
      <c r="G34" s="182"/>
      <c r="H34" s="182"/>
      <c r="I34" s="62"/>
      <c r="J34" s="62"/>
      <c r="K34" s="62"/>
      <c r="L34" s="62"/>
    </row>
    <row r="35" spans="1:12" x14ac:dyDescent="0.25">
      <c r="A35" s="225" t="s">
        <v>107</v>
      </c>
      <c r="B35" s="226"/>
      <c r="C35" s="287" t="str">
        <f>IF(AND(E21="Mumbai"),"Developed","Developing")</f>
        <v>Developing</v>
      </c>
      <c r="D35" s="288"/>
      <c r="E35" s="288"/>
      <c r="F35" s="289"/>
      <c r="G35" s="182"/>
      <c r="H35" s="182"/>
      <c r="I35" s="62"/>
      <c r="J35" s="62"/>
      <c r="K35" s="62"/>
      <c r="L35" s="62"/>
    </row>
    <row r="36" spans="1:12" ht="15" customHeight="1" x14ac:dyDescent="0.25">
      <c r="A36" s="225" t="s">
        <v>108</v>
      </c>
      <c r="B36" s="226"/>
      <c r="C36" s="228" t="s">
        <v>260</v>
      </c>
      <c r="D36" s="228"/>
      <c r="E36" s="228"/>
      <c r="F36" s="229"/>
      <c r="G36" s="182"/>
      <c r="H36" s="182"/>
      <c r="I36" s="62"/>
      <c r="J36" s="62"/>
      <c r="K36" s="62"/>
      <c r="L36" s="62"/>
    </row>
    <row r="37" spans="1:12" x14ac:dyDescent="0.25">
      <c r="A37" s="225" t="s">
        <v>109</v>
      </c>
      <c r="B37" s="226"/>
      <c r="C37" s="227">
        <f ca="1">E167</f>
        <v>0.81704545454545441</v>
      </c>
      <c r="D37" s="228"/>
      <c r="E37" s="228"/>
      <c r="F37" s="229"/>
      <c r="G37" s="182"/>
      <c r="H37" s="182"/>
      <c r="I37" s="62"/>
      <c r="J37" s="62"/>
      <c r="K37" s="62"/>
      <c r="L37" s="62"/>
    </row>
    <row r="38" spans="1:12" ht="15" customHeight="1" x14ac:dyDescent="0.25">
      <c r="A38" s="225" t="s">
        <v>110</v>
      </c>
      <c r="B38" s="226"/>
      <c r="C38" s="228" t="s">
        <v>261</v>
      </c>
      <c r="D38" s="228"/>
      <c r="E38" s="228"/>
      <c r="F38" s="229"/>
      <c r="G38" s="182"/>
      <c r="H38" s="182"/>
      <c r="I38" s="62"/>
      <c r="J38" s="62"/>
      <c r="K38" s="62"/>
      <c r="L38" s="62"/>
    </row>
    <row r="39" spans="1:12" x14ac:dyDescent="0.25">
      <c r="A39" s="225" t="s">
        <v>111</v>
      </c>
      <c r="B39" s="226"/>
      <c r="C39" s="228" t="s">
        <v>261</v>
      </c>
      <c r="D39" s="228"/>
      <c r="E39" s="228"/>
      <c r="F39" s="229"/>
      <c r="G39" s="182"/>
      <c r="H39" s="182"/>
      <c r="I39" s="62"/>
      <c r="J39" s="62"/>
      <c r="K39" s="62"/>
      <c r="L39" s="62"/>
    </row>
    <row r="40" spans="1:12" ht="30" customHeight="1" x14ac:dyDescent="0.25">
      <c r="A40" s="225" t="s">
        <v>112</v>
      </c>
      <c r="B40" s="226"/>
      <c r="C40" s="228" t="s">
        <v>306</v>
      </c>
      <c r="D40" s="228"/>
      <c r="E40" s="228"/>
      <c r="F40" s="229"/>
      <c r="G40" s="182"/>
      <c r="H40" s="182"/>
      <c r="I40" s="62"/>
      <c r="J40" s="62"/>
      <c r="K40" s="62"/>
      <c r="L40" s="62"/>
    </row>
    <row r="41" spans="1:12" x14ac:dyDescent="0.25">
      <c r="A41" s="255" t="s">
        <v>114</v>
      </c>
      <c r="B41" s="256"/>
      <c r="C41" s="256"/>
      <c r="D41" s="256"/>
      <c r="E41" s="256"/>
      <c r="F41" s="257"/>
      <c r="G41" s="182"/>
      <c r="H41" s="182"/>
      <c r="I41" s="62"/>
      <c r="J41" s="62"/>
      <c r="K41" s="62"/>
      <c r="L41" s="62"/>
    </row>
    <row r="42" spans="1:12" x14ac:dyDescent="0.25">
      <c r="A42" s="275" t="s">
        <v>115</v>
      </c>
      <c r="B42" s="276"/>
      <c r="C42" s="226" t="s">
        <v>113</v>
      </c>
      <c r="D42" s="226"/>
      <c r="E42" s="226"/>
      <c r="F42" s="282"/>
      <c r="G42" s="182"/>
      <c r="H42" s="182"/>
      <c r="I42" s="62"/>
      <c r="J42" s="62"/>
      <c r="K42" s="62"/>
      <c r="L42" s="62"/>
    </row>
    <row r="43" spans="1:12" x14ac:dyDescent="0.25">
      <c r="A43" s="275" t="s">
        <v>116</v>
      </c>
      <c r="B43" s="276"/>
      <c r="C43" s="248">
        <v>11876.2</v>
      </c>
      <c r="D43" s="248"/>
      <c r="E43" s="248"/>
      <c r="F43" s="249"/>
      <c r="G43" s="182"/>
      <c r="H43" s="182"/>
      <c r="I43" s="62"/>
      <c r="J43" s="62"/>
      <c r="K43" s="62"/>
      <c r="L43" s="62"/>
    </row>
    <row r="44" spans="1:12" x14ac:dyDescent="0.25">
      <c r="A44" s="275" t="s">
        <v>117</v>
      </c>
      <c r="B44" s="276"/>
      <c r="C44" s="248">
        <v>26689.61</v>
      </c>
      <c r="D44" s="248"/>
      <c r="E44" s="248"/>
      <c r="F44" s="249"/>
      <c r="G44" s="182"/>
      <c r="H44" s="182"/>
      <c r="I44" s="62"/>
      <c r="J44" s="62"/>
      <c r="K44" s="62"/>
      <c r="L44" s="62"/>
    </row>
    <row r="45" spans="1:12" x14ac:dyDescent="0.25">
      <c r="A45" s="275" t="s">
        <v>118</v>
      </c>
      <c r="B45" s="276"/>
      <c r="C45" s="248">
        <f>22769.59+3516.81</f>
        <v>26286.400000000001</v>
      </c>
      <c r="D45" s="248"/>
      <c r="E45" s="248"/>
      <c r="F45" s="249"/>
      <c r="G45" s="182"/>
      <c r="H45" s="182"/>
      <c r="I45" s="62"/>
      <c r="J45" s="62"/>
      <c r="K45" s="62"/>
      <c r="L45" s="62"/>
    </row>
    <row r="46" spans="1:12" x14ac:dyDescent="0.25">
      <c r="A46" s="275" t="s">
        <v>119</v>
      </c>
      <c r="B46" s="276"/>
      <c r="C46" s="248">
        <v>403.21</v>
      </c>
      <c r="D46" s="248"/>
      <c r="E46" s="248"/>
      <c r="F46" s="249"/>
      <c r="G46" s="182"/>
      <c r="H46" s="182"/>
      <c r="I46" s="62"/>
      <c r="J46" s="62"/>
      <c r="K46" s="62"/>
      <c r="L46" s="62"/>
    </row>
    <row r="47" spans="1:12" x14ac:dyDescent="0.25">
      <c r="A47" s="275" t="s">
        <v>120</v>
      </c>
      <c r="B47" s="276"/>
      <c r="C47" s="248" t="s">
        <v>307</v>
      </c>
      <c r="D47" s="248"/>
      <c r="E47" s="248"/>
      <c r="F47" s="249"/>
      <c r="G47" s="182"/>
      <c r="H47" s="182"/>
      <c r="I47" s="62"/>
      <c r="J47" s="62"/>
      <c r="K47" s="62"/>
      <c r="L47" s="62"/>
    </row>
    <row r="48" spans="1:12" x14ac:dyDescent="0.25">
      <c r="A48" s="275" t="s">
        <v>121</v>
      </c>
      <c r="B48" s="276"/>
      <c r="C48" s="248" t="s">
        <v>307</v>
      </c>
      <c r="D48" s="248"/>
      <c r="E48" s="248"/>
      <c r="F48" s="249"/>
      <c r="G48" s="182"/>
      <c r="H48" s="182"/>
      <c r="I48" s="62"/>
      <c r="J48" s="62"/>
      <c r="K48" s="62"/>
      <c r="L48" s="62"/>
    </row>
    <row r="49" spans="1:14" x14ac:dyDescent="0.25">
      <c r="A49" s="275" t="s">
        <v>122</v>
      </c>
      <c r="B49" s="276"/>
      <c r="C49" s="248" t="s">
        <v>307</v>
      </c>
      <c r="D49" s="248"/>
      <c r="E49" s="248"/>
      <c r="F49" s="249"/>
      <c r="G49" s="182"/>
      <c r="H49" s="182"/>
      <c r="I49" s="62"/>
      <c r="J49" s="62"/>
      <c r="K49" s="62"/>
      <c r="L49" s="62"/>
    </row>
    <row r="50" spans="1:14" x14ac:dyDescent="0.25">
      <c r="A50" s="360" t="s">
        <v>123</v>
      </c>
      <c r="B50" s="361"/>
      <c r="C50" s="361"/>
      <c r="D50" s="361"/>
      <c r="E50" s="361"/>
      <c r="F50" s="362"/>
      <c r="G50" s="182"/>
      <c r="H50" s="182"/>
      <c r="I50" s="62"/>
      <c r="J50" s="62"/>
      <c r="K50" s="62"/>
      <c r="L50" s="62"/>
    </row>
    <row r="51" spans="1:14" x14ac:dyDescent="0.25">
      <c r="A51" s="225" t="s">
        <v>124</v>
      </c>
      <c r="B51" s="226"/>
      <c r="C51" s="248">
        <v>3</v>
      </c>
      <c r="D51" s="248"/>
      <c r="E51" s="248"/>
      <c r="F51" s="249"/>
      <c r="G51" s="182"/>
      <c r="H51" s="182"/>
      <c r="I51" s="62"/>
      <c r="J51" s="62"/>
      <c r="K51" s="62"/>
      <c r="L51" s="62"/>
    </row>
    <row r="52" spans="1:14" x14ac:dyDescent="0.25">
      <c r="A52" s="225" t="s">
        <v>125</v>
      </c>
      <c r="B52" s="226"/>
      <c r="C52" s="248">
        <v>0.5</v>
      </c>
      <c r="D52" s="248"/>
      <c r="E52" s="248"/>
      <c r="F52" s="249"/>
      <c r="G52" s="182"/>
      <c r="H52" s="182"/>
      <c r="I52" s="62"/>
      <c r="J52" s="62"/>
      <c r="K52" s="62"/>
      <c r="L52" s="62"/>
    </row>
    <row r="53" spans="1:14" x14ac:dyDescent="0.25">
      <c r="A53" s="225" t="s">
        <v>2</v>
      </c>
      <c r="B53" s="226"/>
      <c r="C53" s="248" t="s">
        <v>307</v>
      </c>
      <c r="D53" s="248"/>
      <c r="E53" s="248"/>
      <c r="F53" s="249"/>
      <c r="G53" s="182"/>
      <c r="H53" s="182"/>
      <c r="I53" s="62"/>
      <c r="J53" s="62"/>
      <c r="K53" s="62"/>
      <c r="L53" s="62"/>
    </row>
    <row r="54" spans="1:14" x14ac:dyDescent="0.25">
      <c r="A54" s="225" t="s">
        <v>126</v>
      </c>
      <c r="B54" s="226"/>
      <c r="C54" s="248" t="s">
        <v>307</v>
      </c>
      <c r="D54" s="248"/>
      <c r="E54" s="248"/>
      <c r="F54" s="249"/>
      <c r="G54" s="182"/>
      <c r="H54" s="182"/>
      <c r="I54" s="62"/>
      <c r="J54" s="62"/>
      <c r="K54" s="62"/>
      <c r="L54" s="62"/>
    </row>
    <row r="55" spans="1:14" ht="24" customHeight="1" x14ac:dyDescent="0.25">
      <c r="A55" s="225" t="s">
        <v>127</v>
      </c>
      <c r="B55" s="226"/>
      <c r="C55" s="248" t="s">
        <v>307</v>
      </c>
      <c r="D55" s="248"/>
      <c r="E55" s="248"/>
      <c r="F55" s="249"/>
      <c r="G55" s="182"/>
      <c r="H55" s="182"/>
      <c r="I55" s="62"/>
      <c r="J55" s="62"/>
      <c r="K55" s="62"/>
      <c r="L55" s="62"/>
    </row>
    <row r="56" spans="1:14" ht="25.5" customHeight="1" x14ac:dyDescent="0.25">
      <c r="A56" s="225" t="s">
        <v>128</v>
      </c>
      <c r="B56" s="226"/>
      <c r="C56" s="248" t="s">
        <v>307</v>
      </c>
      <c r="D56" s="248"/>
      <c r="E56" s="248"/>
      <c r="F56" s="249"/>
      <c r="G56" s="182"/>
      <c r="H56" s="182"/>
      <c r="I56" s="62"/>
      <c r="J56" s="62"/>
      <c r="K56" s="62"/>
      <c r="L56" s="62"/>
    </row>
    <row r="57" spans="1:14" x14ac:dyDescent="0.25">
      <c r="A57" s="225" t="s">
        <v>129</v>
      </c>
      <c r="B57" s="226"/>
      <c r="C57" s="248">
        <f>SUM(C51:F56)</f>
        <v>3.5</v>
      </c>
      <c r="D57" s="248"/>
      <c r="E57" s="248"/>
      <c r="F57" s="249"/>
      <c r="G57" s="182"/>
      <c r="H57" s="182"/>
      <c r="I57" s="62"/>
      <c r="J57" s="62"/>
      <c r="K57" s="62"/>
      <c r="L57" s="62"/>
    </row>
    <row r="58" spans="1:14" x14ac:dyDescent="0.25">
      <c r="A58" s="225" t="s">
        <v>130</v>
      </c>
      <c r="B58" s="226"/>
      <c r="C58" s="248"/>
      <c r="D58" s="248"/>
      <c r="E58" s="248"/>
      <c r="F58" s="249"/>
      <c r="G58" s="182"/>
      <c r="H58" s="182"/>
      <c r="I58" s="62"/>
      <c r="J58" s="62"/>
      <c r="K58" s="62"/>
      <c r="L58" s="62"/>
    </row>
    <row r="59" spans="1:14" x14ac:dyDescent="0.25">
      <c r="A59" s="363"/>
      <c r="B59" s="364"/>
      <c r="C59" s="364"/>
      <c r="D59" s="364"/>
      <c r="E59" s="364"/>
      <c r="F59" s="365"/>
      <c r="G59" s="62"/>
      <c r="H59" s="62"/>
      <c r="I59" s="62"/>
      <c r="J59" s="62"/>
      <c r="K59" s="62"/>
      <c r="L59" s="62"/>
      <c r="M59" s="62"/>
      <c r="N59" s="62"/>
    </row>
    <row r="60" spans="1:14" x14ac:dyDescent="0.25">
      <c r="A60" s="225" t="s">
        <v>131</v>
      </c>
      <c r="B60" s="226"/>
      <c r="C60" s="381" t="str">
        <f>D115</f>
        <v>Shops = 26,
 Sale Flats = 593,
 Mhada Flats = 121.</v>
      </c>
      <c r="D60" s="381"/>
      <c r="E60" s="381"/>
      <c r="F60" s="382"/>
      <c r="G60" s="182"/>
      <c r="H60" s="182"/>
      <c r="I60" s="69"/>
      <c r="J60" s="69"/>
      <c r="K60" s="62"/>
      <c r="L60" s="62"/>
      <c r="M60" s="62"/>
      <c r="N60" s="62"/>
    </row>
    <row r="61" spans="1:14" x14ac:dyDescent="0.25">
      <c r="A61" s="225" t="s">
        <v>132</v>
      </c>
      <c r="B61" s="226"/>
      <c r="C61" s="381">
        <v>117</v>
      </c>
      <c r="D61" s="381"/>
      <c r="E61" s="381"/>
      <c r="F61" s="382"/>
      <c r="G61" s="182"/>
      <c r="H61" s="182"/>
      <c r="I61" s="62"/>
      <c r="J61" s="62"/>
      <c r="K61" s="62"/>
      <c r="L61" s="62"/>
      <c r="M61" s="62"/>
      <c r="N61" s="62"/>
    </row>
    <row r="62" spans="1:14" x14ac:dyDescent="0.25">
      <c r="A62" s="225" t="s">
        <v>133</v>
      </c>
      <c r="B62" s="226"/>
      <c r="C62" s="383" t="s">
        <v>369</v>
      </c>
      <c r="D62" s="383"/>
      <c r="E62" s="383"/>
      <c r="F62" s="384"/>
      <c r="G62" s="182"/>
      <c r="H62" s="182"/>
      <c r="I62" s="62"/>
      <c r="J62" s="62"/>
      <c r="K62" s="62"/>
      <c r="L62" s="62"/>
      <c r="M62" s="62"/>
      <c r="N62" s="62"/>
    </row>
    <row r="63" spans="1:14" x14ac:dyDescent="0.25">
      <c r="A63" s="263" t="s">
        <v>134</v>
      </c>
      <c r="B63" s="264"/>
      <c r="C63" s="264"/>
      <c r="D63" s="264"/>
      <c r="E63" s="264"/>
      <c r="F63" s="265"/>
      <c r="G63" s="182"/>
      <c r="H63" s="182"/>
      <c r="I63" s="62"/>
      <c r="J63" s="62"/>
      <c r="K63" s="62"/>
      <c r="L63" s="62"/>
      <c r="M63" s="62"/>
      <c r="N63" s="62"/>
    </row>
    <row r="64" spans="1:14" ht="39" customHeight="1" x14ac:dyDescent="0.25">
      <c r="A64" s="147"/>
      <c r="B64" s="49" t="s">
        <v>135</v>
      </c>
      <c r="C64" s="49" t="s">
        <v>136</v>
      </c>
      <c r="D64" s="49" t="s">
        <v>141</v>
      </c>
      <c r="E64" s="49" t="s">
        <v>137</v>
      </c>
      <c r="F64" s="144" t="s">
        <v>140</v>
      </c>
      <c r="G64" s="59"/>
      <c r="H64" s="59"/>
      <c r="I64" s="59"/>
      <c r="J64" s="59"/>
      <c r="K64" s="59"/>
      <c r="L64" s="59"/>
      <c r="M64" s="59" t="str">
        <f t="shared" ref="M64" si="0">PROPER(G64)</f>
        <v/>
      </c>
      <c r="N64" s="62"/>
    </row>
    <row r="65" spans="1:14" ht="34.5" customHeight="1" x14ac:dyDescent="0.25">
      <c r="A65" s="148" t="s">
        <v>138</v>
      </c>
      <c r="B65" s="121" t="s">
        <v>308</v>
      </c>
      <c r="C65" s="121" t="s">
        <v>310</v>
      </c>
      <c r="D65" s="74" t="s">
        <v>312</v>
      </c>
      <c r="E65" s="121" t="s">
        <v>313</v>
      </c>
      <c r="F65" s="146" t="s">
        <v>315</v>
      </c>
      <c r="G65" s="59"/>
      <c r="H65" s="62"/>
      <c r="I65" s="62"/>
      <c r="J65" s="62"/>
      <c r="K65" s="62"/>
      <c r="L65" s="62"/>
      <c r="M65" s="62"/>
      <c r="N65" s="62"/>
    </row>
    <row r="66" spans="1:14" ht="34.5" customHeight="1" x14ac:dyDescent="0.25">
      <c r="A66" s="148" t="s">
        <v>139</v>
      </c>
      <c r="B66" s="121" t="s">
        <v>309</v>
      </c>
      <c r="C66" s="121" t="s">
        <v>311</v>
      </c>
      <c r="D66" s="121" t="s">
        <v>246</v>
      </c>
      <c r="E66" s="121" t="s">
        <v>314</v>
      </c>
      <c r="F66" s="145" t="s">
        <v>316</v>
      </c>
      <c r="G66" s="59"/>
      <c r="H66" s="62"/>
      <c r="I66" s="62"/>
      <c r="J66" s="62"/>
      <c r="K66" s="62"/>
      <c r="L66" s="62"/>
    </row>
    <row r="67" spans="1:14" x14ac:dyDescent="0.25">
      <c r="A67" s="375" t="s">
        <v>142</v>
      </c>
      <c r="B67" s="376"/>
      <c r="C67" s="376"/>
      <c r="D67" s="376"/>
      <c r="E67" s="376"/>
      <c r="F67" s="377"/>
      <c r="G67" s="59"/>
      <c r="H67" s="62"/>
      <c r="I67" s="62"/>
      <c r="J67" s="62"/>
      <c r="K67" s="62"/>
      <c r="L67" s="62"/>
    </row>
    <row r="68" spans="1:14" ht="39.75" customHeight="1" x14ac:dyDescent="0.25">
      <c r="A68" s="147"/>
      <c r="B68" s="49" t="s">
        <v>143</v>
      </c>
      <c r="C68" s="49" t="s">
        <v>144</v>
      </c>
      <c r="D68" s="49" t="s">
        <v>145</v>
      </c>
      <c r="E68" s="49" t="s">
        <v>146</v>
      </c>
      <c r="F68" s="144" t="s">
        <v>147</v>
      </c>
      <c r="G68" s="59"/>
      <c r="H68" s="59"/>
      <c r="I68" s="59"/>
      <c r="J68" s="59"/>
      <c r="K68" s="59"/>
      <c r="L68" s="59"/>
    </row>
    <row r="69" spans="1:14" x14ac:dyDescent="0.25">
      <c r="A69" s="148" t="s">
        <v>148</v>
      </c>
      <c r="B69" s="74" t="s">
        <v>247</v>
      </c>
      <c r="C69" s="74" t="s">
        <v>247</v>
      </c>
      <c r="D69" s="74" t="s">
        <v>247</v>
      </c>
      <c r="E69" s="74" t="s">
        <v>247</v>
      </c>
      <c r="F69" s="146" t="s">
        <v>247</v>
      </c>
      <c r="G69" s="59"/>
      <c r="H69" s="59"/>
      <c r="I69" s="59"/>
      <c r="J69" s="59"/>
      <c r="K69" s="59"/>
      <c r="L69" s="59"/>
    </row>
    <row r="70" spans="1:14" ht="24" hidden="1" x14ac:dyDescent="0.25">
      <c r="A70" s="148" t="s">
        <v>3</v>
      </c>
      <c r="B70" s="74"/>
      <c r="C70" s="74"/>
      <c r="D70" s="74"/>
      <c r="E70" s="74"/>
      <c r="F70" s="146"/>
      <c r="G70" s="59" t="str">
        <f t="shared" ref="G70" si="1">PROPER(A70)</f>
        <v>Quality, Specs</v>
      </c>
      <c r="H70" s="54" t="str">
        <f t="shared" ref="H70" si="2">PROPER(B70)</f>
        <v/>
      </c>
      <c r="I70" s="54" t="str">
        <f t="shared" ref="I70" si="3">PROPER(C70)</f>
        <v/>
      </c>
      <c r="J70" s="54" t="str">
        <f t="shared" ref="J70" si="4">PROPER(D70)</f>
        <v/>
      </c>
      <c r="K70" s="54" t="str">
        <f t="shared" ref="K70" si="5">PROPER(E70)</f>
        <v/>
      </c>
      <c r="L70" s="54" t="str">
        <f t="shared" ref="L70" si="6">PROPER(F70)</f>
        <v/>
      </c>
    </row>
    <row r="71" spans="1:14" ht="24" x14ac:dyDescent="0.25">
      <c r="A71" s="147"/>
      <c r="B71" s="49" t="s">
        <v>149</v>
      </c>
      <c r="C71" s="49" t="s">
        <v>150</v>
      </c>
      <c r="D71" s="49" t="s">
        <v>151</v>
      </c>
      <c r="E71" s="49" t="s">
        <v>152</v>
      </c>
      <c r="F71" s="144" t="s">
        <v>153</v>
      </c>
      <c r="G71" s="59"/>
      <c r="H71" s="59"/>
      <c r="I71" s="59"/>
      <c r="J71" s="59"/>
      <c r="K71" s="59"/>
      <c r="L71" s="59"/>
    </row>
    <row r="72" spans="1:14" x14ac:dyDescent="0.25">
      <c r="A72" s="148" t="s">
        <v>148</v>
      </c>
      <c r="B72" s="74" t="s">
        <v>247</v>
      </c>
      <c r="C72" s="74" t="s">
        <v>247</v>
      </c>
      <c r="D72" s="74" t="s">
        <v>247</v>
      </c>
      <c r="E72" s="74" t="s">
        <v>247</v>
      </c>
      <c r="F72" s="146" t="s">
        <v>247</v>
      </c>
      <c r="G72" s="59"/>
      <c r="H72" s="59"/>
      <c r="I72" s="59"/>
      <c r="J72" s="59"/>
      <c r="K72" s="59"/>
      <c r="L72" s="59"/>
    </row>
    <row r="73" spans="1:14" hidden="1" x14ac:dyDescent="0.25">
      <c r="A73" s="149" t="s">
        <v>3</v>
      </c>
      <c r="B73" s="122"/>
      <c r="C73" s="122"/>
      <c r="D73" s="122"/>
      <c r="E73" s="122"/>
      <c r="F73" s="150"/>
      <c r="G73" s="59"/>
      <c r="H73" s="59"/>
      <c r="I73" s="59"/>
      <c r="J73" s="59"/>
      <c r="K73" s="59"/>
      <c r="L73" s="59"/>
    </row>
    <row r="74" spans="1:14" x14ac:dyDescent="0.25">
      <c r="A74" s="147"/>
      <c r="B74" s="49" t="s">
        <v>154</v>
      </c>
      <c r="C74" s="49" t="s">
        <v>155</v>
      </c>
      <c r="D74" s="49" t="s">
        <v>156</v>
      </c>
      <c r="E74" s="49" t="s">
        <v>157</v>
      </c>
      <c r="F74" s="144" t="s">
        <v>158</v>
      </c>
      <c r="G74" s="59"/>
      <c r="H74" s="59"/>
      <c r="I74" s="59"/>
      <c r="J74" s="59"/>
      <c r="K74" s="59"/>
      <c r="L74" s="59"/>
    </row>
    <row r="75" spans="1:14" x14ac:dyDescent="0.25">
      <c r="A75" s="148" t="s">
        <v>148</v>
      </c>
      <c r="B75" s="74" t="s">
        <v>261</v>
      </c>
      <c r="C75" s="74" t="s">
        <v>247</v>
      </c>
      <c r="D75" s="74" t="s">
        <v>261</v>
      </c>
      <c r="E75" s="74" t="s">
        <v>247</v>
      </c>
      <c r="F75" s="146" t="s">
        <v>261</v>
      </c>
      <c r="G75" s="59"/>
      <c r="H75" s="59"/>
      <c r="I75" s="59"/>
      <c r="J75" s="59"/>
      <c r="K75" s="59"/>
      <c r="L75" s="59"/>
    </row>
    <row r="76" spans="1:14" hidden="1" x14ac:dyDescent="0.25">
      <c r="A76" s="149" t="s">
        <v>3</v>
      </c>
      <c r="B76" s="122"/>
      <c r="C76" s="122"/>
      <c r="D76" s="122"/>
      <c r="E76" s="122"/>
      <c r="F76" s="150"/>
      <c r="G76" s="59"/>
      <c r="H76" s="62"/>
      <c r="I76" s="62"/>
      <c r="J76" s="62"/>
      <c r="K76" s="62"/>
      <c r="L76" s="62"/>
    </row>
    <row r="77" spans="1:14" x14ac:dyDescent="0.25">
      <c r="A77" s="238"/>
      <c r="B77" s="239"/>
      <c r="C77" s="239"/>
      <c r="D77" s="239"/>
      <c r="E77" s="239"/>
      <c r="F77" s="240"/>
      <c r="G77" s="59"/>
      <c r="H77" s="62"/>
      <c r="I77" s="62"/>
      <c r="J77" s="62"/>
      <c r="K77" s="62"/>
      <c r="L77" s="62"/>
    </row>
    <row r="78" spans="1:14" ht="61.5" customHeight="1" x14ac:dyDescent="0.25">
      <c r="A78" s="149" t="s">
        <v>159</v>
      </c>
      <c r="B78" s="378" t="s">
        <v>317</v>
      </c>
      <c r="C78" s="379"/>
      <c r="D78" s="379"/>
      <c r="E78" s="379"/>
      <c r="F78" s="380"/>
      <c r="G78" s="59"/>
      <c r="H78" s="62"/>
      <c r="I78" s="62"/>
      <c r="J78" s="62"/>
      <c r="K78" s="62"/>
      <c r="L78" s="62"/>
    </row>
    <row r="79" spans="1:14" x14ac:dyDescent="0.25">
      <c r="A79" s="263" t="s">
        <v>160</v>
      </c>
      <c r="B79" s="264"/>
      <c r="C79" s="264"/>
      <c r="D79" s="264"/>
      <c r="E79" s="264"/>
      <c r="F79" s="265"/>
      <c r="G79" s="59"/>
      <c r="H79" s="62"/>
      <c r="I79" s="62"/>
      <c r="J79" s="62"/>
      <c r="K79" s="62"/>
      <c r="L79" s="62"/>
    </row>
    <row r="80" spans="1:14" ht="26.25" customHeight="1" x14ac:dyDescent="0.25">
      <c r="A80" s="149" t="s">
        <v>172</v>
      </c>
      <c r="B80" s="302" t="str">
        <f>C32</f>
        <v>Maharashtra Housing and Area Development Authority (MHADA)</v>
      </c>
      <c r="C80" s="302"/>
      <c r="D80" s="302"/>
      <c r="E80" s="302"/>
      <c r="F80" s="303"/>
      <c r="G80" s="59"/>
      <c r="H80" s="62"/>
      <c r="I80" s="62"/>
      <c r="J80" s="62"/>
      <c r="K80" s="62"/>
      <c r="L80" s="62"/>
    </row>
    <row r="81" spans="1:12" ht="31.5" customHeight="1" x14ac:dyDescent="0.25">
      <c r="A81" s="148" t="s">
        <v>161</v>
      </c>
      <c r="B81" s="49" t="s">
        <v>173</v>
      </c>
      <c r="C81" s="49" t="s">
        <v>174</v>
      </c>
      <c r="D81" s="366" t="s">
        <v>175</v>
      </c>
      <c r="E81" s="367"/>
      <c r="F81" s="368"/>
      <c r="G81" s="59"/>
      <c r="H81" s="59"/>
      <c r="I81" s="59"/>
      <c r="J81" s="182"/>
      <c r="K81" s="182"/>
      <c r="L81" s="182"/>
    </row>
    <row r="82" spans="1:12" ht="31.5" customHeight="1" x14ac:dyDescent="0.25">
      <c r="A82" s="148" t="s">
        <v>162</v>
      </c>
      <c r="B82" s="124" t="s">
        <v>319</v>
      </c>
      <c r="C82" s="124" t="s">
        <v>320</v>
      </c>
      <c r="D82" s="369" t="s">
        <v>318</v>
      </c>
      <c r="E82" s="370"/>
      <c r="F82" s="371"/>
      <c r="G82" s="59"/>
      <c r="H82" s="62"/>
      <c r="I82" s="62"/>
      <c r="J82" s="62"/>
      <c r="K82" s="62"/>
      <c r="L82" s="62"/>
    </row>
    <row r="83" spans="1:12" ht="31.5" customHeight="1" x14ac:dyDescent="0.25">
      <c r="A83" s="148" t="s">
        <v>163</v>
      </c>
      <c r="B83" s="124" t="s">
        <v>319</v>
      </c>
      <c r="C83" s="124" t="s">
        <v>320</v>
      </c>
      <c r="D83" s="369" t="s">
        <v>318</v>
      </c>
      <c r="E83" s="370"/>
      <c r="F83" s="371"/>
      <c r="G83" s="59"/>
      <c r="H83" s="62"/>
      <c r="I83" s="62"/>
      <c r="J83" s="62"/>
      <c r="K83" s="62"/>
      <c r="L83" s="62"/>
    </row>
    <row r="84" spans="1:12" ht="46.5" customHeight="1" x14ac:dyDescent="0.25">
      <c r="A84" s="244" t="s">
        <v>164</v>
      </c>
      <c r="B84" s="246" t="s">
        <v>319</v>
      </c>
      <c r="C84" s="246" t="s">
        <v>320</v>
      </c>
      <c r="D84" s="369" t="s">
        <v>391</v>
      </c>
      <c r="E84" s="370"/>
      <c r="F84" s="371"/>
      <c r="G84" s="59"/>
      <c r="H84" s="62"/>
      <c r="I84" s="62"/>
      <c r="J84" s="62"/>
      <c r="K84" s="62"/>
      <c r="L84" s="62"/>
    </row>
    <row r="85" spans="1:12" ht="188.25" customHeight="1" x14ac:dyDescent="0.25">
      <c r="A85" s="245"/>
      <c r="B85" s="247"/>
      <c r="C85" s="247"/>
      <c r="D85" s="241" t="s">
        <v>392</v>
      </c>
      <c r="E85" s="242"/>
      <c r="F85" s="243"/>
      <c r="G85" s="59"/>
      <c r="H85" s="62"/>
      <c r="I85" s="62"/>
      <c r="J85" s="62"/>
      <c r="K85" s="62"/>
      <c r="L85" s="62"/>
    </row>
    <row r="86" spans="1:12" ht="48" x14ac:dyDescent="0.25">
      <c r="A86" s="148" t="s">
        <v>165</v>
      </c>
      <c r="B86" s="124" t="s">
        <v>321</v>
      </c>
      <c r="C86" s="124" t="s">
        <v>252</v>
      </c>
      <c r="D86" s="372" t="s">
        <v>252</v>
      </c>
      <c r="E86" s="373"/>
      <c r="F86" s="374"/>
      <c r="G86" s="59"/>
      <c r="H86" s="62"/>
      <c r="I86" s="62"/>
      <c r="J86" s="62"/>
      <c r="K86" s="62"/>
      <c r="L86" s="62"/>
    </row>
    <row r="87" spans="1:12" ht="35.450000000000003" customHeight="1" x14ac:dyDescent="0.25">
      <c r="A87" s="148" t="s">
        <v>166</v>
      </c>
      <c r="B87" s="124" t="s">
        <v>321</v>
      </c>
      <c r="C87" s="124" t="s">
        <v>252</v>
      </c>
      <c r="D87" s="372" t="s">
        <v>252</v>
      </c>
      <c r="E87" s="373"/>
      <c r="F87" s="374"/>
      <c r="G87" s="59"/>
      <c r="H87" s="62"/>
      <c r="I87" s="62"/>
      <c r="J87" s="62"/>
      <c r="K87" s="62"/>
      <c r="L87" s="62"/>
    </row>
    <row r="88" spans="1:12" ht="29.1" customHeight="1" x14ac:dyDescent="0.25">
      <c r="A88" s="148" t="s">
        <v>167</v>
      </c>
      <c r="B88" s="124" t="s">
        <v>321</v>
      </c>
      <c r="C88" s="124" t="s">
        <v>252</v>
      </c>
      <c r="D88" s="372" t="s">
        <v>252</v>
      </c>
      <c r="E88" s="373"/>
      <c r="F88" s="374"/>
      <c r="G88" s="59"/>
      <c r="H88" s="62"/>
      <c r="I88" s="62"/>
      <c r="J88" s="62"/>
      <c r="K88" s="62"/>
      <c r="L88" s="62"/>
    </row>
    <row r="89" spans="1:12" ht="29.45" customHeight="1" x14ac:dyDescent="0.25">
      <c r="A89" s="148" t="s">
        <v>168</v>
      </c>
      <c r="B89" s="124" t="s">
        <v>321</v>
      </c>
      <c r="C89" s="124" t="s">
        <v>252</v>
      </c>
      <c r="D89" s="372" t="s">
        <v>252</v>
      </c>
      <c r="E89" s="373"/>
      <c r="F89" s="374"/>
      <c r="G89" s="59"/>
      <c r="H89" s="62"/>
      <c r="I89" s="62"/>
      <c r="J89" s="62"/>
      <c r="K89" s="62"/>
      <c r="L89" s="62"/>
    </row>
    <row r="90" spans="1:12" ht="29.45" customHeight="1" x14ac:dyDescent="0.25">
      <c r="A90" s="148" t="s">
        <v>262</v>
      </c>
      <c r="B90" s="124" t="s">
        <v>322</v>
      </c>
      <c r="C90" s="124" t="s">
        <v>252</v>
      </c>
      <c r="D90" s="372" t="s">
        <v>323</v>
      </c>
      <c r="E90" s="373"/>
      <c r="F90" s="374"/>
      <c r="G90" s="59"/>
      <c r="H90" s="62"/>
      <c r="I90" s="62"/>
      <c r="J90" s="62"/>
      <c r="K90" s="62"/>
      <c r="L90" s="62"/>
    </row>
    <row r="91" spans="1:12" ht="69.75" customHeight="1" x14ac:dyDescent="0.25">
      <c r="A91" s="148" t="s">
        <v>263</v>
      </c>
      <c r="B91" s="124" t="s">
        <v>319</v>
      </c>
      <c r="C91" s="124" t="s">
        <v>384</v>
      </c>
      <c r="D91" s="372" t="s">
        <v>383</v>
      </c>
      <c r="E91" s="373"/>
      <c r="F91" s="374"/>
      <c r="G91" s="59"/>
      <c r="H91" s="62"/>
      <c r="I91" s="62"/>
      <c r="J91" s="62"/>
      <c r="K91" s="62"/>
      <c r="L91" s="62"/>
    </row>
    <row r="92" spans="1:12" ht="39.75" customHeight="1" x14ac:dyDescent="0.25">
      <c r="A92" s="148" t="s">
        <v>264</v>
      </c>
      <c r="B92" s="124" t="s">
        <v>321</v>
      </c>
      <c r="C92" s="124" t="s">
        <v>252</v>
      </c>
      <c r="D92" s="372" t="s">
        <v>252</v>
      </c>
      <c r="E92" s="373"/>
      <c r="F92" s="374"/>
      <c r="G92" s="59"/>
      <c r="H92" s="62"/>
      <c r="I92" s="62"/>
      <c r="J92" s="62"/>
      <c r="K92" s="62"/>
      <c r="L92" s="62"/>
    </row>
    <row r="93" spans="1:12" ht="31.5" customHeight="1" x14ac:dyDescent="0.25">
      <c r="A93" s="148" t="s">
        <v>169</v>
      </c>
      <c r="B93" s="124" t="s">
        <v>319</v>
      </c>
      <c r="C93" s="124" t="s">
        <v>252</v>
      </c>
      <c r="D93" s="369" t="s">
        <v>370</v>
      </c>
      <c r="E93" s="370"/>
      <c r="F93" s="371"/>
      <c r="G93" s="59"/>
      <c r="H93" s="62"/>
      <c r="I93" s="62"/>
      <c r="J93" s="62"/>
      <c r="K93" s="62"/>
      <c r="L93" s="62"/>
    </row>
    <row r="94" spans="1:12" ht="36" hidden="1" customHeight="1" x14ac:dyDescent="0.25">
      <c r="A94" s="148" t="s">
        <v>170</v>
      </c>
      <c r="B94" s="85"/>
      <c r="C94" s="85"/>
      <c r="D94" s="385"/>
      <c r="E94" s="386"/>
      <c r="F94" s="387"/>
      <c r="G94" s="59"/>
      <c r="H94" s="62"/>
      <c r="I94" s="62"/>
      <c r="J94" s="62"/>
      <c r="K94" s="62"/>
      <c r="L94" s="62"/>
    </row>
    <row r="95" spans="1:12" ht="24" x14ac:dyDescent="0.25">
      <c r="A95" s="149" t="s">
        <v>171</v>
      </c>
      <c r="B95" s="389"/>
      <c r="C95" s="389"/>
      <c r="D95" s="389"/>
      <c r="E95" s="389"/>
      <c r="F95" s="390"/>
      <c r="G95" s="59"/>
      <c r="H95" s="62"/>
      <c r="I95" s="62"/>
      <c r="J95" s="62"/>
      <c r="K95" s="62"/>
      <c r="L95" s="62"/>
    </row>
    <row r="96" spans="1:12" x14ac:dyDescent="0.25">
      <c r="A96" s="263" t="s">
        <v>176</v>
      </c>
      <c r="B96" s="264"/>
      <c r="C96" s="264"/>
      <c r="D96" s="264"/>
      <c r="E96" s="264"/>
      <c r="F96" s="265"/>
      <c r="G96" s="59"/>
      <c r="H96" s="62"/>
      <c r="I96" s="66"/>
      <c r="J96" s="62"/>
      <c r="K96" s="62"/>
      <c r="L96" s="62"/>
    </row>
    <row r="97" spans="1:12" ht="48" x14ac:dyDescent="0.25">
      <c r="A97" s="148" t="s">
        <v>177</v>
      </c>
      <c r="B97" s="126" t="s">
        <v>247</v>
      </c>
      <c r="C97" s="127" t="s">
        <v>181</v>
      </c>
      <c r="D97" s="126" t="s">
        <v>265</v>
      </c>
      <c r="E97" s="125" t="s">
        <v>178</v>
      </c>
      <c r="F97" s="151" t="s">
        <v>324</v>
      </c>
      <c r="G97" s="59"/>
      <c r="H97" s="62"/>
      <c r="I97" s="62"/>
      <c r="J97" s="66"/>
      <c r="K97" s="62"/>
      <c r="L97" s="62"/>
    </row>
    <row r="98" spans="1:12" ht="24" x14ac:dyDescent="0.25">
      <c r="A98" s="149" t="s">
        <v>179</v>
      </c>
      <c r="B98" s="392">
        <v>43031</v>
      </c>
      <c r="C98" s="393"/>
      <c r="D98" s="128" t="s">
        <v>182</v>
      </c>
      <c r="E98" s="394">
        <v>46387</v>
      </c>
      <c r="F98" s="395"/>
      <c r="G98" s="59"/>
      <c r="H98" s="62"/>
      <c r="I98" s="62"/>
      <c r="J98" s="66"/>
      <c r="K98" s="62"/>
      <c r="L98" s="62"/>
    </row>
    <row r="99" spans="1:12" ht="36" x14ac:dyDescent="0.25">
      <c r="A99" s="149" t="s">
        <v>180</v>
      </c>
      <c r="B99" s="271" t="s">
        <v>261</v>
      </c>
      <c r="C99" s="271"/>
      <c r="D99" s="129" t="s">
        <v>183</v>
      </c>
      <c r="E99" s="271" t="s">
        <v>252</v>
      </c>
      <c r="F99" s="272"/>
      <c r="G99" s="59"/>
      <c r="H99" s="62"/>
      <c r="I99" s="62"/>
      <c r="J99" s="66"/>
      <c r="K99" s="62"/>
      <c r="L99" s="62"/>
    </row>
    <row r="100" spans="1:12" x14ac:dyDescent="0.25">
      <c r="A100" s="263" t="s">
        <v>184</v>
      </c>
      <c r="B100" s="264"/>
      <c r="C100" s="264"/>
      <c r="D100" s="264"/>
      <c r="E100" s="264"/>
      <c r="F100" s="265"/>
      <c r="G100" s="59"/>
      <c r="H100" s="62"/>
      <c r="I100" s="66"/>
      <c r="J100" s="62"/>
      <c r="K100" s="62"/>
      <c r="L100" s="62"/>
    </row>
    <row r="101" spans="1:12" x14ac:dyDescent="0.25">
      <c r="A101" s="152" t="s">
        <v>191</v>
      </c>
      <c r="B101" s="388" t="s">
        <v>266</v>
      </c>
      <c r="C101" s="388"/>
      <c r="D101" s="129" t="s">
        <v>185</v>
      </c>
      <c r="E101" s="271" t="s">
        <v>261</v>
      </c>
      <c r="F101" s="272"/>
      <c r="G101" s="59"/>
      <c r="H101" s="62"/>
      <c r="I101" s="62"/>
      <c r="J101" s="66"/>
      <c r="K101" s="62"/>
      <c r="L101" s="62"/>
    </row>
    <row r="102" spans="1:12" ht="33.75" customHeight="1" x14ac:dyDescent="0.25">
      <c r="A102" s="152" t="s">
        <v>192</v>
      </c>
      <c r="B102" s="271" t="s">
        <v>247</v>
      </c>
      <c r="C102" s="271"/>
      <c r="D102" s="129" t="s">
        <v>186</v>
      </c>
      <c r="E102" s="388" t="s">
        <v>267</v>
      </c>
      <c r="F102" s="391"/>
      <c r="G102" s="59"/>
      <c r="H102" s="62"/>
      <c r="I102" s="62"/>
      <c r="J102" s="66"/>
      <c r="K102" s="62"/>
      <c r="L102" s="62"/>
    </row>
    <row r="103" spans="1:12" ht="36" x14ac:dyDescent="0.25">
      <c r="A103" s="152" t="s">
        <v>193</v>
      </c>
      <c r="B103" s="271" t="s">
        <v>261</v>
      </c>
      <c r="C103" s="271"/>
      <c r="D103" s="129" t="s">
        <v>187</v>
      </c>
      <c r="E103" s="271" t="s">
        <v>261</v>
      </c>
      <c r="F103" s="272"/>
      <c r="G103" s="59"/>
      <c r="H103" s="62"/>
      <c r="I103" s="62"/>
      <c r="J103" s="66"/>
      <c r="K103" s="62"/>
      <c r="L103" s="62"/>
    </row>
    <row r="104" spans="1:12" ht="58.5" customHeight="1" x14ac:dyDescent="0.25">
      <c r="A104" s="152" t="s">
        <v>194</v>
      </c>
      <c r="B104" s="271" t="s">
        <v>261</v>
      </c>
      <c r="C104" s="271"/>
      <c r="D104" s="129" t="s">
        <v>188</v>
      </c>
      <c r="E104" s="271" t="s">
        <v>261</v>
      </c>
      <c r="F104" s="272"/>
      <c r="G104" s="59"/>
      <c r="H104" s="62"/>
      <c r="I104" s="62"/>
      <c r="J104" s="66"/>
      <c r="K104" s="62"/>
      <c r="L104" s="62"/>
    </row>
    <row r="105" spans="1:12" ht="36" x14ac:dyDescent="0.25">
      <c r="A105" s="152" t="s">
        <v>195</v>
      </c>
      <c r="B105" s="271" t="s">
        <v>261</v>
      </c>
      <c r="C105" s="271"/>
      <c r="D105" s="129" t="s">
        <v>189</v>
      </c>
      <c r="E105" s="271" t="s">
        <v>261</v>
      </c>
      <c r="F105" s="272"/>
      <c r="G105" s="59"/>
      <c r="H105" s="62"/>
      <c r="I105" s="62"/>
      <c r="J105" s="66"/>
      <c r="K105" s="62"/>
      <c r="L105" s="62"/>
    </row>
    <row r="106" spans="1:12" x14ac:dyDescent="0.25">
      <c r="A106" s="152" t="s">
        <v>196</v>
      </c>
      <c r="B106" s="271" t="s">
        <v>261</v>
      </c>
      <c r="C106" s="271"/>
      <c r="D106" s="129" t="s">
        <v>190</v>
      </c>
      <c r="E106" s="271" t="s">
        <v>261</v>
      </c>
      <c r="F106" s="272"/>
      <c r="G106" s="59"/>
      <c r="H106" s="62"/>
      <c r="I106" s="62"/>
      <c r="J106" s="59"/>
      <c r="K106" s="62"/>
      <c r="L106" s="62"/>
    </row>
    <row r="107" spans="1:12" x14ac:dyDescent="0.25">
      <c r="A107" s="273" t="s">
        <v>197</v>
      </c>
      <c r="B107" s="274"/>
      <c r="C107" s="351" t="s">
        <v>247</v>
      </c>
      <c r="D107" s="352"/>
      <c r="E107" s="352"/>
      <c r="F107" s="353"/>
      <c r="G107" s="182"/>
      <c r="H107" s="182"/>
      <c r="I107" s="62"/>
      <c r="J107" s="62"/>
      <c r="K107" s="62"/>
      <c r="L107" s="62"/>
    </row>
    <row r="108" spans="1:12" ht="30" customHeight="1" x14ac:dyDescent="0.25">
      <c r="A108" s="273" t="s">
        <v>198</v>
      </c>
      <c r="B108" s="274"/>
      <c r="C108" s="351" t="s">
        <v>261</v>
      </c>
      <c r="D108" s="352"/>
      <c r="E108" s="352"/>
      <c r="F108" s="353"/>
      <c r="G108" s="182"/>
      <c r="H108" s="182"/>
      <c r="I108" s="62"/>
      <c r="J108" s="62"/>
      <c r="K108" s="62"/>
      <c r="L108" s="62"/>
    </row>
    <row r="109" spans="1:12" x14ac:dyDescent="0.25">
      <c r="A109" s="263" t="s">
        <v>199</v>
      </c>
      <c r="B109" s="264"/>
      <c r="C109" s="264"/>
      <c r="D109" s="264"/>
      <c r="E109" s="264"/>
      <c r="F109" s="265"/>
      <c r="G109" s="59"/>
      <c r="H109" s="62"/>
      <c r="I109" s="62"/>
      <c r="J109" s="62"/>
      <c r="K109" s="62"/>
      <c r="L109" s="62"/>
    </row>
    <row r="110" spans="1:12" x14ac:dyDescent="0.25">
      <c r="A110" s="266" t="s">
        <v>201</v>
      </c>
      <c r="B110" s="267"/>
      <c r="C110" s="267"/>
      <c r="D110" s="267"/>
      <c r="E110" s="267" t="s">
        <v>200</v>
      </c>
      <c r="F110" s="268"/>
      <c r="G110" s="59"/>
      <c r="H110" s="66"/>
      <c r="I110" s="66"/>
      <c r="J110" s="66"/>
      <c r="K110" s="66"/>
      <c r="L110" s="66"/>
    </row>
    <row r="111" spans="1:12" x14ac:dyDescent="0.25">
      <c r="A111" s="269" t="s">
        <v>325</v>
      </c>
      <c r="B111" s="270"/>
      <c r="C111" s="270"/>
      <c r="D111" s="270"/>
      <c r="E111" s="271" t="s">
        <v>261</v>
      </c>
      <c r="F111" s="272"/>
      <c r="G111" s="62"/>
      <c r="H111" s="62"/>
      <c r="I111" s="62"/>
      <c r="J111" s="62"/>
      <c r="K111" s="62"/>
      <c r="L111" s="62"/>
    </row>
    <row r="112" spans="1:12" hidden="1" x14ac:dyDescent="0.25">
      <c r="A112" s="356"/>
      <c r="B112" s="259"/>
      <c r="C112" s="259"/>
      <c r="D112" s="259"/>
      <c r="E112" s="259"/>
      <c r="F112" s="260"/>
      <c r="G112" s="62"/>
      <c r="H112" s="62"/>
      <c r="I112" s="62"/>
      <c r="J112" s="62"/>
      <c r="K112" s="62"/>
      <c r="L112" s="62"/>
    </row>
    <row r="113" spans="1:12" ht="15.75" thickBot="1" x14ac:dyDescent="0.3">
      <c r="A113" s="357"/>
      <c r="B113" s="358"/>
      <c r="C113" s="358"/>
      <c r="D113" s="358"/>
      <c r="E113" s="358"/>
      <c r="F113" s="359"/>
      <c r="G113" s="62"/>
      <c r="H113" s="62"/>
      <c r="I113" s="62"/>
      <c r="J113" s="62"/>
      <c r="K113" s="62"/>
      <c r="L113" s="62"/>
    </row>
    <row r="114" spans="1:12" ht="36" x14ac:dyDescent="0.25">
      <c r="A114" s="75" t="s">
        <v>202</v>
      </c>
      <c r="B114" s="76" t="s">
        <v>203</v>
      </c>
      <c r="C114" s="76" t="s">
        <v>204</v>
      </c>
      <c r="D114" s="76" t="s">
        <v>205</v>
      </c>
      <c r="E114" s="76" t="s">
        <v>206</v>
      </c>
      <c r="F114" s="77" t="s">
        <v>207</v>
      </c>
      <c r="G114" s="59"/>
      <c r="H114" s="66"/>
      <c r="I114" s="66"/>
      <c r="J114" s="66"/>
      <c r="K114" s="66"/>
      <c r="L114" s="66"/>
    </row>
    <row r="115" spans="1:12" ht="54.75" customHeight="1" thickBot="1" x14ac:dyDescent="0.3">
      <c r="A115" s="78">
        <v>1</v>
      </c>
      <c r="B115" s="79">
        <v>1</v>
      </c>
      <c r="C115" s="79">
        <v>6</v>
      </c>
      <c r="D115" s="120" t="s">
        <v>375</v>
      </c>
      <c r="E115" s="79" t="s">
        <v>307</v>
      </c>
      <c r="F115" s="80">
        <v>740</v>
      </c>
    </row>
    <row r="116" spans="1:12" x14ac:dyDescent="0.25">
      <c r="A116" s="354" t="s">
        <v>268</v>
      </c>
      <c r="B116" s="355"/>
      <c r="C116" s="261" t="s">
        <v>326</v>
      </c>
      <c r="D116" s="261"/>
      <c r="E116" s="261"/>
      <c r="F116" s="262"/>
      <c r="G116" s="182"/>
      <c r="H116" s="182"/>
    </row>
    <row r="117" spans="1:12" x14ac:dyDescent="0.25">
      <c r="A117" s="183" t="s">
        <v>269</v>
      </c>
      <c r="B117" s="184"/>
      <c r="C117" s="230" t="s">
        <v>326</v>
      </c>
      <c r="D117" s="230"/>
      <c r="E117" s="230"/>
      <c r="F117" s="231"/>
      <c r="G117" s="182"/>
      <c r="H117" s="182"/>
    </row>
    <row r="118" spans="1:12" hidden="1" x14ac:dyDescent="0.25">
      <c r="A118" s="185"/>
      <c r="B118" s="182"/>
      <c r="C118" s="232"/>
      <c r="D118" s="233"/>
      <c r="E118" s="233"/>
      <c r="F118" s="234"/>
      <c r="G118" s="182"/>
      <c r="H118" s="182"/>
    </row>
    <row r="119" spans="1:12" hidden="1" x14ac:dyDescent="0.25">
      <c r="A119" s="186"/>
      <c r="B119" s="187"/>
      <c r="C119" s="221"/>
      <c r="D119" s="221"/>
      <c r="E119" s="221"/>
      <c r="F119" s="222"/>
      <c r="G119" s="182"/>
      <c r="H119" s="182"/>
    </row>
    <row r="120" spans="1:12" x14ac:dyDescent="0.25">
      <c r="A120" s="354" t="s">
        <v>208</v>
      </c>
      <c r="B120" s="355"/>
      <c r="C120" s="261" t="s">
        <v>247</v>
      </c>
      <c r="D120" s="261"/>
      <c r="E120" s="261"/>
      <c r="F120" s="262"/>
      <c r="G120" s="182"/>
      <c r="H120" s="182"/>
    </row>
    <row r="121" spans="1:12" x14ac:dyDescent="0.25">
      <c r="A121" s="225" t="s">
        <v>209</v>
      </c>
      <c r="B121" s="226"/>
      <c r="C121" s="261" t="s">
        <v>247</v>
      </c>
      <c r="D121" s="261"/>
      <c r="E121" s="261"/>
      <c r="F121" s="262"/>
      <c r="G121" s="182"/>
      <c r="H121" s="182"/>
    </row>
    <row r="122" spans="1:12" ht="26.1" customHeight="1" x14ac:dyDescent="0.25">
      <c r="A122" s="225" t="s">
        <v>210</v>
      </c>
      <c r="B122" s="226"/>
      <c r="C122" s="248" t="s">
        <v>327</v>
      </c>
      <c r="D122" s="248"/>
      <c r="E122" s="248"/>
      <c r="F122" s="249"/>
      <c r="G122" s="182"/>
      <c r="H122" s="182"/>
    </row>
    <row r="123" spans="1:12" ht="24.75" customHeight="1" thickBot="1" x14ac:dyDescent="0.3">
      <c r="A123" s="403" t="s">
        <v>211</v>
      </c>
      <c r="B123" s="404"/>
      <c r="C123" s="346" t="s">
        <v>376</v>
      </c>
      <c r="D123" s="346"/>
      <c r="E123" s="346"/>
      <c r="F123" s="347"/>
      <c r="G123" s="182"/>
      <c r="H123" s="182"/>
    </row>
    <row r="124" spans="1:12" ht="15.75" thickBot="1" x14ac:dyDescent="0.3">
      <c r="A124" s="348" t="s">
        <v>4</v>
      </c>
      <c r="B124" s="349"/>
      <c r="C124" s="349"/>
      <c r="D124" s="349"/>
      <c r="E124" s="349"/>
      <c r="F124" s="350"/>
      <c r="G124" s="1"/>
      <c r="H124" s="1"/>
    </row>
    <row r="125" spans="1:12" x14ac:dyDescent="0.25">
      <c r="A125" s="208" t="s">
        <v>395</v>
      </c>
      <c r="B125" s="209"/>
      <c r="C125" s="86" t="s">
        <v>5</v>
      </c>
      <c r="D125" s="86" t="s">
        <v>6</v>
      </c>
      <c r="E125" s="86" t="s">
        <v>7</v>
      </c>
      <c r="F125" s="87" t="s">
        <v>8</v>
      </c>
      <c r="G125" s="2" t="str">
        <f ca="1">(IF(E129&gt;99%,"All work completed. Please provide OC.",IF(E129&gt;89.8%,"Plinth, RCC, Brick, Plaster, Flooring, Painting work Completed. Finishing work is in process.",IF(E129&lt;94%,(IF(C129=0,"Work not yet Started.",IF(D129=25%,"Piling work in process",IF(D129=50%,"Excavation work in process",IF(D129=100%,"Excavation work Completed. ","0")))&amp;(IF(C130=0%,"",IF(C130=H131,"Footing work is process",IF(C130=H132,"Footing work Completed",IF(C130=H133,"1st Basement Completed",IF(C130=H134,"1st &amp; 2nd Basement Completed",IF(C130=H135,"1st to 3rd Basement Completed",IF(C130=H136,"1st to 4th Basement Completed",IF(C130=H137,"Plinth work is process",IF(C130=H138,"Plinth work completed","0")))))))))))&amp;(IF(C131=(D126+E126+F126),", RCC Slab",IF(C131&gt;0,", RCC upto "&amp;C131&amp;" Slab",""))&amp;(IF(C132=F126,", Brickwork",IF(C132&gt;0,", Brickwork upto "&amp;C132&amp;" Floor",""))&amp;(IF(C133=F126,", Internal Plaster",IF(C133&gt;0,", Internal Plaster upto "&amp;C133&amp;" Floor",""))&amp;(IF(C134=F126,", External Plaster",IF(C134&gt;0,", External Plaster upto "&amp;C134&amp;" Floor",""))&amp;(IF(C135=F126,", Flooring",IF(C135&gt;0,", Flooring upto "&amp;C135&amp;" Floor",""))&amp;(IF(C136=F126,", Painting",IF(C136&gt;0,", Painting upto "&amp;C136&amp;" Floor",""))&amp;(IF(C137&gt;0,", Finishing upto "&amp;C137&amp;" Floor","")&amp;(IF(C131&gt;0.5," Completed",""))))))))))))))</f>
        <v>Excavation work Completed. Plinth work completed, RCC Slab, Brickwork, Internal Plaster upto 21 Floor, External Plaster upto 10 Floor Completed</v>
      </c>
      <c r="H125" s="3"/>
    </row>
    <row r="126" spans="1:12" x14ac:dyDescent="0.25">
      <c r="A126" s="210"/>
      <c r="B126" s="211"/>
      <c r="C126" s="88">
        <v>0</v>
      </c>
      <c r="D126" s="88">
        <v>1</v>
      </c>
      <c r="E126" s="88">
        <v>0</v>
      </c>
      <c r="F126" s="89">
        <f ca="1">--TRIM(RIGHT(SUBSTITUTE(LEFT(A125,_xlfn.AGGREGATE(16,6,FIND({0,1,2,3,4,5,6,7,8,9},A125,ROW(INDIRECT("1:"&amp;LEN(A125)))),1))," ",REPT(" ",LEN(A125))),LEN(A125)))</f>
        <v>22</v>
      </c>
      <c r="G126" s="4"/>
      <c r="H126" s="5"/>
      <c r="L126" t="s">
        <v>214</v>
      </c>
    </row>
    <row r="127" spans="1:12" ht="30.75" customHeight="1" x14ac:dyDescent="0.25">
      <c r="A127" s="90" t="s">
        <v>9</v>
      </c>
      <c r="B127" s="212" t="str">
        <f ca="1">G125</f>
        <v>Excavation work Completed. Plinth work completed, RCC Slab, Brickwork, Internal Plaster upto 21 Floor, External Plaster upto 10 Floor Completed</v>
      </c>
      <c r="C127" s="213"/>
      <c r="D127" s="213"/>
      <c r="E127" s="213"/>
      <c r="F127" s="214"/>
      <c r="G127" s="4" t="s">
        <v>10</v>
      </c>
      <c r="H127" s="5"/>
      <c r="L127" t="s">
        <v>212</v>
      </c>
    </row>
    <row r="128" spans="1:12" x14ac:dyDescent="0.25">
      <c r="A128" s="130" t="s">
        <v>11</v>
      </c>
      <c r="B128" s="135" t="s">
        <v>12</v>
      </c>
      <c r="C128" s="132" t="s">
        <v>13</v>
      </c>
      <c r="D128" s="132" t="s">
        <v>14</v>
      </c>
      <c r="E128" s="215" t="s">
        <v>37</v>
      </c>
      <c r="F128" s="216"/>
      <c r="G128" s="6" t="s">
        <v>16</v>
      </c>
      <c r="H128" s="7">
        <f ca="1">F126*25%</f>
        <v>5.5</v>
      </c>
      <c r="L128" t="s">
        <v>213</v>
      </c>
    </row>
    <row r="129" spans="1:12" hidden="1" x14ac:dyDescent="0.25">
      <c r="A129" s="130" t="s">
        <v>17</v>
      </c>
      <c r="B129" s="94">
        <v>0.15</v>
      </c>
      <c r="C129" s="132">
        <f ca="1">H130</f>
        <v>22</v>
      </c>
      <c r="D129" s="96">
        <f ca="1">((100/F126)*C129)/100</f>
        <v>1.0000000000000002</v>
      </c>
      <c r="E129" s="217">
        <f ca="1">((((C130/F126)*35)+(35/(F126+E126+D126)*C131)+(5/F126*C132)+(5/F126*C133)+(5/F126*C134)+(5/F126*C135)+(5/F126*C136)+(2.5/F126*C137)+(2.5/F126*C138))/100)</f>
        <v>0.82045454545454533</v>
      </c>
      <c r="F129" s="218"/>
      <c r="G129" s="6" t="s">
        <v>18</v>
      </c>
      <c r="H129" s="8">
        <f ca="1">F126*50%</f>
        <v>11</v>
      </c>
    </row>
    <row r="130" spans="1:12" x14ac:dyDescent="0.25">
      <c r="A130" s="130" t="s">
        <v>19</v>
      </c>
      <c r="B130" s="94">
        <v>0.35</v>
      </c>
      <c r="C130" s="131">
        <f ca="1">H138</f>
        <v>22</v>
      </c>
      <c r="D130" s="96">
        <f ca="1">((100/F126)*C130)/100</f>
        <v>1.0000000000000002</v>
      </c>
      <c r="E130" s="219"/>
      <c r="F130" s="220"/>
      <c r="G130" s="6" t="s">
        <v>20</v>
      </c>
      <c r="H130" s="8">
        <f ca="1">F126</f>
        <v>22</v>
      </c>
    </row>
    <row r="131" spans="1:12" ht="30" x14ac:dyDescent="0.25">
      <c r="A131" s="130" t="s">
        <v>21</v>
      </c>
      <c r="B131" s="94">
        <v>0.35</v>
      </c>
      <c r="C131" s="131">
        <v>23</v>
      </c>
      <c r="D131" s="96">
        <f ca="1">((100/(D126+E126+F126))*C131)/100</f>
        <v>1</v>
      </c>
      <c r="E131" s="219"/>
      <c r="F131" s="220"/>
      <c r="G131" s="6" t="s">
        <v>22</v>
      </c>
      <c r="H131" s="9">
        <f ca="1">(IF(C126&gt;1,(F126/(C126+2)),F126/4))</f>
        <v>5.5</v>
      </c>
    </row>
    <row r="132" spans="1:12" x14ac:dyDescent="0.25">
      <c r="A132" s="130" t="s">
        <v>23</v>
      </c>
      <c r="B132" s="94">
        <v>0.05</v>
      </c>
      <c r="C132" s="132">
        <v>22</v>
      </c>
      <c r="D132" s="96">
        <f ca="1">((100/F126)*C132)/100</f>
        <v>1.0000000000000002</v>
      </c>
      <c r="E132" s="219"/>
      <c r="F132" s="220"/>
      <c r="G132" s="6" t="s">
        <v>24</v>
      </c>
      <c r="H132" s="9">
        <f ca="1">(IF(C126&gt;1,(F126/(C126+2)+H131),F126/4+H131))</f>
        <v>11</v>
      </c>
    </row>
    <row r="133" spans="1:12" x14ac:dyDescent="0.25">
      <c r="A133" s="130" t="s">
        <v>38</v>
      </c>
      <c r="B133" s="94">
        <v>0.05</v>
      </c>
      <c r="C133" s="132">
        <v>21</v>
      </c>
      <c r="D133" s="96">
        <f ca="1">((100/F126)*C133)/100</f>
        <v>0.9545454545454547</v>
      </c>
      <c r="E133" s="219"/>
      <c r="F133" s="220"/>
      <c r="G133" s="6" t="s">
        <v>26</v>
      </c>
      <c r="H133" s="9">
        <f>(IF(C126&gt;1,(F126/(C126+2)+H132),0))</f>
        <v>0</v>
      </c>
    </row>
    <row r="134" spans="1:12" x14ac:dyDescent="0.25">
      <c r="A134" s="130" t="s">
        <v>29</v>
      </c>
      <c r="B134" s="94">
        <v>0.05</v>
      </c>
      <c r="C134" s="132">
        <v>10</v>
      </c>
      <c r="D134" s="96">
        <f ca="1">((100/(F126))*C134)/100</f>
        <v>0.45454545454545459</v>
      </c>
      <c r="E134" s="219"/>
      <c r="F134" s="220"/>
      <c r="G134" s="6" t="s">
        <v>28</v>
      </c>
      <c r="H134" s="9">
        <f>(IF(C126&gt;2,(F126/(C126+2)+H133),0))</f>
        <v>0</v>
      </c>
    </row>
    <row r="135" spans="1:12" ht="15.75" customHeight="1" x14ac:dyDescent="0.25">
      <c r="A135" s="442" t="s">
        <v>39</v>
      </c>
      <c r="B135" s="94">
        <v>0.05</v>
      </c>
      <c r="C135" s="132">
        <v>0</v>
      </c>
      <c r="D135" s="96">
        <f ca="1">((100/F126)*C135)/100</f>
        <v>0</v>
      </c>
      <c r="E135" s="219"/>
      <c r="F135" s="220"/>
      <c r="G135" s="6" t="s">
        <v>30</v>
      </c>
      <c r="H135" s="10">
        <f>(IF(C126&gt;3,(F126/(C126+2)+H134),0))</f>
        <v>0</v>
      </c>
    </row>
    <row r="136" spans="1:12" x14ac:dyDescent="0.25">
      <c r="A136" s="130" t="s">
        <v>31</v>
      </c>
      <c r="B136" s="94">
        <v>0.05</v>
      </c>
      <c r="C136" s="132">
        <v>0</v>
      </c>
      <c r="D136" s="96">
        <f ca="1">((100/F126)*C136)/100</f>
        <v>0</v>
      </c>
      <c r="E136" s="219"/>
      <c r="F136" s="220"/>
      <c r="G136" s="6" t="s">
        <v>32</v>
      </c>
      <c r="H136" s="9">
        <f>(IF(C126&gt;4,(F126/(C126+2)+H135),0))</f>
        <v>0</v>
      </c>
    </row>
    <row r="137" spans="1:12" x14ac:dyDescent="0.25">
      <c r="A137" s="130" t="s">
        <v>40</v>
      </c>
      <c r="B137" s="94">
        <v>2.5000000000000001E-2</v>
      </c>
      <c r="C137" s="132">
        <v>0</v>
      </c>
      <c r="D137" s="96">
        <f ca="1">((100/(F126))*C137)/100</f>
        <v>0</v>
      </c>
      <c r="E137" s="219"/>
      <c r="F137" s="220"/>
      <c r="G137" s="6" t="s">
        <v>34</v>
      </c>
      <c r="H137" s="9">
        <f ca="1">(IF(C126=1,(F126/(C126+3)+H132),IF(C126=0,(F126/4+H132),IF(C126&gt;1,0))))</f>
        <v>16.5</v>
      </c>
    </row>
    <row r="138" spans="1:12" ht="15.75" thickBot="1" x14ac:dyDescent="0.3">
      <c r="A138" s="133" t="s">
        <v>35</v>
      </c>
      <c r="B138" s="99">
        <v>2.5000000000000001E-2</v>
      </c>
      <c r="C138" s="134">
        <v>0</v>
      </c>
      <c r="D138" s="101">
        <f ca="1">((100/(F126))*C138)/100</f>
        <v>0</v>
      </c>
      <c r="E138" s="219"/>
      <c r="F138" s="220"/>
      <c r="G138" s="11" t="s">
        <v>36</v>
      </c>
      <c r="H138" s="12">
        <f ca="1">(IF(C126&gt;1.5,(F126/(C126+2)+H132+MAX(0,H133-H132)+MAX(0,H134-H133)+MAX(0,H135-H134)+MAX(0,H136-H135)+MAX(0,H137-H136)),IF(C126=1,(F126/(C126+3)+H137),IF(C126=0,F126/4+H137))))</f>
        <v>22</v>
      </c>
    </row>
    <row r="139" spans="1:12" x14ac:dyDescent="0.25">
      <c r="A139" s="208" t="s">
        <v>396</v>
      </c>
      <c r="B139" s="209"/>
      <c r="C139" s="86" t="s">
        <v>5</v>
      </c>
      <c r="D139" s="86" t="s">
        <v>6</v>
      </c>
      <c r="E139" s="86" t="s">
        <v>7</v>
      </c>
      <c r="F139" s="87" t="s">
        <v>8</v>
      </c>
      <c r="G139" s="2" t="str">
        <f ca="1">(IF(E144&gt;99%,"All work completed. Please provide OC.",IF(E144&gt;89.8%,"Plinth, RCC, Brick, Plaster, Flooring, Painting work Completed. Finishing work is in process.",IF(E144&lt;94%,(IF(C144=0,"Work not yet Started.",IF(D144=25%,"Piling work in process",IF(D144=50%,"Excavation work in process",IF(D144=100%,"Excavation work Completed. ","0")))&amp;(IF(C144=0%,"",IF(C144=H145,"Footing work is process",IF(C144=H146,"Footing work Completed",IF(C144=H147,"1st Basement Completed",IF(C144=H148,"1st &amp; 2nd Basement Completed",IF(C144=H149,"1st to 3rd Basement Completed",IF(C144=H150,"1st to 4th Basement Completed",IF(C144=H151,"Plinth work is process",IF(C144=H152,"Plinth work completed","0")))))))))))&amp;(IF(C145=(D140+E140+F140),", RCC Slab",IF(C145&gt;0,", RCC upto "&amp;C145&amp;" Slab",""))&amp;(IF(C146=F140,", Brickwork",IF(C146&gt;0,", Brickwork upto "&amp;C146&amp;" Floor",""))&amp;(IF(C147=F140,", Internal Plaster",IF(C147&gt;0,", Internal Plaster upto "&amp;C147&amp;" Floor",""))&amp;(IF(C148=F140,", External Plaster",IF(C148&gt;0,", External Plaster upto "&amp;C148&amp;" Floor",""))&amp;(IF(C149=F140,", Flooring",IF(C149&gt;0,", Flooring upto "&amp;C149&amp;" Floor",""))&amp;(IF(C150=F140,", Painting",IF(C150&gt;0,", Painting upto "&amp;C150&amp;" Floor",""))&amp;(IF(C151&gt;0,", Finishing upto "&amp;C151&amp;" Floor","")&amp;(IF(C145&gt;0.5," Completed",""))))))))))))))</f>
        <v>Excavation work Completed. Plinth work completed, RCC Slab, Brickwork, Internal Plaster upto 20 Floor, External Plaster upto 8 Floor Completed</v>
      </c>
      <c r="H139" s="3"/>
    </row>
    <row r="140" spans="1:12" x14ac:dyDescent="0.25">
      <c r="A140" s="210"/>
      <c r="B140" s="211"/>
      <c r="C140" s="88">
        <v>0</v>
      </c>
      <c r="D140" s="88">
        <v>1</v>
      </c>
      <c r="E140" s="88">
        <v>0</v>
      </c>
      <c r="F140" s="89">
        <f ca="1">--TRIM(RIGHT(SUBSTITUTE(LEFT(A139,_xlfn.AGGREGATE(16,6,FIND({0,1,2,3,4,5,6,7,8,9},A139,ROW(INDIRECT("1:"&amp;LEN(A139)))),1))," ",REPT(" ",LEN(A139))),LEN(A139)))</f>
        <v>22</v>
      </c>
      <c r="G140" s="4"/>
      <c r="H140" s="5"/>
      <c r="L140" t="s">
        <v>214</v>
      </c>
    </row>
    <row r="141" spans="1:12" ht="30.75" customHeight="1" x14ac:dyDescent="0.25">
      <c r="A141" s="90" t="s">
        <v>9</v>
      </c>
      <c r="B141" s="212" t="str">
        <f ca="1">G139</f>
        <v>Excavation work Completed. Plinth work completed, RCC Slab, Brickwork, Internal Plaster upto 20 Floor, External Plaster upto 8 Floor Completed</v>
      </c>
      <c r="C141" s="213"/>
      <c r="D141" s="213"/>
      <c r="E141" s="213"/>
      <c r="F141" s="214"/>
      <c r="G141" s="4" t="s">
        <v>10</v>
      </c>
      <c r="H141" s="5"/>
      <c r="L141" t="s">
        <v>212</v>
      </c>
    </row>
    <row r="142" spans="1:12" x14ac:dyDescent="0.25">
      <c r="A142" s="130" t="s">
        <v>11</v>
      </c>
      <c r="B142" s="135" t="s">
        <v>12</v>
      </c>
      <c r="C142" s="132" t="s">
        <v>13</v>
      </c>
      <c r="D142" s="132" t="s">
        <v>14</v>
      </c>
      <c r="E142" s="215" t="s">
        <v>37</v>
      </c>
      <c r="F142" s="216"/>
      <c r="G142" s="6" t="s">
        <v>16</v>
      </c>
      <c r="H142" s="7">
        <f ca="1">F140*25%</f>
        <v>5.5</v>
      </c>
      <c r="L142" t="s">
        <v>213</v>
      </c>
    </row>
    <row r="143" spans="1:12" hidden="1" x14ac:dyDescent="0.25">
      <c r="A143" s="130" t="s">
        <v>17</v>
      </c>
      <c r="B143" s="94">
        <v>0.15</v>
      </c>
      <c r="C143" s="132">
        <v>0</v>
      </c>
      <c r="D143" s="96">
        <f ca="1">((100/F140)*C143)/100</f>
        <v>0</v>
      </c>
      <c r="E143" s="217">
        <f ca="1">((((C144/F140)*35)+(35/(F140+E140+D140)*C145)+(5/F140*C146)+(5/F140*C147)+(5/F140*C148)+(5/F140*C149)+(5/F140*C150)+(2.5/F140*C151)+(2.5/F140*C152))/100)</f>
        <v>0.8136363636363636</v>
      </c>
      <c r="F143" s="218"/>
      <c r="G143" s="6" t="s">
        <v>18</v>
      </c>
      <c r="H143" s="8">
        <f ca="1">F140*50%</f>
        <v>11</v>
      </c>
    </row>
    <row r="144" spans="1:12" x14ac:dyDescent="0.25">
      <c r="A144" s="130" t="s">
        <v>19</v>
      </c>
      <c r="B144" s="94">
        <v>0.35</v>
      </c>
      <c r="C144" s="131">
        <f ca="1">H152</f>
        <v>22</v>
      </c>
      <c r="D144" s="96">
        <f ca="1">((100/F140)*C144)/100</f>
        <v>1.0000000000000002</v>
      </c>
      <c r="E144" s="219"/>
      <c r="F144" s="220"/>
      <c r="G144" s="6" t="s">
        <v>20</v>
      </c>
      <c r="H144" s="8">
        <f ca="1">F140</f>
        <v>22</v>
      </c>
    </row>
    <row r="145" spans="1:12" ht="30" x14ac:dyDescent="0.25">
      <c r="A145" s="130" t="s">
        <v>21</v>
      </c>
      <c r="B145" s="94">
        <v>0.35</v>
      </c>
      <c r="C145" s="131">
        <v>23</v>
      </c>
      <c r="D145" s="96">
        <f ca="1">((100/(D140+E140+F140))*C145)/100</f>
        <v>1</v>
      </c>
      <c r="E145" s="219"/>
      <c r="F145" s="220"/>
      <c r="G145" s="6" t="s">
        <v>22</v>
      </c>
      <c r="H145" s="9">
        <f ca="1">(IF(C140&gt;1,(F140/(C140+2)),F140/4))</f>
        <v>5.5</v>
      </c>
    </row>
    <row r="146" spans="1:12" x14ac:dyDescent="0.25">
      <c r="A146" s="130" t="s">
        <v>23</v>
      </c>
      <c r="B146" s="94">
        <v>0.05</v>
      </c>
      <c r="C146" s="132">
        <v>22</v>
      </c>
      <c r="D146" s="96">
        <f ca="1">((100/F140)*C146)/100</f>
        <v>1.0000000000000002</v>
      </c>
      <c r="E146" s="219"/>
      <c r="F146" s="220"/>
      <c r="G146" s="6" t="s">
        <v>24</v>
      </c>
      <c r="H146" s="9">
        <f ca="1">(IF(C140&gt;1,(F140/(C140+2)+H145),F140/4+H145))</f>
        <v>11</v>
      </c>
    </row>
    <row r="147" spans="1:12" x14ac:dyDescent="0.25">
      <c r="A147" s="130" t="s">
        <v>38</v>
      </c>
      <c r="B147" s="94">
        <v>0.05</v>
      </c>
      <c r="C147" s="132">
        <v>20</v>
      </c>
      <c r="D147" s="96">
        <f ca="1">((100/F140)*C147)/100</f>
        <v>0.90909090909090917</v>
      </c>
      <c r="E147" s="219"/>
      <c r="F147" s="220"/>
      <c r="G147" s="6" t="s">
        <v>26</v>
      </c>
      <c r="H147" s="9">
        <f>(IF(C140&gt;1,(F140/(C140+2)+H146),0))</f>
        <v>0</v>
      </c>
    </row>
    <row r="148" spans="1:12" x14ac:dyDescent="0.25">
      <c r="A148" s="130" t="s">
        <v>29</v>
      </c>
      <c r="B148" s="94">
        <v>0.05</v>
      </c>
      <c r="C148" s="132">
        <v>8</v>
      </c>
      <c r="D148" s="96">
        <f ca="1">((100/(F140))*C148)/100</f>
        <v>0.36363636363636365</v>
      </c>
      <c r="E148" s="219"/>
      <c r="F148" s="220"/>
      <c r="G148" s="6" t="s">
        <v>28</v>
      </c>
      <c r="H148" s="9">
        <f>(IF(C140&gt;2,(F140/(C140+2)+H147),0))</f>
        <v>0</v>
      </c>
    </row>
    <row r="149" spans="1:12" ht="15" customHeight="1" x14ac:dyDescent="0.25">
      <c r="A149" s="130" t="s">
        <v>39</v>
      </c>
      <c r="B149" s="94">
        <v>0.05</v>
      </c>
      <c r="C149" s="132">
        <v>0</v>
      </c>
      <c r="D149" s="96">
        <f ca="1">((100/F140)*C149)/100</f>
        <v>0</v>
      </c>
      <c r="E149" s="219"/>
      <c r="F149" s="220"/>
      <c r="G149" s="6" t="s">
        <v>30</v>
      </c>
      <c r="H149" s="10">
        <f>(IF(C140&gt;3,(F140/(C140+2)+H148),0))</f>
        <v>0</v>
      </c>
    </row>
    <row r="150" spans="1:12" x14ac:dyDescent="0.25">
      <c r="A150" s="130" t="s">
        <v>31</v>
      </c>
      <c r="B150" s="94">
        <v>0.05</v>
      </c>
      <c r="C150" s="132">
        <v>0</v>
      </c>
      <c r="D150" s="96">
        <f ca="1">((100/F140)*C150)/100</f>
        <v>0</v>
      </c>
      <c r="E150" s="219"/>
      <c r="F150" s="220"/>
      <c r="G150" s="6" t="s">
        <v>32</v>
      </c>
      <c r="H150" s="9">
        <f>(IF(C140&gt;4,(F140/(C140+2)+H149),0))</f>
        <v>0</v>
      </c>
    </row>
    <row r="151" spans="1:12" x14ac:dyDescent="0.25">
      <c r="A151" s="130" t="s">
        <v>40</v>
      </c>
      <c r="B151" s="94">
        <v>2.5000000000000001E-2</v>
      </c>
      <c r="C151" s="132">
        <v>0</v>
      </c>
      <c r="D151" s="96">
        <f ca="1">((100/(F140))*C151)/100</f>
        <v>0</v>
      </c>
      <c r="E151" s="219"/>
      <c r="F151" s="220"/>
      <c r="G151" s="6" t="s">
        <v>34</v>
      </c>
      <c r="H151" s="9">
        <f ca="1">(IF(C140=1,(F140/(C140+3)+H146),IF(C140=0,(F140/4+H146),IF(C140&gt;1,0))))</f>
        <v>16.5</v>
      </c>
    </row>
    <row r="152" spans="1:12" ht="15.75" thickBot="1" x14ac:dyDescent="0.3">
      <c r="A152" s="133" t="s">
        <v>35</v>
      </c>
      <c r="B152" s="99">
        <v>2.5000000000000001E-2</v>
      </c>
      <c r="C152" s="134">
        <v>0</v>
      </c>
      <c r="D152" s="101">
        <f ca="1">((100/(F140))*C152)/100</f>
        <v>0</v>
      </c>
      <c r="E152" s="219"/>
      <c r="F152" s="220"/>
      <c r="G152" s="11" t="s">
        <v>36</v>
      </c>
      <c r="H152" s="12">
        <f ca="1">(IF(C140&gt;1.5,(F140/(C140+2)+H146+MAX(0,H147-H146)+MAX(0,H148-H147)+MAX(0,H149-H148)+MAX(0,H150-H149)+MAX(0,H151-H150)),IF(C140=1,(F140/(C140+3)+H151),IF(C140=0,F140/4+H151))))</f>
        <v>22</v>
      </c>
    </row>
    <row r="153" spans="1:12" ht="15.75" hidden="1" thickBot="1" x14ac:dyDescent="0.3">
      <c r="A153" s="208">
        <f>C119</f>
        <v>0</v>
      </c>
      <c r="B153" s="209"/>
      <c r="C153" s="86" t="s">
        <v>5</v>
      </c>
      <c r="D153" s="86" t="s">
        <v>6</v>
      </c>
      <c r="E153" s="86" t="s">
        <v>7</v>
      </c>
      <c r="F153" s="87" t="s">
        <v>8</v>
      </c>
      <c r="G153" s="2" t="e">
        <f ca="1">(IF(E157&gt;99%,"All work completed. Please provide OC.",IF(E157&gt;89.8%,"Plinth, RCC, Brick, Plaster, Flooring, Painting work Completed. Finishing work is in process.",IF(E157&lt;94%,(IF(C157=0,"Work not yet Started.",IF(D157=25%,"Piling work in process",IF(D157=50%,"Excavation work in process",IF(D157=100%,"Excavation work Completed. ","0")))&amp;(IF(C158=0%,"",IF(C158=H159,"Footing work is process",IF(C158=H160,"Footing work Completed",IF(C158=H161,"1st Basement Completed",IF(C158=H162,"1st &amp; 2nd Basement Completed",IF(C158=H163,"1st to 3rd Basement Completed",IF(C158=H164,"1st to 4th Basement Completed",IF(C158=H165,"Plinth work is process",IF(C158=H166,"Plinth work completed","0")))))))))))&amp;(IF(C159=(D154+E154+F154),", RCC Slab",IF(C159&gt;0,", RCC upto "&amp;C159&amp;" Slab",""))&amp;(IF(C160=F154,", Brickwork",IF(C160&gt;0,", Brickwork upto "&amp;C160&amp;" Floor",""))&amp;(IF(C161=F154,", Internal Plaster",IF(C161&gt;0,", Internal Plaster upto "&amp;C161&amp;" Floor",""))&amp;(IF(C162=F154,", External Plaster",IF(C162&gt;0,", External Plaster upto "&amp;C162&amp;" Floor",""))&amp;(IF(C163=F154,", Flooring",IF(C163&gt;0,", Flooring upto "&amp;C163&amp;" Floor",""))&amp;(IF(C164=F154,", Painting",IF(C164&gt;0,", Painting upto "&amp;C164&amp;" Floor",""))&amp;(IF(C165&gt;0,", Finishing upto "&amp;C165&amp;" Floor","")&amp;(IF(C159&gt;0.5," Completed",""))))))))))))))</f>
        <v>#DIV/0!</v>
      </c>
      <c r="H153" s="3"/>
    </row>
    <row r="154" spans="1:12" ht="15.75" hidden="1" thickBot="1" x14ac:dyDescent="0.3">
      <c r="A154" s="210"/>
      <c r="B154" s="211"/>
      <c r="C154" s="88">
        <v>0</v>
      </c>
      <c r="D154" s="88">
        <v>1</v>
      </c>
      <c r="E154" s="88">
        <v>0</v>
      </c>
      <c r="F154" s="89">
        <f ca="1">--TRIM(RIGHT(SUBSTITUTE(LEFT(A153,_xlfn.AGGREGATE(16,6,FIND({0,1,2,3,4,5,6,7,8,9},A153,ROW(INDIRECT("1:"&amp;LEN(A153)))),1))," ",REPT(" ",LEN(A153))),LEN(A153)))</f>
        <v>0</v>
      </c>
      <c r="G154" s="4"/>
      <c r="H154" s="5"/>
      <c r="L154" t="s">
        <v>214</v>
      </c>
    </row>
    <row r="155" spans="1:12" ht="15.75" hidden="1" thickBot="1" x14ac:dyDescent="0.3">
      <c r="A155" s="90" t="s">
        <v>9</v>
      </c>
      <c r="B155" s="212" t="e">
        <f ca="1">G153</f>
        <v>#DIV/0!</v>
      </c>
      <c r="C155" s="213"/>
      <c r="D155" s="213"/>
      <c r="E155" s="213"/>
      <c r="F155" s="214"/>
      <c r="G155" s="4" t="s">
        <v>10</v>
      </c>
      <c r="H155" s="5"/>
      <c r="L155" t="s">
        <v>212</v>
      </c>
    </row>
    <row r="156" spans="1:12" ht="15.75" hidden="1" thickBot="1" x14ac:dyDescent="0.3">
      <c r="A156" s="91" t="s">
        <v>11</v>
      </c>
      <c r="B156" s="92" t="s">
        <v>12</v>
      </c>
      <c r="C156" s="93" t="s">
        <v>13</v>
      </c>
      <c r="D156" s="93" t="s">
        <v>14</v>
      </c>
      <c r="E156" s="215" t="s">
        <v>37</v>
      </c>
      <c r="F156" s="216"/>
      <c r="G156" s="6" t="s">
        <v>16</v>
      </c>
      <c r="H156" s="7">
        <f ca="1">F154*25%</f>
        <v>0</v>
      </c>
      <c r="L156" t="s">
        <v>213</v>
      </c>
    </row>
    <row r="157" spans="1:12" ht="15.75" hidden="1" thickBot="1" x14ac:dyDescent="0.3">
      <c r="A157" s="91" t="s">
        <v>17</v>
      </c>
      <c r="B157" s="94">
        <v>0.15</v>
      </c>
      <c r="C157" s="95">
        <v>0</v>
      </c>
      <c r="D157" s="96" t="e">
        <f ca="1">((100/F154)*C157)/100</f>
        <v>#DIV/0!</v>
      </c>
      <c r="E157" s="217" t="e">
        <f ca="1">((((C158/F154)*35)+(35/(F154+E154+D154)*C159)+(5/F154*C160)+(5/F154*C161)+(5/F154*C162)+(5/F154*C163)+(5/F154*C164)+(2.5/F154*C165)+(2.5/F154*C166))/100)</f>
        <v>#DIV/0!</v>
      </c>
      <c r="F157" s="218"/>
      <c r="G157" s="6" t="s">
        <v>18</v>
      </c>
      <c r="H157" s="8">
        <f ca="1">F154*50%</f>
        <v>0</v>
      </c>
    </row>
    <row r="158" spans="1:12" ht="15.75" hidden="1" thickBot="1" x14ac:dyDescent="0.3">
      <c r="A158" s="91" t="s">
        <v>19</v>
      </c>
      <c r="B158" s="94">
        <v>0.35</v>
      </c>
      <c r="C158" s="97">
        <v>4</v>
      </c>
      <c r="D158" s="96" t="e">
        <f ca="1">((100/F154)*C158)/100</f>
        <v>#DIV/0!</v>
      </c>
      <c r="E158" s="219"/>
      <c r="F158" s="220"/>
      <c r="G158" s="6" t="s">
        <v>20</v>
      </c>
      <c r="H158" s="8">
        <f ca="1">F154</f>
        <v>0</v>
      </c>
    </row>
    <row r="159" spans="1:12" ht="30.75" hidden="1" thickBot="1" x14ac:dyDescent="0.3">
      <c r="A159" s="91" t="s">
        <v>21</v>
      </c>
      <c r="B159" s="94">
        <v>0.35</v>
      </c>
      <c r="C159" s="97">
        <v>5</v>
      </c>
      <c r="D159" s="96">
        <f ca="1">((100/(D154+E154+F154))*C159)/100</f>
        <v>5</v>
      </c>
      <c r="E159" s="219"/>
      <c r="F159" s="220"/>
      <c r="G159" s="6" t="s">
        <v>22</v>
      </c>
      <c r="H159" s="9">
        <f ca="1">(IF(C154&gt;1,(F154/(C154+2)),F154/4))</f>
        <v>0</v>
      </c>
    </row>
    <row r="160" spans="1:12" ht="15.75" hidden="1" thickBot="1" x14ac:dyDescent="0.3">
      <c r="A160" s="91" t="s">
        <v>23</v>
      </c>
      <c r="B160" s="94">
        <v>0.05</v>
      </c>
      <c r="C160" s="95">
        <v>0</v>
      </c>
      <c r="D160" s="96" t="e">
        <f ca="1">((100/F154)*C160)/100</f>
        <v>#DIV/0!</v>
      </c>
      <c r="E160" s="219"/>
      <c r="F160" s="220"/>
      <c r="G160" s="6" t="s">
        <v>24</v>
      </c>
      <c r="H160" s="9">
        <f ca="1">(IF(C154&gt;1,(F154/(C154+2)+H159),F154/4+H159))</f>
        <v>0</v>
      </c>
    </row>
    <row r="161" spans="1:13" ht="15.75" hidden="1" thickBot="1" x14ac:dyDescent="0.3">
      <c r="A161" s="91" t="s">
        <v>38</v>
      </c>
      <c r="B161" s="94">
        <v>0.05</v>
      </c>
      <c r="C161" s="95">
        <v>0</v>
      </c>
      <c r="D161" s="96" t="e">
        <f ca="1">((100/F154)*C161)/100</f>
        <v>#DIV/0!</v>
      </c>
      <c r="E161" s="219"/>
      <c r="F161" s="220"/>
      <c r="G161" s="6" t="s">
        <v>26</v>
      </c>
      <c r="H161" s="9">
        <f>(IF(C154&gt;1,(F154/(C154+2)+H160),0))</f>
        <v>0</v>
      </c>
    </row>
    <row r="162" spans="1:13" ht="15.75" hidden="1" thickBot="1" x14ac:dyDescent="0.3">
      <c r="A162" s="91" t="s">
        <v>29</v>
      </c>
      <c r="B162" s="94">
        <v>0.05</v>
      </c>
      <c r="C162" s="95">
        <v>0</v>
      </c>
      <c r="D162" s="96" t="e">
        <f ca="1">((100/(F154))*C162)/100</f>
        <v>#DIV/0!</v>
      </c>
      <c r="E162" s="219"/>
      <c r="F162" s="220"/>
      <c r="G162" s="6" t="s">
        <v>28</v>
      </c>
      <c r="H162" s="9">
        <f>(IF(C154&gt;2,(F154/(C154+2)+H161),0))</f>
        <v>0</v>
      </c>
    </row>
    <row r="163" spans="1:13" ht="30.75" hidden="1" thickBot="1" x14ac:dyDescent="0.3">
      <c r="A163" s="91" t="s">
        <v>39</v>
      </c>
      <c r="B163" s="94">
        <v>0.05</v>
      </c>
      <c r="C163" s="95">
        <v>0</v>
      </c>
      <c r="D163" s="96" t="e">
        <f ca="1">((100/F154)*C163)/100</f>
        <v>#DIV/0!</v>
      </c>
      <c r="E163" s="219"/>
      <c r="F163" s="220"/>
      <c r="G163" s="6" t="s">
        <v>30</v>
      </c>
      <c r="H163" s="10">
        <f>(IF(C154&gt;3,(F154/(C154+2)+H162),0))</f>
        <v>0</v>
      </c>
    </row>
    <row r="164" spans="1:13" ht="15.75" hidden="1" thickBot="1" x14ac:dyDescent="0.3">
      <c r="A164" s="91" t="s">
        <v>31</v>
      </c>
      <c r="B164" s="94">
        <v>0.05</v>
      </c>
      <c r="C164" s="95">
        <v>0</v>
      </c>
      <c r="D164" s="96" t="e">
        <f ca="1">((100/F154)*C164)/100</f>
        <v>#DIV/0!</v>
      </c>
      <c r="E164" s="219"/>
      <c r="F164" s="220"/>
      <c r="G164" s="6" t="s">
        <v>32</v>
      </c>
      <c r="H164" s="9">
        <f>(IF(C154&gt;4,(F154/(C154+2)+H163),0))</f>
        <v>0</v>
      </c>
    </row>
    <row r="165" spans="1:13" ht="15.75" hidden="1" thickBot="1" x14ac:dyDescent="0.3">
      <c r="A165" s="91" t="s">
        <v>40</v>
      </c>
      <c r="B165" s="94">
        <v>2.5000000000000001E-2</v>
      </c>
      <c r="C165" s="95">
        <v>0</v>
      </c>
      <c r="D165" s="96" t="e">
        <f ca="1">((100/(F154))*C165)/100</f>
        <v>#DIV/0!</v>
      </c>
      <c r="E165" s="219"/>
      <c r="F165" s="220"/>
      <c r="G165" s="6" t="s">
        <v>34</v>
      </c>
      <c r="H165" s="9">
        <f ca="1">(IF(C154=1,(F154/(C154+3)+H160),IF(C154=0,(F154/4+H160),IF(C154&gt;1,0))))</f>
        <v>0</v>
      </c>
    </row>
    <row r="166" spans="1:13" ht="15.75" hidden="1" thickBot="1" x14ac:dyDescent="0.3">
      <c r="A166" s="98" t="s">
        <v>35</v>
      </c>
      <c r="B166" s="99">
        <v>2.5000000000000001E-2</v>
      </c>
      <c r="C166" s="100">
        <v>0</v>
      </c>
      <c r="D166" s="101" t="e">
        <f ca="1">((100/(F154))*C166)/100</f>
        <v>#DIV/0!</v>
      </c>
      <c r="E166" s="219"/>
      <c r="F166" s="220"/>
      <c r="G166" s="11" t="s">
        <v>36</v>
      </c>
      <c r="H166" s="12">
        <f ca="1">(IF(C154&gt;1.5,(F154/(C154+2)+H160+MAX(0,H161-H160)+MAX(0,H162-H161)+MAX(0,H163-H162)+MAX(0,H164-H163)+MAX(0,H165-H164)),IF(C154=1,(F154/(C154+3)+H165),IF(C154=0,F154/4+H165))))</f>
        <v>0</v>
      </c>
    </row>
    <row r="167" spans="1:13" s="71" customFormat="1" x14ac:dyDescent="0.25">
      <c r="A167" s="201" t="s">
        <v>109</v>
      </c>
      <c r="B167" s="202"/>
      <c r="C167" s="202"/>
      <c r="D167" s="202"/>
      <c r="E167" s="205">
        <f ca="1">AVERAGE(E129,E129,E129,E143,E143,E143)</f>
        <v>0.81704545454545441</v>
      </c>
      <c r="F167" s="206"/>
    </row>
    <row r="168" spans="1:13" s="71" customFormat="1" x14ac:dyDescent="0.25">
      <c r="A168" s="203"/>
      <c r="B168" s="204"/>
      <c r="C168" s="204"/>
      <c r="D168" s="204"/>
      <c r="E168" s="204"/>
      <c r="F168" s="207"/>
      <c r="G168" s="72"/>
      <c r="H168" s="73"/>
    </row>
    <row r="169" spans="1:13" x14ac:dyDescent="0.25">
      <c r="A169" s="291" t="s">
        <v>45</v>
      </c>
      <c r="B169" s="292"/>
      <c r="C169" s="292"/>
      <c r="D169" s="292"/>
      <c r="E169" s="292"/>
      <c r="F169" s="293"/>
    </row>
    <row r="170" spans="1:13" ht="36" x14ac:dyDescent="0.25">
      <c r="A170" s="148" t="s">
        <v>202</v>
      </c>
      <c r="B170" s="49" t="s">
        <v>203</v>
      </c>
      <c r="C170" s="49" t="s">
        <v>204</v>
      </c>
      <c r="D170" s="49" t="s">
        <v>205</v>
      </c>
      <c r="E170" s="49" t="s">
        <v>206</v>
      </c>
      <c r="F170" s="144" t="s">
        <v>207</v>
      </c>
    </row>
    <row r="171" spans="1:13" ht="52.5" customHeight="1" thickBot="1" x14ac:dyDescent="0.3">
      <c r="A171" s="78">
        <v>1</v>
      </c>
      <c r="B171" s="79">
        <v>1</v>
      </c>
      <c r="C171" s="79">
        <v>6</v>
      </c>
      <c r="D171" s="120" t="s">
        <v>371</v>
      </c>
      <c r="E171" s="79" t="s">
        <v>307</v>
      </c>
      <c r="F171" s="80">
        <v>740</v>
      </c>
    </row>
    <row r="172" spans="1:13" s="35" customFormat="1" ht="15.75" customHeight="1" x14ac:dyDescent="0.25">
      <c r="A172" s="188" t="s">
        <v>270</v>
      </c>
      <c r="B172" s="189"/>
      <c r="C172" s="189"/>
      <c r="D172" s="189"/>
      <c r="E172" s="189"/>
      <c r="F172" s="190"/>
      <c r="G172" s="41"/>
      <c r="H172" s="41"/>
      <c r="I172"/>
      <c r="J172"/>
      <c r="K172"/>
      <c r="L172"/>
      <c r="M172"/>
    </row>
    <row r="173" spans="1:13" s="35" customFormat="1" ht="15.75" customHeight="1" x14ac:dyDescent="0.25">
      <c r="A173" s="81" t="s">
        <v>46</v>
      </c>
      <c r="B173" s="48" t="s">
        <v>47</v>
      </c>
      <c r="C173" s="191" t="s">
        <v>48</v>
      </c>
      <c r="D173" s="191"/>
      <c r="E173" s="192" t="s">
        <v>49</v>
      </c>
      <c r="F173" s="193"/>
      <c r="G173" s="194"/>
      <c r="H173" s="194"/>
      <c r="I173" s="195"/>
      <c r="J173" s="195"/>
      <c r="K173" s="195"/>
      <c r="L173" s="195"/>
    </row>
    <row r="174" spans="1:13" s="35" customFormat="1" ht="15.75" x14ac:dyDescent="0.25">
      <c r="A174" s="102" t="s">
        <v>50</v>
      </c>
      <c r="B174" s="103">
        <f>COUNT(C209:C210)</f>
        <v>2</v>
      </c>
      <c r="C174" s="196">
        <f>SUM(C209:C210)</f>
        <v>572.34340799999995</v>
      </c>
      <c r="D174" s="197"/>
      <c r="E174" s="196">
        <f>SUM(F209:F210)</f>
        <v>915.74945279999997</v>
      </c>
      <c r="F174" s="198"/>
      <c r="G174" s="199"/>
      <c r="H174" s="200"/>
      <c r="I174" s="195"/>
      <c r="J174" s="195"/>
      <c r="K174" s="195"/>
      <c r="L174" s="195"/>
    </row>
    <row r="175" spans="1:13" s="35" customFormat="1" ht="15.75" customHeight="1" x14ac:dyDescent="0.25">
      <c r="A175" s="102" t="s">
        <v>331</v>
      </c>
      <c r="B175" s="103">
        <f>COUNT(C214:C220)</f>
        <v>7</v>
      </c>
      <c r="C175" s="196">
        <f>SUM(C214:C220)</f>
        <v>780.62142599999993</v>
      </c>
      <c r="D175" s="197"/>
      <c r="E175" s="196">
        <f>SUM(F214:F220)</f>
        <v>1248.9942816</v>
      </c>
      <c r="F175" s="198"/>
      <c r="G175" s="199"/>
      <c r="H175" s="200"/>
      <c r="I175" s="195"/>
      <c r="J175" s="195"/>
      <c r="K175" s="195"/>
      <c r="L175" s="195"/>
    </row>
    <row r="176" spans="1:13" s="35" customFormat="1" ht="15.75" x14ac:dyDescent="0.25">
      <c r="A176" s="102" t="s">
        <v>333</v>
      </c>
      <c r="B176" s="103">
        <f>COUNT(C224:C231)</f>
        <v>8</v>
      </c>
      <c r="C176" s="196">
        <f>SUM(C224:C231)</f>
        <v>908.73993599999994</v>
      </c>
      <c r="D176" s="197"/>
      <c r="E176" s="196">
        <f>SUM(F224:F231)</f>
        <v>1453.9838976000001</v>
      </c>
      <c r="F176" s="198"/>
      <c r="G176" s="199"/>
      <c r="H176" s="200"/>
      <c r="I176" s="195"/>
      <c r="J176" s="195"/>
      <c r="K176" s="195"/>
      <c r="L176" s="195"/>
    </row>
    <row r="177" spans="1:13" s="35" customFormat="1" ht="15.75" customHeight="1" x14ac:dyDescent="0.25">
      <c r="A177" s="102" t="s">
        <v>335</v>
      </c>
      <c r="B177" s="103">
        <f>COUNT(C235:C243)</f>
        <v>9</v>
      </c>
      <c r="C177" s="196">
        <f>SUM(C235:C243)</f>
        <v>1456.5091320000001</v>
      </c>
      <c r="D177" s="197"/>
      <c r="E177" s="196">
        <f>SUM(F235:F243)</f>
        <v>2330.4146111999999</v>
      </c>
      <c r="F177" s="198"/>
      <c r="G177" s="199"/>
      <c r="H177" s="200"/>
    </row>
    <row r="178" spans="1:13" s="35" customFormat="1" ht="16.5" thickBot="1" x14ac:dyDescent="0.3">
      <c r="A178" s="104" t="s">
        <v>51</v>
      </c>
      <c r="B178" s="105">
        <f>SUM(B174:B177)</f>
        <v>26</v>
      </c>
      <c r="C178" s="342">
        <f>SUM(C174:C177)</f>
        <v>3718.213902</v>
      </c>
      <c r="D178" s="343"/>
      <c r="E178" s="344">
        <f>SUM(E174:E177)</f>
        <v>5949.1422431999999</v>
      </c>
      <c r="F178" s="345"/>
      <c r="G178" s="223"/>
      <c r="H178" s="224"/>
      <c r="J178" s="36"/>
    </row>
    <row r="179" spans="1:13" s="35" customFormat="1" ht="15.75" hidden="1" customHeight="1" x14ac:dyDescent="0.25">
      <c r="A179" s="188" t="s">
        <v>272</v>
      </c>
      <c r="B179" s="189"/>
      <c r="C179" s="189"/>
      <c r="D179" s="189"/>
      <c r="E179" s="189"/>
      <c r="F179" s="190"/>
      <c r="G179" s="41"/>
      <c r="H179" s="41"/>
      <c r="I179"/>
      <c r="J179"/>
      <c r="K179"/>
      <c r="L179"/>
      <c r="M179"/>
    </row>
    <row r="180" spans="1:13" s="35" customFormat="1" ht="15.75" hidden="1" customHeight="1" x14ac:dyDescent="0.25">
      <c r="A180" s="81" t="s">
        <v>46</v>
      </c>
      <c r="B180" s="48" t="s">
        <v>47</v>
      </c>
      <c r="C180" s="191" t="s">
        <v>48</v>
      </c>
      <c r="D180" s="191"/>
      <c r="E180" s="192" t="s">
        <v>49</v>
      </c>
      <c r="F180" s="193"/>
      <c r="G180" s="194"/>
      <c r="H180" s="194"/>
      <c r="I180" s="195"/>
      <c r="J180" s="195"/>
      <c r="K180" s="195"/>
      <c r="L180" s="195"/>
    </row>
    <row r="181" spans="1:13" s="35" customFormat="1" ht="15.75" hidden="1" x14ac:dyDescent="0.25">
      <c r="A181" s="102" t="s">
        <v>271</v>
      </c>
      <c r="B181" s="103"/>
      <c r="C181" s="196"/>
      <c r="D181" s="197"/>
      <c r="E181" s="196"/>
      <c r="F181" s="198"/>
      <c r="G181" s="199"/>
      <c r="H181" s="200"/>
      <c r="I181" s="195"/>
      <c r="J181" s="195"/>
      <c r="K181" s="195"/>
      <c r="L181" s="195"/>
    </row>
    <row r="182" spans="1:13" s="35" customFormat="1" ht="15.75" hidden="1" customHeight="1" x14ac:dyDescent="0.25">
      <c r="A182" s="102" t="s">
        <v>273</v>
      </c>
      <c r="B182" s="103"/>
      <c r="C182" s="196"/>
      <c r="D182" s="197"/>
      <c r="E182" s="196"/>
      <c r="F182" s="198"/>
      <c r="G182" s="199"/>
      <c r="H182" s="200"/>
    </row>
    <row r="183" spans="1:13" s="35" customFormat="1" ht="16.5" hidden="1" thickBot="1" x14ac:dyDescent="0.3">
      <c r="A183" s="104" t="s">
        <v>51</v>
      </c>
      <c r="B183" s="105">
        <f>SUM(B181:B182)</f>
        <v>0</v>
      </c>
      <c r="C183" s="342">
        <f>SUM(C181:C182)</f>
        <v>0</v>
      </c>
      <c r="D183" s="343"/>
      <c r="E183" s="344">
        <f>SUM(E181:E182)</f>
        <v>0</v>
      </c>
      <c r="F183" s="345"/>
      <c r="G183" s="223"/>
      <c r="H183" s="224"/>
      <c r="J183" s="36"/>
    </row>
    <row r="184" spans="1:13" s="35" customFormat="1" ht="15.75" customHeight="1" x14ac:dyDescent="0.25">
      <c r="A184" s="252" t="s">
        <v>367</v>
      </c>
      <c r="B184" s="253"/>
      <c r="C184" s="253"/>
      <c r="D184" s="253"/>
      <c r="E184" s="253"/>
      <c r="F184" s="254"/>
      <c r="G184" s="41"/>
      <c r="H184" s="41"/>
    </row>
    <row r="185" spans="1:13" s="35" customFormat="1" ht="15.75" customHeight="1" x14ac:dyDescent="0.25">
      <c r="A185" s="81" t="s">
        <v>46</v>
      </c>
      <c r="B185" s="48" t="s">
        <v>47</v>
      </c>
      <c r="C185" s="191" t="s">
        <v>48</v>
      </c>
      <c r="D185" s="191"/>
      <c r="E185" s="192" t="s">
        <v>49</v>
      </c>
      <c r="F185" s="193"/>
      <c r="G185" s="194"/>
      <c r="H185" s="194"/>
    </row>
    <row r="186" spans="1:13" s="35" customFormat="1" ht="29.25" customHeight="1" x14ac:dyDescent="0.25">
      <c r="A186" s="102" t="s">
        <v>50</v>
      </c>
      <c r="B186" s="103">
        <f>COUNT(C251:C256)+COUNT(C258:C263)*16+COUNT(C265:C267,C269:C270)+COUNT(C272:C276)+COUNT(C279,C282:C284)+COUNT(C286,C289:C291)</f>
        <v>120</v>
      </c>
      <c r="C186" s="196">
        <f>SUM(C251:C256)+SUM(C258:C263)*16+SUM(C265:C267,C269:C270)+SUM(C272:C276)+SUM(C279,C282:C284)+SUM(C286,C289:C291)</f>
        <v>48459.312719999994</v>
      </c>
      <c r="D186" s="197"/>
      <c r="E186" s="196">
        <f>SUM(E251:E256)+SUM(E258:E263)*16+SUM(E265:E267,E269:E270)+SUM(E272:E276)+SUM(E279,E282:E284)+SUM(E286,E289:E291)</f>
        <v>72688.969079999995</v>
      </c>
      <c r="F186" s="198"/>
      <c r="G186" s="199"/>
      <c r="H186" s="199"/>
    </row>
    <row r="187" spans="1:13" s="35" customFormat="1" ht="29.25" customHeight="1" x14ac:dyDescent="0.25">
      <c r="A187" s="102" t="s">
        <v>346</v>
      </c>
      <c r="B187" s="103">
        <f>COUNT(C297:C298,C300,C302)+COUNT(C304:C305,C309)+COUNT(C311:C312,C316)+COUNT(C318,C320:C321,C323)+COUNT(C325:C328,C330)+COUNT(C333:C335,C337)+COUNT(C339,C341:C342)+COUNT(C346:C349,C351)+COUNT(C353:C356,C358)+COUNT(C360:C363,C365)+COUNT(C368:C370,C372)+COUNT(C375:C377)+COUNT(C381:C384,C386)*7+COUNT(C388:C391)+COUNT(C395:C398)</f>
        <v>91</v>
      </c>
      <c r="C187" s="196">
        <f>SUM(C297:C298,C300,C302)+SUM(C304:C305,C309)+SUM(C311:C312,C316)+SUM(C318,C320:C321,C323)+SUM(C325:C328,C330)+SUM(C333:C335,C337)+SUM(C339,C341:C342)+SUM(C346:C349,C351)+SUM(C353:C356,C358)+SUM(C360:C363,C365)+SUM(C368:C370,C372)+SUM(C375:C377)+SUM(C381:C384,C386)*7+SUM(C388:C391)+SUM(C395:C398)</f>
        <v>32457.550319999998</v>
      </c>
      <c r="D187" s="197"/>
      <c r="E187" s="196">
        <f>SUM(E297:E298,E300,E302)+SUM(E304:E305,E309)+SUM(E311:E312,E316)+SUM(E318,E320:E321,E323)+SUM(E325:E328,E330)+SUM(E333:E335,E337)+SUM(E339,E341:E342)+SUM(E346:E349,E351)+SUM(E353:E356,E358)+SUM(E360:E363,E365)+SUM(E368:E370,E372)+SUM(E375:E377)+SUM(E381:E384,E386)*7+SUM(E388:E391)+SUM(E395:E398)</f>
        <v>48686.32548</v>
      </c>
      <c r="F187" s="198"/>
      <c r="G187" s="199"/>
      <c r="H187" s="199"/>
    </row>
    <row r="188" spans="1:13" s="35" customFormat="1" ht="29.25" customHeight="1" x14ac:dyDescent="0.25">
      <c r="A188" s="102" t="s">
        <v>358</v>
      </c>
      <c r="B188" s="103">
        <f>COUNT(C405:C406,C408)+COUNT(C410)+COUNT(C415:C416)*18+COUNT(C420:C421)*2</f>
        <v>44</v>
      </c>
      <c r="C188" s="196">
        <f>SUM(C405:C406,C408)+SUM(C410)+SUM(C415:C416)*18+SUM(C420:C421)*2</f>
        <v>15659.036639999998</v>
      </c>
      <c r="D188" s="197"/>
      <c r="E188" s="196">
        <f>SUM(E405:E406,E408)+SUM(E410)+SUM(E415:E416)*18+SUM(E420:E421)*2</f>
        <v>23488.554959999994</v>
      </c>
      <c r="F188" s="198"/>
      <c r="G188" s="199"/>
      <c r="H188" s="199"/>
    </row>
    <row r="189" spans="1:13" s="35" customFormat="1" ht="29.25" customHeight="1" x14ac:dyDescent="0.25">
      <c r="A189" s="102" t="s">
        <v>331</v>
      </c>
      <c r="B189" s="103">
        <f>COUNT(C426:C427)+COUNT(C428:C431)+COUNT(C435:C438)*17+COUNT(C442:C443,C445)+COUNT(C449:C451)+COUNT(C457:C459)+COUNT(C464:C466)</f>
        <v>86</v>
      </c>
      <c r="C189" s="196">
        <f>SUM(C426:C427)+SUM(C428:C431)+SUM(C435:C438)*17+SUM(C442:C443,C445)+SUM(C449:C451)+SUM(C457:C459)+SUM(C464:C466)</f>
        <v>30684.611879999993</v>
      </c>
      <c r="D189" s="197"/>
      <c r="E189" s="196">
        <f>SUM(E426:E427)+SUM(E428:E431)+SUM(E435:E438)*17+SUM(E442:E443,E445)+SUM(E449:E451)+SUM(E457:E459)+SUM(E464:E466)</f>
        <v>46026.917820000002</v>
      </c>
      <c r="F189" s="198"/>
      <c r="G189" s="199"/>
      <c r="H189" s="199"/>
    </row>
    <row r="190" spans="1:13" s="35" customFormat="1" ht="29.25" customHeight="1" x14ac:dyDescent="0.25">
      <c r="A190" s="102" t="s">
        <v>333</v>
      </c>
      <c r="B190" s="103">
        <f>COUNT(C469:C474)+COUNT(C476:C481)*17+COUNT(C483:C486)+COUNT(C491:C495)+COUNT(C499:C502)+COUNT(C506:C508)</f>
        <v>124</v>
      </c>
      <c r="C190" s="196">
        <f>SUM(C469:C474)+SUM(C476:C481)*17+SUM(C483:C486)+SUM(C491:C495)+SUM(C499:C502)+SUM(C506:C508)</f>
        <v>44138.212559999985</v>
      </c>
      <c r="D190" s="197"/>
      <c r="E190" s="196">
        <f>SUM(E469:E474)+SUM(E476:E481)*17+SUM(E483:E486)+SUM(E491:E495)+SUM(E499:E502)+SUM(E506:E508)</f>
        <v>66207.318840000007</v>
      </c>
      <c r="F190" s="198"/>
      <c r="G190" s="199"/>
      <c r="H190" s="199"/>
    </row>
    <row r="191" spans="1:13" s="35" customFormat="1" ht="29.25" customHeight="1" x14ac:dyDescent="0.25">
      <c r="A191" s="102" t="s">
        <v>335</v>
      </c>
      <c r="B191" s="103">
        <f>COUNT(C512:C517)+COUNT(C519:C524)*19+COUNT(C526:C528,C531)+COUNT(C533:C535,C538)</f>
        <v>128</v>
      </c>
      <c r="C191" s="196">
        <f>SUM(C512:C517)+SUM(C519:C524)*19+SUM(C526:C528,C531)+SUM(C533:C535,C538)</f>
        <v>51596.480519999997</v>
      </c>
      <c r="D191" s="197"/>
      <c r="E191" s="196">
        <f>SUM(E512:E517)+SUM(E519:E524)*19+SUM(E526:E528,E531)+SUM(E533:E535,E538)</f>
        <v>77394.720780000003</v>
      </c>
      <c r="F191" s="198"/>
      <c r="G191" s="199"/>
      <c r="H191" s="199"/>
    </row>
    <row r="192" spans="1:13" s="35" customFormat="1" ht="15.75" x14ac:dyDescent="0.25">
      <c r="A192" s="106" t="s">
        <v>51</v>
      </c>
      <c r="B192" s="107">
        <f>SUM(B186:B191)</f>
        <v>593</v>
      </c>
      <c r="C192" s="396">
        <f>SUM(C186:C191)</f>
        <v>222995.20463999995</v>
      </c>
      <c r="D192" s="397"/>
      <c r="E192" s="398">
        <f>SUM(E186:E191)</f>
        <v>334492.80695999996</v>
      </c>
      <c r="F192" s="399"/>
      <c r="G192" s="223"/>
      <c r="H192" s="224"/>
    </row>
    <row r="193" spans="1:13" s="35" customFormat="1" ht="15.75" customHeight="1" x14ac:dyDescent="0.25">
      <c r="A193" s="252" t="s">
        <v>368</v>
      </c>
      <c r="B193" s="253"/>
      <c r="C193" s="253"/>
      <c r="D193" s="253"/>
      <c r="E193" s="253"/>
      <c r="F193" s="254"/>
      <c r="G193" s="41"/>
      <c r="H193" s="41"/>
    </row>
    <row r="194" spans="1:13" s="35" customFormat="1" ht="15.75" customHeight="1" x14ac:dyDescent="0.25">
      <c r="A194" s="81" t="s">
        <v>46</v>
      </c>
      <c r="B194" s="48" t="s">
        <v>47</v>
      </c>
      <c r="C194" s="191" t="s">
        <v>48</v>
      </c>
      <c r="D194" s="191"/>
      <c r="E194" s="192" t="s">
        <v>49</v>
      </c>
      <c r="F194" s="193"/>
      <c r="G194" s="194"/>
      <c r="H194" s="194"/>
    </row>
    <row r="195" spans="1:13" s="35" customFormat="1" ht="29.25" customHeight="1" x14ac:dyDescent="0.25">
      <c r="A195" s="102" t="s">
        <v>50</v>
      </c>
      <c r="B195" s="103">
        <f>COUNT(C268)+COUNT(C277)</f>
        <v>2</v>
      </c>
      <c r="C195" s="411">
        <f>SUM(C268)+SUM(C277)</f>
        <v>708.59411999999998</v>
      </c>
      <c r="D195" s="412"/>
      <c r="E195" s="411">
        <f>SUM(E268)+SUM(E277)</f>
        <v>1062.8911799999998</v>
      </c>
      <c r="F195" s="413"/>
      <c r="G195" s="199"/>
      <c r="H195" s="199"/>
    </row>
    <row r="196" spans="1:13" s="35" customFormat="1" ht="29.25" customHeight="1" x14ac:dyDescent="0.25">
      <c r="A196" s="102" t="s">
        <v>346</v>
      </c>
      <c r="B196" s="103">
        <f>COUNT(C299,C301)+COUNT(C306:C308)+COUNT(C313:C315)+COUNT(C319,C322)+COUNT(C329)+COUNT(C332,C336)+COUNT(C340)+COUNT(C350)+COUNT(C357)+COUNT(C364)+COUNT(C367,C371)+COUNT(C374,C378:C379)+COUNT(C385)*7+COUNT(C399:C400)</f>
        <v>31</v>
      </c>
      <c r="C196" s="411">
        <f>SUM(C299,C301)+SUM(C306:C308)+SUM(C313:C315)+SUM(C319,C322)+SUM(C329)+SUM(C332,C336)+SUM(C340)+SUM(C350)+SUM(C357)+SUM(C364)+SUM(C367,C371)+SUM(C374,C378:C379)+SUM(C385)*7+SUM(C399:C400)</f>
        <v>11765.26728</v>
      </c>
      <c r="D196" s="412"/>
      <c r="E196" s="411">
        <f>SUM(E299,E301)+SUM(E306:E308)+SUM(E313:E315)+SUM(E319,E322)+SUM(E329)+SUM(E332,E336)+SUM(E340)+SUM(E350)+SUM(E357)+SUM(E364)+SUM(E367,E371)+SUM(E374,E378:E379)+SUM(E381:E384,E386)*7+SUM(E399:E400)</f>
        <v>32083.070760000002</v>
      </c>
      <c r="F196" s="413"/>
      <c r="G196" s="199"/>
      <c r="H196" s="199"/>
    </row>
    <row r="197" spans="1:13" s="35" customFormat="1" ht="29.25" customHeight="1" x14ac:dyDescent="0.25">
      <c r="A197" s="102" t="s">
        <v>358</v>
      </c>
      <c r="B197" s="103">
        <f>COUNT(C407)+COUNT(C411:C413)+COUNT(C417:C418)*18+COUNT(C423)*2</f>
        <v>42</v>
      </c>
      <c r="C197" s="411">
        <f>SUM(C407)+SUM(C411:C413)+SUM(C417:C418)*18+SUM(C423)*2</f>
        <v>16509.823199999999</v>
      </c>
      <c r="D197" s="412"/>
      <c r="E197" s="411">
        <f>SUM(E407)+SUM(E411:E413)+SUM(E417:E418)*18+SUM(E423)*2</f>
        <v>24764.734799999998</v>
      </c>
      <c r="F197" s="413"/>
      <c r="G197" s="199"/>
      <c r="H197" s="199"/>
    </row>
    <row r="198" spans="1:13" s="35" customFormat="1" ht="29.25" customHeight="1" x14ac:dyDescent="0.25">
      <c r="A198" s="102" t="s">
        <v>331</v>
      </c>
      <c r="B198" s="103">
        <f>COUNT(C433:C434)*17+COUNT(C440:C441,C444)+COUNT(C447:C448,C452)+COUNT(C454)+COUNT(C461)</f>
        <v>42</v>
      </c>
      <c r="C198" s="411">
        <f>SUM(C433:C434)*17+SUM(C440:C441,C444)+SUM(C447:C448,C452)+SUM(C454)+SUM(C461)</f>
        <v>16465.044960000003</v>
      </c>
      <c r="D198" s="412"/>
      <c r="E198" s="411">
        <f>SUM(E433:E434)*17+SUM(E440:E441,E444)+SUM(E447:E448,E452)+SUM(E454)+SUM(E461)</f>
        <v>24697.567440000003</v>
      </c>
      <c r="F198" s="413"/>
      <c r="G198" s="199"/>
      <c r="H198" s="199"/>
    </row>
    <row r="199" spans="1:13" s="35" customFormat="1" ht="29.25" customHeight="1" x14ac:dyDescent="0.25">
      <c r="A199" s="102" t="s">
        <v>333</v>
      </c>
      <c r="B199" s="103">
        <f>COUNT(C487:C488)+COUNT(C490)+COUNT(C509)</f>
        <v>4</v>
      </c>
      <c r="C199" s="411">
        <f>SUM(C487:C488)+SUM(C490)+SUM(C509)</f>
        <v>1413.3131999999998</v>
      </c>
      <c r="D199" s="412"/>
      <c r="E199" s="411">
        <f>SUM(E487:E488)+SUM(E490)+SUM(E509)</f>
        <v>2119.9697999999999</v>
      </c>
      <c r="F199" s="413"/>
      <c r="G199" s="199"/>
      <c r="H199" s="199"/>
    </row>
    <row r="200" spans="1:13" s="35" customFormat="1" ht="16.5" thickBot="1" x14ac:dyDescent="0.3">
      <c r="A200" s="106" t="s">
        <v>51</v>
      </c>
      <c r="B200" s="107">
        <f>SUM(B195:B199)</f>
        <v>121</v>
      </c>
      <c r="C200" s="396">
        <f>SUM(C195:C199)</f>
        <v>46862.042760000004</v>
      </c>
      <c r="D200" s="397"/>
      <c r="E200" s="398">
        <f>SUM(E195:E199)</f>
        <v>84728.233980000005</v>
      </c>
      <c r="F200" s="399"/>
      <c r="G200" s="223"/>
      <c r="H200" s="224"/>
    </row>
    <row r="201" spans="1:13" s="35" customFormat="1" ht="16.5" thickBot="1" x14ac:dyDescent="0.3">
      <c r="A201" s="108" t="s">
        <v>274</v>
      </c>
      <c r="B201" s="109">
        <f>SUM(B178,B192,B200)</f>
        <v>740</v>
      </c>
      <c r="C201" s="419">
        <f>SUM(C178,C192,C200)</f>
        <v>273575.46130199992</v>
      </c>
      <c r="D201" s="420"/>
      <c r="E201" s="419">
        <f>SUM(E178,E192,E200)</f>
        <v>425170.18318319996</v>
      </c>
      <c r="F201" s="421"/>
      <c r="G201" s="223"/>
      <c r="H201" s="224"/>
    </row>
    <row r="202" spans="1:13" s="37" customFormat="1" ht="15.75" x14ac:dyDescent="0.25">
      <c r="A202" s="400" t="s">
        <v>52</v>
      </c>
      <c r="B202" s="401"/>
      <c r="C202" s="401"/>
      <c r="D202" s="401"/>
      <c r="E202" s="401"/>
      <c r="F202" s="402"/>
      <c r="G202" s="42"/>
      <c r="H202" s="42"/>
    </row>
    <row r="203" spans="1:13" s="38" customFormat="1" ht="15.75" x14ac:dyDescent="0.25">
      <c r="A203" s="166" t="s">
        <v>59</v>
      </c>
      <c r="B203" s="167"/>
      <c r="C203" s="167"/>
      <c r="D203" s="167"/>
      <c r="E203" s="167"/>
      <c r="F203" s="168"/>
      <c r="G203" s="42"/>
      <c r="H203" s="42"/>
    </row>
    <row r="204" spans="1:13" s="38" customFormat="1" ht="26.45" customHeight="1" x14ac:dyDescent="0.25">
      <c r="A204" s="310" t="s">
        <v>67</v>
      </c>
      <c r="B204" s="312" t="s">
        <v>54</v>
      </c>
      <c r="C204" s="312" t="s">
        <v>55</v>
      </c>
      <c r="D204" s="312" t="s">
        <v>57</v>
      </c>
      <c r="E204" s="417" t="s">
        <v>56</v>
      </c>
      <c r="F204" s="153" t="s">
        <v>58</v>
      </c>
      <c r="G204" s="314"/>
      <c r="H204" s="314"/>
    </row>
    <row r="205" spans="1:13" s="38" customFormat="1" ht="15.75" x14ac:dyDescent="0.25">
      <c r="A205" s="311"/>
      <c r="B205" s="313"/>
      <c r="C205" s="313"/>
      <c r="D205" s="313"/>
      <c r="E205" s="418"/>
      <c r="F205" s="154">
        <v>0.6</v>
      </c>
      <c r="G205" s="314"/>
      <c r="H205" s="314"/>
      <c r="J205" s="65"/>
      <c r="K205" s="65"/>
      <c r="L205" s="65"/>
      <c r="M205" s="65"/>
    </row>
    <row r="206" spans="1:13" s="37" customFormat="1" ht="15.75" x14ac:dyDescent="0.25">
      <c r="A206" s="166" t="s">
        <v>50</v>
      </c>
      <c r="B206" s="167"/>
      <c r="C206" s="167"/>
      <c r="D206" s="167"/>
      <c r="E206" s="167"/>
      <c r="F206" s="168"/>
      <c r="G206" s="42"/>
      <c r="H206" s="42"/>
      <c r="J206" s="64"/>
      <c r="K206" s="64"/>
      <c r="L206" s="64"/>
      <c r="M206" s="64"/>
    </row>
    <row r="207" spans="1:13" s="115" customFormat="1" ht="15.75" customHeight="1" x14ac:dyDescent="0.25">
      <c r="A207" s="163" t="s">
        <v>328</v>
      </c>
      <c r="B207" s="164"/>
      <c r="C207" s="164"/>
      <c r="D207" s="164"/>
      <c r="E207" s="164"/>
      <c r="F207" s="165"/>
      <c r="G207" s="43"/>
      <c r="H207" s="43"/>
      <c r="J207" s="114"/>
      <c r="K207" s="60"/>
      <c r="L207" s="114"/>
      <c r="M207" s="114"/>
    </row>
    <row r="208" spans="1:13" s="39" customFormat="1" ht="15.75" customHeight="1" x14ac:dyDescent="0.25">
      <c r="A208" s="163" t="s">
        <v>329</v>
      </c>
      <c r="B208" s="164"/>
      <c r="C208" s="164"/>
      <c r="D208" s="164"/>
      <c r="E208" s="164"/>
      <c r="F208" s="165"/>
      <c r="G208" s="43"/>
      <c r="H208" s="43"/>
      <c r="J208" s="63"/>
      <c r="K208" s="60"/>
      <c r="L208" s="63"/>
      <c r="M208" s="63"/>
    </row>
    <row r="209" spans="1:14" s="39" customFormat="1" ht="15.75" x14ac:dyDescent="0.25">
      <c r="A209" s="155">
        <v>1</v>
      </c>
      <c r="B209" s="110" t="s">
        <v>330</v>
      </c>
      <c r="C209" s="111">
        <f>((5*3.15+1.35*1.91))*(10.764)</f>
        <v>197.28797399999996</v>
      </c>
      <c r="D209" s="112">
        <f>C209*1.2</f>
        <v>236.74556879999994</v>
      </c>
      <c r="E209" s="110">
        <v>0</v>
      </c>
      <c r="F209" s="156">
        <f>(C209+E209)*(($F$205)+1)</f>
        <v>315.66075839999996</v>
      </c>
      <c r="G209" s="169"/>
      <c r="H209" s="169"/>
      <c r="I209" s="40"/>
      <c r="J209" s="61"/>
      <c r="K209" s="63"/>
      <c r="L209" s="309"/>
      <c r="M209" s="309"/>
      <c r="N209" s="40"/>
    </row>
    <row r="210" spans="1:14" x14ac:dyDescent="0.25">
      <c r="A210" s="155">
        <f>A209+1</f>
        <v>2</v>
      </c>
      <c r="B210" s="110" t="s">
        <v>330</v>
      </c>
      <c r="C210" s="111">
        <f>((6.35*4.45+0.95*3.78+1.25*1.1+1.8*0.9))*(10.764)</f>
        <v>375.05543399999999</v>
      </c>
      <c r="D210" s="112">
        <f t="shared" ref="D210" si="7">C210*1.2</f>
        <v>450.06652079999998</v>
      </c>
      <c r="E210" s="110">
        <v>0</v>
      </c>
      <c r="F210" s="156">
        <f t="shared" ref="F210" si="8">(C210+E210)*(($F$205)+1)</f>
        <v>600.08869440000001</v>
      </c>
      <c r="J210" s="62"/>
      <c r="K210" s="62"/>
      <c r="L210" s="62"/>
      <c r="M210" s="62"/>
    </row>
    <row r="211" spans="1:14" s="37" customFormat="1" ht="15.75" x14ac:dyDescent="0.25">
      <c r="A211" s="166" t="s">
        <v>331</v>
      </c>
      <c r="B211" s="167"/>
      <c r="C211" s="167"/>
      <c r="D211" s="167"/>
      <c r="E211" s="167"/>
      <c r="F211" s="168"/>
      <c r="G211" s="42"/>
      <c r="H211" s="42"/>
      <c r="J211" s="64"/>
      <c r="K211" s="64"/>
      <c r="L211" s="64"/>
      <c r="M211" s="64"/>
    </row>
    <row r="212" spans="1:14" s="115" customFormat="1" ht="15.75" customHeight="1" x14ac:dyDescent="0.25">
      <c r="A212" s="163" t="s">
        <v>328</v>
      </c>
      <c r="B212" s="164"/>
      <c r="C212" s="164"/>
      <c r="D212" s="164"/>
      <c r="E212" s="164"/>
      <c r="F212" s="165"/>
      <c r="G212" s="43"/>
      <c r="H212" s="43"/>
      <c r="J212" s="114"/>
      <c r="K212" s="60"/>
      <c r="L212" s="114"/>
      <c r="M212" s="114"/>
    </row>
    <row r="213" spans="1:14" s="115" customFormat="1" ht="15.75" customHeight="1" x14ac:dyDescent="0.25">
      <c r="A213" s="163" t="s">
        <v>332</v>
      </c>
      <c r="B213" s="164"/>
      <c r="C213" s="164"/>
      <c r="D213" s="164"/>
      <c r="E213" s="164"/>
      <c r="F213" s="165"/>
      <c r="G213" s="43"/>
      <c r="H213" s="43"/>
      <c r="J213" s="114"/>
      <c r="K213" s="60"/>
      <c r="L213" s="114"/>
      <c r="M213" s="114"/>
    </row>
    <row r="214" spans="1:14" s="39" customFormat="1" ht="15.75" x14ac:dyDescent="0.25">
      <c r="A214" s="155">
        <v>20</v>
      </c>
      <c r="B214" s="110" t="s">
        <v>330</v>
      </c>
      <c r="C214" s="111">
        <f>((3*3.37+1.4))*(10.764)</f>
        <v>123.89363999999999</v>
      </c>
      <c r="D214" s="112">
        <f>C214*1.2</f>
        <v>148.67236799999998</v>
      </c>
      <c r="E214" s="110">
        <v>0</v>
      </c>
      <c r="F214" s="156">
        <f>(C214+E214)*(($F$205)+1)</f>
        <v>198.22982400000001</v>
      </c>
      <c r="G214" s="169"/>
      <c r="H214" s="169"/>
      <c r="I214" s="40"/>
      <c r="J214" s="61"/>
      <c r="K214" s="63"/>
      <c r="L214" s="309"/>
      <c r="M214" s="309"/>
      <c r="N214" s="40"/>
    </row>
    <row r="215" spans="1:14" x14ac:dyDescent="0.25">
      <c r="A215" s="155">
        <f>A214+1</f>
        <v>21</v>
      </c>
      <c r="B215" s="110" t="s">
        <v>330</v>
      </c>
      <c r="C215" s="111">
        <f>((3.55*3.22))*(10.764)</f>
        <v>123.043284</v>
      </c>
      <c r="D215" s="112">
        <f t="shared" ref="D215:D219" si="9">C215*1.2</f>
        <v>147.65194080000001</v>
      </c>
      <c r="E215" s="110">
        <v>0</v>
      </c>
      <c r="F215" s="156">
        <f t="shared" ref="F215:F219" si="10">(C215+E215)*(($F$205)+1)</f>
        <v>196.86925440000002</v>
      </c>
      <c r="J215" s="62"/>
      <c r="K215" s="62"/>
      <c r="L215" s="62"/>
      <c r="M215" s="62"/>
    </row>
    <row r="216" spans="1:14" x14ac:dyDescent="0.25">
      <c r="A216" s="155">
        <f t="shared" ref="A216:A220" si="11">A215+1</f>
        <v>22</v>
      </c>
      <c r="B216" s="110" t="s">
        <v>330</v>
      </c>
      <c r="C216" s="111">
        <f>((3.55*3.22))*(10.764)</f>
        <v>123.043284</v>
      </c>
      <c r="D216" s="112">
        <f t="shared" si="9"/>
        <v>147.65194080000001</v>
      </c>
      <c r="E216" s="110">
        <v>0</v>
      </c>
      <c r="F216" s="156">
        <f t="shared" si="10"/>
        <v>196.86925440000002</v>
      </c>
      <c r="J216" s="62"/>
      <c r="K216" s="62"/>
      <c r="L216" s="62"/>
      <c r="M216" s="62"/>
    </row>
    <row r="217" spans="1:14" x14ac:dyDescent="0.25">
      <c r="A217" s="155">
        <f t="shared" si="11"/>
        <v>23</v>
      </c>
      <c r="B217" s="110" t="s">
        <v>330</v>
      </c>
      <c r="C217" s="111">
        <f>((3*2.17+1.4*0.95))*(10.764)</f>
        <v>84.389759999999995</v>
      </c>
      <c r="D217" s="112">
        <f t="shared" si="9"/>
        <v>101.26771199999999</v>
      </c>
      <c r="E217" s="110">
        <v>0</v>
      </c>
      <c r="F217" s="156">
        <f t="shared" si="10"/>
        <v>135.023616</v>
      </c>
      <c r="J217" s="62"/>
      <c r="K217" s="62"/>
      <c r="L217" s="62"/>
      <c r="M217" s="62"/>
    </row>
    <row r="218" spans="1:14" x14ac:dyDescent="0.25">
      <c r="A218" s="155">
        <f t="shared" si="11"/>
        <v>24</v>
      </c>
      <c r="B218" s="110" t="s">
        <v>330</v>
      </c>
      <c r="C218" s="111">
        <f>((3*2.17+1.25*0.75))*(10.764)</f>
        <v>80.16489</v>
      </c>
      <c r="D218" s="112">
        <f t="shared" si="9"/>
        <v>96.197868</v>
      </c>
      <c r="E218" s="110">
        <v>0</v>
      </c>
      <c r="F218" s="156">
        <f t="shared" si="10"/>
        <v>128.263824</v>
      </c>
    </row>
    <row r="219" spans="1:14" x14ac:dyDescent="0.25">
      <c r="A219" s="155">
        <f t="shared" si="11"/>
        <v>25</v>
      </c>
      <c r="B219" s="110" t="s">
        <v>330</v>
      </c>
      <c r="C219" s="111">
        <f>((3.55*3.22))*(10.764)</f>
        <v>123.043284</v>
      </c>
      <c r="D219" s="112">
        <f t="shared" si="9"/>
        <v>147.65194080000001</v>
      </c>
      <c r="E219" s="110">
        <v>0</v>
      </c>
      <c r="F219" s="156">
        <f t="shared" si="10"/>
        <v>196.86925440000002</v>
      </c>
    </row>
    <row r="220" spans="1:14" x14ac:dyDescent="0.25">
      <c r="A220" s="155">
        <f t="shared" si="11"/>
        <v>26</v>
      </c>
      <c r="B220" s="110" t="s">
        <v>330</v>
      </c>
      <c r="C220" s="111">
        <f>((3.55*3.22))*(10.764)</f>
        <v>123.043284</v>
      </c>
      <c r="D220" s="112">
        <f t="shared" ref="D220" si="12">C220*1.2</f>
        <v>147.65194080000001</v>
      </c>
      <c r="E220" s="110">
        <v>0</v>
      </c>
      <c r="F220" s="156">
        <f t="shared" ref="F220" si="13">(C220+E220)*(($F$205)+1)</f>
        <v>196.86925440000002</v>
      </c>
    </row>
    <row r="221" spans="1:14" s="37" customFormat="1" ht="15.75" x14ac:dyDescent="0.25">
      <c r="A221" s="166" t="s">
        <v>333</v>
      </c>
      <c r="B221" s="167"/>
      <c r="C221" s="167"/>
      <c r="D221" s="167"/>
      <c r="E221" s="167"/>
      <c r="F221" s="168"/>
      <c r="G221" s="42"/>
      <c r="H221" s="42"/>
      <c r="J221" s="64"/>
      <c r="K221" s="64"/>
      <c r="L221" s="64"/>
      <c r="M221" s="64"/>
    </row>
    <row r="222" spans="1:14" s="115" customFormat="1" ht="15.75" customHeight="1" x14ac:dyDescent="0.25">
      <c r="A222" s="163" t="s">
        <v>328</v>
      </c>
      <c r="B222" s="164"/>
      <c r="C222" s="164"/>
      <c r="D222" s="164"/>
      <c r="E222" s="164"/>
      <c r="F222" s="165"/>
      <c r="G222" s="43"/>
      <c r="H222" s="43"/>
      <c r="J222" s="114"/>
      <c r="K222" s="60"/>
      <c r="L222" s="114"/>
      <c r="M222" s="114"/>
    </row>
    <row r="223" spans="1:14" s="115" customFormat="1" ht="15.75" customHeight="1" x14ac:dyDescent="0.25">
      <c r="A223" s="163" t="s">
        <v>334</v>
      </c>
      <c r="B223" s="164"/>
      <c r="C223" s="164"/>
      <c r="D223" s="164"/>
      <c r="E223" s="164"/>
      <c r="F223" s="165"/>
      <c r="G223" s="43"/>
      <c r="H223" s="43"/>
      <c r="J223" s="114"/>
      <c r="K223" s="60"/>
      <c r="L223" s="114"/>
      <c r="M223" s="114"/>
    </row>
    <row r="224" spans="1:14" s="115" customFormat="1" ht="15.75" x14ac:dyDescent="0.25">
      <c r="A224" s="155">
        <v>12</v>
      </c>
      <c r="B224" s="110" t="s">
        <v>330</v>
      </c>
      <c r="C224" s="111">
        <f>((3*3.37+1.4))*(10.764)</f>
        <v>123.89363999999999</v>
      </c>
      <c r="D224" s="112">
        <f>C224*1.2</f>
        <v>148.67236799999998</v>
      </c>
      <c r="E224" s="110">
        <v>0</v>
      </c>
      <c r="F224" s="156">
        <f>(C224+E224)*(($F$205)+1)</f>
        <v>198.22982400000001</v>
      </c>
      <c r="G224" s="169"/>
      <c r="H224" s="169"/>
      <c r="I224" s="40"/>
      <c r="J224" s="61"/>
      <c r="K224" s="114"/>
      <c r="L224" s="309"/>
      <c r="M224" s="309"/>
      <c r="N224" s="40"/>
    </row>
    <row r="225" spans="1:14" x14ac:dyDescent="0.25">
      <c r="A225" s="155">
        <f>A224+1</f>
        <v>13</v>
      </c>
      <c r="B225" s="110" t="s">
        <v>330</v>
      </c>
      <c r="C225" s="111">
        <f>((3.55*3.22))*(10.764)</f>
        <v>123.043284</v>
      </c>
      <c r="D225" s="112">
        <f t="shared" ref="D225:D230" si="14">C225*1.2</f>
        <v>147.65194080000001</v>
      </c>
      <c r="E225" s="110">
        <v>0</v>
      </c>
      <c r="F225" s="156">
        <f t="shared" ref="F225:F230" si="15">(C225+E225)*(($F$205)+1)</f>
        <v>196.86925440000002</v>
      </c>
      <c r="J225" s="62"/>
      <c r="K225" s="62"/>
      <c r="L225" s="62"/>
      <c r="M225" s="62"/>
    </row>
    <row r="226" spans="1:14" x14ac:dyDescent="0.25">
      <c r="A226" s="155">
        <f t="shared" ref="A226:A231" si="16">A225+1</f>
        <v>14</v>
      </c>
      <c r="B226" s="110" t="s">
        <v>330</v>
      </c>
      <c r="C226" s="111">
        <f>((3.55*3.22))*(10.764)</f>
        <v>123.043284</v>
      </c>
      <c r="D226" s="112">
        <f t="shared" si="14"/>
        <v>147.65194080000001</v>
      </c>
      <c r="E226" s="110">
        <v>0</v>
      </c>
      <c r="F226" s="156">
        <f t="shared" si="15"/>
        <v>196.86925440000002</v>
      </c>
      <c r="J226" s="62"/>
      <c r="K226" s="62"/>
      <c r="L226" s="62"/>
      <c r="M226" s="62"/>
    </row>
    <row r="227" spans="1:14" x14ac:dyDescent="0.25">
      <c r="A227" s="155">
        <f t="shared" si="16"/>
        <v>15</v>
      </c>
      <c r="B227" s="110" t="s">
        <v>330</v>
      </c>
      <c r="C227" s="111">
        <f>((3*2.17+1.4*0.95))*(10.764)</f>
        <v>84.389759999999995</v>
      </c>
      <c r="D227" s="112">
        <f t="shared" si="14"/>
        <v>101.26771199999999</v>
      </c>
      <c r="E227" s="110">
        <v>0</v>
      </c>
      <c r="F227" s="156">
        <f t="shared" si="15"/>
        <v>135.023616</v>
      </c>
      <c r="J227" s="62"/>
      <c r="K227" s="62"/>
      <c r="L227" s="62"/>
      <c r="M227" s="62"/>
    </row>
    <row r="228" spans="1:14" x14ac:dyDescent="0.25">
      <c r="A228" s="155">
        <f t="shared" si="16"/>
        <v>16</v>
      </c>
      <c r="B228" s="110" t="s">
        <v>330</v>
      </c>
      <c r="C228" s="111">
        <f>((3*2.17+1.4*0.95))*(10.764)</f>
        <v>84.389759999999995</v>
      </c>
      <c r="D228" s="112">
        <f t="shared" si="14"/>
        <v>101.26771199999999</v>
      </c>
      <c r="E228" s="110">
        <v>0</v>
      </c>
      <c r="F228" s="156">
        <f t="shared" si="15"/>
        <v>135.023616</v>
      </c>
    </row>
    <row r="229" spans="1:14" x14ac:dyDescent="0.25">
      <c r="A229" s="155">
        <f t="shared" si="16"/>
        <v>17</v>
      </c>
      <c r="B229" s="110" t="s">
        <v>330</v>
      </c>
      <c r="C229" s="111">
        <f>((3.55*3.22))*(10.764)</f>
        <v>123.043284</v>
      </c>
      <c r="D229" s="112">
        <f t="shared" si="14"/>
        <v>147.65194080000001</v>
      </c>
      <c r="E229" s="110">
        <v>0</v>
      </c>
      <c r="F229" s="156">
        <f t="shared" si="15"/>
        <v>196.86925440000002</v>
      </c>
    </row>
    <row r="230" spans="1:14" x14ac:dyDescent="0.25">
      <c r="A230" s="155">
        <f t="shared" si="16"/>
        <v>18</v>
      </c>
      <c r="B230" s="110" t="s">
        <v>330</v>
      </c>
      <c r="C230" s="111">
        <f>((3.55*3.22))*(10.764)</f>
        <v>123.043284</v>
      </c>
      <c r="D230" s="112">
        <f t="shared" si="14"/>
        <v>147.65194080000001</v>
      </c>
      <c r="E230" s="110">
        <v>0</v>
      </c>
      <c r="F230" s="156">
        <f t="shared" si="15"/>
        <v>196.86925440000002</v>
      </c>
    </row>
    <row r="231" spans="1:14" x14ac:dyDescent="0.25">
      <c r="A231" s="155">
        <f t="shared" si="16"/>
        <v>19</v>
      </c>
      <c r="B231" s="110" t="s">
        <v>330</v>
      </c>
      <c r="C231" s="111">
        <f>((3*3.37+1.4))*(10.764)</f>
        <v>123.89363999999999</v>
      </c>
      <c r="D231" s="112">
        <f t="shared" ref="D231" si="17">C231*1.2</f>
        <v>148.67236799999998</v>
      </c>
      <c r="E231" s="110">
        <v>0</v>
      </c>
      <c r="F231" s="156">
        <f t="shared" ref="F231" si="18">(C231+E231)*(($F$205)+1)</f>
        <v>198.22982400000001</v>
      </c>
    </row>
    <row r="232" spans="1:14" s="37" customFormat="1" ht="15.75" x14ac:dyDescent="0.25">
      <c r="A232" s="166" t="s">
        <v>335</v>
      </c>
      <c r="B232" s="167"/>
      <c r="C232" s="167"/>
      <c r="D232" s="167"/>
      <c r="E232" s="167"/>
      <c r="F232" s="168"/>
      <c r="G232" s="42"/>
      <c r="H232" s="42"/>
      <c r="J232" s="64"/>
      <c r="K232" s="64"/>
      <c r="L232" s="64"/>
      <c r="M232" s="64"/>
    </row>
    <row r="233" spans="1:14" s="115" customFormat="1" ht="15.75" customHeight="1" x14ac:dyDescent="0.25">
      <c r="A233" s="163" t="s">
        <v>328</v>
      </c>
      <c r="B233" s="164"/>
      <c r="C233" s="164"/>
      <c r="D233" s="164"/>
      <c r="E233" s="164"/>
      <c r="F233" s="165"/>
      <c r="G233" s="43"/>
      <c r="H233" s="43"/>
      <c r="J233" s="114"/>
      <c r="K233" s="60"/>
      <c r="L233" s="114"/>
      <c r="M233" s="114"/>
    </row>
    <row r="234" spans="1:14" s="115" customFormat="1" ht="15.75" customHeight="1" x14ac:dyDescent="0.25">
      <c r="A234" s="163" t="s">
        <v>334</v>
      </c>
      <c r="B234" s="164"/>
      <c r="C234" s="164"/>
      <c r="D234" s="164"/>
      <c r="E234" s="164"/>
      <c r="F234" s="165"/>
      <c r="G234" s="43"/>
      <c r="H234" s="43"/>
      <c r="J234" s="114"/>
      <c r="K234" s="60"/>
      <c r="L234" s="114"/>
      <c r="M234" s="114"/>
    </row>
    <row r="235" spans="1:14" s="115" customFormat="1" ht="15.75" x14ac:dyDescent="0.25">
      <c r="A235" s="155">
        <v>3</v>
      </c>
      <c r="B235" s="110" t="s">
        <v>330</v>
      </c>
      <c r="C235" s="111">
        <f>((6.35*4.45+0.95*3.78+1.25*1.1+1.8*0.9))*(10.764)</f>
        <v>375.05543399999999</v>
      </c>
      <c r="D235" s="112">
        <f>C235*1.2</f>
        <v>450.06652079999998</v>
      </c>
      <c r="E235" s="110">
        <v>0</v>
      </c>
      <c r="F235" s="156">
        <f>(C235+E235)*(($F$205)+1)</f>
        <v>600.08869440000001</v>
      </c>
      <c r="G235" s="169"/>
      <c r="H235" s="169"/>
      <c r="I235" s="40"/>
      <c r="J235" s="61"/>
      <c r="K235" s="114"/>
      <c r="L235" s="309"/>
      <c r="M235" s="309"/>
      <c r="N235" s="40"/>
    </row>
    <row r="236" spans="1:14" x14ac:dyDescent="0.25">
      <c r="A236" s="155">
        <f>A235+1</f>
        <v>4</v>
      </c>
      <c r="B236" s="110" t="s">
        <v>330</v>
      </c>
      <c r="C236" s="111">
        <f>((5*3.15+1.35*1.91))*(10.764)</f>
        <v>197.28797399999996</v>
      </c>
      <c r="D236" s="112">
        <f t="shared" ref="D236:D242" si="19">C236*1.2</f>
        <v>236.74556879999994</v>
      </c>
      <c r="E236" s="110">
        <v>0</v>
      </c>
      <c r="F236" s="156">
        <f t="shared" ref="F236:F242" si="20">(C236+E236)*(($F$205)+1)</f>
        <v>315.66075839999996</v>
      </c>
      <c r="J236" s="62"/>
      <c r="K236" s="62"/>
      <c r="L236" s="62"/>
      <c r="M236" s="62"/>
    </row>
    <row r="237" spans="1:14" x14ac:dyDescent="0.25">
      <c r="A237" s="155">
        <f t="shared" ref="A237:A243" si="21">A236+1</f>
        <v>5</v>
      </c>
      <c r="B237" s="110" t="s">
        <v>330</v>
      </c>
      <c r="C237" s="111">
        <f>((4.1*4.68+0.7*2.1))*(10.764)</f>
        <v>222.36271199999996</v>
      </c>
      <c r="D237" s="112">
        <f t="shared" si="19"/>
        <v>266.83525439999994</v>
      </c>
      <c r="E237" s="110">
        <v>0</v>
      </c>
      <c r="F237" s="156">
        <f t="shared" si="20"/>
        <v>355.78033919999996</v>
      </c>
      <c r="J237" s="62"/>
      <c r="K237" s="62"/>
      <c r="L237" s="62"/>
      <c r="M237" s="62"/>
    </row>
    <row r="238" spans="1:14" x14ac:dyDescent="0.25">
      <c r="A238" s="155">
        <f t="shared" si="21"/>
        <v>6</v>
      </c>
      <c r="B238" s="110" t="s">
        <v>330</v>
      </c>
      <c r="C238" s="111">
        <f>((3.55*3.22))*(10.764)</f>
        <v>123.043284</v>
      </c>
      <c r="D238" s="112">
        <f t="shared" si="19"/>
        <v>147.65194080000001</v>
      </c>
      <c r="E238" s="110">
        <v>0</v>
      </c>
      <c r="F238" s="156">
        <f t="shared" si="20"/>
        <v>196.86925440000002</v>
      </c>
      <c r="J238" s="62"/>
      <c r="K238" s="62"/>
      <c r="L238" s="62"/>
      <c r="M238" s="62"/>
    </row>
    <row r="239" spans="1:14" x14ac:dyDescent="0.25">
      <c r="A239" s="155">
        <f t="shared" si="21"/>
        <v>7</v>
      </c>
      <c r="B239" s="110" t="s">
        <v>330</v>
      </c>
      <c r="C239" s="111">
        <f>((3*2.17+1.4*0.95))*(10.764)</f>
        <v>84.389759999999995</v>
      </c>
      <c r="D239" s="112">
        <f t="shared" si="19"/>
        <v>101.26771199999999</v>
      </c>
      <c r="E239" s="110">
        <v>0</v>
      </c>
      <c r="F239" s="156">
        <f t="shared" si="20"/>
        <v>135.023616</v>
      </c>
    </row>
    <row r="240" spans="1:14" x14ac:dyDescent="0.25">
      <c r="A240" s="155">
        <f t="shared" si="21"/>
        <v>8</v>
      </c>
      <c r="B240" s="110" t="s">
        <v>330</v>
      </c>
      <c r="C240" s="111">
        <f>((3*2.17+1.4*0.95))*(10.764)</f>
        <v>84.389759999999995</v>
      </c>
      <c r="D240" s="112">
        <f t="shared" si="19"/>
        <v>101.26771199999999</v>
      </c>
      <c r="E240" s="110">
        <v>0</v>
      </c>
      <c r="F240" s="156">
        <f t="shared" si="20"/>
        <v>135.023616</v>
      </c>
    </row>
    <row r="241" spans="1:14" x14ac:dyDescent="0.25">
      <c r="A241" s="155">
        <f t="shared" si="21"/>
        <v>9</v>
      </c>
      <c r="B241" s="110" t="s">
        <v>330</v>
      </c>
      <c r="C241" s="111">
        <f>((3.55*3.22))*(10.764)</f>
        <v>123.043284</v>
      </c>
      <c r="D241" s="112">
        <f t="shared" si="19"/>
        <v>147.65194080000001</v>
      </c>
      <c r="E241" s="110">
        <v>0</v>
      </c>
      <c r="F241" s="156">
        <f t="shared" si="20"/>
        <v>196.86925440000002</v>
      </c>
    </row>
    <row r="242" spans="1:14" x14ac:dyDescent="0.25">
      <c r="A242" s="155">
        <f t="shared" si="21"/>
        <v>10</v>
      </c>
      <c r="B242" s="110" t="s">
        <v>330</v>
      </c>
      <c r="C242" s="111">
        <f>((3.55*3.22))*(10.764)</f>
        <v>123.043284</v>
      </c>
      <c r="D242" s="112">
        <f t="shared" si="19"/>
        <v>147.65194080000001</v>
      </c>
      <c r="E242" s="110">
        <v>0</v>
      </c>
      <c r="F242" s="156">
        <f t="shared" si="20"/>
        <v>196.86925440000002</v>
      </c>
    </row>
    <row r="243" spans="1:14" x14ac:dyDescent="0.25">
      <c r="A243" s="155">
        <f t="shared" si="21"/>
        <v>11</v>
      </c>
      <c r="B243" s="110" t="s">
        <v>330</v>
      </c>
      <c r="C243" s="111">
        <f>((3*3.37+1.4))*(10.764)</f>
        <v>123.89363999999999</v>
      </c>
      <c r="D243" s="112">
        <f t="shared" ref="D243" si="22">C243*1.2</f>
        <v>148.67236799999998</v>
      </c>
      <c r="E243" s="110">
        <v>0</v>
      </c>
      <c r="F243" s="156">
        <f t="shared" ref="F243" si="23">(C243+E243)*(($F$205)+1)</f>
        <v>198.22982400000001</v>
      </c>
    </row>
    <row r="244" spans="1:14" s="38" customFormat="1" ht="15.75" x14ac:dyDescent="0.25">
      <c r="A244" s="405"/>
      <c r="B244" s="406"/>
      <c r="C244" s="406"/>
      <c r="D244" s="406"/>
      <c r="E244" s="406"/>
      <c r="F244" s="407"/>
      <c r="G244" s="42"/>
      <c r="H244" s="42"/>
    </row>
    <row r="245" spans="1:14" s="38" customFormat="1" ht="15.75" x14ac:dyDescent="0.25">
      <c r="A245" s="166" t="s">
        <v>53</v>
      </c>
      <c r="B245" s="167"/>
      <c r="C245" s="167"/>
      <c r="D245" s="167"/>
      <c r="E245" s="167"/>
      <c r="F245" s="168"/>
      <c r="G245" s="42"/>
      <c r="H245" s="42"/>
    </row>
    <row r="246" spans="1:14" s="38" customFormat="1" ht="27.6" customHeight="1" x14ac:dyDescent="0.25">
      <c r="A246" s="310" t="s">
        <v>275</v>
      </c>
      <c r="B246" s="312" t="s">
        <v>54</v>
      </c>
      <c r="C246" s="312" t="s">
        <v>55</v>
      </c>
      <c r="D246" s="312" t="s">
        <v>57</v>
      </c>
      <c r="E246" s="123" t="s">
        <v>280</v>
      </c>
      <c r="F246" s="173" t="s">
        <v>372</v>
      </c>
      <c r="G246" s="314"/>
      <c r="H246" s="314"/>
      <c r="I246" s="65"/>
      <c r="J246" s="65"/>
      <c r="K246" s="62"/>
    </row>
    <row r="247" spans="1:14" s="38" customFormat="1" ht="15.75" x14ac:dyDescent="0.25">
      <c r="A247" s="311"/>
      <c r="B247" s="313"/>
      <c r="C247" s="313"/>
      <c r="D247" s="313"/>
      <c r="E247" s="82">
        <v>0.5</v>
      </c>
      <c r="F247" s="174"/>
      <c r="G247" s="314"/>
      <c r="H247" s="314"/>
      <c r="I247" s="65"/>
      <c r="J247" s="65"/>
      <c r="K247" s="62"/>
    </row>
    <row r="248" spans="1:14" s="37" customFormat="1" ht="15.75" x14ac:dyDescent="0.25">
      <c r="A248" s="166" t="s">
        <v>50</v>
      </c>
      <c r="B248" s="167"/>
      <c r="C248" s="167"/>
      <c r="D248" s="167"/>
      <c r="E248" s="167"/>
      <c r="F248" s="168"/>
      <c r="G248" s="42"/>
      <c r="H248" s="42"/>
      <c r="I248" s="64"/>
      <c r="J248" s="64"/>
      <c r="K248" s="62"/>
    </row>
    <row r="249" spans="1:14" s="39" customFormat="1" ht="15.75" customHeight="1" x14ac:dyDescent="0.25">
      <c r="A249" s="163" t="s">
        <v>336</v>
      </c>
      <c r="B249" s="164"/>
      <c r="C249" s="164"/>
      <c r="D249" s="164"/>
      <c r="E249" s="164"/>
      <c r="F249" s="165"/>
      <c r="G249" s="43"/>
      <c r="H249" s="43"/>
      <c r="I249" s="63"/>
      <c r="J249" s="63"/>
      <c r="K249" s="60"/>
    </row>
    <row r="250" spans="1:14" s="39" customFormat="1" ht="15.75" customHeight="1" x14ac:dyDescent="0.25">
      <c r="A250" s="163" t="s">
        <v>337</v>
      </c>
      <c r="B250" s="164"/>
      <c r="C250" s="164"/>
      <c r="D250" s="164"/>
      <c r="E250" s="164"/>
      <c r="F250" s="165"/>
      <c r="G250" s="43"/>
      <c r="H250" s="43"/>
      <c r="I250" s="63"/>
      <c r="J250" s="63"/>
      <c r="K250" s="63"/>
      <c r="L250" s="63"/>
      <c r="M250" s="63"/>
    </row>
    <row r="251" spans="1:14" s="39" customFormat="1" ht="15.75" x14ac:dyDescent="0.25">
      <c r="A251" s="155">
        <v>1</v>
      </c>
      <c r="B251" s="110" t="s">
        <v>338</v>
      </c>
      <c r="C251" s="111">
        <f>49.85*(10.764)</f>
        <v>536.58539999999994</v>
      </c>
      <c r="D251" s="112">
        <f>C251*1.2</f>
        <v>643.90247999999985</v>
      </c>
      <c r="E251" s="110">
        <f>C251*(($E$247)+1)</f>
        <v>804.8780999999999</v>
      </c>
      <c r="F251" s="156" t="s">
        <v>366</v>
      </c>
      <c r="G251" s="169">
        <f>C251*(($E$247)+1)</f>
        <v>804.8780999999999</v>
      </c>
      <c r="H251" s="169"/>
      <c r="I251" s="60"/>
      <c r="J251" s="61"/>
      <c r="K251" s="62"/>
      <c r="L251" s="309"/>
      <c r="M251" s="309"/>
      <c r="N251" s="40"/>
    </row>
    <row r="252" spans="1:14" x14ac:dyDescent="0.25">
      <c r="A252" s="155">
        <f>A251+1</f>
        <v>2</v>
      </c>
      <c r="B252" s="110" t="s">
        <v>338</v>
      </c>
      <c r="C252" s="111">
        <f>42.35*(10.764)</f>
        <v>455.85539999999997</v>
      </c>
      <c r="D252" s="112">
        <f t="shared" ref="D252:D256" si="24">C252*1.2</f>
        <v>547.02647999999999</v>
      </c>
      <c r="E252" s="110">
        <f t="shared" ref="E252:E256" si="25">C252*(($E$247)+1)</f>
        <v>683.78309999999999</v>
      </c>
      <c r="F252" s="156" t="s">
        <v>366</v>
      </c>
      <c r="I252" s="62"/>
      <c r="J252" s="62"/>
      <c r="K252" s="62"/>
      <c r="L252" s="62"/>
      <c r="M252" s="62"/>
    </row>
    <row r="253" spans="1:14" x14ac:dyDescent="0.25">
      <c r="A253" s="155">
        <f t="shared" ref="A253:A256" si="26">A252+1</f>
        <v>3</v>
      </c>
      <c r="B253" s="110" t="s">
        <v>339</v>
      </c>
      <c r="C253" s="111">
        <f>32.98*(10.764)</f>
        <v>354.99671999999993</v>
      </c>
      <c r="D253" s="112">
        <f t="shared" si="24"/>
        <v>425.99606399999988</v>
      </c>
      <c r="E253" s="110">
        <f t="shared" si="25"/>
        <v>532.49507999999992</v>
      </c>
      <c r="F253" s="156" t="s">
        <v>366</v>
      </c>
      <c r="I253" s="62"/>
      <c r="J253" s="62"/>
      <c r="K253" s="62"/>
      <c r="L253" s="62"/>
      <c r="M253" s="62"/>
    </row>
    <row r="254" spans="1:14" ht="15.75" x14ac:dyDescent="0.25">
      <c r="A254" s="155">
        <f t="shared" si="26"/>
        <v>4</v>
      </c>
      <c r="B254" s="110" t="s">
        <v>339</v>
      </c>
      <c r="C254" s="111">
        <f>32.98*(10.764)</f>
        <v>354.99671999999993</v>
      </c>
      <c r="D254" s="112">
        <f t="shared" si="24"/>
        <v>425.99606399999988</v>
      </c>
      <c r="E254" s="110">
        <f t="shared" si="25"/>
        <v>532.49507999999992</v>
      </c>
      <c r="F254" s="156" t="s">
        <v>366</v>
      </c>
      <c r="I254" s="62"/>
      <c r="J254" s="62"/>
      <c r="K254" s="60"/>
      <c r="L254" s="62"/>
      <c r="M254" s="62"/>
    </row>
    <row r="255" spans="1:14" ht="15.75" x14ac:dyDescent="0.25">
      <c r="A255" s="155">
        <f t="shared" si="26"/>
        <v>5</v>
      </c>
      <c r="B255" s="110" t="s">
        <v>339</v>
      </c>
      <c r="C255" s="111">
        <f>32.81*(10.764)</f>
        <v>353.16683999999998</v>
      </c>
      <c r="D255" s="112">
        <f t="shared" si="24"/>
        <v>423.80020799999994</v>
      </c>
      <c r="E255" s="110">
        <f t="shared" si="25"/>
        <v>529.75026000000003</v>
      </c>
      <c r="F255" s="156" t="s">
        <v>366</v>
      </c>
      <c r="I255" s="62"/>
      <c r="J255" s="62"/>
      <c r="K255" s="63"/>
      <c r="L255" s="62"/>
      <c r="M255" s="62"/>
    </row>
    <row r="256" spans="1:14" x14ac:dyDescent="0.25">
      <c r="A256" s="155">
        <f t="shared" si="26"/>
        <v>6</v>
      </c>
      <c r="B256" s="110" t="s">
        <v>339</v>
      </c>
      <c r="C256" s="111">
        <f>32.85*(10.764)</f>
        <v>353.59739999999999</v>
      </c>
      <c r="D256" s="112">
        <f t="shared" si="24"/>
        <v>424.31687999999997</v>
      </c>
      <c r="E256" s="110">
        <f t="shared" si="25"/>
        <v>530.39609999999993</v>
      </c>
      <c r="F256" s="156" t="s">
        <v>366</v>
      </c>
      <c r="I256" s="62"/>
      <c r="J256" s="62"/>
      <c r="K256" s="62"/>
      <c r="L256" s="62"/>
      <c r="M256" s="62"/>
    </row>
    <row r="257" spans="1:14" s="39" customFormat="1" ht="15.75" customHeight="1" x14ac:dyDescent="0.25">
      <c r="A257" s="163" t="s">
        <v>340</v>
      </c>
      <c r="B257" s="164"/>
      <c r="C257" s="164"/>
      <c r="D257" s="164"/>
      <c r="E257" s="164"/>
      <c r="F257" s="165"/>
      <c r="G257" s="43"/>
      <c r="H257" s="43"/>
      <c r="I257" s="63"/>
      <c r="J257" s="63"/>
      <c r="K257" s="62"/>
      <c r="L257" s="63"/>
      <c r="M257" s="63"/>
    </row>
    <row r="258" spans="1:14" s="39" customFormat="1" ht="15.75" x14ac:dyDescent="0.25">
      <c r="A258" s="155">
        <v>1</v>
      </c>
      <c r="B258" s="110" t="s">
        <v>338</v>
      </c>
      <c r="C258" s="111">
        <f>49.85*(10.764)</f>
        <v>536.58539999999994</v>
      </c>
      <c r="D258" s="112">
        <f>C258*1.2</f>
        <v>643.90247999999985</v>
      </c>
      <c r="E258" s="110">
        <f>C258*(($E$247)+1)</f>
        <v>804.8780999999999</v>
      </c>
      <c r="F258" s="156" t="s">
        <v>366</v>
      </c>
      <c r="G258" s="169"/>
      <c r="H258" s="169"/>
      <c r="I258" s="60"/>
      <c r="J258" s="61"/>
      <c r="K258" s="62"/>
      <c r="L258" s="309"/>
      <c r="M258" s="309"/>
      <c r="N258" s="40"/>
    </row>
    <row r="259" spans="1:14" x14ac:dyDescent="0.25">
      <c r="A259" s="155">
        <f>A258+1</f>
        <v>2</v>
      </c>
      <c r="B259" s="110" t="s">
        <v>338</v>
      </c>
      <c r="C259" s="111">
        <f>42.35*(10.764)</f>
        <v>455.85539999999997</v>
      </c>
      <c r="D259" s="112">
        <f t="shared" ref="D259:D263" si="27">C259*1.2</f>
        <v>547.02647999999999</v>
      </c>
      <c r="E259" s="110">
        <f>C259*(($E$247)+1)</f>
        <v>683.78309999999999</v>
      </c>
      <c r="F259" s="156" t="s">
        <v>366</v>
      </c>
      <c r="I259" s="62"/>
      <c r="J259" s="62"/>
      <c r="K259" s="62"/>
      <c r="L259" s="62"/>
      <c r="M259" s="62"/>
    </row>
    <row r="260" spans="1:14" x14ac:dyDescent="0.25">
      <c r="A260" s="155">
        <f t="shared" ref="A260:A263" si="28">A259+1</f>
        <v>3</v>
      </c>
      <c r="B260" s="110" t="s">
        <v>339</v>
      </c>
      <c r="C260" s="111">
        <f>32.98*(10.764)</f>
        <v>354.99671999999993</v>
      </c>
      <c r="D260" s="112">
        <f t="shared" si="27"/>
        <v>425.99606399999988</v>
      </c>
      <c r="E260" s="110">
        <f t="shared" ref="E260:E263" si="29">C260*(($E$247)+1)</f>
        <v>532.49507999999992</v>
      </c>
      <c r="F260" s="156" t="s">
        <v>366</v>
      </c>
      <c r="I260" s="62"/>
      <c r="J260" s="62"/>
      <c r="K260" s="62"/>
      <c r="L260" s="62"/>
      <c r="M260" s="62"/>
    </row>
    <row r="261" spans="1:14" ht="15.75" x14ac:dyDescent="0.25">
      <c r="A261" s="155">
        <f t="shared" si="28"/>
        <v>4</v>
      </c>
      <c r="B261" s="110" t="s">
        <v>339</v>
      </c>
      <c r="C261" s="111">
        <f>32.98*(10.764)</f>
        <v>354.99671999999993</v>
      </c>
      <c r="D261" s="112">
        <f t="shared" si="27"/>
        <v>425.99606399999988</v>
      </c>
      <c r="E261" s="110">
        <f t="shared" si="29"/>
        <v>532.49507999999992</v>
      </c>
      <c r="F261" s="156" t="s">
        <v>366</v>
      </c>
      <c r="I261" s="62"/>
      <c r="J261" s="62"/>
      <c r="K261" s="60"/>
      <c r="L261" s="62"/>
      <c r="M261" s="62"/>
    </row>
    <row r="262" spans="1:14" ht="15.75" x14ac:dyDescent="0.25">
      <c r="A262" s="155">
        <f t="shared" si="28"/>
        <v>5</v>
      </c>
      <c r="B262" s="110" t="s">
        <v>339</v>
      </c>
      <c r="C262" s="111">
        <f>32.81*(10.764)</f>
        <v>353.16683999999998</v>
      </c>
      <c r="D262" s="112">
        <f t="shared" si="27"/>
        <v>423.80020799999994</v>
      </c>
      <c r="E262" s="110">
        <f t="shared" si="29"/>
        <v>529.75026000000003</v>
      </c>
      <c r="F262" s="156" t="s">
        <v>366</v>
      </c>
      <c r="I262" s="62"/>
      <c r="J262" s="62"/>
      <c r="K262" s="63"/>
      <c r="L262" s="62"/>
      <c r="M262" s="62"/>
    </row>
    <row r="263" spans="1:14" x14ac:dyDescent="0.25">
      <c r="A263" s="155">
        <f t="shared" si="28"/>
        <v>6</v>
      </c>
      <c r="B263" s="110" t="s">
        <v>339</v>
      </c>
      <c r="C263" s="111">
        <f>32.85*(10.764)</f>
        <v>353.59739999999999</v>
      </c>
      <c r="D263" s="112">
        <f t="shared" si="27"/>
        <v>424.31687999999997</v>
      </c>
      <c r="E263" s="110">
        <f t="shared" si="29"/>
        <v>530.39609999999993</v>
      </c>
      <c r="F263" s="156" t="s">
        <v>366</v>
      </c>
      <c r="I263" s="62"/>
      <c r="J263" s="62"/>
      <c r="K263" s="62"/>
      <c r="L263" s="62"/>
      <c r="M263" s="62"/>
    </row>
    <row r="264" spans="1:14" s="39" customFormat="1" ht="15.75" customHeight="1" x14ac:dyDescent="0.25">
      <c r="A264" s="163" t="s">
        <v>341</v>
      </c>
      <c r="B264" s="164"/>
      <c r="C264" s="164"/>
      <c r="D264" s="164"/>
      <c r="E264" s="164"/>
      <c r="F264" s="165"/>
      <c r="G264" s="43"/>
      <c r="H264" s="43"/>
      <c r="I264" s="63"/>
      <c r="J264" s="63"/>
      <c r="K264" s="62"/>
      <c r="L264" s="63"/>
      <c r="M264" s="63"/>
    </row>
    <row r="265" spans="1:14" s="39" customFormat="1" ht="15.75" x14ac:dyDescent="0.25">
      <c r="A265" s="155">
        <v>1</v>
      </c>
      <c r="B265" s="110" t="s">
        <v>338</v>
      </c>
      <c r="C265" s="111">
        <f>49.85*(10.764)</f>
        <v>536.58539999999994</v>
      </c>
      <c r="D265" s="112">
        <f>C265*1.2</f>
        <v>643.90247999999985</v>
      </c>
      <c r="E265" s="110">
        <f>C265*(($E$247)+1)</f>
        <v>804.8780999999999</v>
      </c>
      <c r="F265" s="156" t="s">
        <v>366</v>
      </c>
      <c r="G265" s="169"/>
      <c r="H265" s="169"/>
      <c r="I265" s="60"/>
      <c r="J265" s="61"/>
      <c r="K265" s="62"/>
      <c r="L265" s="309"/>
      <c r="M265" s="309"/>
      <c r="N265" s="40"/>
    </row>
    <row r="266" spans="1:14" x14ac:dyDescent="0.25">
      <c r="A266" s="155">
        <f>A265+1</f>
        <v>2</v>
      </c>
      <c r="B266" s="110" t="s">
        <v>338</v>
      </c>
      <c r="C266" s="111">
        <f>42.35*(10.764)</f>
        <v>455.85539999999997</v>
      </c>
      <c r="D266" s="112">
        <f t="shared" ref="D266:D270" si="30">C266*1.2</f>
        <v>547.02647999999999</v>
      </c>
      <c r="E266" s="110">
        <f>C266*(($E$247)+1)</f>
        <v>683.78309999999999</v>
      </c>
      <c r="F266" s="156" t="s">
        <v>366</v>
      </c>
      <c r="I266" s="62"/>
      <c r="J266" s="62"/>
      <c r="K266" s="62"/>
      <c r="L266" s="62"/>
      <c r="M266" s="62"/>
    </row>
    <row r="267" spans="1:14" x14ac:dyDescent="0.25">
      <c r="A267" s="155">
        <f t="shared" ref="A267:A270" si="31">A266+1</f>
        <v>3</v>
      </c>
      <c r="B267" s="110" t="s">
        <v>339</v>
      </c>
      <c r="C267" s="111">
        <f>32.98*(10.764)</f>
        <v>354.99671999999993</v>
      </c>
      <c r="D267" s="112">
        <f t="shared" si="30"/>
        <v>425.99606399999988</v>
      </c>
      <c r="E267" s="110">
        <f t="shared" ref="E267:E279" si="32">C267*(($E$247)+1)</f>
        <v>532.49507999999992</v>
      </c>
      <c r="F267" s="156" t="s">
        <v>366</v>
      </c>
      <c r="I267" s="62"/>
      <c r="J267" s="62"/>
      <c r="K267" s="62"/>
      <c r="L267" s="62"/>
      <c r="M267" s="62"/>
    </row>
    <row r="268" spans="1:14" ht="15.75" x14ac:dyDescent="0.25">
      <c r="A268" s="155">
        <f t="shared" si="31"/>
        <v>4</v>
      </c>
      <c r="B268" s="110" t="s">
        <v>339</v>
      </c>
      <c r="C268" s="111">
        <f>32.98*(10.764)</f>
        <v>354.99671999999993</v>
      </c>
      <c r="D268" s="112">
        <f t="shared" si="30"/>
        <v>425.99606399999988</v>
      </c>
      <c r="E268" s="110">
        <f t="shared" si="32"/>
        <v>532.49507999999992</v>
      </c>
      <c r="F268" s="156" t="s">
        <v>360</v>
      </c>
      <c r="I268" s="62"/>
      <c r="J268" s="62"/>
      <c r="K268" s="60"/>
      <c r="L268" s="62"/>
      <c r="M268" s="62"/>
    </row>
    <row r="269" spans="1:14" ht="15.75" x14ac:dyDescent="0.25">
      <c r="A269" s="155">
        <f t="shared" si="31"/>
        <v>5</v>
      </c>
      <c r="B269" s="110" t="s">
        <v>339</v>
      </c>
      <c r="C269" s="111">
        <f>32.81*(10.764)</f>
        <v>353.16683999999998</v>
      </c>
      <c r="D269" s="112">
        <f t="shared" si="30"/>
        <v>423.80020799999994</v>
      </c>
      <c r="E269" s="110">
        <f t="shared" si="32"/>
        <v>529.75026000000003</v>
      </c>
      <c r="F269" s="156" t="s">
        <v>366</v>
      </c>
      <c r="K269" s="39"/>
    </row>
    <row r="270" spans="1:14" x14ac:dyDescent="0.25">
      <c r="A270" s="155">
        <f t="shared" si="31"/>
        <v>6</v>
      </c>
      <c r="B270" s="110" t="s">
        <v>339</v>
      </c>
      <c r="C270" s="111">
        <f>32.85*(10.764)</f>
        <v>353.59739999999999</v>
      </c>
      <c r="D270" s="112">
        <f t="shared" si="30"/>
        <v>424.31687999999997</v>
      </c>
      <c r="E270" s="110">
        <f t="shared" si="32"/>
        <v>530.39609999999993</v>
      </c>
      <c r="F270" s="156" t="s">
        <v>366</v>
      </c>
    </row>
    <row r="271" spans="1:14" s="39" customFormat="1" ht="15.75" customHeight="1" x14ac:dyDescent="0.25">
      <c r="A271" s="163" t="s">
        <v>342</v>
      </c>
      <c r="B271" s="164"/>
      <c r="C271" s="164"/>
      <c r="D271" s="164"/>
      <c r="E271" s="164"/>
      <c r="F271" s="165"/>
      <c r="G271" s="43"/>
      <c r="H271" s="43"/>
      <c r="K271"/>
    </row>
    <row r="272" spans="1:14" s="39" customFormat="1" ht="15.75" x14ac:dyDescent="0.25">
      <c r="A272" s="155">
        <v>1</v>
      </c>
      <c r="B272" s="110" t="s">
        <v>338</v>
      </c>
      <c r="C272" s="111">
        <f>49.85*(10.764)</f>
        <v>536.58539999999994</v>
      </c>
      <c r="D272" s="112">
        <f>C272*1.2</f>
        <v>643.90247999999985</v>
      </c>
      <c r="E272" s="110">
        <f t="shared" si="32"/>
        <v>804.8780999999999</v>
      </c>
      <c r="F272" s="156" t="s">
        <v>366</v>
      </c>
      <c r="G272" s="169"/>
      <c r="H272" s="169"/>
      <c r="I272" s="40"/>
      <c r="J272" s="44"/>
      <c r="K272"/>
      <c r="L272" s="317"/>
      <c r="M272" s="317"/>
      <c r="N272" s="40"/>
    </row>
    <row r="273" spans="1:14" x14ac:dyDescent="0.25">
      <c r="A273" s="155">
        <f>A272+1</f>
        <v>2</v>
      </c>
      <c r="B273" s="110" t="s">
        <v>338</v>
      </c>
      <c r="C273" s="111">
        <f>42.35*(10.764)</f>
        <v>455.85539999999997</v>
      </c>
      <c r="D273" s="112">
        <f t="shared" ref="D273:D277" si="33">C273*1.2</f>
        <v>547.02647999999999</v>
      </c>
      <c r="E273" s="110">
        <f t="shared" si="32"/>
        <v>683.78309999999999</v>
      </c>
      <c r="F273" s="156" t="s">
        <v>366</v>
      </c>
      <c r="J273" s="62"/>
      <c r="K273" s="62"/>
      <c r="L273" s="62"/>
      <c r="M273" s="62"/>
    </row>
    <row r="274" spans="1:14" x14ac:dyDescent="0.25">
      <c r="A274" s="155">
        <f t="shared" ref="A274:A277" si="34">A273+1</f>
        <v>3</v>
      </c>
      <c r="B274" s="110" t="s">
        <v>339</v>
      </c>
      <c r="C274" s="111">
        <f>32.98*(10.764)</f>
        <v>354.99671999999993</v>
      </c>
      <c r="D274" s="112">
        <f t="shared" si="33"/>
        <v>425.99606399999988</v>
      </c>
      <c r="E274" s="110">
        <f t="shared" si="32"/>
        <v>532.49507999999992</v>
      </c>
      <c r="F274" s="156" t="s">
        <v>366</v>
      </c>
      <c r="J274" s="62"/>
      <c r="K274" s="62"/>
      <c r="L274" s="62"/>
      <c r="M274" s="62"/>
    </row>
    <row r="275" spans="1:14" ht="15.75" x14ac:dyDescent="0.25">
      <c r="A275" s="155">
        <f t="shared" si="34"/>
        <v>4</v>
      </c>
      <c r="B275" s="110" t="s">
        <v>339</v>
      </c>
      <c r="C275" s="111">
        <f>32.98*(10.764)</f>
        <v>354.99671999999993</v>
      </c>
      <c r="D275" s="112">
        <f t="shared" si="33"/>
        <v>425.99606399999988</v>
      </c>
      <c r="E275" s="110">
        <f t="shared" si="32"/>
        <v>532.49507999999992</v>
      </c>
      <c r="F275" s="156" t="s">
        <v>366</v>
      </c>
      <c r="J275" s="62"/>
      <c r="K275" s="64"/>
      <c r="L275" s="62"/>
      <c r="M275" s="62"/>
    </row>
    <row r="276" spans="1:14" ht="15.75" x14ac:dyDescent="0.25">
      <c r="A276" s="155">
        <f t="shared" si="34"/>
        <v>5</v>
      </c>
      <c r="B276" s="110" t="s">
        <v>339</v>
      </c>
      <c r="C276" s="111">
        <f>32.81*(10.764)</f>
        <v>353.16683999999998</v>
      </c>
      <c r="D276" s="112">
        <f t="shared" si="33"/>
        <v>423.80020799999994</v>
      </c>
      <c r="E276" s="110">
        <f t="shared" si="32"/>
        <v>529.75026000000003</v>
      </c>
      <c r="F276" s="156" t="s">
        <v>366</v>
      </c>
      <c r="J276" s="62"/>
      <c r="K276" s="60"/>
      <c r="L276" s="62"/>
      <c r="M276" s="62"/>
    </row>
    <row r="277" spans="1:14" ht="15.75" x14ac:dyDescent="0.25">
      <c r="A277" s="155">
        <f t="shared" si="34"/>
        <v>6</v>
      </c>
      <c r="B277" s="110" t="s">
        <v>339</v>
      </c>
      <c r="C277" s="111">
        <f>32.85*(10.764)</f>
        <v>353.59739999999999</v>
      </c>
      <c r="D277" s="112">
        <f t="shared" si="33"/>
        <v>424.31687999999997</v>
      </c>
      <c r="E277" s="110">
        <f t="shared" si="32"/>
        <v>530.39609999999993</v>
      </c>
      <c r="F277" s="156" t="s">
        <v>360</v>
      </c>
      <c r="J277" s="62"/>
      <c r="K277" s="60"/>
      <c r="L277" s="62"/>
      <c r="M277" s="62"/>
    </row>
    <row r="278" spans="1:14" s="115" customFormat="1" ht="15.75" customHeight="1" x14ac:dyDescent="0.25">
      <c r="A278" s="163" t="s">
        <v>343</v>
      </c>
      <c r="B278" s="164"/>
      <c r="C278" s="164"/>
      <c r="D278" s="164"/>
      <c r="E278" s="164"/>
      <c r="F278" s="165"/>
      <c r="G278" s="43"/>
      <c r="H278" s="43"/>
      <c r="J278" s="114"/>
      <c r="K278" s="60"/>
      <c r="L278" s="114"/>
      <c r="M278" s="114"/>
    </row>
    <row r="279" spans="1:14" s="115" customFormat="1" ht="15.75" x14ac:dyDescent="0.25">
      <c r="A279" s="155">
        <v>1</v>
      </c>
      <c r="B279" s="110" t="s">
        <v>338</v>
      </c>
      <c r="C279" s="111">
        <f>49.85*(10.764)</f>
        <v>536.58539999999994</v>
      </c>
      <c r="D279" s="112">
        <f>C279*1.2</f>
        <v>643.90247999999985</v>
      </c>
      <c r="E279" s="110">
        <f t="shared" si="32"/>
        <v>804.8780999999999</v>
      </c>
      <c r="F279" s="156" t="s">
        <v>366</v>
      </c>
      <c r="G279" s="169"/>
      <c r="H279" s="169"/>
      <c r="I279" s="40"/>
      <c r="J279" s="61"/>
      <c r="K279" s="114"/>
      <c r="L279" s="309"/>
      <c r="M279" s="309"/>
      <c r="N279" s="40"/>
    </row>
    <row r="280" spans="1:14" x14ac:dyDescent="0.25">
      <c r="A280" s="155">
        <f>A279+1</f>
        <v>2</v>
      </c>
      <c r="B280" s="325" t="s">
        <v>344</v>
      </c>
      <c r="C280" s="326"/>
      <c r="D280" s="326"/>
      <c r="E280" s="327"/>
      <c r="F280" s="156" t="s">
        <v>307</v>
      </c>
      <c r="J280" s="62"/>
      <c r="K280" s="62"/>
      <c r="L280" s="62"/>
      <c r="M280" s="62"/>
    </row>
    <row r="281" spans="1:14" x14ac:dyDescent="0.25">
      <c r="A281" s="155">
        <f t="shared" ref="A281:A284" si="35">A280+1</f>
        <v>3</v>
      </c>
      <c r="B281" s="328"/>
      <c r="C281" s="329"/>
      <c r="D281" s="329"/>
      <c r="E281" s="330"/>
      <c r="F281" s="156" t="s">
        <v>307</v>
      </c>
      <c r="J281" s="62"/>
      <c r="K281" s="62"/>
      <c r="L281" s="62"/>
      <c r="M281" s="62"/>
    </row>
    <row r="282" spans="1:14" x14ac:dyDescent="0.25">
      <c r="A282" s="155">
        <f t="shared" si="35"/>
        <v>4</v>
      </c>
      <c r="B282" s="110" t="s">
        <v>338</v>
      </c>
      <c r="C282" s="111">
        <f>46.89*(10.764)</f>
        <v>504.72395999999998</v>
      </c>
      <c r="D282" s="112">
        <f t="shared" ref="D282:D284" si="36">C282*1.2</f>
        <v>605.66875199999993</v>
      </c>
      <c r="E282" s="110">
        <f t="shared" ref="E282:E284" si="37">C282*(($E$247)+1)</f>
        <v>757.08593999999994</v>
      </c>
      <c r="F282" s="156" t="s">
        <v>366</v>
      </c>
      <c r="J282" s="62"/>
      <c r="K282" s="62"/>
      <c r="L282" s="62"/>
      <c r="M282" s="62"/>
    </row>
    <row r="283" spans="1:14" x14ac:dyDescent="0.25">
      <c r="A283" s="155">
        <f t="shared" si="35"/>
        <v>5</v>
      </c>
      <c r="B283" s="110" t="s">
        <v>339</v>
      </c>
      <c r="C283" s="111">
        <f>32.81*(10.764)</f>
        <v>353.16683999999998</v>
      </c>
      <c r="D283" s="112">
        <f t="shared" si="36"/>
        <v>423.80020799999994</v>
      </c>
      <c r="E283" s="110">
        <f t="shared" si="37"/>
        <v>529.75026000000003</v>
      </c>
      <c r="F283" s="156" t="s">
        <v>366</v>
      </c>
      <c r="J283" s="62"/>
      <c r="K283" s="62"/>
      <c r="L283" s="62"/>
      <c r="M283" s="62"/>
    </row>
    <row r="284" spans="1:14" x14ac:dyDescent="0.25">
      <c r="A284" s="155">
        <f t="shared" si="35"/>
        <v>6</v>
      </c>
      <c r="B284" s="110" t="s">
        <v>339</v>
      </c>
      <c r="C284" s="111">
        <f>32.85*(10.764)</f>
        <v>353.59739999999999</v>
      </c>
      <c r="D284" s="112">
        <f t="shared" si="36"/>
        <v>424.31687999999997</v>
      </c>
      <c r="E284" s="110">
        <f t="shared" si="37"/>
        <v>530.39609999999993</v>
      </c>
      <c r="F284" s="156" t="s">
        <v>366</v>
      </c>
      <c r="J284" s="62"/>
      <c r="K284" s="62"/>
      <c r="L284" s="62"/>
      <c r="M284" s="62"/>
    </row>
    <row r="285" spans="1:14" s="39" customFormat="1" ht="15.75" customHeight="1" x14ac:dyDescent="0.25">
      <c r="A285" s="163" t="s">
        <v>345</v>
      </c>
      <c r="B285" s="164"/>
      <c r="C285" s="164"/>
      <c r="D285" s="164"/>
      <c r="E285" s="164"/>
      <c r="F285" s="165"/>
      <c r="G285" s="43"/>
      <c r="H285" s="43"/>
      <c r="J285" s="63"/>
      <c r="K285" s="60"/>
      <c r="L285" s="63"/>
      <c r="M285" s="63"/>
    </row>
    <row r="286" spans="1:14" s="39" customFormat="1" ht="15.75" x14ac:dyDescent="0.25">
      <c r="A286" s="155">
        <v>1</v>
      </c>
      <c r="B286" s="110" t="s">
        <v>338</v>
      </c>
      <c r="C286" s="111">
        <f>49.85*(10.764)</f>
        <v>536.58539999999994</v>
      </c>
      <c r="D286" s="112">
        <f>C286*1.2</f>
        <v>643.90247999999985</v>
      </c>
      <c r="E286" s="110">
        <f t="shared" ref="E286" si="38">C286*(($E$247)+1)</f>
        <v>804.8780999999999</v>
      </c>
      <c r="F286" s="156" t="s">
        <v>366</v>
      </c>
      <c r="G286" s="169"/>
      <c r="H286" s="169"/>
      <c r="I286" s="40"/>
      <c r="J286" s="61"/>
      <c r="K286" s="63"/>
      <c r="L286" s="309"/>
      <c r="M286" s="309"/>
      <c r="N286" s="40"/>
    </row>
    <row r="287" spans="1:14" x14ac:dyDescent="0.25">
      <c r="A287" s="155">
        <f>A286+1</f>
        <v>2</v>
      </c>
      <c r="B287" s="325" t="s">
        <v>344</v>
      </c>
      <c r="C287" s="326"/>
      <c r="D287" s="326"/>
      <c r="E287" s="327"/>
      <c r="F287" s="156" t="s">
        <v>307</v>
      </c>
      <c r="J287" s="62"/>
      <c r="K287" s="62"/>
      <c r="L287" s="62"/>
      <c r="M287" s="62"/>
    </row>
    <row r="288" spans="1:14" x14ac:dyDescent="0.25">
      <c r="A288" s="155">
        <f t="shared" ref="A288:A291" si="39">A287+1</f>
        <v>3</v>
      </c>
      <c r="B288" s="328"/>
      <c r="C288" s="329"/>
      <c r="D288" s="329"/>
      <c r="E288" s="330"/>
      <c r="F288" s="156" t="s">
        <v>307</v>
      </c>
      <c r="J288" s="62"/>
      <c r="K288" s="62"/>
      <c r="L288" s="62"/>
      <c r="M288" s="62"/>
    </row>
    <row r="289" spans="1:14" x14ac:dyDescent="0.25">
      <c r="A289" s="155">
        <f t="shared" si="39"/>
        <v>4</v>
      </c>
      <c r="B289" s="110" t="s">
        <v>339</v>
      </c>
      <c r="C289" s="111">
        <f>37.32*(10.764)</f>
        <v>401.71247999999997</v>
      </c>
      <c r="D289" s="112">
        <f t="shared" ref="D289:D291" si="40">C289*1.2</f>
        <v>482.05497599999995</v>
      </c>
      <c r="E289" s="110">
        <f t="shared" ref="E289:E291" si="41">C289*(($E$247)+1)</f>
        <v>602.56871999999998</v>
      </c>
      <c r="F289" s="156" t="s">
        <v>366</v>
      </c>
      <c r="J289" s="62"/>
      <c r="K289" s="62"/>
      <c r="L289" s="62"/>
      <c r="M289" s="62"/>
    </row>
    <row r="290" spans="1:14" x14ac:dyDescent="0.25">
      <c r="A290" s="155">
        <f t="shared" si="39"/>
        <v>5</v>
      </c>
      <c r="B290" s="110" t="s">
        <v>339</v>
      </c>
      <c r="C290" s="111">
        <f>32.81*(10.764)</f>
        <v>353.16683999999998</v>
      </c>
      <c r="D290" s="112">
        <f t="shared" si="40"/>
        <v>423.80020799999994</v>
      </c>
      <c r="E290" s="110">
        <f t="shared" si="41"/>
        <v>529.75026000000003</v>
      </c>
      <c r="F290" s="156" t="s">
        <v>366</v>
      </c>
      <c r="J290" s="62"/>
      <c r="K290" s="62"/>
      <c r="L290" s="62"/>
      <c r="M290" s="62"/>
    </row>
    <row r="291" spans="1:14" x14ac:dyDescent="0.25">
      <c r="A291" s="155">
        <f t="shared" si="39"/>
        <v>6</v>
      </c>
      <c r="B291" s="110" t="s">
        <v>339</v>
      </c>
      <c r="C291" s="111">
        <f>32.85*(10.764)</f>
        <v>353.59739999999999</v>
      </c>
      <c r="D291" s="112">
        <f t="shared" si="40"/>
        <v>424.31687999999997</v>
      </c>
      <c r="E291" s="110">
        <f t="shared" si="41"/>
        <v>530.39609999999993</v>
      </c>
      <c r="F291" s="156" t="s">
        <v>366</v>
      </c>
      <c r="J291" s="62"/>
      <c r="K291" s="62"/>
      <c r="L291" s="62"/>
      <c r="M291" s="62"/>
    </row>
    <row r="292" spans="1:14" s="37" customFormat="1" ht="15.75" x14ac:dyDescent="0.25">
      <c r="A292" s="166" t="s">
        <v>346</v>
      </c>
      <c r="B292" s="167"/>
      <c r="C292" s="167"/>
      <c r="D292" s="167"/>
      <c r="E292" s="167"/>
      <c r="F292" s="168"/>
      <c r="G292" s="42"/>
      <c r="H292" s="42"/>
      <c r="I292" s="64"/>
      <c r="J292" s="64"/>
      <c r="K292" s="62"/>
    </row>
    <row r="293" spans="1:14" s="115" customFormat="1" ht="15.75" customHeight="1" x14ac:dyDescent="0.25">
      <c r="A293" s="163" t="s">
        <v>328</v>
      </c>
      <c r="B293" s="164"/>
      <c r="C293" s="164"/>
      <c r="D293" s="164"/>
      <c r="E293" s="164"/>
      <c r="F293" s="165"/>
      <c r="G293" s="43"/>
      <c r="H293" s="43"/>
      <c r="I293" s="114"/>
      <c r="J293" s="114"/>
      <c r="K293" s="60"/>
    </row>
    <row r="294" spans="1:14" s="115" customFormat="1" ht="15.75" customHeight="1" x14ac:dyDescent="0.25">
      <c r="A294" s="163" t="s">
        <v>347</v>
      </c>
      <c r="B294" s="164"/>
      <c r="C294" s="164"/>
      <c r="D294" s="164"/>
      <c r="E294" s="164"/>
      <c r="F294" s="165"/>
      <c r="G294" s="43"/>
      <c r="H294" s="43"/>
      <c r="I294" s="114"/>
      <c r="J294" s="114"/>
      <c r="K294" s="114"/>
      <c r="L294" s="114"/>
      <c r="M294" s="114"/>
    </row>
    <row r="295" spans="1:14" s="115" customFormat="1" ht="15.75" customHeight="1" x14ac:dyDescent="0.25">
      <c r="A295" s="163" t="s">
        <v>336</v>
      </c>
      <c r="B295" s="164"/>
      <c r="C295" s="164"/>
      <c r="D295" s="164"/>
      <c r="E295" s="164"/>
      <c r="F295" s="165"/>
      <c r="G295" s="43"/>
      <c r="H295" s="43"/>
      <c r="I295" s="114"/>
      <c r="J295" s="114"/>
      <c r="K295" s="60"/>
    </row>
    <row r="296" spans="1:14" s="115" customFormat="1" ht="15.75" customHeight="1" x14ac:dyDescent="0.25">
      <c r="A296" s="163" t="s">
        <v>337</v>
      </c>
      <c r="B296" s="164"/>
      <c r="C296" s="164"/>
      <c r="D296" s="164"/>
      <c r="E296" s="164"/>
      <c r="F296" s="165"/>
      <c r="G296" s="43"/>
      <c r="H296" s="43"/>
      <c r="I296" s="114"/>
      <c r="J296" s="114"/>
      <c r="K296" s="114"/>
      <c r="L296" s="114"/>
      <c r="M296" s="114"/>
    </row>
    <row r="297" spans="1:14" s="115" customFormat="1" ht="15.75" x14ac:dyDescent="0.25">
      <c r="A297" s="155">
        <v>1</v>
      </c>
      <c r="B297" s="110" t="s">
        <v>339</v>
      </c>
      <c r="C297" s="111">
        <f>32.85*(10.764)</f>
        <v>353.59739999999999</v>
      </c>
      <c r="D297" s="112">
        <f>C297*1.2</f>
        <v>424.31687999999997</v>
      </c>
      <c r="E297" s="110">
        <f t="shared" ref="E297:E302" si="42">C297*(($E$247)+1)</f>
        <v>530.39609999999993</v>
      </c>
      <c r="F297" s="156" t="s">
        <v>366</v>
      </c>
      <c r="G297" s="169"/>
      <c r="H297" s="169"/>
      <c r="I297" s="60"/>
      <c r="J297" s="61"/>
      <c r="K297" s="62"/>
      <c r="L297" s="309"/>
      <c r="M297" s="309"/>
      <c r="N297" s="40"/>
    </row>
    <row r="298" spans="1:14" x14ac:dyDescent="0.25">
      <c r="A298" s="155">
        <f>A297+1</f>
        <v>2</v>
      </c>
      <c r="B298" s="110" t="s">
        <v>339</v>
      </c>
      <c r="C298" s="111">
        <f>32.81*(10.764)</f>
        <v>353.16683999999998</v>
      </c>
      <c r="D298" s="112">
        <f t="shared" ref="D298:D302" si="43">C298*1.2</f>
        <v>423.80020799999994</v>
      </c>
      <c r="E298" s="110">
        <f t="shared" si="42"/>
        <v>529.75026000000003</v>
      </c>
      <c r="F298" s="156" t="s">
        <v>366</v>
      </c>
      <c r="I298" s="62"/>
      <c r="J298" s="62"/>
      <c r="K298" s="62"/>
      <c r="L298" s="62"/>
      <c r="M298" s="62"/>
    </row>
    <row r="299" spans="1:14" x14ac:dyDescent="0.25">
      <c r="A299" s="155">
        <f t="shared" ref="A299:A302" si="44">A298+1</f>
        <v>3</v>
      </c>
      <c r="B299" s="110" t="s">
        <v>339</v>
      </c>
      <c r="C299" s="111">
        <f>32.98*(10.764)</f>
        <v>354.99671999999993</v>
      </c>
      <c r="D299" s="112">
        <f t="shared" si="43"/>
        <v>425.99606399999988</v>
      </c>
      <c r="E299" s="110">
        <f t="shared" si="42"/>
        <v>532.49507999999992</v>
      </c>
      <c r="F299" s="156" t="s">
        <v>360</v>
      </c>
      <c r="I299" s="62"/>
      <c r="J299" s="62"/>
      <c r="K299" s="62"/>
      <c r="L299" s="62"/>
      <c r="M299" s="62"/>
    </row>
    <row r="300" spans="1:14" ht="15.75" x14ac:dyDescent="0.25">
      <c r="A300" s="155">
        <f t="shared" si="44"/>
        <v>4</v>
      </c>
      <c r="B300" s="110" t="s">
        <v>339</v>
      </c>
      <c r="C300" s="111">
        <f>32.98*(10.764)</f>
        <v>354.99671999999993</v>
      </c>
      <c r="D300" s="112">
        <f t="shared" si="43"/>
        <v>425.99606399999988</v>
      </c>
      <c r="E300" s="110">
        <f t="shared" si="42"/>
        <v>532.49507999999992</v>
      </c>
      <c r="F300" s="156" t="s">
        <v>366</v>
      </c>
      <c r="I300" s="62"/>
      <c r="J300" s="62"/>
      <c r="K300" s="60"/>
      <c r="L300" s="62"/>
      <c r="M300" s="62"/>
    </row>
    <row r="301" spans="1:14" ht="15.75" x14ac:dyDescent="0.25">
      <c r="A301" s="155">
        <f t="shared" si="44"/>
        <v>5</v>
      </c>
      <c r="B301" s="110" t="s">
        <v>339</v>
      </c>
      <c r="C301" s="111">
        <f>36.75*(10.764)</f>
        <v>395.577</v>
      </c>
      <c r="D301" s="112">
        <f t="shared" si="43"/>
        <v>474.69239999999996</v>
      </c>
      <c r="E301" s="110">
        <f t="shared" si="42"/>
        <v>593.3655</v>
      </c>
      <c r="F301" s="156" t="s">
        <v>360</v>
      </c>
      <c r="I301" s="62"/>
      <c r="J301" s="62"/>
      <c r="K301" s="114"/>
      <c r="L301" s="62"/>
      <c r="M301" s="62"/>
    </row>
    <row r="302" spans="1:14" x14ac:dyDescent="0.25">
      <c r="A302" s="155">
        <f t="shared" si="44"/>
        <v>6</v>
      </c>
      <c r="B302" s="110" t="s">
        <v>339</v>
      </c>
      <c r="C302" s="111">
        <f>32.85*(10.764)</f>
        <v>353.59739999999999</v>
      </c>
      <c r="D302" s="112">
        <f t="shared" si="43"/>
        <v>424.31687999999997</v>
      </c>
      <c r="E302" s="110">
        <f t="shared" si="42"/>
        <v>530.39609999999993</v>
      </c>
      <c r="F302" s="156" t="s">
        <v>366</v>
      </c>
      <c r="I302" s="62"/>
      <c r="J302" s="62"/>
      <c r="K302" s="62"/>
      <c r="L302" s="62"/>
      <c r="M302" s="62"/>
    </row>
    <row r="303" spans="1:14" s="115" customFormat="1" ht="15.75" customHeight="1" x14ac:dyDescent="0.25">
      <c r="A303" s="163" t="s">
        <v>348</v>
      </c>
      <c r="B303" s="164"/>
      <c r="C303" s="164"/>
      <c r="D303" s="164"/>
      <c r="E303" s="164"/>
      <c r="F303" s="165"/>
      <c r="G303" s="43"/>
      <c r="H303" s="43"/>
      <c r="I303" s="114"/>
      <c r="J303" s="114"/>
      <c r="K303" s="114"/>
      <c r="L303" s="114"/>
      <c r="M303" s="114"/>
    </row>
    <row r="304" spans="1:14" s="115" customFormat="1" ht="15.75" x14ac:dyDescent="0.25">
      <c r="A304" s="155">
        <v>1</v>
      </c>
      <c r="B304" s="110" t="s">
        <v>339</v>
      </c>
      <c r="C304" s="111">
        <f>32.85*(10.764)</f>
        <v>353.59739999999999</v>
      </c>
      <c r="D304" s="112">
        <f>C304*1.2</f>
        <v>424.31687999999997</v>
      </c>
      <c r="E304" s="110">
        <f t="shared" ref="E304:E309" si="45">C304*(($E$247)+1)</f>
        <v>530.39609999999993</v>
      </c>
      <c r="F304" s="156" t="s">
        <v>366</v>
      </c>
      <c r="G304" s="169"/>
      <c r="H304" s="169"/>
      <c r="I304" s="60"/>
      <c r="J304" s="61"/>
      <c r="K304" s="62"/>
      <c r="L304" s="309"/>
      <c r="M304" s="309"/>
      <c r="N304" s="40"/>
    </row>
    <row r="305" spans="1:14" x14ac:dyDescent="0.25">
      <c r="A305" s="155">
        <f>A304+1</f>
        <v>2</v>
      </c>
      <c r="B305" s="110" t="s">
        <v>339</v>
      </c>
      <c r="C305" s="111">
        <f>32.81*(10.764)</f>
        <v>353.16683999999998</v>
      </c>
      <c r="D305" s="112">
        <f t="shared" ref="D305:D309" si="46">C305*1.2</f>
        <v>423.80020799999994</v>
      </c>
      <c r="E305" s="110">
        <f t="shared" si="45"/>
        <v>529.75026000000003</v>
      </c>
      <c r="F305" s="156" t="s">
        <v>366</v>
      </c>
      <c r="I305" s="62"/>
      <c r="J305" s="62"/>
      <c r="K305" s="62"/>
      <c r="L305" s="62"/>
      <c r="M305" s="62"/>
    </row>
    <row r="306" spans="1:14" x14ac:dyDescent="0.25">
      <c r="A306" s="155">
        <f t="shared" ref="A306:A309" si="47">A305+1</f>
        <v>3</v>
      </c>
      <c r="B306" s="110" t="s">
        <v>339</v>
      </c>
      <c r="C306" s="111">
        <f>32.98*(10.764)</f>
        <v>354.99671999999993</v>
      </c>
      <c r="D306" s="112">
        <f t="shared" si="46"/>
        <v>425.99606399999988</v>
      </c>
      <c r="E306" s="110">
        <f t="shared" si="45"/>
        <v>532.49507999999992</v>
      </c>
      <c r="F306" s="156" t="s">
        <v>360</v>
      </c>
      <c r="I306" s="62"/>
      <c r="J306" s="62"/>
      <c r="K306" s="62"/>
      <c r="L306" s="62"/>
      <c r="M306" s="62"/>
    </row>
    <row r="307" spans="1:14" ht="15.75" x14ac:dyDescent="0.25">
      <c r="A307" s="155">
        <f t="shared" si="47"/>
        <v>4</v>
      </c>
      <c r="B307" s="110" t="s">
        <v>339</v>
      </c>
      <c r="C307" s="111">
        <f>32.98*(10.764)</f>
        <v>354.99671999999993</v>
      </c>
      <c r="D307" s="112">
        <f t="shared" si="46"/>
        <v>425.99606399999988</v>
      </c>
      <c r="E307" s="110">
        <f t="shared" si="45"/>
        <v>532.49507999999992</v>
      </c>
      <c r="F307" s="156" t="s">
        <v>360</v>
      </c>
      <c r="I307" s="62"/>
      <c r="J307" s="62"/>
      <c r="K307" s="60"/>
      <c r="L307" s="62"/>
      <c r="M307" s="62"/>
    </row>
    <row r="308" spans="1:14" ht="15.75" x14ac:dyDescent="0.25">
      <c r="A308" s="155">
        <f t="shared" si="47"/>
        <v>5</v>
      </c>
      <c r="B308" s="110" t="s">
        <v>339</v>
      </c>
      <c r="C308" s="111">
        <f>36.75*(10.764)</f>
        <v>395.577</v>
      </c>
      <c r="D308" s="112">
        <f t="shared" si="46"/>
        <v>474.69239999999996</v>
      </c>
      <c r="E308" s="110">
        <f t="shared" si="45"/>
        <v>593.3655</v>
      </c>
      <c r="F308" s="156" t="s">
        <v>360</v>
      </c>
      <c r="I308" s="62"/>
      <c r="J308" s="62"/>
      <c r="K308" s="114"/>
      <c r="L308" s="62"/>
      <c r="M308" s="62"/>
    </row>
    <row r="309" spans="1:14" x14ac:dyDescent="0.25">
      <c r="A309" s="155">
        <f t="shared" si="47"/>
        <v>6</v>
      </c>
      <c r="B309" s="110" t="s">
        <v>339</v>
      </c>
      <c r="C309" s="111">
        <f>32.85*(10.764)</f>
        <v>353.59739999999999</v>
      </c>
      <c r="D309" s="112">
        <f t="shared" si="46"/>
        <v>424.31687999999997</v>
      </c>
      <c r="E309" s="110">
        <f t="shared" si="45"/>
        <v>530.39609999999993</v>
      </c>
      <c r="F309" s="156" t="s">
        <v>366</v>
      </c>
      <c r="I309" s="62"/>
      <c r="J309" s="62"/>
      <c r="K309" s="62"/>
      <c r="L309" s="62"/>
      <c r="M309" s="62"/>
    </row>
    <row r="310" spans="1:14" s="115" customFormat="1" ht="15.75" customHeight="1" x14ac:dyDescent="0.25">
      <c r="A310" s="163" t="s">
        <v>341</v>
      </c>
      <c r="B310" s="164"/>
      <c r="C310" s="164"/>
      <c r="D310" s="164"/>
      <c r="E310" s="164"/>
      <c r="F310" s="165"/>
      <c r="G310" s="43"/>
      <c r="H310" s="43"/>
      <c r="I310" s="114"/>
      <c r="J310" s="114"/>
      <c r="K310" s="114"/>
      <c r="L310" s="114"/>
      <c r="M310" s="114"/>
    </row>
    <row r="311" spans="1:14" s="115" customFormat="1" ht="15.75" x14ac:dyDescent="0.25">
      <c r="A311" s="155">
        <v>1</v>
      </c>
      <c r="B311" s="110" t="s">
        <v>339</v>
      </c>
      <c r="C311" s="111">
        <f>32.85*(10.764)</f>
        <v>353.59739999999999</v>
      </c>
      <c r="D311" s="112">
        <f>C311*1.2</f>
        <v>424.31687999999997</v>
      </c>
      <c r="E311" s="110">
        <f t="shared" ref="E311:E316" si="48">C311*(($E$247)+1)</f>
        <v>530.39609999999993</v>
      </c>
      <c r="F311" s="156" t="s">
        <v>366</v>
      </c>
      <c r="G311" s="169"/>
      <c r="H311" s="169"/>
      <c r="I311" s="60"/>
      <c r="J311" s="61"/>
      <c r="K311" s="62"/>
      <c r="L311" s="309"/>
      <c r="M311" s="309"/>
      <c r="N311" s="40"/>
    </row>
    <row r="312" spans="1:14" x14ac:dyDescent="0.25">
      <c r="A312" s="155">
        <f>A311+1</f>
        <v>2</v>
      </c>
      <c r="B312" s="110" t="s">
        <v>339</v>
      </c>
      <c r="C312" s="111">
        <f>32.81*(10.764)</f>
        <v>353.16683999999998</v>
      </c>
      <c r="D312" s="112">
        <f t="shared" ref="D312:D316" si="49">C312*1.2</f>
        <v>423.80020799999994</v>
      </c>
      <c r="E312" s="110">
        <f t="shared" si="48"/>
        <v>529.75026000000003</v>
      </c>
      <c r="F312" s="156" t="s">
        <v>366</v>
      </c>
      <c r="I312" s="62"/>
      <c r="J312" s="62"/>
      <c r="K312" s="62"/>
      <c r="L312" s="62"/>
      <c r="M312" s="62"/>
    </row>
    <row r="313" spans="1:14" x14ac:dyDescent="0.25">
      <c r="A313" s="155">
        <f t="shared" ref="A313:A316" si="50">A312+1</f>
        <v>3</v>
      </c>
      <c r="B313" s="110" t="s">
        <v>339</v>
      </c>
      <c r="C313" s="111">
        <f>32.98*(10.764)</f>
        <v>354.99671999999993</v>
      </c>
      <c r="D313" s="112">
        <f t="shared" si="49"/>
        <v>425.99606399999988</v>
      </c>
      <c r="E313" s="110">
        <f t="shared" si="48"/>
        <v>532.49507999999992</v>
      </c>
      <c r="F313" s="156" t="s">
        <v>360</v>
      </c>
      <c r="I313" s="62"/>
      <c r="J313" s="62"/>
      <c r="K313" s="62"/>
      <c r="L313" s="62"/>
      <c r="M313" s="62"/>
    </row>
    <row r="314" spans="1:14" ht="15.75" x14ac:dyDescent="0.25">
      <c r="A314" s="155">
        <f t="shared" si="50"/>
        <v>4</v>
      </c>
      <c r="B314" s="110" t="s">
        <v>339</v>
      </c>
      <c r="C314" s="111">
        <f>32.98*(10.764)</f>
        <v>354.99671999999993</v>
      </c>
      <c r="D314" s="112">
        <f t="shared" si="49"/>
        <v>425.99606399999988</v>
      </c>
      <c r="E314" s="110">
        <f t="shared" si="48"/>
        <v>532.49507999999992</v>
      </c>
      <c r="F314" s="156" t="s">
        <v>360</v>
      </c>
      <c r="I314" s="62"/>
      <c r="J314" s="62"/>
      <c r="K314" s="60"/>
      <c r="L314" s="62"/>
      <c r="M314" s="62"/>
    </row>
    <row r="315" spans="1:14" ht="15.75" x14ac:dyDescent="0.25">
      <c r="A315" s="155">
        <f t="shared" si="50"/>
        <v>5</v>
      </c>
      <c r="B315" s="110" t="s">
        <v>339</v>
      </c>
      <c r="C315" s="111">
        <f>36.75*(10.764)</f>
        <v>395.577</v>
      </c>
      <c r="D315" s="112">
        <f t="shared" si="49"/>
        <v>474.69239999999996</v>
      </c>
      <c r="E315" s="110">
        <f t="shared" si="48"/>
        <v>593.3655</v>
      </c>
      <c r="F315" s="156" t="s">
        <v>360</v>
      </c>
      <c r="I315" s="62"/>
      <c r="J315" s="62"/>
      <c r="K315" s="114"/>
      <c r="L315" s="62"/>
      <c r="M315" s="62"/>
    </row>
    <row r="316" spans="1:14" x14ac:dyDescent="0.25">
      <c r="A316" s="155">
        <f t="shared" si="50"/>
        <v>6</v>
      </c>
      <c r="B316" s="110" t="s">
        <v>339</v>
      </c>
      <c r="C316" s="111">
        <f>32.85*(10.764)</f>
        <v>353.59739999999999</v>
      </c>
      <c r="D316" s="112">
        <f t="shared" si="49"/>
        <v>424.31687999999997</v>
      </c>
      <c r="E316" s="110">
        <f t="shared" si="48"/>
        <v>530.39609999999993</v>
      </c>
      <c r="F316" s="156" t="s">
        <v>366</v>
      </c>
      <c r="I316" s="62"/>
      <c r="J316" s="62"/>
      <c r="K316" s="62"/>
      <c r="L316" s="62"/>
      <c r="M316" s="62"/>
    </row>
    <row r="317" spans="1:14" s="115" customFormat="1" ht="15.75" customHeight="1" x14ac:dyDescent="0.25">
      <c r="A317" s="163" t="s">
        <v>349</v>
      </c>
      <c r="B317" s="164"/>
      <c r="C317" s="164"/>
      <c r="D317" s="164"/>
      <c r="E317" s="164"/>
      <c r="F317" s="165"/>
      <c r="G317" s="43"/>
      <c r="H317" s="43"/>
      <c r="I317" s="114"/>
      <c r="J317" s="114"/>
      <c r="K317" s="114"/>
      <c r="L317" s="114"/>
      <c r="M317" s="114"/>
    </row>
    <row r="318" spans="1:14" s="115" customFormat="1" ht="15.75" x14ac:dyDescent="0.25">
      <c r="A318" s="155">
        <v>1</v>
      </c>
      <c r="B318" s="110" t="s">
        <v>339</v>
      </c>
      <c r="C318" s="111">
        <f>32.85*(10.764)</f>
        <v>353.59739999999999</v>
      </c>
      <c r="D318" s="112">
        <f>C318*1.2</f>
        <v>424.31687999999997</v>
      </c>
      <c r="E318" s="110">
        <f t="shared" ref="E318:E323" si="51">C318*(($E$247)+1)</f>
        <v>530.39609999999993</v>
      </c>
      <c r="F318" s="156" t="s">
        <v>366</v>
      </c>
      <c r="G318" s="169"/>
      <c r="H318" s="169"/>
      <c r="I318" s="60"/>
      <c r="J318" s="61"/>
      <c r="K318" s="62"/>
      <c r="L318" s="309"/>
      <c r="M318" s="309"/>
      <c r="N318" s="40"/>
    </row>
    <row r="319" spans="1:14" x14ac:dyDescent="0.25">
      <c r="A319" s="155">
        <f>A318+1</f>
        <v>2</v>
      </c>
      <c r="B319" s="110" t="s">
        <v>339</v>
      </c>
      <c r="C319" s="111">
        <f>32.81*(10.764)</f>
        <v>353.16683999999998</v>
      </c>
      <c r="D319" s="112">
        <f t="shared" ref="D319:D323" si="52">C319*1.2</f>
        <v>423.80020799999994</v>
      </c>
      <c r="E319" s="110">
        <f t="shared" si="51"/>
        <v>529.75026000000003</v>
      </c>
      <c r="F319" s="156" t="s">
        <v>360</v>
      </c>
      <c r="I319" s="62"/>
      <c r="J319" s="62"/>
      <c r="K319" s="62"/>
      <c r="L319" s="62"/>
      <c r="M319" s="62"/>
    </row>
    <row r="320" spans="1:14" x14ac:dyDescent="0.25">
      <c r="A320" s="155">
        <f t="shared" ref="A320:A323" si="53">A319+1</f>
        <v>3</v>
      </c>
      <c r="B320" s="110" t="s">
        <v>339</v>
      </c>
      <c r="C320" s="111">
        <f>32.98*(10.764)</f>
        <v>354.99671999999993</v>
      </c>
      <c r="D320" s="112">
        <f t="shared" si="52"/>
        <v>425.99606399999988</v>
      </c>
      <c r="E320" s="110">
        <f t="shared" si="51"/>
        <v>532.49507999999992</v>
      </c>
      <c r="F320" s="156" t="s">
        <v>366</v>
      </c>
      <c r="I320" s="62"/>
      <c r="J320" s="62"/>
      <c r="K320" s="62"/>
      <c r="L320" s="62"/>
      <c r="M320" s="62"/>
    </row>
    <row r="321" spans="1:14" ht="15.75" x14ac:dyDescent="0.25">
      <c r="A321" s="155">
        <f t="shared" si="53"/>
        <v>4</v>
      </c>
      <c r="B321" s="110" t="s">
        <v>339</v>
      </c>
      <c r="C321" s="111">
        <f>32.98*(10.764)</f>
        <v>354.99671999999993</v>
      </c>
      <c r="D321" s="112">
        <f t="shared" si="52"/>
        <v>425.99606399999988</v>
      </c>
      <c r="E321" s="110">
        <f t="shared" si="51"/>
        <v>532.49507999999992</v>
      </c>
      <c r="F321" s="156" t="s">
        <v>366</v>
      </c>
      <c r="I321" s="62"/>
      <c r="J321" s="62"/>
      <c r="K321" s="60"/>
      <c r="L321" s="62"/>
      <c r="M321" s="62"/>
    </row>
    <row r="322" spans="1:14" ht="15.75" x14ac:dyDescent="0.25">
      <c r="A322" s="155">
        <f t="shared" si="53"/>
        <v>5</v>
      </c>
      <c r="B322" s="110" t="s">
        <v>339</v>
      </c>
      <c r="C322" s="111">
        <f>36.75*(10.764)</f>
        <v>395.577</v>
      </c>
      <c r="D322" s="112">
        <f t="shared" si="52"/>
        <v>474.69239999999996</v>
      </c>
      <c r="E322" s="110">
        <f t="shared" si="51"/>
        <v>593.3655</v>
      </c>
      <c r="F322" s="156" t="s">
        <v>360</v>
      </c>
      <c r="I322" s="62"/>
      <c r="J322" s="62"/>
      <c r="K322" s="114"/>
      <c r="L322" s="62"/>
      <c r="M322" s="62"/>
    </row>
    <row r="323" spans="1:14" x14ac:dyDescent="0.25">
      <c r="A323" s="155">
        <f t="shared" si="53"/>
        <v>6</v>
      </c>
      <c r="B323" s="110" t="s">
        <v>339</v>
      </c>
      <c r="C323" s="111">
        <f>32.85*(10.764)</f>
        <v>353.59739999999999</v>
      </c>
      <c r="D323" s="112">
        <f t="shared" si="52"/>
        <v>424.31687999999997</v>
      </c>
      <c r="E323" s="110">
        <f t="shared" si="51"/>
        <v>530.39609999999993</v>
      </c>
      <c r="F323" s="156" t="s">
        <v>366</v>
      </c>
      <c r="I323" s="62"/>
      <c r="J323" s="62"/>
      <c r="K323" s="62"/>
      <c r="L323" s="62"/>
      <c r="M323" s="62"/>
    </row>
    <row r="324" spans="1:14" s="115" customFormat="1" ht="15.75" customHeight="1" x14ac:dyDescent="0.25">
      <c r="A324" s="163" t="s">
        <v>350</v>
      </c>
      <c r="B324" s="164"/>
      <c r="C324" s="164"/>
      <c r="D324" s="164"/>
      <c r="E324" s="164"/>
      <c r="F324" s="165"/>
      <c r="G324" s="43"/>
      <c r="H324" s="43"/>
      <c r="I324" s="114"/>
      <c r="J324" s="114"/>
      <c r="K324" s="114"/>
      <c r="L324" s="114"/>
      <c r="M324" s="114"/>
    </row>
    <row r="325" spans="1:14" s="115" customFormat="1" ht="15.75" x14ac:dyDescent="0.25">
      <c r="A325" s="155">
        <v>1</v>
      </c>
      <c r="B325" s="110" t="s">
        <v>339</v>
      </c>
      <c r="C325" s="111">
        <f>32.85*(10.764)</f>
        <v>353.59739999999999</v>
      </c>
      <c r="D325" s="112">
        <f>C325*1.2</f>
        <v>424.31687999999997</v>
      </c>
      <c r="E325" s="110">
        <f t="shared" ref="E325:E330" si="54">C325*(($E$247)+1)</f>
        <v>530.39609999999993</v>
      </c>
      <c r="F325" s="156" t="s">
        <v>366</v>
      </c>
      <c r="G325" s="169"/>
      <c r="H325" s="169"/>
      <c r="I325" s="60"/>
      <c r="J325" s="61"/>
      <c r="K325" s="62"/>
      <c r="L325" s="309"/>
      <c r="M325" s="309"/>
      <c r="N325" s="40"/>
    </row>
    <row r="326" spans="1:14" x14ac:dyDescent="0.25">
      <c r="A326" s="155">
        <f>A325+1</f>
        <v>2</v>
      </c>
      <c r="B326" s="110" t="s">
        <v>339</v>
      </c>
      <c r="C326" s="111">
        <f>32.81*(10.764)</f>
        <v>353.16683999999998</v>
      </c>
      <c r="D326" s="112">
        <f t="shared" ref="D326:D330" si="55">C326*1.2</f>
        <v>423.80020799999994</v>
      </c>
      <c r="E326" s="110">
        <f t="shared" si="54"/>
        <v>529.75026000000003</v>
      </c>
      <c r="F326" s="156" t="s">
        <v>366</v>
      </c>
      <c r="I326" s="62"/>
      <c r="J326" s="62"/>
      <c r="K326" s="62"/>
      <c r="L326" s="62"/>
      <c r="M326" s="62"/>
    </row>
    <row r="327" spans="1:14" x14ac:dyDescent="0.25">
      <c r="A327" s="155">
        <f t="shared" ref="A327:A330" si="56">A326+1</f>
        <v>3</v>
      </c>
      <c r="B327" s="110" t="s">
        <v>339</v>
      </c>
      <c r="C327" s="111">
        <f>32.98*(10.764)</f>
        <v>354.99671999999993</v>
      </c>
      <c r="D327" s="112">
        <f t="shared" si="55"/>
        <v>425.99606399999988</v>
      </c>
      <c r="E327" s="110">
        <f t="shared" si="54"/>
        <v>532.49507999999992</v>
      </c>
      <c r="F327" s="156" t="s">
        <v>366</v>
      </c>
      <c r="I327" s="62"/>
      <c r="J327" s="62"/>
      <c r="K327" s="62"/>
      <c r="L327" s="62"/>
      <c r="M327" s="62"/>
    </row>
    <row r="328" spans="1:14" ht="15.75" x14ac:dyDescent="0.25">
      <c r="A328" s="155">
        <f t="shared" si="56"/>
        <v>4</v>
      </c>
      <c r="B328" s="110" t="s">
        <v>339</v>
      </c>
      <c r="C328" s="111">
        <f>32.98*(10.764)</f>
        <v>354.99671999999993</v>
      </c>
      <c r="D328" s="112">
        <f t="shared" si="55"/>
        <v>425.99606399999988</v>
      </c>
      <c r="E328" s="110">
        <f t="shared" si="54"/>
        <v>532.49507999999992</v>
      </c>
      <c r="F328" s="156" t="s">
        <v>366</v>
      </c>
      <c r="I328" s="62"/>
      <c r="J328" s="62"/>
      <c r="K328" s="60"/>
      <c r="L328" s="62"/>
      <c r="M328" s="62"/>
    </row>
    <row r="329" spans="1:14" ht="15.75" x14ac:dyDescent="0.25">
      <c r="A329" s="155">
        <f t="shared" si="56"/>
        <v>5</v>
      </c>
      <c r="B329" s="110" t="s">
        <v>339</v>
      </c>
      <c r="C329" s="111">
        <f>36.75*(10.764)</f>
        <v>395.577</v>
      </c>
      <c r="D329" s="112">
        <f t="shared" si="55"/>
        <v>474.69239999999996</v>
      </c>
      <c r="E329" s="110">
        <f t="shared" si="54"/>
        <v>593.3655</v>
      </c>
      <c r="F329" s="156" t="s">
        <v>360</v>
      </c>
      <c r="I329" s="62"/>
      <c r="J329" s="62"/>
      <c r="K329" s="114"/>
      <c r="L329" s="62"/>
      <c r="M329" s="62"/>
    </row>
    <row r="330" spans="1:14" x14ac:dyDescent="0.25">
      <c r="A330" s="155">
        <f t="shared" si="56"/>
        <v>6</v>
      </c>
      <c r="B330" s="110" t="s">
        <v>339</v>
      </c>
      <c r="C330" s="111">
        <f>32.85*(10.764)</f>
        <v>353.59739999999999</v>
      </c>
      <c r="D330" s="112">
        <f t="shared" si="55"/>
        <v>424.31687999999997</v>
      </c>
      <c r="E330" s="110">
        <f t="shared" si="54"/>
        <v>530.39609999999993</v>
      </c>
      <c r="F330" s="156" t="s">
        <v>366</v>
      </c>
      <c r="I330" s="62"/>
      <c r="J330" s="62"/>
      <c r="K330" s="62"/>
      <c r="L330" s="62"/>
      <c r="M330" s="62"/>
    </row>
    <row r="331" spans="1:14" s="115" customFormat="1" ht="15.75" customHeight="1" x14ac:dyDescent="0.25">
      <c r="A331" s="163" t="s">
        <v>351</v>
      </c>
      <c r="B331" s="164"/>
      <c r="C331" s="164"/>
      <c r="D331" s="164"/>
      <c r="E331" s="164"/>
      <c r="F331" s="165"/>
      <c r="G331" s="43"/>
      <c r="H331" s="43"/>
      <c r="I331" s="114"/>
      <c r="J331" s="114"/>
      <c r="K331" s="114"/>
      <c r="L331" s="114"/>
      <c r="M331" s="114"/>
    </row>
    <row r="332" spans="1:14" s="115" customFormat="1" ht="15.75" x14ac:dyDescent="0.25">
      <c r="A332" s="155">
        <v>1</v>
      </c>
      <c r="B332" s="110" t="s">
        <v>339</v>
      </c>
      <c r="C332" s="111">
        <f>32.85*(10.764)</f>
        <v>353.59739999999999</v>
      </c>
      <c r="D332" s="112">
        <f>C332*1.2</f>
        <v>424.31687999999997</v>
      </c>
      <c r="E332" s="110">
        <f t="shared" ref="E332:E337" si="57">C332*(($E$247)+1)</f>
        <v>530.39609999999993</v>
      </c>
      <c r="F332" s="156" t="s">
        <v>360</v>
      </c>
      <c r="G332" s="169"/>
      <c r="H332" s="169"/>
      <c r="I332" s="60"/>
      <c r="J332" s="61"/>
      <c r="K332" s="62"/>
      <c r="L332" s="309"/>
      <c r="M332" s="309"/>
      <c r="N332" s="40"/>
    </row>
    <row r="333" spans="1:14" x14ac:dyDescent="0.25">
      <c r="A333" s="155">
        <f>A332+1</f>
        <v>2</v>
      </c>
      <c r="B333" s="110" t="s">
        <v>339</v>
      </c>
      <c r="C333" s="111">
        <f>32.81*(10.764)</f>
        <v>353.16683999999998</v>
      </c>
      <c r="D333" s="112">
        <f t="shared" ref="D333:D337" si="58">C333*1.2</f>
        <v>423.80020799999994</v>
      </c>
      <c r="E333" s="110">
        <f t="shared" si="57"/>
        <v>529.75026000000003</v>
      </c>
      <c r="F333" s="156" t="s">
        <v>366</v>
      </c>
      <c r="I333" s="62"/>
      <c r="J333" s="62"/>
      <c r="K333" s="62"/>
      <c r="L333" s="62"/>
      <c r="M333" s="62"/>
    </row>
    <row r="334" spans="1:14" x14ac:dyDescent="0.25">
      <c r="A334" s="155">
        <f t="shared" ref="A334:A337" si="59">A333+1</f>
        <v>3</v>
      </c>
      <c r="B334" s="110" t="s">
        <v>339</v>
      </c>
      <c r="C334" s="111">
        <f>32.98*(10.764)</f>
        <v>354.99671999999993</v>
      </c>
      <c r="D334" s="112">
        <f t="shared" si="58"/>
        <v>425.99606399999988</v>
      </c>
      <c r="E334" s="110">
        <f t="shared" si="57"/>
        <v>532.49507999999992</v>
      </c>
      <c r="F334" s="156" t="s">
        <v>366</v>
      </c>
      <c r="I334" s="62"/>
      <c r="J334" s="62"/>
      <c r="K334" s="62"/>
      <c r="L334" s="62"/>
      <c r="M334" s="62"/>
    </row>
    <row r="335" spans="1:14" ht="15.75" x14ac:dyDescent="0.25">
      <c r="A335" s="155">
        <f t="shared" si="59"/>
        <v>4</v>
      </c>
      <c r="B335" s="110" t="s">
        <v>339</v>
      </c>
      <c r="C335" s="111">
        <f>32.98*(10.764)</f>
        <v>354.99671999999993</v>
      </c>
      <c r="D335" s="112">
        <f t="shared" si="58"/>
        <v>425.99606399999988</v>
      </c>
      <c r="E335" s="110">
        <f t="shared" si="57"/>
        <v>532.49507999999992</v>
      </c>
      <c r="F335" s="156" t="s">
        <v>366</v>
      </c>
      <c r="I335" s="62"/>
      <c r="J335" s="62"/>
      <c r="K335" s="60"/>
      <c r="L335" s="62"/>
      <c r="M335" s="62"/>
    </row>
    <row r="336" spans="1:14" ht="15.75" x14ac:dyDescent="0.25">
      <c r="A336" s="155">
        <f t="shared" si="59"/>
        <v>5</v>
      </c>
      <c r="B336" s="110" t="s">
        <v>339</v>
      </c>
      <c r="C336" s="111">
        <f>36.75*(10.764)</f>
        <v>395.577</v>
      </c>
      <c r="D336" s="112">
        <f t="shared" si="58"/>
        <v>474.69239999999996</v>
      </c>
      <c r="E336" s="110">
        <f t="shared" si="57"/>
        <v>593.3655</v>
      </c>
      <c r="F336" s="156" t="s">
        <v>360</v>
      </c>
      <c r="I336" s="62"/>
      <c r="J336" s="62"/>
      <c r="K336" s="114"/>
      <c r="L336" s="62"/>
      <c r="M336" s="62"/>
    </row>
    <row r="337" spans="1:14" x14ac:dyDescent="0.25">
      <c r="A337" s="155">
        <f t="shared" si="59"/>
        <v>6</v>
      </c>
      <c r="B337" s="110" t="s">
        <v>339</v>
      </c>
      <c r="C337" s="111">
        <f>32.85*(10.764)</f>
        <v>353.59739999999999</v>
      </c>
      <c r="D337" s="112">
        <f t="shared" si="58"/>
        <v>424.31687999999997</v>
      </c>
      <c r="E337" s="110">
        <f t="shared" si="57"/>
        <v>530.39609999999993</v>
      </c>
      <c r="F337" s="156" t="s">
        <v>366</v>
      </c>
      <c r="I337" s="62"/>
      <c r="J337" s="62"/>
      <c r="K337" s="62"/>
      <c r="L337" s="62"/>
      <c r="M337" s="62"/>
    </row>
    <row r="338" spans="1:14" s="115" customFormat="1" ht="15.75" customHeight="1" x14ac:dyDescent="0.25">
      <c r="A338" s="163" t="s">
        <v>343</v>
      </c>
      <c r="B338" s="164"/>
      <c r="C338" s="164"/>
      <c r="D338" s="164"/>
      <c r="E338" s="164"/>
      <c r="F338" s="165"/>
      <c r="G338" s="43"/>
      <c r="H338" s="43"/>
      <c r="I338" s="114"/>
      <c r="J338" s="114"/>
      <c r="K338" s="114"/>
      <c r="L338" s="114"/>
      <c r="M338" s="114"/>
    </row>
    <row r="339" spans="1:14" s="115" customFormat="1" ht="15.75" x14ac:dyDescent="0.25">
      <c r="A339" s="155">
        <v>1</v>
      </c>
      <c r="B339" s="110" t="s">
        <v>339</v>
      </c>
      <c r="C339" s="111">
        <f>32.85*(10.764)</f>
        <v>353.59739999999999</v>
      </c>
      <c r="D339" s="112">
        <f>C339*1.2</f>
        <v>424.31687999999997</v>
      </c>
      <c r="E339" s="110">
        <f t="shared" ref="E339:E342" si="60">C339*(($E$247)+1)</f>
        <v>530.39609999999993</v>
      </c>
      <c r="F339" s="156" t="s">
        <v>366</v>
      </c>
      <c r="G339" s="169"/>
      <c r="H339" s="169"/>
      <c r="I339" s="60"/>
      <c r="J339" s="61"/>
      <c r="K339" s="62"/>
      <c r="L339" s="309"/>
      <c r="M339" s="309"/>
      <c r="N339" s="40"/>
    </row>
    <row r="340" spans="1:14" x14ac:dyDescent="0.25">
      <c r="A340" s="155">
        <f>A339+1</f>
        <v>2</v>
      </c>
      <c r="B340" s="110" t="s">
        <v>339</v>
      </c>
      <c r="C340" s="111">
        <f>32.81*(10.764)</f>
        <v>353.16683999999998</v>
      </c>
      <c r="D340" s="112">
        <f t="shared" ref="D340:D342" si="61">C340*1.2</f>
        <v>423.80020799999994</v>
      </c>
      <c r="E340" s="110">
        <f t="shared" si="60"/>
        <v>529.75026000000003</v>
      </c>
      <c r="F340" s="156" t="s">
        <v>360</v>
      </c>
      <c r="I340" s="62"/>
      <c r="J340" s="62"/>
      <c r="K340" s="62"/>
      <c r="L340" s="62"/>
      <c r="M340" s="62"/>
    </row>
    <row r="341" spans="1:14" x14ac:dyDescent="0.25">
      <c r="A341" s="155">
        <f t="shared" ref="A341:A344" si="62">A340+1</f>
        <v>3</v>
      </c>
      <c r="B341" s="110" t="s">
        <v>339</v>
      </c>
      <c r="C341" s="111">
        <f>32.98*(10.764)</f>
        <v>354.99671999999993</v>
      </c>
      <c r="D341" s="112">
        <f t="shared" si="61"/>
        <v>425.99606399999988</v>
      </c>
      <c r="E341" s="110">
        <f t="shared" si="60"/>
        <v>532.49507999999992</v>
      </c>
      <c r="F341" s="156" t="s">
        <v>366</v>
      </c>
      <c r="I341" s="62"/>
      <c r="J341" s="62"/>
      <c r="K341" s="62"/>
      <c r="L341" s="62"/>
      <c r="M341" s="62"/>
    </row>
    <row r="342" spans="1:14" ht="15.75" x14ac:dyDescent="0.25">
      <c r="A342" s="155">
        <f t="shared" si="62"/>
        <v>4</v>
      </c>
      <c r="B342" s="136" t="s">
        <v>373</v>
      </c>
      <c r="C342" s="137">
        <f>47.41*(10.764)</f>
        <v>510.32123999999993</v>
      </c>
      <c r="D342" s="112">
        <f t="shared" si="61"/>
        <v>612.3854879999999</v>
      </c>
      <c r="E342" s="110">
        <f t="shared" si="60"/>
        <v>765.48185999999987</v>
      </c>
      <c r="F342" s="156" t="s">
        <v>366</v>
      </c>
      <c r="I342" s="62"/>
      <c r="J342" s="62"/>
      <c r="K342" s="60"/>
      <c r="L342" s="62"/>
      <c r="M342" s="62"/>
    </row>
    <row r="343" spans="1:14" ht="15.75" x14ac:dyDescent="0.25">
      <c r="A343" s="155">
        <f t="shared" si="62"/>
        <v>5</v>
      </c>
      <c r="B343" s="319" t="s">
        <v>344</v>
      </c>
      <c r="C343" s="320"/>
      <c r="D343" s="320"/>
      <c r="E343" s="321"/>
      <c r="F343" s="156" t="s">
        <v>307</v>
      </c>
      <c r="I343" s="62"/>
      <c r="J343" s="62"/>
      <c r="K343" s="114"/>
      <c r="L343" s="62"/>
      <c r="M343" s="62"/>
    </row>
    <row r="344" spans="1:14" x14ac:dyDescent="0.25">
      <c r="A344" s="155">
        <f t="shared" si="62"/>
        <v>6</v>
      </c>
      <c r="B344" s="322"/>
      <c r="C344" s="323"/>
      <c r="D344" s="323"/>
      <c r="E344" s="324"/>
      <c r="F344" s="156" t="s">
        <v>307</v>
      </c>
      <c r="I344" s="62"/>
      <c r="J344" s="62"/>
      <c r="K344" s="62"/>
      <c r="L344" s="62"/>
      <c r="M344" s="62"/>
    </row>
    <row r="345" spans="1:14" s="119" customFormat="1" ht="15.75" customHeight="1" x14ac:dyDescent="0.25">
      <c r="A345" s="170" t="s">
        <v>352</v>
      </c>
      <c r="B345" s="171"/>
      <c r="C345" s="171"/>
      <c r="D345" s="171"/>
      <c r="E345" s="171"/>
      <c r="F345" s="172"/>
      <c r="G345" s="117"/>
      <c r="H345" s="117"/>
      <c r="I345" s="118"/>
      <c r="J345" s="118"/>
      <c r="K345" s="118"/>
      <c r="L345" s="118"/>
      <c r="M345" s="118"/>
    </row>
    <row r="346" spans="1:14" s="115" customFormat="1" ht="15.75" x14ac:dyDescent="0.25">
      <c r="A346" s="155">
        <v>1</v>
      </c>
      <c r="B346" s="110" t="s">
        <v>339</v>
      </c>
      <c r="C346" s="111">
        <f>32.85*(10.764)</f>
        <v>353.59739999999999</v>
      </c>
      <c r="D346" s="112">
        <f>C346*1.2</f>
        <v>424.31687999999997</v>
      </c>
      <c r="E346" s="110">
        <f t="shared" ref="E346:E351" si="63">C346*(($E$247)+1)</f>
        <v>530.39609999999993</v>
      </c>
      <c r="F346" s="156" t="s">
        <v>366</v>
      </c>
      <c r="G346" s="169"/>
      <c r="H346" s="169"/>
      <c r="I346" s="60"/>
      <c r="J346" s="61"/>
      <c r="K346" s="62"/>
      <c r="L346" s="309"/>
      <c r="M346" s="309"/>
      <c r="N346" s="40"/>
    </row>
    <row r="347" spans="1:14" x14ac:dyDescent="0.25">
      <c r="A347" s="155">
        <f>A346+1</f>
        <v>2</v>
      </c>
      <c r="B347" s="110" t="s">
        <v>339</v>
      </c>
      <c r="C347" s="111">
        <f>32.81*(10.764)</f>
        <v>353.16683999999998</v>
      </c>
      <c r="D347" s="112">
        <f t="shared" ref="D347:D351" si="64">C347*1.2</f>
        <v>423.80020799999994</v>
      </c>
      <c r="E347" s="110">
        <f t="shared" si="63"/>
        <v>529.75026000000003</v>
      </c>
      <c r="F347" s="156" t="s">
        <v>366</v>
      </c>
      <c r="I347" s="62"/>
      <c r="J347" s="62"/>
      <c r="K347" s="62"/>
      <c r="L347" s="62"/>
      <c r="M347" s="62"/>
    </row>
    <row r="348" spans="1:14" x14ac:dyDescent="0.25">
      <c r="A348" s="155">
        <f t="shared" ref="A348:A351" si="65">A347+1</f>
        <v>3</v>
      </c>
      <c r="B348" s="110" t="s">
        <v>339</v>
      </c>
      <c r="C348" s="111">
        <f>32.98*(10.764)</f>
        <v>354.99671999999993</v>
      </c>
      <c r="D348" s="112">
        <f t="shared" si="64"/>
        <v>425.99606399999988</v>
      </c>
      <c r="E348" s="110">
        <f t="shared" si="63"/>
        <v>532.49507999999992</v>
      </c>
      <c r="F348" s="156" t="s">
        <v>366</v>
      </c>
      <c r="I348" s="62"/>
      <c r="J348" s="62"/>
      <c r="K348" s="62"/>
      <c r="L348" s="62"/>
      <c r="M348" s="62"/>
    </row>
    <row r="349" spans="1:14" ht="15.75" x14ac:dyDescent="0.25">
      <c r="A349" s="155">
        <f t="shared" si="65"/>
        <v>4</v>
      </c>
      <c r="B349" s="110" t="s">
        <v>339</v>
      </c>
      <c r="C349" s="111">
        <f>32.98*(10.764)</f>
        <v>354.99671999999993</v>
      </c>
      <c r="D349" s="112">
        <f t="shared" si="64"/>
        <v>425.99606399999988</v>
      </c>
      <c r="E349" s="110">
        <f t="shared" si="63"/>
        <v>532.49507999999992</v>
      </c>
      <c r="F349" s="156" t="s">
        <v>366</v>
      </c>
      <c r="I349" s="62"/>
      <c r="J349" s="62"/>
      <c r="K349" s="60"/>
      <c r="L349" s="62"/>
      <c r="M349" s="62"/>
    </row>
    <row r="350" spans="1:14" ht="15.75" x14ac:dyDescent="0.25">
      <c r="A350" s="155">
        <f t="shared" si="65"/>
        <v>5</v>
      </c>
      <c r="B350" s="110" t="s">
        <v>339</v>
      </c>
      <c r="C350" s="111">
        <f>36.75*(10.764)</f>
        <v>395.577</v>
      </c>
      <c r="D350" s="112">
        <f t="shared" si="64"/>
        <v>474.69239999999996</v>
      </c>
      <c r="E350" s="110">
        <f t="shared" si="63"/>
        <v>593.3655</v>
      </c>
      <c r="F350" s="156" t="s">
        <v>360</v>
      </c>
      <c r="I350" s="62"/>
      <c r="J350" s="62"/>
      <c r="K350" s="114"/>
      <c r="L350" s="62"/>
      <c r="M350" s="62"/>
    </row>
    <row r="351" spans="1:14" x14ac:dyDescent="0.25">
      <c r="A351" s="155">
        <f t="shared" si="65"/>
        <v>6</v>
      </c>
      <c r="B351" s="110" t="s">
        <v>339</v>
      </c>
      <c r="C351" s="111">
        <f>32.85*(10.764)</f>
        <v>353.59739999999999</v>
      </c>
      <c r="D351" s="112">
        <f t="shared" si="64"/>
        <v>424.31687999999997</v>
      </c>
      <c r="E351" s="110">
        <f t="shared" si="63"/>
        <v>530.39609999999993</v>
      </c>
      <c r="F351" s="156" t="s">
        <v>366</v>
      </c>
      <c r="I351" s="62"/>
      <c r="J351" s="62"/>
      <c r="K351" s="62"/>
      <c r="L351" s="62"/>
      <c r="M351" s="62"/>
    </row>
    <row r="352" spans="1:14" s="115" customFormat="1" ht="15.75" customHeight="1" x14ac:dyDescent="0.25">
      <c r="A352" s="163" t="s">
        <v>342</v>
      </c>
      <c r="B352" s="164"/>
      <c r="C352" s="164"/>
      <c r="D352" s="164"/>
      <c r="E352" s="164"/>
      <c r="F352" s="165"/>
      <c r="G352" s="43"/>
      <c r="H352" s="43"/>
      <c r="I352" s="114"/>
      <c r="J352" s="114"/>
      <c r="K352" s="114"/>
      <c r="L352" s="114"/>
      <c r="M352" s="114"/>
    </row>
    <row r="353" spans="1:14" s="115" customFormat="1" ht="15.75" x14ac:dyDescent="0.25">
      <c r="A353" s="155">
        <v>1</v>
      </c>
      <c r="B353" s="110" t="s">
        <v>339</v>
      </c>
      <c r="C353" s="111">
        <f>32.85*(10.764)</f>
        <v>353.59739999999999</v>
      </c>
      <c r="D353" s="112">
        <f>C353*1.2</f>
        <v>424.31687999999997</v>
      </c>
      <c r="E353" s="110">
        <f t="shared" ref="E353:E358" si="66">C353*(($E$247)+1)</f>
        <v>530.39609999999993</v>
      </c>
      <c r="F353" s="156" t="s">
        <v>366</v>
      </c>
      <c r="G353" s="169"/>
      <c r="H353" s="169"/>
      <c r="I353" s="60"/>
      <c r="J353" s="61"/>
      <c r="K353" s="62"/>
      <c r="L353" s="309"/>
      <c r="M353" s="309"/>
      <c r="N353" s="40"/>
    </row>
    <row r="354" spans="1:14" x14ac:dyDescent="0.25">
      <c r="A354" s="155">
        <f>A353+1</f>
        <v>2</v>
      </c>
      <c r="B354" s="110" t="s">
        <v>339</v>
      </c>
      <c r="C354" s="111">
        <f>32.81*(10.764)</f>
        <v>353.16683999999998</v>
      </c>
      <c r="D354" s="112">
        <f t="shared" ref="D354:D358" si="67">C354*1.2</f>
        <v>423.80020799999994</v>
      </c>
      <c r="E354" s="110">
        <f t="shared" si="66"/>
        <v>529.75026000000003</v>
      </c>
      <c r="F354" s="156" t="s">
        <v>366</v>
      </c>
      <c r="I354" s="62"/>
      <c r="J354" s="62"/>
      <c r="K354" s="62"/>
      <c r="L354" s="62"/>
      <c r="M354" s="62"/>
    </row>
    <row r="355" spans="1:14" x14ac:dyDescent="0.25">
      <c r="A355" s="155">
        <f t="shared" ref="A355:A358" si="68">A354+1</f>
        <v>3</v>
      </c>
      <c r="B355" s="110" t="s">
        <v>339</v>
      </c>
      <c r="C355" s="111">
        <f>32.98*(10.764)</f>
        <v>354.99671999999993</v>
      </c>
      <c r="D355" s="112">
        <f t="shared" si="67"/>
        <v>425.99606399999988</v>
      </c>
      <c r="E355" s="110">
        <f t="shared" si="66"/>
        <v>532.49507999999992</v>
      </c>
      <c r="F355" s="156" t="s">
        <v>366</v>
      </c>
      <c r="I355" s="62"/>
      <c r="J355" s="62"/>
      <c r="K355" s="62"/>
      <c r="L355" s="62"/>
      <c r="M355" s="62"/>
    </row>
    <row r="356" spans="1:14" ht="15.75" x14ac:dyDescent="0.25">
      <c r="A356" s="155">
        <f t="shared" si="68"/>
        <v>4</v>
      </c>
      <c r="B356" s="110" t="s">
        <v>339</v>
      </c>
      <c r="C356" s="111">
        <f>32.98*(10.764)</f>
        <v>354.99671999999993</v>
      </c>
      <c r="D356" s="112">
        <f t="shared" si="67"/>
        <v>425.99606399999988</v>
      </c>
      <c r="E356" s="110">
        <f t="shared" si="66"/>
        <v>532.49507999999992</v>
      </c>
      <c r="F356" s="156" t="s">
        <v>366</v>
      </c>
      <c r="I356" s="62"/>
      <c r="J356" s="62"/>
      <c r="K356" s="60"/>
      <c r="L356" s="62"/>
      <c r="M356" s="62"/>
    </row>
    <row r="357" spans="1:14" ht="15.75" x14ac:dyDescent="0.25">
      <c r="A357" s="155">
        <f t="shared" si="68"/>
        <v>5</v>
      </c>
      <c r="B357" s="110" t="s">
        <v>339</v>
      </c>
      <c r="C357" s="111">
        <f>36.75*(10.764)</f>
        <v>395.577</v>
      </c>
      <c r="D357" s="112">
        <f t="shared" si="67"/>
        <v>474.69239999999996</v>
      </c>
      <c r="E357" s="110">
        <f t="shared" si="66"/>
        <v>593.3655</v>
      </c>
      <c r="F357" s="156" t="s">
        <v>360</v>
      </c>
      <c r="I357" s="62"/>
      <c r="J357" s="62"/>
      <c r="K357" s="114"/>
      <c r="L357" s="62"/>
      <c r="M357" s="62"/>
    </row>
    <row r="358" spans="1:14" x14ac:dyDescent="0.25">
      <c r="A358" s="155">
        <f t="shared" si="68"/>
        <v>6</v>
      </c>
      <c r="B358" s="110" t="s">
        <v>339</v>
      </c>
      <c r="C358" s="111">
        <f>32.85*(10.764)</f>
        <v>353.59739999999999</v>
      </c>
      <c r="D358" s="112">
        <f t="shared" si="67"/>
        <v>424.31687999999997</v>
      </c>
      <c r="E358" s="110">
        <f t="shared" si="66"/>
        <v>530.39609999999993</v>
      </c>
      <c r="F358" s="156" t="s">
        <v>366</v>
      </c>
      <c r="I358" s="62"/>
      <c r="J358" s="62"/>
      <c r="K358" s="62"/>
      <c r="L358" s="62"/>
      <c r="M358" s="62"/>
    </row>
    <row r="359" spans="1:14" s="115" customFormat="1" ht="15.75" customHeight="1" x14ac:dyDescent="0.25">
      <c r="A359" s="163" t="s">
        <v>353</v>
      </c>
      <c r="B359" s="164"/>
      <c r="C359" s="164"/>
      <c r="D359" s="164"/>
      <c r="E359" s="164"/>
      <c r="F359" s="165"/>
      <c r="G359" s="43"/>
      <c r="H359" s="43"/>
      <c r="I359" s="114"/>
      <c r="J359" s="114"/>
      <c r="K359" s="114"/>
      <c r="L359" s="114"/>
      <c r="M359" s="114"/>
    </row>
    <row r="360" spans="1:14" s="115" customFormat="1" ht="15.75" x14ac:dyDescent="0.25">
      <c r="A360" s="155">
        <v>1</v>
      </c>
      <c r="B360" s="110" t="s">
        <v>339</v>
      </c>
      <c r="C360" s="111">
        <f>32.85*(10.764)</f>
        <v>353.59739999999999</v>
      </c>
      <c r="D360" s="112">
        <f>C360*1.2</f>
        <v>424.31687999999997</v>
      </c>
      <c r="E360" s="110">
        <f t="shared" ref="E360:E365" si="69">C360*(($E$247)+1)</f>
        <v>530.39609999999993</v>
      </c>
      <c r="F360" s="156" t="s">
        <v>366</v>
      </c>
      <c r="G360" s="169"/>
      <c r="H360" s="169"/>
      <c r="I360" s="60"/>
      <c r="J360" s="61"/>
      <c r="K360" s="62"/>
      <c r="L360" s="309"/>
      <c r="M360" s="309"/>
      <c r="N360" s="40"/>
    </row>
    <row r="361" spans="1:14" x14ac:dyDescent="0.25">
      <c r="A361" s="155">
        <f>A360+1</f>
        <v>2</v>
      </c>
      <c r="B361" s="110" t="s">
        <v>339</v>
      </c>
      <c r="C361" s="111">
        <f>32.81*(10.764)</f>
        <v>353.16683999999998</v>
      </c>
      <c r="D361" s="112">
        <f t="shared" ref="D361:D365" si="70">C361*1.2</f>
        <v>423.80020799999994</v>
      </c>
      <c r="E361" s="110">
        <f t="shared" si="69"/>
        <v>529.75026000000003</v>
      </c>
      <c r="F361" s="156" t="s">
        <v>366</v>
      </c>
      <c r="I361" s="62"/>
      <c r="J361" s="62"/>
      <c r="K361" s="62"/>
      <c r="L361" s="62"/>
      <c r="M361" s="62"/>
    </row>
    <row r="362" spans="1:14" x14ac:dyDescent="0.25">
      <c r="A362" s="155">
        <f t="shared" ref="A362:A365" si="71">A361+1</f>
        <v>3</v>
      </c>
      <c r="B362" s="110" t="s">
        <v>339</v>
      </c>
      <c r="C362" s="111">
        <f>32.98*(10.764)</f>
        <v>354.99671999999993</v>
      </c>
      <c r="D362" s="112">
        <f t="shared" si="70"/>
        <v>425.99606399999988</v>
      </c>
      <c r="E362" s="110">
        <f t="shared" si="69"/>
        <v>532.49507999999992</v>
      </c>
      <c r="F362" s="156" t="s">
        <v>366</v>
      </c>
      <c r="I362" s="62"/>
      <c r="J362" s="62"/>
      <c r="K362" s="62"/>
      <c r="L362" s="62"/>
      <c r="M362" s="62"/>
    </row>
    <row r="363" spans="1:14" ht="15.75" x14ac:dyDescent="0.25">
      <c r="A363" s="155">
        <f t="shared" si="71"/>
        <v>4</v>
      </c>
      <c r="B363" s="110" t="s">
        <v>339</v>
      </c>
      <c r="C363" s="111">
        <f>32.98*(10.764)</f>
        <v>354.99671999999993</v>
      </c>
      <c r="D363" s="112">
        <f t="shared" si="70"/>
        <v>425.99606399999988</v>
      </c>
      <c r="E363" s="110">
        <f t="shared" si="69"/>
        <v>532.49507999999992</v>
      </c>
      <c r="F363" s="156" t="s">
        <v>366</v>
      </c>
      <c r="I363" s="62"/>
      <c r="J363" s="62"/>
      <c r="K363" s="60"/>
      <c r="L363" s="62"/>
      <c r="M363" s="62"/>
    </row>
    <row r="364" spans="1:14" ht="15.75" x14ac:dyDescent="0.25">
      <c r="A364" s="155">
        <f t="shared" si="71"/>
        <v>5</v>
      </c>
      <c r="B364" s="110" t="s">
        <v>339</v>
      </c>
      <c r="C364" s="111">
        <f>36.75*(10.764)</f>
        <v>395.577</v>
      </c>
      <c r="D364" s="112">
        <f t="shared" si="70"/>
        <v>474.69239999999996</v>
      </c>
      <c r="E364" s="110">
        <f t="shared" si="69"/>
        <v>593.3655</v>
      </c>
      <c r="F364" s="156" t="s">
        <v>360</v>
      </c>
      <c r="I364" s="62"/>
      <c r="J364" s="62"/>
      <c r="K364" s="114"/>
      <c r="L364" s="62"/>
      <c r="M364" s="62"/>
    </row>
    <row r="365" spans="1:14" x14ac:dyDescent="0.25">
      <c r="A365" s="155">
        <f t="shared" si="71"/>
        <v>6</v>
      </c>
      <c r="B365" s="110" t="s">
        <v>339</v>
      </c>
      <c r="C365" s="111">
        <f>32.85*(10.764)</f>
        <v>353.59739999999999</v>
      </c>
      <c r="D365" s="112">
        <f t="shared" si="70"/>
        <v>424.31687999999997</v>
      </c>
      <c r="E365" s="110">
        <f t="shared" si="69"/>
        <v>530.39609999999993</v>
      </c>
      <c r="F365" s="156" t="s">
        <v>366</v>
      </c>
      <c r="I365" s="62"/>
      <c r="J365" s="62"/>
      <c r="K365" s="62"/>
      <c r="L365" s="62"/>
      <c r="M365" s="62"/>
    </row>
    <row r="366" spans="1:14" s="115" customFormat="1" ht="15.75" customHeight="1" x14ac:dyDescent="0.25">
      <c r="A366" s="163" t="s">
        <v>354</v>
      </c>
      <c r="B366" s="164"/>
      <c r="C366" s="164"/>
      <c r="D366" s="164"/>
      <c r="E366" s="164"/>
      <c r="F366" s="165"/>
      <c r="G366" s="43"/>
      <c r="H366" s="43"/>
      <c r="I366" s="114"/>
      <c r="J366" s="114"/>
      <c r="K366" s="114"/>
      <c r="L366" s="114"/>
      <c r="M366" s="114"/>
    </row>
    <row r="367" spans="1:14" s="115" customFormat="1" ht="15.75" x14ac:dyDescent="0.25">
      <c r="A367" s="155">
        <v>1</v>
      </c>
      <c r="B367" s="110" t="s">
        <v>339</v>
      </c>
      <c r="C367" s="111">
        <f>32.85*(10.764)</f>
        <v>353.59739999999999</v>
      </c>
      <c r="D367" s="112">
        <f>C367*1.2</f>
        <v>424.31687999999997</v>
      </c>
      <c r="E367" s="110">
        <f t="shared" ref="E367:E372" si="72">C367*(($E$247)+1)</f>
        <v>530.39609999999993</v>
      </c>
      <c r="F367" s="156" t="s">
        <v>360</v>
      </c>
      <c r="G367" s="169"/>
      <c r="H367" s="169"/>
      <c r="I367" s="60"/>
      <c r="J367" s="61"/>
      <c r="K367" s="62"/>
      <c r="L367" s="309"/>
      <c r="M367" s="309"/>
      <c r="N367" s="40"/>
    </row>
    <row r="368" spans="1:14" x14ac:dyDescent="0.25">
      <c r="A368" s="155">
        <f>A367+1</f>
        <v>2</v>
      </c>
      <c r="B368" s="110" t="s">
        <v>339</v>
      </c>
      <c r="C368" s="111">
        <f>32.81*(10.764)</f>
        <v>353.16683999999998</v>
      </c>
      <c r="D368" s="112">
        <f t="shared" ref="D368:D372" si="73">C368*1.2</f>
        <v>423.80020799999994</v>
      </c>
      <c r="E368" s="110">
        <f t="shared" si="72"/>
        <v>529.75026000000003</v>
      </c>
      <c r="F368" s="156" t="s">
        <v>366</v>
      </c>
      <c r="I368" s="62"/>
      <c r="J368" s="62"/>
      <c r="K368" s="62"/>
      <c r="L368" s="62"/>
      <c r="M368" s="62"/>
    </row>
    <row r="369" spans="1:14" x14ac:dyDescent="0.25">
      <c r="A369" s="155">
        <f t="shared" ref="A369:A372" si="74">A368+1</f>
        <v>3</v>
      </c>
      <c r="B369" s="110" t="s">
        <v>339</v>
      </c>
      <c r="C369" s="111">
        <f>32.98*(10.764)</f>
        <v>354.99671999999993</v>
      </c>
      <c r="D369" s="112">
        <f t="shared" si="73"/>
        <v>425.99606399999988</v>
      </c>
      <c r="E369" s="110">
        <f t="shared" si="72"/>
        <v>532.49507999999992</v>
      </c>
      <c r="F369" s="156" t="s">
        <v>366</v>
      </c>
      <c r="I369" s="62"/>
      <c r="J369" s="62"/>
      <c r="K369" s="62"/>
      <c r="L369" s="62"/>
      <c r="M369" s="62"/>
    </row>
    <row r="370" spans="1:14" ht="15.75" x14ac:dyDescent="0.25">
      <c r="A370" s="155">
        <f t="shared" si="74"/>
        <v>4</v>
      </c>
      <c r="B370" s="110" t="s">
        <v>339</v>
      </c>
      <c r="C370" s="111">
        <f>32.98*(10.764)</f>
        <v>354.99671999999993</v>
      </c>
      <c r="D370" s="112">
        <f t="shared" si="73"/>
        <v>425.99606399999988</v>
      </c>
      <c r="E370" s="110">
        <f t="shared" si="72"/>
        <v>532.49507999999992</v>
      </c>
      <c r="F370" s="156" t="s">
        <v>366</v>
      </c>
      <c r="I370" s="62"/>
      <c r="J370" s="62"/>
      <c r="K370" s="60"/>
      <c r="L370" s="62"/>
      <c r="M370" s="62"/>
    </row>
    <row r="371" spans="1:14" ht="15.75" x14ac:dyDescent="0.25">
      <c r="A371" s="155">
        <f t="shared" si="74"/>
        <v>5</v>
      </c>
      <c r="B371" s="110" t="s">
        <v>339</v>
      </c>
      <c r="C371" s="111">
        <f>36.75*(10.764)</f>
        <v>395.577</v>
      </c>
      <c r="D371" s="112">
        <f t="shared" si="73"/>
        <v>474.69239999999996</v>
      </c>
      <c r="E371" s="110">
        <f t="shared" si="72"/>
        <v>593.3655</v>
      </c>
      <c r="F371" s="156" t="s">
        <v>360</v>
      </c>
      <c r="I371" s="62"/>
      <c r="J371" s="62"/>
      <c r="K371" s="114"/>
      <c r="L371" s="62"/>
      <c r="M371" s="62"/>
    </row>
    <row r="372" spans="1:14" x14ac:dyDescent="0.25">
      <c r="A372" s="155">
        <f t="shared" si="74"/>
        <v>6</v>
      </c>
      <c r="B372" s="110" t="s">
        <v>339</v>
      </c>
      <c r="C372" s="111">
        <f>32.85*(10.764)</f>
        <v>353.59739999999999</v>
      </c>
      <c r="D372" s="112">
        <f t="shared" si="73"/>
        <v>424.31687999999997</v>
      </c>
      <c r="E372" s="110">
        <f t="shared" si="72"/>
        <v>530.39609999999993</v>
      </c>
      <c r="F372" s="156" t="s">
        <v>366</v>
      </c>
      <c r="I372" s="62"/>
      <c r="J372" s="62"/>
      <c r="K372" s="62"/>
      <c r="L372" s="62"/>
      <c r="M372" s="62"/>
    </row>
    <row r="373" spans="1:14" s="115" customFormat="1" ht="15.75" customHeight="1" x14ac:dyDescent="0.25">
      <c r="A373" s="163" t="s">
        <v>355</v>
      </c>
      <c r="B373" s="164"/>
      <c r="C373" s="164"/>
      <c r="D373" s="164"/>
      <c r="E373" s="164"/>
      <c r="F373" s="165"/>
      <c r="G373" s="43"/>
      <c r="H373" s="43"/>
      <c r="I373" s="114"/>
      <c r="J373" s="114"/>
      <c r="K373" s="114"/>
      <c r="L373" s="114"/>
      <c r="M373" s="114"/>
    </row>
    <row r="374" spans="1:14" s="115" customFormat="1" ht="15.75" x14ac:dyDescent="0.25">
      <c r="A374" s="155">
        <v>1</v>
      </c>
      <c r="B374" s="110" t="s">
        <v>339</v>
      </c>
      <c r="C374" s="111">
        <f>32.85*(10.764)</f>
        <v>353.59739999999999</v>
      </c>
      <c r="D374" s="112">
        <f>C374*1.2</f>
        <v>424.31687999999997</v>
      </c>
      <c r="E374" s="110">
        <f t="shared" ref="E374:E379" si="75">C374*(($E$247)+1)</f>
        <v>530.39609999999993</v>
      </c>
      <c r="F374" s="156" t="s">
        <v>360</v>
      </c>
      <c r="G374" s="169"/>
      <c r="H374" s="169"/>
      <c r="I374" s="60"/>
      <c r="J374" s="61"/>
      <c r="K374" s="62"/>
      <c r="L374" s="309"/>
      <c r="M374" s="309"/>
      <c r="N374" s="40"/>
    </row>
    <row r="375" spans="1:14" x14ac:dyDescent="0.25">
      <c r="A375" s="155">
        <f>A374+1</f>
        <v>2</v>
      </c>
      <c r="B375" s="110" t="s">
        <v>339</v>
      </c>
      <c r="C375" s="111">
        <f>32.81*(10.764)</f>
        <v>353.16683999999998</v>
      </c>
      <c r="D375" s="112">
        <f t="shared" ref="D375:D379" si="76">C375*1.2</f>
        <v>423.80020799999994</v>
      </c>
      <c r="E375" s="110">
        <f t="shared" si="75"/>
        <v>529.75026000000003</v>
      </c>
      <c r="F375" s="156" t="s">
        <v>366</v>
      </c>
      <c r="I375" s="62"/>
      <c r="J375" s="62"/>
      <c r="K375" s="62"/>
      <c r="L375" s="62"/>
      <c r="M375" s="62"/>
    </row>
    <row r="376" spans="1:14" x14ac:dyDescent="0.25">
      <c r="A376" s="155">
        <f t="shared" ref="A376:A379" si="77">A375+1</f>
        <v>3</v>
      </c>
      <c r="B376" s="110" t="s">
        <v>339</v>
      </c>
      <c r="C376" s="111">
        <f>32.98*(10.764)</f>
        <v>354.99671999999993</v>
      </c>
      <c r="D376" s="112">
        <f t="shared" si="76"/>
        <v>425.99606399999988</v>
      </c>
      <c r="E376" s="110">
        <f t="shared" si="75"/>
        <v>532.49507999999992</v>
      </c>
      <c r="F376" s="156" t="s">
        <v>366</v>
      </c>
      <c r="I376" s="62"/>
      <c r="J376" s="62"/>
      <c r="K376" s="62"/>
      <c r="L376" s="62"/>
      <c r="M376" s="62"/>
    </row>
    <row r="377" spans="1:14" ht="15.75" x14ac:dyDescent="0.25">
      <c r="A377" s="155">
        <f t="shared" si="77"/>
        <v>4</v>
      </c>
      <c r="B377" s="110" t="s">
        <v>339</v>
      </c>
      <c r="C377" s="111">
        <f>32.98*(10.764)</f>
        <v>354.99671999999993</v>
      </c>
      <c r="D377" s="112">
        <f t="shared" si="76"/>
        <v>425.99606399999988</v>
      </c>
      <c r="E377" s="110">
        <f t="shared" si="75"/>
        <v>532.49507999999992</v>
      </c>
      <c r="F377" s="156" t="s">
        <v>366</v>
      </c>
      <c r="I377" s="62"/>
      <c r="J377" s="62"/>
      <c r="K377" s="60"/>
      <c r="L377" s="62"/>
      <c r="M377" s="62"/>
    </row>
    <row r="378" spans="1:14" ht="15.75" x14ac:dyDescent="0.25">
      <c r="A378" s="155">
        <f t="shared" si="77"/>
        <v>5</v>
      </c>
      <c r="B378" s="110" t="s">
        <v>339</v>
      </c>
      <c r="C378" s="111">
        <f>36.75*(10.764)</f>
        <v>395.577</v>
      </c>
      <c r="D378" s="112">
        <f t="shared" si="76"/>
        <v>474.69239999999996</v>
      </c>
      <c r="E378" s="110">
        <f t="shared" si="75"/>
        <v>593.3655</v>
      </c>
      <c r="F378" s="156" t="s">
        <v>360</v>
      </c>
      <c r="I378" s="62"/>
      <c r="J378" s="62"/>
      <c r="K378" s="114"/>
      <c r="L378" s="62"/>
      <c r="M378" s="62"/>
    </row>
    <row r="379" spans="1:14" x14ac:dyDescent="0.25">
      <c r="A379" s="155">
        <f t="shared" si="77"/>
        <v>6</v>
      </c>
      <c r="B379" s="110" t="s">
        <v>339</v>
      </c>
      <c r="C379" s="111">
        <f>32.85*(10.764)</f>
        <v>353.59739999999999</v>
      </c>
      <c r="D379" s="112">
        <f t="shared" si="76"/>
        <v>424.31687999999997</v>
      </c>
      <c r="E379" s="110">
        <f t="shared" si="75"/>
        <v>530.39609999999993</v>
      </c>
      <c r="F379" s="156" t="s">
        <v>360</v>
      </c>
      <c r="I379" s="62"/>
      <c r="J379" s="62"/>
      <c r="K379" s="62"/>
      <c r="L379" s="62"/>
      <c r="M379" s="62"/>
    </row>
    <row r="380" spans="1:14" s="115" customFormat="1" ht="15.75" customHeight="1" x14ac:dyDescent="0.25">
      <c r="A380" s="163" t="s">
        <v>356</v>
      </c>
      <c r="B380" s="164"/>
      <c r="C380" s="164"/>
      <c r="D380" s="164"/>
      <c r="E380" s="164"/>
      <c r="F380" s="165"/>
      <c r="G380" s="43"/>
      <c r="H380" s="43"/>
      <c r="I380" s="114"/>
      <c r="J380" s="114"/>
      <c r="K380" s="114"/>
      <c r="L380" s="114"/>
      <c r="M380" s="114"/>
    </row>
    <row r="381" spans="1:14" s="115" customFormat="1" ht="15.75" x14ac:dyDescent="0.25">
      <c r="A381" s="155">
        <v>1</v>
      </c>
      <c r="B381" s="110" t="s">
        <v>339</v>
      </c>
      <c r="C381" s="111">
        <f>32.85*(10.764)</f>
        <v>353.59739999999999</v>
      </c>
      <c r="D381" s="112">
        <f>C381*1.2</f>
        <v>424.31687999999997</v>
      </c>
      <c r="E381" s="110">
        <f t="shared" ref="E381:E386" si="78">C381*(($E$247)+1)</f>
        <v>530.39609999999993</v>
      </c>
      <c r="F381" s="156" t="s">
        <v>366</v>
      </c>
      <c r="G381" s="169"/>
      <c r="H381" s="169"/>
      <c r="I381" s="60"/>
      <c r="J381" s="61"/>
      <c r="K381" s="62"/>
      <c r="L381" s="309"/>
      <c r="M381" s="309"/>
      <c r="N381" s="40"/>
    </row>
    <row r="382" spans="1:14" x14ac:dyDescent="0.25">
      <c r="A382" s="155">
        <f>A381+1</f>
        <v>2</v>
      </c>
      <c r="B382" s="110" t="s">
        <v>339</v>
      </c>
      <c r="C382" s="111">
        <f>32.81*(10.764)</f>
        <v>353.16683999999998</v>
      </c>
      <c r="D382" s="112">
        <f t="shared" ref="D382:D386" si="79">C382*1.2</f>
        <v>423.80020799999994</v>
      </c>
      <c r="E382" s="110">
        <f t="shared" si="78"/>
        <v>529.75026000000003</v>
      </c>
      <c r="F382" s="156" t="s">
        <v>366</v>
      </c>
      <c r="I382" s="62"/>
      <c r="J382" s="62"/>
      <c r="K382" s="62"/>
      <c r="L382" s="62"/>
      <c r="M382" s="62"/>
    </row>
    <row r="383" spans="1:14" x14ac:dyDescent="0.25">
      <c r="A383" s="155">
        <f t="shared" ref="A383:A386" si="80">A382+1</f>
        <v>3</v>
      </c>
      <c r="B383" s="110" t="s">
        <v>339</v>
      </c>
      <c r="C383" s="111">
        <f>32.98*(10.764)</f>
        <v>354.99671999999993</v>
      </c>
      <c r="D383" s="112">
        <f t="shared" si="79"/>
        <v>425.99606399999988</v>
      </c>
      <c r="E383" s="110">
        <f t="shared" si="78"/>
        <v>532.49507999999992</v>
      </c>
      <c r="F383" s="156" t="s">
        <v>366</v>
      </c>
      <c r="I383" s="62"/>
      <c r="J383" s="62"/>
      <c r="K383" s="62"/>
      <c r="L383" s="62"/>
      <c r="M383" s="62"/>
    </row>
    <row r="384" spans="1:14" ht="15.75" x14ac:dyDescent="0.25">
      <c r="A384" s="155">
        <f t="shared" si="80"/>
        <v>4</v>
      </c>
      <c r="B384" s="110" t="s">
        <v>339</v>
      </c>
      <c r="C384" s="111">
        <f>32.98*(10.764)</f>
        <v>354.99671999999993</v>
      </c>
      <c r="D384" s="112">
        <f t="shared" si="79"/>
        <v>425.99606399999988</v>
      </c>
      <c r="E384" s="110">
        <f t="shared" si="78"/>
        <v>532.49507999999992</v>
      </c>
      <c r="F384" s="156" t="s">
        <v>366</v>
      </c>
      <c r="I384" s="62"/>
      <c r="J384" s="62"/>
      <c r="K384" s="60"/>
      <c r="L384" s="62"/>
      <c r="M384" s="62"/>
    </row>
    <row r="385" spans="1:14" ht="15.75" x14ac:dyDescent="0.25">
      <c r="A385" s="155">
        <f t="shared" si="80"/>
        <v>5</v>
      </c>
      <c r="B385" s="110" t="s">
        <v>339</v>
      </c>
      <c r="C385" s="111">
        <f>36.75*(10.764)</f>
        <v>395.577</v>
      </c>
      <c r="D385" s="112">
        <f t="shared" si="79"/>
        <v>474.69239999999996</v>
      </c>
      <c r="E385" s="110">
        <f t="shared" si="78"/>
        <v>593.3655</v>
      </c>
      <c r="F385" s="156" t="s">
        <v>360</v>
      </c>
      <c r="I385" s="62"/>
      <c r="J385" s="62"/>
      <c r="K385" s="114"/>
      <c r="L385" s="62"/>
      <c r="M385" s="62"/>
    </row>
    <row r="386" spans="1:14" x14ac:dyDescent="0.25">
      <c r="A386" s="155">
        <f t="shared" si="80"/>
        <v>6</v>
      </c>
      <c r="B386" s="110" t="s">
        <v>339</v>
      </c>
      <c r="C386" s="111">
        <f>32.85*(10.764)</f>
        <v>353.59739999999999</v>
      </c>
      <c r="D386" s="112">
        <f t="shared" si="79"/>
        <v>424.31687999999997</v>
      </c>
      <c r="E386" s="110">
        <f t="shared" si="78"/>
        <v>530.39609999999993</v>
      </c>
      <c r="F386" s="156" t="s">
        <v>366</v>
      </c>
      <c r="I386" s="62"/>
      <c r="J386" s="62"/>
      <c r="K386" s="62"/>
      <c r="L386" s="62"/>
      <c r="M386" s="62"/>
    </row>
    <row r="387" spans="1:14" s="115" customFormat="1" ht="15.75" customHeight="1" x14ac:dyDescent="0.25">
      <c r="A387" s="163" t="s">
        <v>345</v>
      </c>
      <c r="B387" s="164"/>
      <c r="C387" s="164"/>
      <c r="D387" s="164"/>
      <c r="E387" s="164"/>
      <c r="F387" s="165"/>
      <c r="G387" s="43"/>
      <c r="H387" s="43"/>
      <c r="I387" s="114"/>
      <c r="J387" s="114"/>
      <c r="K387" s="114"/>
      <c r="L387" s="114"/>
      <c r="M387" s="114"/>
    </row>
    <row r="388" spans="1:14" s="115" customFormat="1" ht="15.75" x14ac:dyDescent="0.25">
      <c r="A388" s="155">
        <v>1</v>
      </c>
      <c r="B388" s="110" t="s">
        <v>339</v>
      </c>
      <c r="C388" s="111">
        <f>32.85*(10.764)</f>
        <v>353.59739999999999</v>
      </c>
      <c r="D388" s="112">
        <f>C388*1.2</f>
        <v>424.31687999999997</v>
      </c>
      <c r="E388" s="110">
        <f t="shared" ref="E388:E391" si="81">C388*(($E$247)+1)</f>
        <v>530.39609999999993</v>
      </c>
      <c r="F388" s="156" t="s">
        <v>366</v>
      </c>
      <c r="G388" s="169"/>
      <c r="H388" s="169"/>
      <c r="I388" s="60"/>
      <c r="J388" s="61"/>
      <c r="K388" s="62"/>
      <c r="L388" s="309"/>
      <c r="M388" s="309"/>
      <c r="N388" s="40"/>
    </row>
    <row r="389" spans="1:14" x14ac:dyDescent="0.25">
      <c r="A389" s="155">
        <f>A388+1</f>
        <v>2</v>
      </c>
      <c r="B389" s="110" t="s">
        <v>339</v>
      </c>
      <c r="C389" s="111">
        <f>32.81*(10.764)</f>
        <v>353.16683999999998</v>
      </c>
      <c r="D389" s="112">
        <f t="shared" ref="D389:D391" si="82">C389*1.2</f>
        <v>423.80020799999994</v>
      </c>
      <c r="E389" s="110">
        <f t="shared" si="81"/>
        <v>529.75026000000003</v>
      </c>
      <c r="F389" s="156" t="s">
        <v>366</v>
      </c>
      <c r="I389" s="62"/>
      <c r="J389" s="62"/>
      <c r="K389" s="62"/>
      <c r="L389" s="62"/>
      <c r="M389" s="62"/>
    </row>
    <row r="390" spans="1:14" x14ac:dyDescent="0.25">
      <c r="A390" s="155">
        <f t="shared" ref="A390:A393" si="83">A389+1</f>
        <v>3</v>
      </c>
      <c r="B390" s="110" t="s">
        <v>339</v>
      </c>
      <c r="C390" s="111">
        <f>32.98*(10.764)</f>
        <v>354.99671999999993</v>
      </c>
      <c r="D390" s="112">
        <f t="shared" si="82"/>
        <v>425.99606399999988</v>
      </c>
      <c r="E390" s="110">
        <f t="shared" si="81"/>
        <v>532.49507999999992</v>
      </c>
      <c r="F390" s="156" t="s">
        <v>366</v>
      </c>
      <c r="I390" s="62"/>
      <c r="J390" s="62"/>
      <c r="K390" s="62"/>
      <c r="L390" s="62"/>
      <c r="M390" s="62"/>
    </row>
    <row r="391" spans="1:14" ht="15.75" x14ac:dyDescent="0.25">
      <c r="A391" s="155">
        <f t="shared" si="83"/>
        <v>4</v>
      </c>
      <c r="B391" s="136" t="s">
        <v>338</v>
      </c>
      <c r="C391" s="137">
        <f>40.53*(10.764)</f>
        <v>436.26491999999996</v>
      </c>
      <c r="D391" s="112">
        <f t="shared" si="82"/>
        <v>523.51790399999993</v>
      </c>
      <c r="E391" s="110">
        <f t="shared" si="81"/>
        <v>654.39737999999988</v>
      </c>
      <c r="F391" s="156" t="s">
        <v>366</v>
      </c>
      <c r="I391" s="62"/>
      <c r="J391" s="62"/>
      <c r="K391" s="60"/>
      <c r="L391" s="62"/>
      <c r="M391" s="62"/>
    </row>
    <row r="392" spans="1:14" ht="15.75" x14ac:dyDescent="0.25">
      <c r="A392" s="155">
        <f t="shared" si="83"/>
        <v>5</v>
      </c>
      <c r="B392" s="319" t="s">
        <v>344</v>
      </c>
      <c r="C392" s="320"/>
      <c r="D392" s="320"/>
      <c r="E392" s="321"/>
      <c r="F392" s="156" t="s">
        <v>307</v>
      </c>
      <c r="I392" s="62"/>
      <c r="J392" s="62"/>
      <c r="K392" s="114"/>
      <c r="L392" s="62"/>
      <c r="M392" s="62"/>
    </row>
    <row r="393" spans="1:14" x14ac:dyDescent="0.25">
      <c r="A393" s="155">
        <f t="shared" si="83"/>
        <v>6</v>
      </c>
      <c r="B393" s="322"/>
      <c r="C393" s="323"/>
      <c r="D393" s="323"/>
      <c r="E393" s="324"/>
      <c r="F393" s="156" t="s">
        <v>307</v>
      </c>
      <c r="I393" s="62"/>
      <c r="J393" s="62"/>
      <c r="K393" s="62"/>
      <c r="L393" s="62"/>
      <c r="M393" s="62"/>
    </row>
    <row r="394" spans="1:14" s="115" customFormat="1" ht="15.75" customHeight="1" x14ac:dyDescent="0.25">
      <c r="A394" s="163" t="s">
        <v>357</v>
      </c>
      <c r="B394" s="164"/>
      <c r="C394" s="164"/>
      <c r="D394" s="164"/>
      <c r="E394" s="164"/>
      <c r="F394" s="165"/>
      <c r="G394" s="43"/>
      <c r="H394" s="43"/>
      <c r="I394" s="114"/>
      <c r="J394" s="114"/>
      <c r="K394" s="114"/>
      <c r="L394" s="114"/>
      <c r="M394" s="114"/>
    </row>
    <row r="395" spans="1:14" s="115" customFormat="1" ht="15.75" x14ac:dyDescent="0.25">
      <c r="A395" s="155">
        <v>1</v>
      </c>
      <c r="B395" s="110" t="s">
        <v>339</v>
      </c>
      <c r="C395" s="111">
        <f>32.85*(10.764)</f>
        <v>353.59739999999999</v>
      </c>
      <c r="D395" s="112">
        <f>C395*1.2</f>
        <v>424.31687999999997</v>
      </c>
      <c r="E395" s="110">
        <f t="shared" ref="E395:E400" si="84">C395*(($E$247)+1)</f>
        <v>530.39609999999993</v>
      </c>
      <c r="F395" s="156" t="s">
        <v>366</v>
      </c>
      <c r="G395" s="169"/>
      <c r="H395" s="169"/>
      <c r="I395" s="60"/>
      <c r="J395" s="61"/>
      <c r="K395" s="62"/>
      <c r="L395" s="309"/>
      <c r="M395" s="309"/>
      <c r="N395" s="40"/>
    </row>
    <row r="396" spans="1:14" x14ac:dyDescent="0.25">
      <c r="A396" s="155">
        <f>A395+1</f>
        <v>2</v>
      </c>
      <c r="B396" s="110" t="s">
        <v>339</v>
      </c>
      <c r="C396" s="111">
        <f>32.81*(10.764)</f>
        <v>353.16683999999998</v>
      </c>
      <c r="D396" s="112">
        <f t="shared" ref="D396:D400" si="85">C396*1.2</f>
        <v>423.80020799999994</v>
      </c>
      <c r="E396" s="110">
        <f t="shared" si="84"/>
        <v>529.75026000000003</v>
      </c>
      <c r="F396" s="156" t="s">
        <v>366</v>
      </c>
      <c r="I396" s="62"/>
      <c r="J396" s="62"/>
      <c r="K396" s="62"/>
      <c r="L396" s="62"/>
      <c r="M396" s="62"/>
    </row>
    <row r="397" spans="1:14" x14ac:dyDescent="0.25">
      <c r="A397" s="155">
        <f t="shared" ref="A397:A400" si="86">A396+1</f>
        <v>3</v>
      </c>
      <c r="B397" s="110" t="s">
        <v>339</v>
      </c>
      <c r="C397" s="111">
        <f>32.98*(10.764)</f>
        <v>354.99671999999993</v>
      </c>
      <c r="D397" s="112">
        <f t="shared" si="85"/>
        <v>425.99606399999988</v>
      </c>
      <c r="E397" s="110">
        <f t="shared" si="84"/>
        <v>532.49507999999992</v>
      </c>
      <c r="F397" s="156" t="s">
        <v>366</v>
      </c>
      <c r="I397" s="62"/>
      <c r="J397" s="62"/>
      <c r="K397" s="62"/>
      <c r="L397" s="62"/>
      <c r="M397" s="62"/>
    </row>
    <row r="398" spans="1:14" ht="15.75" x14ac:dyDescent="0.25">
      <c r="A398" s="155">
        <f t="shared" si="86"/>
        <v>4</v>
      </c>
      <c r="B398" s="110" t="s">
        <v>339</v>
      </c>
      <c r="C398" s="111">
        <f>32.98*(10.764)</f>
        <v>354.99671999999993</v>
      </c>
      <c r="D398" s="112">
        <f t="shared" si="85"/>
        <v>425.99606399999988</v>
      </c>
      <c r="E398" s="110">
        <f t="shared" si="84"/>
        <v>532.49507999999992</v>
      </c>
      <c r="F398" s="156" t="s">
        <v>366</v>
      </c>
      <c r="I398" s="62"/>
      <c r="J398" s="62"/>
      <c r="K398" s="60"/>
      <c r="L398" s="62"/>
      <c r="M398" s="62"/>
    </row>
    <row r="399" spans="1:14" ht="15.75" x14ac:dyDescent="0.25">
      <c r="A399" s="155">
        <f t="shared" si="86"/>
        <v>5</v>
      </c>
      <c r="B399" s="110" t="s">
        <v>339</v>
      </c>
      <c r="C399" s="111">
        <f>36.75*(10.764)</f>
        <v>395.577</v>
      </c>
      <c r="D399" s="112">
        <f t="shared" si="85"/>
        <v>474.69239999999996</v>
      </c>
      <c r="E399" s="110">
        <f t="shared" si="84"/>
        <v>593.3655</v>
      </c>
      <c r="F399" s="156" t="s">
        <v>360</v>
      </c>
      <c r="I399" s="62"/>
      <c r="J399" s="62"/>
      <c r="K399" s="114"/>
      <c r="L399" s="62"/>
      <c r="M399" s="62"/>
    </row>
    <row r="400" spans="1:14" x14ac:dyDescent="0.25">
      <c r="A400" s="155">
        <f t="shared" si="86"/>
        <v>6</v>
      </c>
      <c r="B400" s="110" t="s">
        <v>339</v>
      </c>
      <c r="C400" s="111">
        <f>32.85*(10.764)</f>
        <v>353.59739999999999</v>
      </c>
      <c r="D400" s="112">
        <f t="shared" si="85"/>
        <v>424.31687999999997</v>
      </c>
      <c r="E400" s="110">
        <f t="shared" si="84"/>
        <v>530.39609999999993</v>
      </c>
      <c r="F400" s="156" t="s">
        <v>360</v>
      </c>
      <c r="I400" s="62"/>
      <c r="J400" s="62"/>
      <c r="K400" s="62"/>
      <c r="L400" s="62"/>
      <c r="M400" s="62"/>
    </row>
    <row r="401" spans="1:14" s="37" customFormat="1" ht="15.75" x14ac:dyDescent="0.25">
      <c r="A401" s="166" t="s">
        <v>358</v>
      </c>
      <c r="B401" s="167"/>
      <c r="C401" s="167"/>
      <c r="D401" s="167"/>
      <c r="E401" s="167"/>
      <c r="F401" s="168"/>
      <c r="G401" s="42"/>
      <c r="H401" s="42"/>
      <c r="I401" s="64"/>
      <c r="J401" s="64"/>
      <c r="K401" s="62"/>
    </row>
    <row r="402" spans="1:14" s="115" customFormat="1" ht="15.75" customHeight="1" x14ac:dyDescent="0.25">
      <c r="A402" s="163" t="s">
        <v>328</v>
      </c>
      <c r="B402" s="164"/>
      <c r="C402" s="164"/>
      <c r="D402" s="164"/>
      <c r="E402" s="164"/>
      <c r="F402" s="165"/>
      <c r="G402" s="43"/>
      <c r="H402" s="43"/>
      <c r="I402" s="114"/>
      <c r="J402" s="114"/>
      <c r="K402" s="60"/>
    </row>
    <row r="403" spans="1:14" s="115" customFormat="1" ht="15.75" customHeight="1" x14ac:dyDescent="0.25">
      <c r="A403" s="163" t="s">
        <v>347</v>
      </c>
      <c r="B403" s="164"/>
      <c r="C403" s="164"/>
      <c r="D403" s="164"/>
      <c r="E403" s="164"/>
      <c r="F403" s="165"/>
      <c r="G403" s="43"/>
      <c r="H403" s="43"/>
      <c r="I403" s="114"/>
      <c r="J403" s="114"/>
      <c r="K403" s="114"/>
      <c r="L403" s="114"/>
      <c r="M403" s="114"/>
    </row>
    <row r="404" spans="1:14" s="115" customFormat="1" ht="15.75" customHeight="1" x14ac:dyDescent="0.25">
      <c r="A404" s="163" t="s">
        <v>336</v>
      </c>
      <c r="B404" s="164"/>
      <c r="C404" s="164"/>
      <c r="D404" s="164"/>
      <c r="E404" s="164"/>
      <c r="F404" s="165"/>
      <c r="G404" s="43"/>
      <c r="H404" s="43"/>
      <c r="I404" s="114"/>
      <c r="J404" s="114"/>
      <c r="K404" s="60"/>
    </row>
    <row r="405" spans="1:14" s="115" customFormat="1" ht="15.75" x14ac:dyDescent="0.25">
      <c r="A405" s="155">
        <v>1</v>
      </c>
      <c r="B405" s="110" t="s">
        <v>339</v>
      </c>
      <c r="C405" s="111">
        <f>32.98*(10.764)</f>
        <v>354.99671999999993</v>
      </c>
      <c r="D405" s="112">
        <f>C405*1.2</f>
        <v>425.99606399999988</v>
      </c>
      <c r="E405" s="110">
        <f t="shared" ref="E405:E408" si="87">C405*(($E$247)+1)</f>
        <v>532.49507999999992</v>
      </c>
      <c r="F405" s="156" t="s">
        <v>359</v>
      </c>
      <c r="G405" s="169"/>
      <c r="H405" s="169"/>
      <c r="I405" s="60"/>
      <c r="J405" s="61"/>
      <c r="K405" s="62"/>
      <c r="L405" s="309"/>
      <c r="M405" s="309"/>
      <c r="N405" s="40"/>
    </row>
    <row r="406" spans="1:14" x14ac:dyDescent="0.25">
      <c r="A406" s="155">
        <f>A405+1</f>
        <v>2</v>
      </c>
      <c r="B406" s="110" t="s">
        <v>339</v>
      </c>
      <c r="C406" s="111">
        <f>32.98*(10.764)</f>
        <v>354.99671999999993</v>
      </c>
      <c r="D406" s="112">
        <f t="shared" ref="D406:D408" si="88">C406*1.2</f>
        <v>425.99606399999988</v>
      </c>
      <c r="E406" s="110">
        <f t="shared" si="87"/>
        <v>532.49507999999992</v>
      </c>
      <c r="F406" s="156" t="s">
        <v>359</v>
      </c>
      <c r="I406" s="62"/>
      <c r="J406" s="62"/>
      <c r="K406" s="62"/>
      <c r="L406" s="62"/>
      <c r="M406" s="62"/>
    </row>
    <row r="407" spans="1:14" x14ac:dyDescent="0.25">
      <c r="A407" s="155">
        <f t="shared" ref="A407:A408" si="89">A406+1</f>
        <v>3</v>
      </c>
      <c r="B407" s="110" t="s">
        <v>339</v>
      </c>
      <c r="C407" s="111">
        <f>36.59*(10.764)</f>
        <v>393.85476</v>
      </c>
      <c r="D407" s="112">
        <f t="shared" si="88"/>
        <v>472.62571199999996</v>
      </c>
      <c r="E407" s="110">
        <f t="shared" si="87"/>
        <v>590.78214000000003</v>
      </c>
      <c r="F407" s="156" t="s">
        <v>360</v>
      </c>
      <c r="I407" s="62"/>
      <c r="J407" s="62"/>
      <c r="K407" s="62"/>
      <c r="L407" s="62"/>
      <c r="M407" s="62"/>
    </row>
    <row r="408" spans="1:14" ht="15.75" x14ac:dyDescent="0.25">
      <c r="A408" s="155">
        <f t="shared" si="89"/>
        <v>4</v>
      </c>
      <c r="B408" s="110" t="s">
        <v>339</v>
      </c>
      <c r="C408" s="111">
        <f>36.62*(10.764)</f>
        <v>394.17767999999995</v>
      </c>
      <c r="D408" s="112">
        <f t="shared" si="88"/>
        <v>473.01321599999994</v>
      </c>
      <c r="E408" s="110">
        <f t="shared" si="87"/>
        <v>591.2665199999999</v>
      </c>
      <c r="F408" s="156" t="s">
        <v>359</v>
      </c>
      <c r="I408" s="62"/>
      <c r="J408" s="62"/>
      <c r="K408" s="60"/>
      <c r="L408" s="62"/>
      <c r="M408" s="62"/>
    </row>
    <row r="409" spans="1:14" s="115" customFormat="1" ht="15.75" customHeight="1" x14ac:dyDescent="0.25">
      <c r="A409" s="163" t="s">
        <v>273</v>
      </c>
      <c r="B409" s="164"/>
      <c r="C409" s="164"/>
      <c r="D409" s="164"/>
      <c r="E409" s="164"/>
      <c r="F409" s="165"/>
      <c r="G409" s="43"/>
      <c r="H409" s="43"/>
      <c r="I409" s="114"/>
      <c r="J409" s="114"/>
      <c r="K409" s="60"/>
    </row>
    <row r="410" spans="1:14" s="115" customFormat="1" ht="15.75" x14ac:dyDescent="0.25">
      <c r="A410" s="155">
        <v>1</v>
      </c>
      <c r="B410" s="110" t="s">
        <v>339</v>
      </c>
      <c r="C410" s="111">
        <f>32.98*(10.764)</f>
        <v>354.99671999999993</v>
      </c>
      <c r="D410" s="112">
        <f>C410*1.2</f>
        <v>425.99606399999988</v>
      </c>
      <c r="E410" s="110">
        <f t="shared" ref="E410:E413" si="90">C410*(($E$247)+1)</f>
        <v>532.49507999999992</v>
      </c>
      <c r="F410" s="156" t="s">
        <v>359</v>
      </c>
      <c r="G410" s="169"/>
      <c r="H410" s="169"/>
      <c r="I410" s="60"/>
      <c r="J410" s="61"/>
      <c r="K410" s="62"/>
      <c r="L410" s="309"/>
      <c r="M410" s="309"/>
      <c r="N410" s="40"/>
    </row>
    <row r="411" spans="1:14" x14ac:dyDescent="0.25">
      <c r="A411" s="155">
        <f>A410+1</f>
        <v>2</v>
      </c>
      <c r="B411" s="110" t="s">
        <v>339</v>
      </c>
      <c r="C411" s="111">
        <f>32.98*(10.764)</f>
        <v>354.99671999999993</v>
      </c>
      <c r="D411" s="112">
        <f t="shared" ref="D411:D413" si="91">C411*1.2</f>
        <v>425.99606399999988</v>
      </c>
      <c r="E411" s="110">
        <f t="shared" si="90"/>
        <v>532.49507999999992</v>
      </c>
      <c r="F411" s="156" t="s">
        <v>360</v>
      </c>
      <c r="I411" s="62"/>
      <c r="J411" s="62"/>
      <c r="K411" s="62"/>
      <c r="L411" s="62"/>
      <c r="M411" s="62"/>
    </row>
    <row r="412" spans="1:14" x14ac:dyDescent="0.25">
      <c r="A412" s="155">
        <f t="shared" ref="A412:A413" si="92">A411+1</f>
        <v>3</v>
      </c>
      <c r="B412" s="110" t="s">
        <v>339</v>
      </c>
      <c r="C412" s="111">
        <f>36.59*(10.764)</f>
        <v>393.85476</v>
      </c>
      <c r="D412" s="112">
        <f t="shared" si="91"/>
        <v>472.62571199999996</v>
      </c>
      <c r="E412" s="110">
        <f t="shared" si="90"/>
        <v>590.78214000000003</v>
      </c>
      <c r="F412" s="156" t="s">
        <v>360</v>
      </c>
      <c r="I412" s="62"/>
      <c r="J412" s="62"/>
      <c r="K412" s="62"/>
      <c r="L412" s="62"/>
      <c r="M412" s="62"/>
    </row>
    <row r="413" spans="1:14" ht="15.75" x14ac:dyDescent="0.25">
      <c r="A413" s="155">
        <f t="shared" si="92"/>
        <v>4</v>
      </c>
      <c r="B413" s="110" t="s">
        <v>339</v>
      </c>
      <c r="C413" s="111">
        <f>36.62*(10.764)</f>
        <v>394.17767999999995</v>
      </c>
      <c r="D413" s="112">
        <f t="shared" si="91"/>
        <v>473.01321599999994</v>
      </c>
      <c r="E413" s="110">
        <f t="shared" si="90"/>
        <v>591.2665199999999</v>
      </c>
      <c r="F413" s="156" t="s">
        <v>360</v>
      </c>
      <c r="I413" s="62"/>
      <c r="J413" s="62"/>
      <c r="K413" s="60"/>
      <c r="L413" s="62"/>
      <c r="M413" s="62"/>
    </row>
    <row r="414" spans="1:14" s="115" customFormat="1" ht="15.75" customHeight="1" x14ac:dyDescent="0.25">
      <c r="A414" s="163" t="s">
        <v>361</v>
      </c>
      <c r="B414" s="164"/>
      <c r="C414" s="164"/>
      <c r="D414" s="164"/>
      <c r="E414" s="164"/>
      <c r="F414" s="165"/>
      <c r="G414" s="43"/>
      <c r="H414" s="43"/>
      <c r="I414" s="114"/>
      <c r="J414" s="114"/>
      <c r="K414" s="60"/>
    </row>
    <row r="415" spans="1:14" s="115" customFormat="1" ht="15.75" x14ac:dyDescent="0.25">
      <c r="A415" s="155">
        <v>1</v>
      </c>
      <c r="B415" s="110" t="s">
        <v>339</v>
      </c>
      <c r="C415" s="111">
        <f>32.98*(10.764)</f>
        <v>354.99671999999993</v>
      </c>
      <c r="D415" s="112">
        <f>C415*1.2</f>
        <v>425.99606399999988</v>
      </c>
      <c r="E415" s="110">
        <f t="shared" ref="E415:E418" si="93">C415*(($E$247)+1)</f>
        <v>532.49507999999992</v>
      </c>
      <c r="F415" s="156" t="s">
        <v>359</v>
      </c>
      <c r="G415" s="169"/>
      <c r="H415" s="169"/>
      <c r="I415" s="60"/>
      <c r="J415" s="61"/>
      <c r="K415" s="62"/>
      <c r="L415" s="309"/>
      <c r="M415" s="309"/>
      <c r="N415" s="40"/>
    </row>
    <row r="416" spans="1:14" x14ac:dyDescent="0.25">
      <c r="A416" s="155">
        <f>A415+1</f>
        <v>2</v>
      </c>
      <c r="B416" s="110" t="s">
        <v>339</v>
      </c>
      <c r="C416" s="111">
        <f>32.98*(10.764)</f>
        <v>354.99671999999993</v>
      </c>
      <c r="D416" s="112">
        <f t="shared" ref="D416:D418" si="94">C416*1.2</f>
        <v>425.99606399999988</v>
      </c>
      <c r="E416" s="110">
        <f t="shared" si="93"/>
        <v>532.49507999999992</v>
      </c>
      <c r="F416" s="156" t="s">
        <v>359</v>
      </c>
      <c r="I416" s="62"/>
      <c r="J416" s="62"/>
      <c r="K416" s="62"/>
      <c r="L416" s="62"/>
      <c r="M416" s="62"/>
    </row>
    <row r="417" spans="1:14" x14ac:dyDescent="0.25">
      <c r="A417" s="155">
        <f t="shared" ref="A417:A418" si="95">A416+1</f>
        <v>3</v>
      </c>
      <c r="B417" s="110" t="s">
        <v>339</v>
      </c>
      <c r="C417" s="111">
        <f>36.59*(10.764)</f>
        <v>393.85476</v>
      </c>
      <c r="D417" s="112">
        <f t="shared" si="94"/>
        <v>472.62571199999996</v>
      </c>
      <c r="E417" s="110">
        <f t="shared" si="93"/>
        <v>590.78214000000003</v>
      </c>
      <c r="F417" s="156" t="s">
        <v>360</v>
      </c>
      <c r="I417" s="62"/>
      <c r="J417" s="62"/>
      <c r="K417" s="62"/>
      <c r="L417" s="62"/>
      <c r="M417" s="62"/>
    </row>
    <row r="418" spans="1:14" ht="15.75" x14ac:dyDescent="0.25">
      <c r="A418" s="155">
        <f t="shared" si="95"/>
        <v>4</v>
      </c>
      <c r="B418" s="110" t="s">
        <v>339</v>
      </c>
      <c r="C418" s="111">
        <f>36.62*(10.764)</f>
        <v>394.17767999999995</v>
      </c>
      <c r="D418" s="112">
        <f t="shared" si="94"/>
        <v>473.01321599999994</v>
      </c>
      <c r="E418" s="110">
        <f t="shared" si="93"/>
        <v>591.2665199999999</v>
      </c>
      <c r="F418" s="156" t="s">
        <v>360</v>
      </c>
      <c r="I418" s="62"/>
      <c r="J418" s="62"/>
      <c r="K418" s="60"/>
      <c r="L418" s="62"/>
      <c r="M418" s="62"/>
    </row>
    <row r="419" spans="1:14" s="115" customFormat="1" ht="15.75" customHeight="1" x14ac:dyDescent="0.25">
      <c r="A419" s="163" t="s">
        <v>362</v>
      </c>
      <c r="B419" s="164"/>
      <c r="C419" s="164"/>
      <c r="D419" s="164"/>
      <c r="E419" s="164"/>
      <c r="F419" s="165"/>
      <c r="G419" s="43"/>
      <c r="H419" s="43"/>
      <c r="I419" s="114"/>
      <c r="J419" s="114"/>
      <c r="K419" s="60"/>
    </row>
    <row r="420" spans="1:14" s="115" customFormat="1" ht="15.75" x14ac:dyDescent="0.25">
      <c r="A420" s="155">
        <v>1</v>
      </c>
      <c r="B420" s="110" t="s">
        <v>339</v>
      </c>
      <c r="C420" s="111">
        <f>32.98*(10.764)</f>
        <v>354.99671999999993</v>
      </c>
      <c r="D420" s="112">
        <f>C420*1.2</f>
        <v>425.99606399999988</v>
      </c>
      <c r="E420" s="110">
        <f t="shared" ref="E420:E423" si="96">C420*(($E$247)+1)</f>
        <v>532.49507999999992</v>
      </c>
      <c r="F420" s="156" t="s">
        <v>359</v>
      </c>
      <c r="G420" s="169"/>
      <c r="H420" s="169"/>
      <c r="I420" s="60"/>
      <c r="J420" s="61"/>
      <c r="K420" s="62"/>
      <c r="L420" s="309"/>
      <c r="M420" s="309"/>
      <c r="N420" s="40"/>
    </row>
    <row r="421" spans="1:14" x14ac:dyDescent="0.25">
      <c r="A421" s="155">
        <f>A420+1</f>
        <v>2</v>
      </c>
      <c r="B421" s="110" t="s">
        <v>339</v>
      </c>
      <c r="C421" s="111">
        <f>32.98*(10.764)</f>
        <v>354.99671999999993</v>
      </c>
      <c r="D421" s="112">
        <f t="shared" ref="D421:D423" si="97">C421*1.2</f>
        <v>425.99606399999988</v>
      </c>
      <c r="E421" s="110">
        <f t="shared" si="96"/>
        <v>532.49507999999992</v>
      </c>
      <c r="F421" s="156" t="s">
        <v>359</v>
      </c>
      <c r="I421" s="62"/>
      <c r="J421" s="62"/>
      <c r="K421" s="62"/>
      <c r="L421" s="62"/>
      <c r="M421" s="62"/>
    </row>
    <row r="422" spans="1:14" x14ac:dyDescent="0.25">
      <c r="A422" s="155">
        <f t="shared" ref="A422:A423" si="98">A421+1</f>
        <v>3</v>
      </c>
      <c r="B422" s="408" t="s">
        <v>344</v>
      </c>
      <c r="C422" s="409"/>
      <c r="D422" s="409"/>
      <c r="E422" s="410"/>
      <c r="F422" s="156" t="s">
        <v>307</v>
      </c>
      <c r="I422" s="62"/>
      <c r="J422" s="62"/>
      <c r="K422" s="62"/>
      <c r="L422" s="62"/>
      <c r="M422" s="62"/>
    </row>
    <row r="423" spans="1:14" ht="15.75" x14ac:dyDescent="0.25">
      <c r="A423" s="155">
        <f t="shared" si="98"/>
        <v>4</v>
      </c>
      <c r="B423" s="110" t="s">
        <v>339</v>
      </c>
      <c r="C423" s="111">
        <f>36.62*(10.764)</f>
        <v>394.17767999999995</v>
      </c>
      <c r="D423" s="112">
        <f t="shared" si="97"/>
        <v>473.01321599999994</v>
      </c>
      <c r="E423" s="110">
        <f t="shared" si="96"/>
        <v>591.2665199999999</v>
      </c>
      <c r="F423" s="156" t="s">
        <v>360</v>
      </c>
      <c r="I423" s="62"/>
      <c r="J423" s="62"/>
      <c r="K423" s="60"/>
      <c r="L423" s="62"/>
      <c r="M423" s="62"/>
    </row>
    <row r="424" spans="1:14" s="37" customFormat="1" ht="15.75" x14ac:dyDescent="0.25">
      <c r="A424" s="166" t="s">
        <v>331</v>
      </c>
      <c r="B424" s="167"/>
      <c r="C424" s="167"/>
      <c r="D424" s="167"/>
      <c r="E424" s="167"/>
      <c r="F424" s="168"/>
      <c r="G424" s="42"/>
      <c r="H424" s="42"/>
      <c r="I424" s="64"/>
      <c r="J424" s="64"/>
      <c r="K424" s="62"/>
    </row>
    <row r="425" spans="1:14" s="115" customFormat="1" ht="15.75" customHeight="1" x14ac:dyDescent="0.25">
      <c r="A425" s="163" t="s">
        <v>363</v>
      </c>
      <c r="B425" s="164"/>
      <c r="C425" s="164"/>
      <c r="D425" s="164"/>
      <c r="E425" s="164"/>
      <c r="F425" s="165"/>
      <c r="G425" s="43"/>
      <c r="H425" s="43"/>
      <c r="I425" s="114"/>
      <c r="J425" s="114"/>
      <c r="K425" s="60"/>
    </row>
    <row r="426" spans="1:14" s="115" customFormat="1" ht="15.75" x14ac:dyDescent="0.25">
      <c r="A426" s="155">
        <v>1</v>
      </c>
      <c r="B426" s="110" t="s">
        <v>339</v>
      </c>
      <c r="C426" s="111">
        <f>36.6*(10.764)</f>
        <v>393.9624</v>
      </c>
      <c r="D426" s="112">
        <f>C426*1.2</f>
        <v>472.75487999999996</v>
      </c>
      <c r="E426" s="110">
        <f t="shared" ref="E426:E429" si="99">C426*(($E$247)+1)</f>
        <v>590.94360000000006</v>
      </c>
      <c r="F426" s="156" t="s">
        <v>359</v>
      </c>
      <c r="G426" s="169"/>
      <c r="H426" s="169"/>
      <c r="I426" s="60"/>
      <c r="J426" s="61"/>
      <c r="K426" s="62"/>
      <c r="L426" s="309"/>
      <c r="M426" s="309"/>
      <c r="N426" s="40"/>
    </row>
    <row r="427" spans="1:14" x14ac:dyDescent="0.25">
      <c r="A427" s="155">
        <v>2</v>
      </c>
      <c r="B427" s="110" t="s">
        <v>339</v>
      </c>
      <c r="C427" s="111">
        <f>36.6*(10.764)</f>
        <v>393.9624</v>
      </c>
      <c r="D427" s="112">
        <f t="shared" ref="D427:D429" si="100">C427*1.2</f>
        <v>472.75487999999996</v>
      </c>
      <c r="E427" s="110">
        <f t="shared" si="99"/>
        <v>590.94360000000006</v>
      </c>
      <c r="F427" s="156" t="s">
        <v>359</v>
      </c>
      <c r="I427" s="62"/>
      <c r="J427" s="62"/>
      <c r="K427" s="62"/>
      <c r="L427" s="62"/>
      <c r="M427" s="62"/>
    </row>
    <row r="428" spans="1:14" x14ac:dyDescent="0.25">
      <c r="A428" s="155">
        <v>3</v>
      </c>
      <c r="B428" s="110" t="s">
        <v>339</v>
      </c>
      <c r="C428" s="111">
        <f>32.98*(10.764)</f>
        <v>354.99671999999993</v>
      </c>
      <c r="D428" s="112">
        <f t="shared" si="100"/>
        <v>425.99606399999988</v>
      </c>
      <c r="E428" s="110">
        <f t="shared" si="99"/>
        <v>532.49507999999992</v>
      </c>
      <c r="F428" s="156" t="s">
        <v>359</v>
      </c>
      <c r="I428" s="62"/>
      <c r="J428" s="62"/>
      <c r="K428" s="62"/>
      <c r="L428" s="62"/>
      <c r="M428" s="62"/>
    </row>
    <row r="429" spans="1:14" ht="15.75" x14ac:dyDescent="0.25">
      <c r="A429" s="155">
        <v>4</v>
      </c>
      <c r="B429" s="110" t="s">
        <v>339</v>
      </c>
      <c r="C429" s="111">
        <f>32.98*(10.764)</f>
        <v>354.99671999999993</v>
      </c>
      <c r="D429" s="112">
        <f t="shared" si="100"/>
        <v>425.99606399999988</v>
      </c>
      <c r="E429" s="110">
        <f t="shared" si="99"/>
        <v>532.49507999999992</v>
      </c>
      <c r="F429" s="156" t="s">
        <v>359</v>
      </c>
      <c r="I429" s="62"/>
      <c r="J429" s="62"/>
      <c r="K429" s="60"/>
      <c r="L429" s="62"/>
      <c r="M429" s="62"/>
    </row>
    <row r="430" spans="1:14" x14ac:dyDescent="0.25">
      <c r="A430" s="155">
        <v>5</v>
      </c>
      <c r="B430" s="110" t="s">
        <v>339</v>
      </c>
      <c r="C430" s="111">
        <f>32.81*(10.764)</f>
        <v>353.16683999999998</v>
      </c>
      <c r="D430" s="112">
        <f t="shared" ref="D430:D431" si="101">C430*1.2</f>
        <v>423.80020799999994</v>
      </c>
      <c r="E430" s="110">
        <f t="shared" ref="E430:E431" si="102">C430*(($E$247)+1)</f>
        <v>529.75026000000003</v>
      </c>
      <c r="F430" s="156" t="s">
        <v>359</v>
      </c>
      <c r="I430" s="62"/>
      <c r="J430" s="62"/>
      <c r="K430" s="62"/>
      <c r="L430" s="62"/>
      <c r="M430" s="62"/>
    </row>
    <row r="431" spans="1:14" ht="15.75" x14ac:dyDescent="0.25">
      <c r="A431" s="155">
        <v>6</v>
      </c>
      <c r="B431" s="110" t="s">
        <v>339</v>
      </c>
      <c r="C431" s="111">
        <f>32.83*(10.764)</f>
        <v>353.38211999999999</v>
      </c>
      <c r="D431" s="112">
        <f t="shared" si="101"/>
        <v>424.05854399999998</v>
      </c>
      <c r="E431" s="110">
        <f t="shared" si="102"/>
        <v>530.07317999999998</v>
      </c>
      <c r="F431" s="156" t="s">
        <v>359</v>
      </c>
      <c r="I431" s="62"/>
      <c r="J431" s="62"/>
      <c r="K431" s="60"/>
      <c r="L431" s="62"/>
      <c r="M431" s="62"/>
    </row>
    <row r="432" spans="1:14" s="115" customFormat="1" ht="15.75" customHeight="1" x14ac:dyDescent="0.25">
      <c r="A432" s="163" t="s">
        <v>364</v>
      </c>
      <c r="B432" s="164"/>
      <c r="C432" s="164"/>
      <c r="D432" s="164"/>
      <c r="E432" s="164"/>
      <c r="F432" s="165"/>
      <c r="G432" s="43"/>
      <c r="H432" s="43"/>
      <c r="I432" s="114"/>
      <c r="J432" s="114"/>
      <c r="K432" s="60"/>
    </row>
    <row r="433" spans="1:14" s="115" customFormat="1" ht="15.75" x14ac:dyDescent="0.25">
      <c r="A433" s="155">
        <v>1</v>
      </c>
      <c r="B433" s="110" t="s">
        <v>339</v>
      </c>
      <c r="C433" s="111">
        <f>36.6*(10.764)</f>
        <v>393.9624</v>
      </c>
      <c r="D433" s="112">
        <f>C433*1.2</f>
        <v>472.75487999999996</v>
      </c>
      <c r="E433" s="110">
        <f t="shared" ref="E433:E438" si="103">C433*(($E$247)+1)</f>
        <v>590.94360000000006</v>
      </c>
      <c r="F433" s="156" t="s">
        <v>360</v>
      </c>
      <c r="G433" s="169"/>
      <c r="H433" s="169"/>
      <c r="I433" s="60"/>
      <c r="J433" s="61"/>
      <c r="K433" s="62"/>
      <c r="L433" s="309"/>
      <c r="M433" s="309"/>
      <c r="N433" s="40"/>
    </row>
    <row r="434" spans="1:14" x14ac:dyDescent="0.25">
      <c r="A434" s="155">
        <v>2</v>
      </c>
      <c r="B434" s="110" t="s">
        <v>339</v>
      </c>
      <c r="C434" s="111">
        <f>36.6*(10.764)</f>
        <v>393.9624</v>
      </c>
      <c r="D434" s="112">
        <f t="shared" ref="D434:D438" si="104">C434*1.2</f>
        <v>472.75487999999996</v>
      </c>
      <c r="E434" s="110">
        <f t="shared" si="103"/>
        <v>590.94360000000006</v>
      </c>
      <c r="F434" s="156" t="s">
        <v>360</v>
      </c>
      <c r="I434" s="62"/>
      <c r="J434" s="62"/>
      <c r="K434" s="62"/>
      <c r="L434" s="62"/>
      <c r="M434" s="62"/>
    </row>
    <row r="435" spans="1:14" x14ac:dyDescent="0.25">
      <c r="A435" s="155">
        <v>3</v>
      </c>
      <c r="B435" s="110" t="s">
        <v>339</v>
      </c>
      <c r="C435" s="111">
        <f>32.98*(10.764)</f>
        <v>354.99671999999993</v>
      </c>
      <c r="D435" s="112">
        <f t="shared" si="104"/>
        <v>425.99606399999988</v>
      </c>
      <c r="E435" s="110">
        <f t="shared" si="103"/>
        <v>532.49507999999992</v>
      </c>
      <c r="F435" s="156" t="s">
        <v>359</v>
      </c>
      <c r="I435" s="62"/>
      <c r="J435" s="62"/>
      <c r="K435" s="62"/>
      <c r="L435" s="62"/>
      <c r="M435" s="62"/>
    </row>
    <row r="436" spans="1:14" ht="15.75" x14ac:dyDescent="0.25">
      <c r="A436" s="155">
        <v>4</v>
      </c>
      <c r="B436" s="110" t="s">
        <v>339</v>
      </c>
      <c r="C436" s="111">
        <f>32.98*(10.764)</f>
        <v>354.99671999999993</v>
      </c>
      <c r="D436" s="112">
        <f t="shared" si="104"/>
        <v>425.99606399999988</v>
      </c>
      <c r="E436" s="110">
        <f t="shared" si="103"/>
        <v>532.49507999999992</v>
      </c>
      <c r="F436" s="156" t="s">
        <v>359</v>
      </c>
      <c r="I436" s="62"/>
      <c r="J436" s="62"/>
      <c r="K436" s="60"/>
      <c r="L436" s="62"/>
      <c r="M436" s="62"/>
    </row>
    <row r="437" spans="1:14" x14ac:dyDescent="0.25">
      <c r="A437" s="155">
        <v>5</v>
      </c>
      <c r="B437" s="110" t="s">
        <v>339</v>
      </c>
      <c r="C437" s="111">
        <f>32.81*(10.764)</f>
        <v>353.16683999999998</v>
      </c>
      <c r="D437" s="112">
        <f t="shared" si="104"/>
        <v>423.80020799999994</v>
      </c>
      <c r="E437" s="110">
        <f t="shared" si="103"/>
        <v>529.75026000000003</v>
      </c>
      <c r="F437" s="156" t="s">
        <v>359</v>
      </c>
      <c r="I437" s="62"/>
      <c r="J437" s="62"/>
      <c r="K437" s="62"/>
      <c r="L437" s="62"/>
      <c r="M437" s="62"/>
    </row>
    <row r="438" spans="1:14" ht="15.75" x14ac:dyDescent="0.25">
      <c r="A438" s="155">
        <v>6</v>
      </c>
      <c r="B438" s="110" t="s">
        <v>339</v>
      </c>
      <c r="C438" s="111">
        <f>32.83*(10.764)</f>
        <v>353.38211999999999</v>
      </c>
      <c r="D438" s="112">
        <f t="shared" si="104"/>
        <v>424.05854399999998</v>
      </c>
      <c r="E438" s="110">
        <f t="shared" si="103"/>
        <v>530.07317999999998</v>
      </c>
      <c r="F438" s="156" t="s">
        <v>359</v>
      </c>
      <c r="I438" s="62"/>
      <c r="J438" s="62"/>
      <c r="K438" s="60"/>
      <c r="L438" s="62"/>
      <c r="M438" s="62"/>
    </row>
    <row r="439" spans="1:14" s="115" customFormat="1" ht="15.75" customHeight="1" x14ac:dyDescent="0.25">
      <c r="A439" s="163" t="s">
        <v>348</v>
      </c>
      <c r="B439" s="164"/>
      <c r="C439" s="164"/>
      <c r="D439" s="164"/>
      <c r="E439" s="164"/>
      <c r="F439" s="165"/>
      <c r="G439" s="43"/>
      <c r="H439" s="43"/>
      <c r="I439" s="114"/>
      <c r="J439" s="114"/>
      <c r="K439" s="60"/>
    </row>
    <row r="440" spans="1:14" s="115" customFormat="1" ht="15.75" x14ac:dyDescent="0.25">
      <c r="A440" s="155">
        <v>1</v>
      </c>
      <c r="B440" s="110" t="s">
        <v>339</v>
      </c>
      <c r="C440" s="111">
        <f>36.6*(10.764)</f>
        <v>393.9624</v>
      </c>
      <c r="D440" s="112">
        <f>C440*1.2</f>
        <v>472.75487999999996</v>
      </c>
      <c r="E440" s="110">
        <f t="shared" ref="E440:E445" si="105">C440*(($E$247)+1)</f>
        <v>590.94360000000006</v>
      </c>
      <c r="F440" s="156" t="s">
        <v>360</v>
      </c>
      <c r="G440" s="169"/>
      <c r="H440" s="169"/>
      <c r="I440" s="60"/>
      <c r="J440" s="61"/>
      <c r="K440" s="62"/>
      <c r="L440" s="309"/>
      <c r="M440" s="309"/>
      <c r="N440" s="40"/>
    </row>
    <row r="441" spans="1:14" x14ac:dyDescent="0.25">
      <c r="A441" s="155">
        <v>2</v>
      </c>
      <c r="B441" s="110" t="s">
        <v>339</v>
      </c>
      <c r="C441" s="111">
        <f>36.6*(10.764)</f>
        <v>393.9624</v>
      </c>
      <c r="D441" s="112">
        <f t="shared" ref="D441:D445" si="106">C441*1.2</f>
        <v>472.75487999999996</v>
      </c>
      <c r="E441" s="110">
        <f t="shared" si="105"/>
        <v>590.94360000000006</v>
      </c>
      <c r="F441" s="156" t="s">
        <v>360</v>
      </c>
      <c r="I441" s="62"/>
      <c r="J441" s="62"/>
      <c r="K441" s="62"/>
      <c r="L441" s="62"/>
      <c r="M441" s="62"/>
    </row>
    <row r="442" spans="1:14" x14ac:dyDescent="0.25">
      <c r="A442" s="155">
        <v>3</v>
      </c>
      <c r="B442" s="110" t="s">
        <v>339</v>
      </c>
      <c r="C442" s="111">
        <f>32.98*(10.764)</f>
        <v>354.99671999999993</v>
      </c>
      <c r="D442" s="112">
        <f t="shared" si="106"/>
        <v>425.99606399999988</v>
      </c>
      <c r="E442" s="110">
        <f t="shared" si="105"/>
        <v>532.49507999999992</v>
      </c>
      <c r="F442" s="156" t="s">
        <v>359</v>
      </c>
      <c r="I442" s="62"/>
      <c r="J442" s="62"/>
      <c r="K442" s="62"/>
      <c r="L442" s="62"/>
      <c r="M442" s="62"/>
    </row>
    <row r="443" spans="1:14" ht="15.75" x14ac:dyDescent="0.25">
      <c r="A443" s="155">
        <v>4</v>
      </c>
      <c r="B443" s="110" t="s">
        <v>339</v>
      </c>
      <c r="C443" s="111">
        <f>32.98*(10.764)</f>
        <v>354.99671999999993</v>
      </c>
      <c r="D443" s="112">
        <f t="shared" si="106"/>
        <v>425.99606399999988</v>
      </c>
      <c r="E443" s="110">
        <f t="shared" si="105"/>
        <v>532.49507999999992</v>
      </c>
      <c r="F443" s="156" t="s">
        <v>359</v>
      </c>
      <c r="I443" s="62"/>
      <c r="J443" s="62"/>
      <c r="K443" s="60"/>
      <c r="L443" s="62"/>
      <c r="M443" s="62"/>
    </row>
    <row r="444" spans="1:14" x14ac:dyDescent="0.25">
      <c r="A444" s="155">
        <v>5</v>
      </c>
      <c r="B444" s="110" t="s">
        <v>339</v>
      </c>
      <c r="C444" s="111">
        <f>32.81*(10.764)</f>
        <v>353.16683999999998</v>
      </c>
      <c r="D444" s="112">
        <f t="shared" si="106"/>
        <v>423.80020799999994</v>
      </c>
      <c r="E444" s="110">
        <f t="shared" si="105"/>
        <v>529.75026000000003</v>
      </c>
      <c r="F444" s="156" t="s">
        <v>360</v>
      </c>
      <c r="I444" s="62"/>
      <c r="J444" s="62"/>
      <c r="K444" s="62"/>
      <c r="L444" s="62"/>
      <c r="M444" s="62"/>
    </row>
    <row r="445" spans="1:14" ht="15.75" x14ac:dyDescent="0.25">
      <c r="A445" s="155">
        <v>6</v>
      </c>
      <c r="B445" s="110" t="s">
        <v>339</v>
      </c>
      <c r="C445" s="111">
        <f>32.83*(10.764)</f>
        <v>353.38211999999999</v>
      </c>
      <c r="D445" s="112">
        <f t="shared" si="106"/>
        <v>424.05854399999998</v>
      </c>
      <c r="E445" s="110">
        <f t="shared" si="105"/>
        <v>530.07317999999998</v>
      </c>
      <c r="F445" s="156" t="s">
        <v>359</v>
      </c>
      <c r="I445" s="62"/>
      <c r="J445" s="62"/>
      <c r="K445" s="60"/>
      <c r="L445" s="62"/>
      <c r="M445" s="62"/>
    </row>
    <row r="446" spans="1:14" s="115" customFormat="1" ht="15.75" customHeight="1" x14ac:dyDescent="0.25">
      <c r="A446" s="163" t="s">
        <v>352</v>
      </c>
      <c r="B446" s="164"/>
      <c r="C446" s="164"/>
      <c r="D446" s="164"/>
      <c r="E446" s="164"/>
      <c r="F446" s="165"/>
      <c r="G446" s="43"/>
      <c r="H446" s="43"/>
      <c r="I446" s="114"/>
      <c r="J446" s="114"/>
      <c r="K446" s="60"/>
    </row>
    <row r="447" spans="1:14" s="115" customFormat="1" ht="15.75" x14ac:dyDescent="0.25">
      <c r="A447" s="155">
        <v>1</v>
      </c>
      <c r="B447" s="110" t="s">
        <v>339</v>
      </c>
      <c r="C447" s="111">
        <f>36.6*(10.764)</f>
        <v>393.9624</v>
      </c>
      <c r="D447" s="112">
        <f>C447*1.2</f>
        <v>472.75487999999996</v>
      </c>
      <c r="E447" s="110">
        <f t="shared" ref="E447:E452" si="107">C447*(($E$247)+1)</f>
        <v>590.94360000000006</v>
      </c>
      <c r="F447" s="156" t="s">
        <v>360</v>
      </c>
      <c r="G447" s="169"/>
      <c r="H447" s="169"/>
      <c r="I447" s="60"/>
      <c r="J447" s="61"/>
      <c r="K447" s="62"/>
      <c r="L447" s="309"/>
      <c r="M447" s="309"/>
      <c r="N447" s="40"/>
    </row>
    <row r="448" spans="1:14" x14ac:dyDescent="0.25">
      <c r="A448" s="155">
        <v>2</v>
      </c>
      <c r="B448" s="110" t="s">
        <v>339</v>
      </c>
      <c r="C448" s="111">
        <f>36.6*(10.764)</f>
        <v>393.9624</v>
      </c>
      <c r="D448" s="112">
        <f t="shared" ref="D448:D452" si="108">C448*1.2</f>
        <v>472.75487999999996</v>
      </c>
      <c r="E448" s="110">
        <f t="shared" si="107"/>
        <v>590.94360000000006</v>
      </c>
      <c r="F448" s="156" t="s">
        <v>360</v>
      </c>
      <c r="I448" s="62"/>
      <c r="J448" s="62"/>
      <c r="K448" s="62"/>
      <c r="L448" s="62"/>
      <c r="M448" s="62"/>
    </row>
    <row r="449" spans="1:14" x14ac:dyDescent="0.25">
      <c r="A449" s="155">
        <v>3</v>
      </c>
      <c r="B449" s="110" t="s">
        <v>339</v>
      </c>
      <c r="C449" s="111">
        <f>32.98*(10.764)</f>
        <v>354.99671999999993</v>
      </c>
      <c r="D449" s="112">
        <f t="shared" si="108"/>
        <v>425.99606399999988</v>
      </c>
      <c r="E449" s="110">
        <f t="shared" si="107"/>
        <v>532.49507999999992</v>
      </c>
      <c r="F449" s="156" t="s">
        <v>359</v>
      </c>
      <c r="I449" s="62"/>
      <c r="J449" s="62"/>
      <c r="K449" s="62"/>
      <c r="L449" s="62"/>
      <c r="M449" s="62"/>
    </row>
    <row r="450" spans="1:14" ht="15.75" x14ac:dyDescent="0.25">
      <c r="A450" s="155">
        <v>4</v>
      </c>
      <c r="B450" s="110" t="s">
        <v>339</v>
      </c>
      <c r="C450" s="111">
        <f>32.98*(10.764)</f>
        <v>354.99671999999993</v>
      </c>
      <c r="D450" s="112">
        <f t="shared" si="108"/>
        <v>425.99606399999988</v>
      </c>
      <c r="E450" s="110">
        <f t="shared" si="107"/>
        <v>532.49507999999992</v>
      </c>
      <c r="F450" s="156" t="s">
        <v>359</v>
      </c>
      <c r="I450" s="62"/>
      <c r="J450" s="62"/>
      <c r="K450" s="60"/>
      <c r="L450" s="62"/>
      <c r="M450" s="62"/>
    </row>
    <row r="451" spans="1:14" x14ac:dyDescent="0.25">
      <c r="A451" s="155">
        <v>5</v>
      </c>
      <c r="B451" s="110" t="s">
        <v>339</v>
      </c>
      <c r="C451" s="111">
        <f>32.81*(10.764)</f>
        <v>353.16683999999998</v>
      </c>
      <c r="D451" s="112">
        <f t="shared" si="108"/>
        <v>423.80020799999994</v>
      </c>
      <c r="E451" s="110">
        <f t="shared" si="107"/>
        <v>529.75026000000003</v>
      </c>
      <c r="F451" s="156" t="s">
        <v>359</v>
      </c>
      <c r="I451" s="62"/>
      <c r="J451" s="62"/>
      <c r="K451" s="62"/>
      <c r="L451" s="62"/>
      <c r="M451" s="62"/>
    </row>
    <row r="452" spans="1:14" ht="15.75" x14ac:dyDescent="0.25">
      <c r="A452" s="155">
        <v>6</v>
      </c>
      <c r="B452" s="110" t="s">
        <v>339</v>
      </c>
      <c r="C452" s="111">
        <f>32.83*(10.764)</f>
        <v>353.38211999999999</v>
      </c>
      <c r="D452" s="112">
        <f t="shared" si="108"/>
        <v>424.05854399999998</v>
      </c>
      <c r="E452" s="110">
        <f t="shared" si="107"/>
        <v>530.07317999999998</v>
      </c>
      <c r="F452" s="156" t="s">
        <v>360</v>
      </c>
      <c r="I452" s="62"/>
      <c r="J452" s="62"/>
      <c r="K452" s="60"/>
      <c r="L452" s="62"/>
      <c r="M452" s="62"/>
    </row>
    <row r="453" spans="1:14" s="115" customFormat="1" ht="15.75" customHeight="1" x14ac:dyDescent="0.25">
      <c r="A453" s="163" t="s">
        <v>343</v>
      </c>
      <c r="B453" s="164"/>
      <c r="C453" s="164"/>
      <c r="D453" s="164"/>
      <c r="E453" s="164"/>
      <c r="F453" s="165"/>
      <c r="G453" s="43"/>
      <c r="H453" s="43"/>
      <c r="I453" s="114"/>
      <c r="J453" s="114"/>
      <c r="K453" s="60"/>
    </row>
    <row r="454" spans="1:14" s="115" customFormat="1" ht="15.75" x14ac:dyDescent="0.25">
      <c r="A454" s="155">
        <v>1</v>
      </c>
      <c r="B454" s="110" t="s">
        <v>339</v>
      </c>
      <c r="C454" s="111">
        <f>36.6*(10.764)</f>
        <v>393.9624</v>
      </c>
      <c r="D454" s="112">
        <f>C454*1.2</f>
        <v>472.75487999999996</v>
      </c>
      <c r="E454" s="110">
        <f t="shared" ref="E454:E459" si="109">C454*(($E$247)+1)</f>
        <v>590.94360000000006</v>
      </c>
      <c r="F454" s="156" t="s">
        <v>360</v>
      </c>
      <c r="G454" s="169"/>
      <c r="H454" s="169"/>
      <c r="I454" s="60"/>
      <c r="J454" s="61"/>
      <c r="K454" s="62"/>
      <c r="L454" s="309"/>
      <c r="M454" s="309"/>
      <c r="N454" s="40"/>
    </row>
    <row r="455" spans="1:14" x14ac:dyDescent="0.25">
      <c r="A455" s="155">
        <v>2</v>
      </c>
      <c r="B455" s="319" t="s">
        <v>344</v>
      </c>
      <c r="C455" s="320"/>
      <c r="D455" s="320"/>
      <c r="E455" s="321"/>
      <c r="F455" s="156" t="s">
        <v>307</v>
      </c>
      <c r="I455" s="62"/>
      <c r="J455" s="62"/>
      <c r="K455" s="62"/>
      <c r="L455" s="62"/>
      <c r="M455" s="62"/>
    </row>
    <row r="456" spans="1:14" x14ac:dyDescent="0.25">
      <c r="A456" s="155">
        <v>3</v>
      </c>
      <c r="B456" s="322"/>
      <c r="C456" s="323"/>
      <c r="D456" s="323"/>
      <c r="E456" s="324"/>
      <c r="F456" s="156" t="s">
        <v>307</v>
      </c>
      <c r="I456" s="62"/>
      <c r="J456" s="62"/>
      <c r="K456" s="62"/>
      <c r="L456" s="62"/>
      <c r="M456" s="62"/>
    </row>
    <row r="457" spans="1:14" ht="15.75" x14ac:dyDescent="0.25">
      <c r="A457" s="155">
        <v>4</v>
      </c>
      <c r="B457" s="110" t="s">
        <v>338</v>
      </c>
      <c r="C457" s="111">
        <f>46.89*(10.764)</f>
        <v>504.72395999999998</v>
      </c>
      <c r="D457" s="112">
        <f t="shared" ref="D457:D459" si="110">C457*1.2</f>
        <v>605.66875199999993</v>
      </c>
      <c r="E457" s="110">
        <f t="shared" si="109"/>
        <v>757.08593999999994</v>
      </c>
      <c r="F457" s="156" t="s">
        <v>359</v>
      </c>
      <c r="I457" s="62"/>
      <c r="J457" s="62"/>
      <c r="K457" s="60"/>
      <c r="L457" s="62"/>
      <c r="M457" s="62"/>
    </row>
    <row r="458" spans="1:14" x14ac:dyDescent="0.25">
      <c r="A458" s="155">
        <v>5</v>
      </c>
      <c r="B458" s="110" t="s">
        <v>339</v>
      </c>
      <c r="C458" s="111">
        <f>32.81*(10.764)</f>
        <v>353.16683999999998</v>
      </c>
      <c r="D458" s="112">
        <f t="shared" si="110"/>
        <v>423.80020799999994</v>
      </c>
      <c r="E458" s="110">
        <f t="shared" si="109"/>
        <v>529.75026000000003</v>
      </c>
      <c r="F458" s="156" t="s">
        <v>359</v>
      </c>
      <c r="I458" s="62"/>
      <c r="J458" s="62"/>
      <c r="K458" s="62"/>
      <c r="L458" s="62"/>
      <c r="M458" s="62"/>
    </row>
    <row r="459" spans="1:14" ht="15.75" x14ac:dyDescent="0.25">
      <c r="A459" s="155">
        <v>6</v>
      </c>
      <c r="B459" s="110" t="s">
        <v>339</v>
      </c>
      <c r="C459" s="111">
        <f>32.81*(10.764)</f>
        <v>353.16683999999998</v>
      </c>
      <c r="D459" s="112">
        <f t="shared" si="110"/>
        <v>423.80020799999994</v>
      </c>
      <c r="E459" s="110">
        <f t="shared" si="109"/>
        <v>529.75026000000003</v>
      </c>
      <c r="F459" s="156" t="s">
        <v>359</v>
      </c>
      <c r="I459" s="62"/>
      <c r="J459" s="62"/>
      <c r="K459" s="60"/>
      <c r="L459" s="62"/>
      <c r="M459" s="62"/>
    </row>
    <row r="460" spans="1:14" s="115" customFormat="1" ht="15.75" customHeight="1" x14ac:dyDescent="0.25">
      <c r="A460" s="163" t="s">
        <v>345</v>
      </c>
      <c r="B460" s="164"/>
      <c r="C460" s="164"/>
      <c r="D460" s="164"/>
      <c r="E460" s="164"/>
      <c r="F460" s="165"/>
      <c r="G460" s="43"/>
      <c r="H460" s="43"/>
      <c r="I460" s="114"/>
      <c r="J460" s="114"/>
      <c r="K460" s="60"/>
    </row>
    <row r="461" spans="1:14" s="115" customFormat="1" ht="15.75" x14ac:dyDescent="0.25">
      <c r="A461" s="155">
        <v>1</v>
      </c>
      <c r="B461" s="110" t="s">
        <v>339</v>
      </c>
      <c r="C461" s="111">
        <f>36.6*(10.764)</f>
        <v>393.9624</v>
      </c>
      <c r="D461" s="112">
        <f>C461*1.2</f>
        <v>472.75487999999996</v>
      </c>
      <c r="E461" s="110">
        <f t="shared" ref="E461" si="111">C461*(($E$247)+1)</f>
        <v>590.94360000000006</v>
      </c>
      <c r="F461" s="156" t="s">
        <v>360</v>
      </c>
      <c r="G461" s="169"/>
      <c r="H461" s="169"/>
      <c r="I461" s="60"/>
      <c r="J461" s="61"/>
      <c r="K461" s="62"/>
      <c r="L461" s="309"/>
      <c r="M461" s="309"/>
      <c r="N461" s="40"/>
    </row>
    <row r="462" spans="1:14" x14ac:dyDescent="0.25">
      <c r="A462" s="155">
        <v>2</v>
      </c>
      <c r="B462" s="319" t="s">
        <v>344</v>
      </c>
      <c r="C462" s="320"/>
      <c r="D462" s="320"/>
      <c r="E462" s="321"/>
      <c r="F462" s="156" t="s">
        <v>307</v>
      </c>
      <c r="I462" s="62"/>
      <c r="J462" s="62"/>
      <c r="K462" s="62"/>
      <c r="L462" s="62"/>
      <c r="M462" s="62"/>
    </row>
    <row r="463" spans="1:14" x14ac:dyDescent="0.25">
      <c r="A463" s="155">
        <v>3</v>
      </c>
      <c r="B463" s="322"/>
      <c r="C463" s="323"/>
      <c r="D463" s="323"/>
      <c r="E463" s="324"/>
      <c r="F463" s="156" t="s">
        <v>307</v>
      </c>
      <c r="I463" s="62"/>
      <c r="J463" s="62"/>
      <c r="K463" s="62"/>
      <c r="L463" s="62"/>
      <c r="M463" s="62"/>
    </row>
    <row r="464" spans="1:14" ht="15.75" x14ac:dyDescent="0.25">
      <c r="A464" s="155">
        <v>4</v>
      </c>
      <c r="B464" s="110" t="s">
        <v>339</v>
      </c>
      <c r="C464" s="111">
        <f>32.98*(10.764)</f>
        <v>354.99671999999993</v>
      </c>
      <c r="D464" s="112">
        <f t="shared" ref="D464:D466" si="112">C464*1.2</f>
        <v>425.99606399999988</v>
      </c>
      <c r="E464" s="110">
        <f t="shared" ref="E464:E466" si="113">C464*(($E$247)+1)</f>
        <v>532.49507999999992</v>
      </c>
      <c r="F464" s="156" t="s">
        <v>359</v>
      </c>
      <c r="I464" s="62"/>
      <c r="J464" s="62"/>
      <c r="K464" s="60"/>
      <c r="L464" s="62"/>
      <c r="M464" s="62"/>
    </row>
    <row r="465" spans="1:14" x14ac:dyDescent="0.25">
      <c r="A465" s="155">
        <v>5</v>
      </c>
      <c r="B465" s="110" t="s">
        <v>339</v>
      </c>
      <c r="C465" s="111">
        <f>32.81*(10.764)</f>
        <v>353.16683999999998</v>
      </c>
      <c r="D465" s="112">
        <f t="shared" si="112"/>
        <v>423.80020799999994</v>
      </c>
      <c r="E465" s="110">
        <f t="shared" si="113"/>
        <v>529.75026000000003</v>
      </c>
      <c r="F465" s="156" t="s">
        <v>359</v>
      </c>
      <c r="I465" s="62"/>
      <c r="J465" s="62"/>
      <c r="K465" s="62"/>
      <c r="L465" s="62"/>
      <c r="M465" s="62"/>
    </row>
    <row r="466" spans="1:14" ht="15.75" x14ac:dyDescent="0.25">
      <c r="A466" s="155">
        <v>6</v>
      </c>
      <c r="B466" s="110" t="s">
        <v>339</v>
      </c>
      <c r="C466" s="111">
        <f>32.81*(10.764)</f>
        <v>353.16683999999998</v>
      </c>
      <c r="D466" s="112">
        <f t="shared" si="112"/>
        <v>423.80020799999994</v>
      </c>
      <c r="E466" s="110">
        <f t="shared" si="113"/>
        <v>529.75026000000003</v>
      </c>
      <c r="F466" s="156" t="s">
        <v>359</v>
      </c>
      <c r="I466" s="62"/>
      <c r="J466" s="62"/>
      <c r="K466" s="60"/>
      <c r="L466" s="62"/>
      <c r="M466" s="62"/>
    </row>
    <row r="467" spans="1:14" s="37" customFormat="1" ht="15.75" x14ac:dyDescent="0.25">
      <c r="A467" s="166" t="s">
        <v>333</v>
      </c>
      <c r="B467" s="167"/>
      <c r="C467" s="167"/>
      <c r="D467" s="167"/>
      <c r="E467" s="167"/>
      <c r="F467" s="168"/>
      <c r="G467" s="42"/>
      <c r="H467" s="42"/>
      <c r="I467" s="64"/>
      <c r="J467" s="64"/>
      <c r="K467" s="62"/>
    </row>
    <row r="468" spans="1:14" s="115" customFormat="1" ht="15.75" customHeight="1" x14ac:dyDescent="0.25">
      <c r="A468" s="163" t="s">
        <v>363</v>
      </c>
      <c r="B468" s="164"/>
      <c r="C468" s="164"/>
      <c r="D468" s="164"/>
      <c r="E468" s="164"/>
      <c r="F468" s="165"/>
      <c r="G468" s="43"/>
      <c r="H468" s="43"/>
      <c r="I468" s="114"/>
      <c r="J468" s="114"/>
      <c r="K468" s="60"/>
    </row>
    <row r="469" spans="1:14" s="115" customFormat="1" ht="15.75" x14ac:dyDescent="0.25">
      <c r="A469" s="155">
        <v>1</v>
      </c>
      <c r="B469" s="110" t="s">
        <v>339</v>
      </c>
      <c r="C469" s="111">
        <f>32.83*(10.764)</f>
        <v>353.38211999999999</v>
      </c>
      <c r="D469" s="112">
        <f>C469*1.2</f>
        <v>424.05854399999998</v>
      </c>
      <c r="E469" s="110">
        <f t="shared" ref="E469:E474" si="114">C469*(($E$247)+1)</f>
        <v>530.07317999999998</v>
      </c>
      <c r="F469" s="156" t="s">
        <v>359</v>
      </c>
      <c r="G469" s="169"/>
      <c r="H469" s="169"/>
      <c r="I469" s="60"/>
      <c r="J469" s="61"/>
      <c r="K469" s="62"/>
      <c r="L469" s="309"/>
      <c r="M469" s="309"/>
      <c r="N469" s="40"/>
    </row>
    <row r="470" spans="1:14" x14ac:dyDescent="0.25">
      <c r="A470" s="155">
        <v>2</v>
      </c>
      <c r="B470" s="110" t="s">
        <v>339</v>
      </c>
      <c r="C470" s="111">
        <f>32.98*(10.764)</f>
        <v>354.99671999999993</v>
      </c>
      <c r="D470" s="112">
        <f t="shared" ref="D470:D474" si="115">C470*1.2</f>
        <v>425.99606399999988</v>
      </c>
      <c r="E470" s="110">
        <f t="shared" si="114"/>
        <v>532.49507999999992</v>
      </c>
      <c r="F470" s="156" t="s">
        <v>359</v>
      </c>
      <c r="I470" s="62"/>
      <c r="J470" s="62"/>
      <c r="K470" s="62"/>
      <c r="L470" s="62"/>
      <c r="M470" s="62"/>
    </row>
    <row r="471" spans="1:14" x14ac:dyDescent="0.25">
      <c r="A471" s="155">
        <v>3</v>
      </c>
      <c r="B471" s="110" t="s">
        <v>339</v>
      </c>
      <c r="C471" s="111">
        <f>32.98*(10.764)</f>
        <v>354.99671999999993</v>
      </c>
      <c r="D471" s="112">
        <f t="shared" si="115"/>
        <v>425.99606399999988</v>
      </c>
      <c r="E471" s="110">
        <f t="shared" si="114"/>
        <v>532.49507999999992</v>
      </c>
      <c r="F471" s="156" t="s">
        <v>359</v>
      </c>
      <c r="I471" s="62"/>
      <c r="J471" s="62"/>
      <c r="K471" s="62"/>
      <c r="L471" s="62"/>
      <c r="M471" s="62"/>
    </row>
    <row r="472" spans="1:14" ht="15.75" x14ac:dyDescent="0.25">
      <c r="A472" s="155">
        <v>4</v>
      </c>
      <c r="B472" s="110" t="s">
        <v>339</v>
      </c>
      <c r="C472" s="111">
        <f>32.81*(10.764)</f>
        <v>353.16683999999998</v>
      </c>
      <c r="D472" s="112">
        <f t="shared" si="115"/>
        <v>423.80020799999994</v>
      </c>
      <c r="E472" s="110">
        <f t="shared" si="114"/>
        <v>529.75026000000003</v>
      </c>
      <c r="F472" s="156" t="s">
        <v>359</v>
      </c>
      <c r="I472" s="62"/>
      <c r="J472" s="62"/>
      <c r="K472" s="60"/>
      <c r="L472" s="62"/>
      <c r="M472" s="62"/>
    </row>
    <row r="473" spans="1:14" x14ac:dyDescent="0.25">
      <c r="A473" s="155">
        <v>5</v>
      </c>
      <c r="B473" s="110" t="s">
        <v>339</v>
      </c>
      <c r="C473" s="111">
        <f>32.81*(10.764)</f>
        <v>353.16683999999998</v>
      </c>
      <c r="D473" s="112">
        <f t="shared" si="115"/>
        <v>423.80020799999994</v>
      </c>
      <c r="E473" s="110">
        <f t="shared" si="114"/>
        <v>529.75026000000003</v>
      </c>
      <c r="F473" s="156" t="s">
        <v>359</v>
      </c>
      <c r="I473" s="62"/>
      <c r="J473" s="62"/>
      <c r="K473" s="62"/>
      <c r="L473" s="62"/>
      <c r="M473" s="62"/>
    </row>
    <row r="474" spans="1:14" ht="15.75" x14ac:dyDescent="0.25">
      <c r="A474" s="155">
        <v>6</v>
      </c>
      <c r="B474" s="110" t="s">
        <v>339</v>
      </c>
      <c r="C474" s="111">
        <f>32.83*(10.764)</f>
        <v>353.38211999999999</v>
      </c>
      <c r="D474" s="112">
        <f t="shared" si="115"/>
        <v>424.05854399999998</v>
      </c>
      <c r="E474" s="110">
        <f t="shared" si="114"/>
        <v>530.07317999999998</v>
      </c>
      <c r="F474" s="156" t="s">
        <v>359</v>
      </c>
      <c r="I474" s="62"/>
      <c r="J474" s="62"/>
      <c r="K474" s="60"/>
      <c r="L474" s="62"/>
      <c r="M474" s="62"/>
    </row>
    <row r="475" spans="1:14" s="115" customFormat="1" ht="15.75" customHeight="1" x14ac:dyDescent="0.25">
      <c r="A475" s="163" t="s">
        <v>365</v>
      </c>
      <c r="B475" s="164"/>
      <c r="C475" s="164"/>
      <c r="D475" s="164"/>
      <c r="E475" s="164"/>
      <c r="F475" s="165"/>
      <c r="G475" s="43"/>
      <c r="H475" s="43"/>
      <c r="I475" s="114"/>
      <c r="J475" s="114"/>
      <c r="K475" s="60"/>
    </row>
    <row r="476" spans="1:14" s="115" customFormat="1" ht="15.75" x14ac:dyDescent="0.25">
      <c r="A476" s="155">
        <v>1</v>
      </c>
      <c r="B476" s="110" t="s">
        <v>339</v>
      </c>
      <c r="C476" s="111">
        <f>32.83*(10.764)</f>
        <v>353.38211999999999</v>
      </c>
      <c r="D476" s="112">
        <f>C476*1.2</f>
        <v>424.05854399999998</v>
      </c>
      <c r="E476" s="110">
        <f t="shared" ref="E476:E481" si="116">C476*(($E$247)+1)</f>
        <v>530.07317999999998</v>
      </c>
      <c r="F476" s="156" t="s">
        <v>359</v>
      </c>
      <c r="G476" s="169"/>
      <c r="H476" s="169"/>
      <c r="I476" s="60"/>
      <c r="J476" s="61"/>
      <c r="K476" s="62"/>
      <c r="L476" s="309"/>
      <c r="M476" s="309"/>
      <c r="N476" s="40"/>
    </row>
    <row r="477" spans="1:14" x14ac:dyDescent="0.25">
      <c r="A477" s="155">
        <v>2</v>
      </c>
      <c r="B477" s="110" t="s">
        <v>339</v>
      </c>
      <c r="C477" s="111">
        <f>32.98*(10.764)</f>
        <v>354.99671999999993</v>
      </c>
      <c r="D477" s="112">
        <f t="shared" ref="D477:D481" si="117">C477*1.2</f>
        <v>425.99606399999988</v>
      </c>
      <c r="E477" s="110">
        <f t="shared" si="116"/>
        <v>532.49507999999992</v>
      </c>
      <c r="F477" s="156" t="s">
        <v>359</v>
      </c>
      <c r="I477" s="62"/>
      <c r="J477" s="62"/>
      <c r="K477" s="62"/>
      <c r="L477" s="62"/>
      <c r="M477" s="62"/>
    </row>
    <row r="478" spans="1:14" x14ac:dyDescent="0.25">
      <c r="A478" s="155">
        <v>3</v>
      </c>
      <c r="B478" s="110" t="s">
        <v>339</v>
      </c>
      <c r="C478" s="111">
        <f>32.98*(10.764)</f>
        <v>354.99671999999993</v>
      </c>
      <c r="D478" s="112">
        <f t="shared" si="117"/>
        <v>425.99606399999988</v>
      </c>
      <c r="E478" s="110">
        <f t="shared" si="116"/>
        <v>532.49507999999992</v>
      </c>
      <c r="F478" s="156" t="s">
        <v>359</v>
      </c>
      <c r="I478" s="62"/>
      <c r="J478" s="62"/>
      <c r="K478" s="62"/>
      <c r="L478" s="62"/>
      <c r="M478" s="62"/>
    </row>
    <row r="479" spans="1:14" ht="15.75" x14ac:dyDescent="0.25">
      <c r="A479" s="155">
        <v>4</v>
      </c>
      <c r="B479" s="110" t="s">
        <v>339</v>
      </c>
      <c r="C479" s="111">
        <f>32.81*(10.764)</f>
        <v>353.16683999999998</v>
      </c>
      <c r="D479" s="112">
        <f t="shared" si="117"/>
        <v>423.80020799999994</v>
      </c>
      <c r="E479" s="110">
        <f t="shared" si="116"/>
        <v>529.75026000000003</v>
      </c>
      <c r="F479" s="156" t="s">
        <v>359</v>
      </c>
      <c r="I479" s="62"/>
      <c r="J479" s="62"/>
      <c r="K479" s="60"/>
      <c r="L479" s="62"/>
      <c r="M479" s="62"/>
    </row>
    <row r="480" spans="1:14" x14ac:dyDescent="0.25">
      <c r="A480" s="155">
        <v>5</v>
      </c>
      <c r="B480" s="110" t="s">
        <v>339</v>
      </c>
      <c r="C480" s="111">
        <f>32.81*(10.764)</f>
        <v>353.16683999999998</v>
      </c>
      <c r="D480" s="112">
        <f t="shared" si="117"/>
        <v>423.80020799999994</v>
      </c>
      <c r="E480" s="110">
        <f t="shared" si="116"/>
        <v>529.75026000000003</v>
      </c>
      <c r="F480" s="156" t="s">
        <v>359</v>
      </c>
      <c r="I480" s="62"/>
      <c r="J480" s="62"/>
      <c r="K480" s="62"/>
      <c r="L480" s="62"/>
      <c r="M480" s="62"/>
    </row>
    <row r="481" spans="1:14" ht="15.75" x14ac:dyDescent="0.25">
      <c r="A481" s="155">
        <v>6</v>
      </c>
      <c r="B481" s="110" t="s">
        <v>339</v>
      </c>
      <c r="C481" s="111">
        <f>32.83*(10.764)</f>
        <v>353.38211999999999</v>
      </c>
      <c r="D481" s="112">
        <f t="shared" si="117"/>
        <v>424.05854399999998</v>
      </c>
      <c r="E481" s="110">
        <f t="shared" si="116"/>
        <v>530.07317999999998</v>
      </c>
      <c r="F481" s="156" t="s">
        <v>359</v>
      </c>
      <c r="I481" s="62"/>
      <c r="J481" s="62"/>
      <c r="K481" s="60"/>
      <c r="L481" s="62"/>
      <c r="M481" s="62"/>
    </row>
    <row r="482" spans="1:14" s="115" customFormat="1" ht="15.75" customHeight="1" x14ac:dyDescent="0.25">
      <c r="A482" s="163" t="s">
        <v>350</v>
      </c>
      <c r="B482" s="164"/>
      <c r="C482" s="164"/>
      <c r="D482" s="164"/>
      <c r="E482" s="164"/>
      <c r="F482" s="165"/>
      <c r="G482" s="43"/>
      <c r="H482" s="43"/>
      <c r="I482" s="114"/>
      <c r="J482" s="114"/>
      <c r="K482" s="60"/>
    </row>
    <row r="483" spans="1:14" s="115" customFormat="1" ht="15.75" x14ac:dyDescent="0.25">
      <c r="A483" s="155">
        <v>1</v>
      </c>
      <c r="B483" s="110" t="s">
        <v>339</v>
      </c>
      <c r="C483" s="111">
        <f>32.83*(10.764)</f>
        <v>353.38211999999999</v>
      </c>
      <c r="D483" s="112">
        <f>C483*1.2</f>
        <v>424.05854399999998</v>
      </c>
      <c r="E483" s="110">
        <f t="shared" ref="E483:E488" si="118">C483*(($E$247)+1)</f>
        <v>530.07317999999998</v>
      </c>
      <c r="F483" s="156" t="s">
        <v>359</v>
      </c>
      <c r="G483" s="169"/>
      <c r="H483" s="169"/>
      <c r="I483" s="60"/>
      <c r="J483" s="61"/>
      <c r="K483" s="62"/>
      <c r="L483" s="309"/>
      <c r="M483" s="309"/>
      <c r="N483" s="40"/>
    </row>
    <row r="484" spans="1:14" x14ac:dyDescent="0.25">
      <c r="A484" s="155">
        <v>2</v>
      </c>
      <c r="B484" s="110" t="s">
        <v>339</v>
      </c>
      <c r="C484" s="111">
        <f>32.98*(10.764)</f>
        <v>354.99671999999993</v>
      </c>
      <c r="D484" s="112">
        <f t="shared" ref="D484:D488" si="119">C484*1.2</f>
        <v>425.99606399999988</v>
      </c>
      <c r="E484" s="110">
        <f t="shared" si="118"/>
        <v>532.49507999999992</v>
      </c>
      <c r="F484" s="156" t="s">
        <v>359</v>
      </c>
      <c r="I484" s="62"/>
      <c r="J484" s="62"/>
      <c r="K484" s="62"/>
      <c r="L484" s="62"/>
      <c r="M484" s="62"/>
    </row>
    <row r="485" spans="1:14" x14ac:dyDescent="0.25">
      <c r="A485" s="155">
        <v>3</v>
      </c>
      <c r="B485" s="110" t="s">
        <v>339</v>
      </c>
      <c r="C485" s="111">
        <f>32.98*(10.764)</f>
        <v>354.99671999999993</v>
      </c>
      <c r="D485" s="112">
        <f t="shared" si="119"/>
        <v>425.99606399999988</v>
      </c>
      <c r="E485" s="110">
        <f t="shared" si="118"/>
        <v>532.49507999999992</v>
      </c>
      <c r="F485" s="156" t="s">
        <v>359</v>
      </c>
      <c r="I485" s="62"/>
      <c r="J485" s="62"/>
      <c r="K485" s="62"/>
      <c r="L485" s="62"/>
      <c r="M485" s="62"/>
    </row>
    <row r="486" spans="1:14" ht="15.75" x14ac:dyDescent="0.25">
      <c r="A486" s="155">
        <v>4</v>
      </c>
      <c r="B486" s="110" t="s">
        <v>339</v>
      </c>
      <c r="C486" s="111">
        <f>32.81*(10.764)</f>
        <v>353.16683999999998</v>
      </c>
      <c r="D486" s="112">
        <f t="shared" si="119"/>
        <v>423.80020799999994</v>
      </c>
      <c r="E486" s="110">
        <f t="shared" si="118"/>
        <v>529.75026000000003</v>
      </c>
      <c r="F486" s="156" t="s">
        <v>359</v>
      </c>
      <c r="I486" s="62"/>
      <c r="J486" s="62"/>
      <c r="K486" s="60"/>
      <c r="L486" s="62"/>
      <c r="M486" s="62"/>
    </row>
    <row r="487" spans="1:14" x14ac:dyDescent="0.25">
      <c r="A487" s="155">
        <v>5</v>
      </c>
      <c r="B487" s="110" t="s">
        <v>339</v>
      </c>
      <c r="C487" s="111">
        <f>32.81*(10.764)</f>
        <v>353.16683999999998</v>
      </c>
      <c r="D487" s="112">
        <f t="shared" si="119"/>
        <v>423.80020799999994</v>
      </c>
      <c r="E487" s="110">
        <f t="shared" si="118"/>
        <v>529.75026000000003</v>
      </c>
      <c r="F487" s="156" t="s">
        <v>360</v>
      </c>
      <c r="I487" s="62"/>
      <c r="J487" s="62"/>
      <c r="K487" s="62"/>
      <c r="L487" s="62"/>
      <c r="M487" s="62"/>
    </row>
    <row r="488" spans="1:14" ht="15.75" x14ac:dyDescent="0.25">
      <c r="A488" s="155">
        <v>6</v>
      </c>
      <c r="B488" s="110" t="s">
        <v>339</v>
      </c>
      <c r="C488" s="111">
        <f>32.83*(10.764)</f>
        <v>353.38211999999999</v>
      </c>
      <c r="D488" s="112">
        <f t="shared" si="119"/>
        <v>424.05854399999998</v>
      </c>
      <c r="E488" s="110">
        <f t="shared" si="118"/>
        <v>530.07317999999998</v>
      </c>
      <c r="F488" s="156" t="s">
        <v>360</v>
      </c>
      <c r="I488" s="62"/>
      <c r="J488" s="62"/>
      <c r="K488" s="60"/>
      <c r="L488" s="62"/>
      <c r="M488" s="62"/>
    </row>
    <row r="489" spans="1:14" s="115" customFormat="1" ht="15.75" customHeight="1" x14ac:dyDescent="0.25">
      <c r="A489" s="163" t="s">
        <v>357</v>
      </c>
      <c r="B489" s="164"/>
      <c r="C489" s="164"/>
      <c r="D489" s="164"/>
      <c r="E489" s="164"/>
      <c r="F489" s="165"/>
      <c r="G489" s="43"/>
      <c r="H489" s="43"/>
      <c r="I489" s="114"/>
      <c r="J489" s="114"/>
      <c r="K489" s="60"/>
    </row>
    <row r="490" spans="1:14" s="115" customFormat="1" ht="15.75" x14ac:dyDescent="0.25">
      <c r="A490" s="155">
        <v>1</v>
      </c>
      <c r="B490" s="110" t="s">
        <v>339</v>
      </c>
      <c r="C490" s="111">
        <f>32.83*(10.764)</f>
        <v>353.38211999999999</v>
      </c>
      <c r="D490" s="112">
        <f>C490*1.2</f>
        <v>424.05854399999998</v>
      </c>
      <c r="E490" s="110">
        <f t="shared" ref="E490:E495" si="120">C490*(($E$247)+1)</f>
        <v>530.07317999999998</v>
      </c>
      <c r="F490" s="156" t="s">
        <v>360</v>
      </c>
      <c r="G490" s="169"/>
      <c r="H490" s="169"/>
      <c r="I490" s="60"/>
      <c r="J490" s="61"/>
      <c r="K490" s="62"/>
      <c r="L490" s="309"/>
      <c r="M490" s="309"/>
      <c r="N490" s="40"/>
    </row>
    <row r="491" spans="1:14" x14ac:dyDescent="0.25">
      <c r="A491" s="155">
        <v>2</v>
      </c>
      <c r="B491" s="110" t="s">
        <v>339</v>
      </c>
      <c r="C491" s="111">
        <f>32.98*(10.764)</f>
        <v>354.99671999999993</v>
      </c>
      <c r="D491" s="112">
        <f t="shared" ref="D491:D495" si="121">C491*1.2</f>
        <v>425.99606399999988</v>
      </c>
      <c r="E491" s="110">
        <f t="shared" si="120"/>
        <v>532.49507999999992</v>
      </c>
      <c r="F491" s="156" t="s">
        <v>359</v>
      </c>
      <c r="I491" s="62"/>
      <c r="J491" s="62"/>
      <c r="K491" s="62"/>
      <c r="L491" s="62"/>
      <c r="M491" s="62"/>
    </row>
    <row r="492" spans="1:14" x14ac:dyDescent="0.25">
      <c r="A492" s="155">
        <v>3</v>
      </c>
      <c r="B492" s="110" t="s">
        <v>339</v>
      </c>
      <c r="C492" s="111">
        <f>32.98*(10.764)</f>
        <v>354.99671999999993</v>
      </c>
      <c r="D492" s="112">
        <f t="shared" si="121"/>
        <v>425.99606399999988</v>
      </c>
      <c r="E492" s="110">
        <f t="shared" si="120"/>
        <v>532.49507999999992</v>
      </c>
      <c r="F492" s="156" t="s">
        <v>359</v>
      </c>
      <c r="I492" s="62"/>
      <c r="J492" s="62"/>
      <c r="K492" s="62"/>
      <c r="L492" s="62"/>
      <c r="M492" s="62"/>
    </row>
    <row r="493" spans="1:14" ht="15.75" x14ac:dyDescent="0.25">
      <c r="A493" s="155">
        <v>4</v>
      </c>
      <c r="B493" s="110" t="s">
        <v>339</v>
      </c>
      <c r="C493" s="111">
        <f>32.81*(10.764)</f>
        <v>353.16683999999998</v>
      </c>
      <c r="D493" s="112">
        <f t="shared" si="121"/>
        <v>423.80020799999994</v>
      </c>
      <c r="E493" s="110">
        <f t="shared" si="120"/>
        <v>529.75026000000003</v>
      </c>
      <c r="F493" s="156" t="s">
        <v>359</v>
      </c>
      <c r="I493" s="62"/>
      <c r="J493" s="62"/>
      <c r="K493" s="60"/>
      <c r="L493" s="62"/>
      <c r="M493" s="62"/>
    </row>
    <row r="494" spans="1:14" x14ac:dyDescent="0.25">
      <c r="A494" s="155">
        <v>5</v>
      </c>
      <c r="B494" s="110" t="s">
        <v>339</v>
      </c>
      <c r="C494" s="111">
        <f>32.81*(10.764)</f>
        <v>353.16683999999998</v>
      </c>
      <c r="D494" s="112">
        <f t="shared" si="121"/>
        <v>423.80020799999994</v>
      </c>
      <c r="E494" s="110">
        <f t="shared" si="120"/>
        <v>529.75026000000003</v>
      </c>
      <c r="F494" s="156" t="s">
        <v>359</v>
      </c>
      <c r="I494" s="62"/>
      <c r="J494" s="62"/>
      <c r="K494" s="62"/>
      <c r="L494" s="62"/>
      <c r="M494" s="62"/>
    </row>
    <row r="495" spans="1:14" ht="15.75" x14ac:dyDescent="0.25">
      <c r="A495" s="155">
        <v>6</v>
      </c>
      <c r="B495" s="110" t="s">
        <v>339</v>
      </c>
      <c r="C495" s="111">
        <f>32.83*(10.764)</f>
        <v>353.38211999999999</v>
      </c>
      <c r="D495" s="112">
        <f t="shared" si="121"/>
        <v>424.05854399999998</v>
      </c>
      <c r="E495" s="110">
        <f t="shared" si="120"/>
        <v>530.07317999999998</v>
      </c>
      <c r="F495" s="156" t="s">
        <v>359</v>
      </c>
      <c r="I495" s="62"/>
      <c r="J495" s="62"/>
      <c r="K495" s="60"/>
      <c r="L495" s="62"/>
      <c r="M495" s="62"/>
    </row>
    <row r="496" spans="1:14" s="115" customFormat="1" ht="15.75" customHeight="1" x14ac:dyDescent="0.25">
      <c r="A496" s="163" t="s">
        <v>343</v>
      </c>
      <c r="B496" s="164"/>
      <c r="C496" s="164"/>
      <c r="D496" s="164"/>
      <c r="E496" s="164"/>
      <c r="F496" s="165"/>
      <c r="G496" s="43"/>
      <c r="H496" s="43"/>
      <c r="I496" s="114"/>
      <c r="J496" s="114"/>
      <c r="K496" s="60"/>
    </row>
    <row r="497" spans="1:14" s="115" customFormat="1" ht="15.75" x14ac:dyDescent="0.25">
      <c r="A497" s="155">
        <v>1</v>
      </c>
      <c r="B497" s="319" t="s">
        <v>344</v>
      </c>
      <c r="C497" s="320"/>
      <c r="D497" s="320"/>
      <c r="E497" s="321"/>
      <c r="F497" s="156" t="s">
        <v>307</v>
      </c>
      <c r="G497" s="169"/>
      <c r="H497" s="169"/>
      <c r="I497" s="60"/>
      <c r="J497" s="61"/>
      <c r="K497" s="62"/>
      <c r="L497" s="309"/>
      <c r="M497" s="309"/>
      <c r="N497" s="40"/>
    </row>
    <row r="498" spans="1:14" x14ac:dyDescent="0.25">
      <c r="A498" s="155">
        <v>2</v>
      </c>
      <c r="B498" s="322"/>
      <c r="C498" s="323"/>
      <c r="D498" s="323"/>
      <c r="E498" s="324"/>
      <c r="F498" s="156" t="s">
        <v>307</v>
      </c>
      <c r="I498" s="62"/>
      <c r="J498" s="62"/>
      <c r="K498" s="62"/>
      <c r="L498" s="62"/>
      <c r="M498" s="62"/>
    </row>
    <row r="499" spans="1:14" x14ac:dyDescent="0.25">
      <c r="A499" s="155">
        <v>3</v>
      </c>
      <c r="B499" s="110" t="s">
        <v>339</v>
      </c>
      <c r="C499" s="111">
        <f>45.07*(10.764)</f>
        <v>485.13347999999996</v>
      </c>
      <c r="D499" s="112">
        <f t="shared" ref="D499:D502" si="122">C499*1.2</f>
        <v>582.16017599999998</v>
      </c>
      <c r="E499" s="110">
        <f t="shared" ref="E499:E502" si="123">C499*(($E$247)+1)</f>
        <v>727.70021999999994</v>
      </c>
      <c r="F499" s="156" t="s">
        <v>359</v>
      </c>
      <c r="I499" s="62"/>
      <c r="J499" s="62"/>
      <c r="K499" s="62"/>
      <c r="L499" s="62"/>
      <c r="M499" s="62"/>
    </row>
    <row r="500" spans="1:14" ht="15.75" x14ac:dyDescent="0.25">
      <c r="A500" s="155">
        <v>4</v>
      </c>
      <c r="B500" s="110" t="s">
        <v>339</v>
      </c>
      <c r="C500" s="111">
        <f>32.81*(10.764)</f>
        <v>353.16683999999998</v>
      </c>
      <c r="D500" s="112">
        <f t="shared" si="122"/>
        <v>423.80020799999994</v>
      </c>
      <c r="E500" s="110">
        <f t="shared" si="123"/>
        <v>529.75026000000003</v>
      </c>
      <c r="F500" s="156" t="s">
        <v>359</v>
      </c>
      <c r="I500" s="62"/>
      <c r="J500" s="62"/>
      <c r="K500" s="60"/>
      <c r="L500" s="62"/>
      <c r="M500" s="62"/>
    </row>
    <row r="501" spans="1:14" x14ac:dyDescent="0.25">
      <c r="A501" s="155">
        <v>5</v>
      </c>
      <c r="B501" s="110" t="s">
        <v>339</v>
      </c>
      <c r="C501" s="111">
        <f>32.81*(10.764)</f>
        <v>353.16683999999998</v>
      </c>
      <c r="D501" s="112">
        <f t="shared" si="122"/>
        <v>423.80020799999994</v>
      </c>
      <c r="E501" s="110">
        <f t="shared" si="123"/>
        <v>529.75026000000003</v>
      </c>
      <c r="F501" s="156" t="s">
        <v>359</v>
      </c>
      <c r="I501" s="62"/>
      <c r="J501" s="62"/>
      <c r="K501" s="62"/>
      <c r="L501" s="62"/>
      <c r="M501" s="62"/>
    </row>
    <row r="502" spans="1:14" ht="15.75" x14ac:dyDescent="0.25">
      <c r="A502" s="155">
        <v>6</v>
      </c>
      <c r="B502" s="110" t="s">
        <v>339</v>
      </c>
      <c r="C502" s="111">
        <f>32.83*(10.764)</f>
        <v>353.38211999999999</v>
      </c>
      <c r="D502" s="112">
        <f t="shared" si="122"/>
        <v>424.05854399999998</v>
      </c>
      <c r="E502" s="110">
        <f t="shared" si="123"/>
        <v>530.07317999999998</v>
      </c>
      <c r="F502" s="156" t="s">
        <v>359</v>
      </c>
      <c r="I502" s="62"/>
      <c r="J502" s="62"/>
      <c r="K502" s="60"/>
      <c r="L502" s="62"/>
      <c r="M502" s="62"/>
    </row>
    <row r="503" spans="1:14" s="115" customFormat="1" ht="15.75" customHeight="1" x14ac:dyDescent="0.25">
      <c r="A503" s="163" t="s">
        <v>345</v>
      </c>
      <c r="B503" s="164"/>
      <c r="C503" s="164"/>
      <c r="D503" s="164"/>
      <c r="E503" s="164"/>
      <c r="F503" s="165"/>
      <c r="G503" s="43"/>
      <c r="H503" s="43"/>
      <c r="I503" s="114"/>
      <c r="J503" s="114"/>
      <c r="K503" s="60"/>
    </row>
    <row r="504" spans="1:14" s="115" customFormat="1" ht="15.75" x14ac:dyDescent="0.25">
      <c r="A504" s="155">
        <v>1</v>
      </c>
      <c r="B504" s="319" t="s">
        <v>344</v>
      </c>
      <c r="C504" s="320"/>
      <c r="D504" s="320"/>
      <c r="E504" s="321"/>
      <c r="F504" s="156" t="s">
        <v>307</v>
      </c>
      <c r="G504" s="169"/>
      <c r="H504" s="169"/>
      <c r="I504" s="60"/>
      <c r="J504" s="61"/>
      <c r="K504" s="62"/>
      <c r="L504" s="309"/>
      <c r="M504" s="309"/>
      <c r="N504" s="40"/>
    </row>
    <row r="505" spans="1:14" x14ac:dyDescent="0.25">
      <c r="A505" s="155">
        <v>2</v>
      </c>
      <c r="B505" s="322"/>
      <c r="C505" s="323"/>
      <c r="D505" s="323"/>
      <c r="E505" s="324"/>
      <c r="F505" s="156" t="s">
        <v>307</v>
      </c>
      <c r="I505" s="62"/>
      <c r="J505" s="62"/>
      <c r="K505" s="62"/>
      <c r="L505" s="62"/>
      <c r="M505" s="62"/>
    </row>
    <row r="506" spans="1:14" x14ac:dyDescent="0.25">
      <c r="A506" s="155">
        <v>3</v>
      </c>
      <c r="B506" s="110" t="s">
        <v>338</v>
      </c>
      <c r="C506" s="111">
        <f>45.07*(10.764)</f>
        <v>485.13347999999996</v>
      </c>
      <c r="D506" s="112">
        <f t="shared" ref="D506:D509" si="124">C506*1.2</f>
        <v>582.16017599999998</v>
      </c>
      <c r="E506" s="110">
        <f t="shared" ref="E506:E509" si="125">C506*(($E$247)+1)</f>
        <v>727.70021999999994</v>
      </c>
      <c r="F506" s="156" t="s">
        <v>359</v>
      </c>
      <c r="I506" s="62"/>
      <c r="J506" s="62"/>
      <c r="K506" s="62"/>
      <c r="L506" s="62"/>
      <c r="M506" s="62"/>
    </row>
    <row r="507" spans="1:14" ht="15.75" x14ac:dyDescent="0.25">
      <c r="A507" s="155">
        <v>4</v>
      </c>
      <c r="B507" s="110" t="s">
        <v>339</v>
      </c>
      <c r="C507" s="111">
        <f>32.81*(10.764)</f>
        <v>353.16683999999998</v>
      </c>
      <c r="D507" s="112">
        <f t="shared" si="124"/>
        <v>423.80020799999994</v>
      </c>
      <c r="E507" s="110">
        <f t="shared" si="125"/>
        <v>529.75026000000003</v>
      </c>
      <c r="F507" s="156" t="s">
        <v>359</v>
      </c>
      <c r="I507" s="62"/>
      <c r="J507" s="62"/>
      <c r="K507" s="60"/>
      <c r="L507" s="62"/>
      <c r="M507" s="62"/>
    </row>
    <row r="508" spans="1:14" x14ac:dyDescent="0.25">
      <c r="A508" s="155">
        <v>5</v>
      </c>
      <c r="B508" s="110" t="s">
        <v>339</v>
      </c>
      <c r="C508" s="111">
        <f>32.81*(10.764)</f>
        <v>353.16683999999998</v>
      </c>
      <c r="D508" s="112">
        <f t="shared" si="124"/>
        <v>423.80020799999994</v>
      </c>
      <c r="E508" s="110">
        <f t="shared" si="125"/>
        <v>529.75026000000003</v>
      </c>
      <c r="F508" s="156" t="s">
        <v>359</v>
      </c>
      <c r="I508" s="62"/>
      <c r="J508" s="62"/>
      <c r="K508" s="62"/>
      <c r="L508" s="62"/>
      <c r="M508" s="62"/>
    </row>
    <row r="509" spans="1:14" ht="15.75" x14ac:dyDescent="0.25">
      <c r="A509" s="155">
        <v>6</v>
      </c>
      <c r="B509" s="110" t="s">
        <v>339</v>
      </c>
      <c r="C509" s="111">
        <f>32.83*(10.764)</f>
        <v>353.38211999999999</v>
      </c>
      <c r="D509" s="112">
        <f t="shared" si="124"/>
        <v>424.05854399999998</v>
      </c>
      <c r="E509" s="110">
        <f t="shared" si="125"/>
        <v>530.07317999999998</v>
      </c>
      <c r="F509" s="156" t="s">
        <v>360</v>
      </c>
      <c r="I509" s="62"/>
      <c r="J509" s="62"/>
      <c r="K509" s="60"/>
      <c r="L509" s="62"/>
      <c r="M509" s="62"/>
    </row>
    <row r="510" spans="1:14" s="37" customFormat="1" ht="15.75" x14ac:dyDescent="0.25">
      <c r="A510" s="166" t="s">
        <v>335</v>
      </c>
      <c r="B510" s="167"/>
      <c r="C510" s="167"/>
      <c r="D510" s="167"/>
      <c r="E510" s="167"/>
      <c r="F510" s="168"/>
      <c r="G510" s="42"/>
      <c r="H510" s="42"/>
      <c r="I510" s="64"/>
      <c r="J510" s="64"/>
      <c r="K510" s="62"/>
    </row>
    <row r="511" spans="1:14" s="115" customFormat="1" ht="15.75" customHeight="1" x14ac:dyDescent="0.25">
      <c r="A511" s="163" t="s">
        <v>363</v>
      </c>
      <c r="B511" s="164"/>
      <c r="C511" s="164"/>
      <c r="D511" s="164"/>
      <c r="E511" s="164"/>
      <c r="F511" s="165"/>
      <c r="G511" s="43"/>
      <c r="H511" s="43"/>
      <c r="I511" s="114"/>
      <c r="J511" s="114"/>
      <c r="K511" s="60"/>
    </row>
    <row r="512" spans="1:14" s="115" customFormat="1" ht="15.75" x14ac:dyDescent="0.25">
      <c r="A512" s="155">
        <v>1</v>
      </c>
      <c r="B512" s="110" t="s">
        <v>339</v>
      </c>
      <c r="C512" s="111">
        <f>32.83*(10.764)</f>
        <v>353.38211999999999</v>
      </c>
      <c r="D512" s="112">
        <f>C512*1.2</f>
        <v>424.05854399999998</v>
      </c>
      <c r="E512" s="110">
        <f t="shared" ref="E512:E517" si="126">C512*(($E$247)+1)</f>
        <v>530.07317999999998</v>
      </c>
      <c r="F512" s="414" t="str">
        <f>A511</f>
        <v>1st Floor for Residential</v>
      </c>
      <c r="G512" s="169"/>
      <c r="H512" s="169"/>
      <c r="I512" s="60"/>
      <c r="J512" s="61"/>
      <c r="K512" s="62"/>
      <c r="L512" s="309"/>
      <c r="M512" s="309"/>
      <c r="N512" s="40"/>
    </row>
    <row r="513" spans="1:14" x14ac:dyDescent="0.25">
      <c r="A513" s="155">
        <v>2</v>
      </c>
      <c r="B513" s="110" t="s">
        <v>339</v>
      </c>
      <c r="C513" s="111">
        <f>32.86*(10.764)</f>
        <v>353.70504</v>
      </c>
      <c r="D513" s="112">
        <f t="shared" ref="D513:D517" si="127">C513*1.2</f>
        <v>424.44604799999996</v>
      </c>
      <c r="E513" s="110">
        <f t="shared" si="126"/>
        <v>530.55755999999997</v>
      </c>
      <c r="F513" s="415"/>
      <c r="I513" s="62"/>
      <c r="J513" s="62"/>
      <c r="K513" s="62"/>
      <c r="L513" s="62"/>
      <c r="M513" s="62"/>
    </row>
    <row r="514" spans="1:14" x14ac:dyDescent="0.25">
      <c r="A514" s="155">
        <v>3</v>
      </c>
      <c r="B514" s="110" t="s">
        <v>339</v>
      </c>
      <c r="C514" s="111">
        <f>32.98*(10.764)</f>
        <v>354.99671999999993</v>
      </c>
      <c r="D514" s="112">
        <f t="shared" si="127"/>
        <v>425.99606399999988</v>
      </c>
      <c r="E514" s="110">
        <f t="shared" si="126"/>
        <v>532.49507999999992</v>
      </c>
      <c r="F514" s="415"/>
      <c r="I514" s="62"/>
      <c r="J514" s="62"/>
      <c r="K514" s="62"/>
      <c r="L514" s="62"/>
      <c r="M514" s="62"/>
    </row>
    <row r="515" spans="1:14" ht="15.75" x14ac:dyDescent="0.25">
      <c r="A515" s="155">
        <v>4</v>
      </c>
      <c r="B515" s="110" t="s">
        <v>339</v>
      </c>
      <c r="C515" s="111">
        <f>32.98*(10.764)</f>
        <v>354.99671999999993</v>
      </c>
      <c r="D515" s="112">
        <f t="shared" si="127"/>
        <v>425.99606399999988</v>
      </c>
      <c r="E515" s="110">
        <f t="shared" si="126"/>
        <v>532.49507999999992</v>
      </c>
      <c r="F515" s="415"/>
      <c r="I515" s="62"/>
      <c r="J515" s="62"/>
      <c r="K515" s="60"/>
      <c r="L515" s="62"/>
      <c r="M515" s="62"/>
    </row>
    <row r="516" spans="1:14" x14ac:dyDescent="0.25">
      <c r="A516" s="155">
        <v>5</v>
      </c>
      <c r="B516" s="110" t="s">
        <v>338</v>
      </c>
      <c r="C516" s="111">
        <f>42.2*(10.764)</f>
        <v>454.24079999999998</v>
      </c>
      <c r="D516" s="112">
        <f t="shared" si="127"/>
        <v>545.08895999999993</v>
      </c>
      <c r="E516" s="110">
        <f t="shared" si="126"/>
        <v>681.36119999999994</v>
      </c>
      <c r="F516" s="415"/>
      <c r="I516" s="62"/>
      <c r="J516" s="62"/>
      <c r="K516" s="62"/>
      <c r="L516" s="62"/>
      <c r="M516" s="62"/>
    </row>
    <row r="517" spans="1:14" ht="15.75" x14ac:dyDescent="0.25">
      <c r="A517" s="155">
        <v>6</v>
      </c>
      <c r="B517" s="110" t="s">
        <v>338</v>
      </c>
      <c r="C517" s="111">
        <f>50.02*(10.764)</f>
        <v>538.41528000000005</v>
      </c>
      <c r="D517" s="112">
        <f t="shared" si="127"/>
        <v>646.09833600000002</v>
      </c>
      <c r="E517" s="110">
        <f t="shared" si="126"/>
        <v>807.62292000000002</v>
      </c>
      <c r="F517" s="416"/>
      <c r="I517" s="62"/>
      <c r="J517" s="62"/>
      <c r="K517" s="60"/>
      <c r="L517" s="62"/>
      <c r="M517" s="62"/>
    </row>
    <row r="518" spans="1:14" s="115" customFormat="1" ht="15.75" customHeight="1" x14ac:dyDescent="0.25">
      <c r="A518" s="163" t="s">
        <v>385</v>
      </c>
      <c r="B518" s="164"/>
      <c r="C518" s="164"/>
      <c r="D518" s="164"/>
      <c r="E518" s="164"/>
      <c r="F518" s="165"/>
      <c r="G518" s="43"/>
      <c r="H518" s="43"/>
      <c r="I518" s="114"/>
      <c r="J518" s="114"/>
      <c r="K518" s="60"/>
    </row>
    <row r="519" spans="1:14" s="115" customFormat="1" ht="15.75" x14ac:dyDescent="0.25">
      <c r="A519" s="155">
        <v>1</v>
      </c>
      <c r="B519" s="110" t="s">
        <v>339</v>
      </c>
      <c r="C519" s="111">
        <f>32.83*(10.764)</f>
        <v>353.38211999999999</v>
      </c>
      <c r="D519" s="112">
        <f>C519*1.2</f>
        <v>424.05854399999998</v>
      </c>
      <c r="E519" s="110">
        <f t="shared" ref="E519:E524" si="128">C519*(($E$247)+1)</f>
        <v>530.07317999999998</v>
      </c>
      <c r="F519" s="414" t="str">
        <f>A518</f>
        <v>2nd to 7th, 9th to 14th, 16th to 22nd Floor</v>
      </c>
      <c r="G519" s="169"/>
      <c r="H519" s="169"/>
      <c r="I519" s="60"/>
      <c r="J519" s="61"/>
      <c r="K519" s="62"/>
      <c r="L519" s="309"/>
      <c r="M519" s="309"/>
      <c r="N519" s="40"/>
    </row>
    <row r="520" spans="1:14" x14ac:dyDescent="0.25">
      <c r="A520" s="155">
        <v>2</v>
      </c>
      <c r="B520" s="110" t="s">
        <v>339</v>
      </c>
      <c r="C520" s="111">
        <f>32.86*(10.764)</f>
        <v>353.70504</v>
      </c>
      <c r="D520" s="112">
        <f t="shared" ref="D520:D524" si="129">C520*1.2</f>
        <v>424.44604799999996</v>
      </c>
      <c r="E520" s="110">
        <f t="shared" si="128"/>
        <v>530.55755999999997</v>
      </c>
      <c r="F520" s="415"/>
      <c r="I520" s="62"/>
      <c r="J520" s="62"/>
      <c r="K520" s="62"/>
      <c r="L520" s="62"/>
      <c r="M520" s="62"/>
    </row>
    <row r="521" spans="1:14" x14ac:dyDescent="0.25">
      <c r="A521" s="155">
        <v>3</v>
      </c>
      <c r="B521" s="110" t="s">
        <v>339</v>
      </c>
      <c r="C521" s="111">
        <f>32.98*(10.764)</f>
        <v>354.99671999999993</v>
      </c>
      <c r="D521" s="112">
        <f t="shared" si="129"/>
        <v>425.99606399999988</v>
      </c>
      <c r="E521" s="110">
        <f t="shared" si="128"/>
        <v>532.49507999999992</v>
      </c>
      <c r="F521" s="415"/>
      <c r="I521" s="62"/>
      <c r="J521" s="62"/>
      <c r="K521" s="62"/>
      <c r="L521" s="62"/>
      <c r="M521" s="62"/>
    </row>
    <row r="522" spans="1:14" ht="15.75" x14ac:dyDescent="0.25">
      <c r="A522" s="155">
        <v>4</v>
      </c>
      <c r="B522" s="110" t="s">
        <v>339</v>
      </c>
      <c r="C522" s="111">
        <f>32.98*(10.764)</f>
        <v>354.99671999999993</v>
      </c>
      <c r="D522" s="112">
        <f t="shared" si="129"/>
        <v>425.99606399999988</v>
      </c>
      <c r="E522" s="110">
        <f t="shared" si="128"/>
        <v>532.49507999999992</v>
      </c>
      <c r="F522" s="415"/>
      <c r="I522" s="62"/>
      <c r="J522" s="62"/>
      <c r="K522" s="60"/>
      <c r="L522" s="62"/>
      <c r="M522" s="62"/>
    </row>
    <row r="523" spans="1:14" x14ac:dyDescent="0.25">
      <c r="A523" s="155">
        <v>5</v>
      </c>
      <c r="B523" s="110" t="s">
        <v>338</v>
      </c>
      <c r="C523" s="111">
        <f>42.2*(10.764)</f>
        <v>454.24079999999998</v>
      </c>
      <c r="D523" s="112">
        <f t="shared" si="129"/>
        <v>545.08895999999993</v>
      </c>
      <c r="E523" s="110">
        <f t="shared" si="128"/>
        <v>681.36119999999994</v>
      </c>
      <c r="F523" s="415"/>
      <c r="I523" s="62"/>
      <c r="J523" s="62"/>
      <c r="K523" s="62"/>
      <c r="L523" s="62"/>
      <c r="M523" s="62"/>
    </row>
    <row r="524" spans="1:14" ht="15.75" x14ac:dyDescent="0.25">
      <c r="A524" s="155">
        <v>6</v>
      </c>
      <c r="B524" s="110" t="s">
        <v>338</v>
      </c>
      <c r="C524" s="111">
        <f>50.02*(10.764)</f>
        <v>538.41528000000005</v>
      </c>
      <c r="D524" s="112">
        <f t="shared" si="129"/>
        <v>646.09833600000002</v>
      </c>
      <c r="E524" s="110">
        <f t="shared" si="128"/>
        <v>807.62292000000002</v>
      </c>
      <c r="F524" s="416"/>
      <c r="I524" s="62"/>
      <c r="J524" s="62"/>
      <c r="K524" s="60"/>
      <c r="L524" s="62"/>
      <c r="M524" s="62"/>
    </row>
    <row r="525" spans="1:14" s="115" customFormat="1" ht="15.75" customHeight="1" x14ac:dyDescent="0.25">
      <c r="A525" s="163" t="s">
        <v>343</v>
      </c>
      <c r="B525" s="164"/>
      <c r="C525" s="164"/>
      <c r="D525" s="164"/>
      <c r="E525" s="164"/>
      <c r="F525" s="165"/>
      <c r="G525" s="43"/>
      <c r="H525" s="43"/>
      <c r="I525" s="114"/>
      <c r="J525" s="114"/>
      <c r="K525" s="60"/>
    </row>
    <row r="526" spans="1:14" s="115" customFormat="1" ht="15.75" x14ac:dyDescent="0.25">
      <c r="A526" s="155">
        <v>1</v>
      </c>
      <c r="B526" s="110" t="s">
        <v>339</v>
      </c>
      <c r="C526" s="111">
        <f>32.83*(10.764)</f>
        <v>353.38211999999999</v>
      </c>
      <c r="D526" s="112">
        <f>C526*1.2</f>
        <v>424.05854399999998</v>
      </c>
      <c r="E526" s="110">
        <f t="shared" ref="E526:E531" si="130">C526*(($E$247)+1)</f>
        <v>530.07317999999998</v>
      </c>
      <c r="F526" s="414" t="str">
        <f>A525</f>
        <v>8th Floor (Part Refuge Area)</v>
      </c>
      <c r="G526" s="169"/>
      <c r="H526" s="169"/>
      <c r="I526" s="60"/>
      <c r="J526" s="61"/>
      <c r="K526" s="62"/>
      <c r="L526" s="309"/>
      <c r="M526" s="309"/>
      <c r="N526" s="40"/>
    </row>
    <row r="527" spans="1:14" x14ac:dyDescent="0.25">
      <c r="A527" s="155">
        <v>2</v>
      </c>
      <c r="B527" s="110" t="s">
        <v>339</v>
      </c>
      <c r="C527" s="111">
        <f>32.86*(10.764)</f>
        <v>353.70504</v>
      </c>
      <c r="D527" s="112">
        <f t="shared" ref="D527:D531" si="131">C527*1.2</f>
        <v>424.44604799999996</v>
      </c>
      <c r="E527" s="110">
        <f t="shared" si="130"/>
        <v>530.55755999999997</v>
      </c>
      <c r="F527" s="415"/>
      <c r="I527" s="62"/>
      <c r="J527" s="62"/>
      <c r="K527" s="62"/>
      <c r="L527" s="62"/>
      <c r="M527" s="62"/>
    </row>
    <row r="528" spans="1:14" x14ac:dyDescent="0.25">
      <c r="A528" s="155">
        <v>3</v>
      </c>
      <c r="B528" s="110" t="s">
        <v>338</v>
      </c>
      <c r="C528" s="111">
        <f>46.89*(10.764)</f>
        <v>504.72395999999998</v>
      </c>
      <c r="D528" s="112">
        <f t="shared" si="131"/>
        <v>605.66875199999993</v>
      </c>
      <c r="E528" s="110">
        <f t="shared" si="130"/>
        <v>757.08593999999994</v>
      </c>
      <c r="F528" s="415"/>
      <c r="I528" s="62"/>
      <c r="J528" s="62"/>
      <c r="K528" s="62"/>
      <c r="L528" s="62"/>
      <c r="M528" s="62"/>
    </row>
    <row r="529" spans="1:14" ht="15.75" x14ac:dyDescent="0.25">
      <c r="A529" s="155">
        <v>4</v>
      </c>
      <c r="B529" s="319" t="s">
        <v>344</v>
      </c>
      <c r="C529" s="320"/>
      <c r="D529" s="320"/>
      <c r="E529" s="321"/>
      <c r="F529" s="415"/>
      <c r="I529" s="62"/>
      <c r="J529" s="62"/>
      <c r="K529" s="60"/>
      <c r="L529" s="62"/>
      <c r="M529" s="62"/>
    </row>
    <row r="530" spans="1:14" x14ac:dyDescent="0.25">
      <c r="A530" s="155">
        <v>5</v>
      </c>
      <c r="B530" s="322"/>
      <c r="C530" s="323"/>
      <c r="D530" s="323"/>
      <c r="E530" s="324"/>
      <c r="F530" s="415"/>
      <c r="I530" s="62"/>
      <c r="J530" s="62"/>
      <c r="K530" s="62"/>
      <c r="L530" s="62"/>
      <c r="M530" s="62"/>
    </row>
    <row r="531" spans="1:14" ht="15.75" x14ac:dyDescent="0.25">
      <c r="A531" s="155">
        <v>6</v>
      </c>
      <c r="B531" s="110" t="s">
        <v>338</v>
      </c>
      <c r="C531" s="111">
        <f>50.02*(10.764)</f>
        <v>538.41528000000005</v>
      </c>
      <c r="D531" s="112">
        <f t="shared" si="131"/>
        <v>646.09833600000002</v>
      </c>
      <c r="E531" s="110">
        <f t="shared" si="130"/>
        <v>807.62292000000002</v>
      </c>
      <c r="F531" s="416"/>
      <c r="I531" s="62"/>
      <c r="J531" s="62"/>
      <c r="K531" s="60"/>
      <c r="L531" s="62"/>
      <c r="M531" s="62"/>
    </row>
    <row r="532" spans="1:14" s="115" customFormat="1" ht="15.75" customHeight="1" x14ac:dyDescent="0.25">
      <c r="A532" s="163" t="s">
        <v>345</v>
      </c>
      <c r="B532" s="164"/>
      <c r="C532" s="164"/>
      <c r="D532" s="164"/>
      <c r="E532" s="164"/>
      <c r="F532" s="165"/>
      <c r="G532" s="43"/>
      <c r="H532" s="43"/>
      <c r="I532" s="114"/>
      <c r="J532" s="114"/>
      <c r="K532" s="60"/>
    </row>
    <row r="533" spans="1:14" s="115" customFormat="1" ht="15.75" customHeight="1" x14ac:dyDescent="0.25">
      <c r="A533" s="155">
        <v>1</v>
      </c>
      <c r="B533" s="110" t="s">
        <v>339</v>
      </c>
      <c r="C533" s="111">
        <f>32.83*(10.764)</f>
        <v>353.38211999999999</v>
      </c>
      <c r="D533" s="112">
        <f>C533*1.2</f>
        <v>424.05854399999998</v>
      </c>
      <c r="E533" s="110">
        <f t="shared" ref="E533:E535" si="132">C533*(($E$247)+1)</f>
        <v>530.07317999999998</v>
      </c>
      <c r="F533" s="414" t="str">
        <f>A532</f>
        <v>15th Floor (Part Refuge Area)</v>
      </c>
      <c r="G533" s="169"/>
      <c r="H533" s="169"/>
      <c r="I533" s="60"/>
      <c r="J533" s="61"/>
      <c r="K533" s="62"/>
      <c r="L533" s="309"/>
      <c r="M533" s="309"/>
      <c r="N533" s="40"/>
    </row>
    <row r="534" spans="1:14" x14ac:dyDescent="0.25">
      <c r="A534" s="155">
        <v>2</v>
      </c>
      <c r="B534" s="110" t="s">
        <v>339</v>
      </c>
      <c r="C534" s="111">
        <f>32.86*(10.764)</f>
        <v>353.70504</v>
      </c>
      <c r="D534" s="112">
        <f t="shared" ref="D534:D535" si="133">C534*1.2</f>
        <v>424.44604799999996</v>
      </c>
      <c r="E534" s="110">
        <f t="shared" si="132"/>
        <v>530.55755999999997</v>
      </c>
      <c r="F534" s="415"/>
      <c r="I534" s="62"/>
      <c r="J534" s="62"/>
      <c r="K534" s="62"/>
      <c r="L534" s="62"/>
      <c r="M534" s="62"/>
    </row>
    <row r="535" spans="1:14" x14ac:dyDescent="0.25">
      <c r="A535" s="155">
        <v>3</v>
      </c>
      <c r="B535" s="110" t="s">
        <v>339</v>
      </c>
      <c r="C535" s="111">
        <f>37.72*(10.764)</f>
        <v>406.01807999999994</v>
      </c>
      <c r="D535" s="112">
        <f t="shared" si="133"/>
        <v>487.22169599999989</v>
      </c>
      <c r="E535" s="110">
        <f t="shared" si="132"/>
        <v>609.02711999999997</v>
      </c>
      <c r="F535" s="415"/>
      <c r="I535" s="62"/>
      <c r="J535" s="62"/>
      <c r="K535" s="62"/>
      <c r="L535" s="62"/>
      <c r="M535" s="62"/>
    </row>
    <row r="536" spans="1:14" ht="15.75" x14ac:dyDescent="0.25">
      <c r="A536" s="155">
        <v>4</v>
      </c>
      <c r="B536" s="319" t="s">
        <v>344</v>
      </c>
      <c r="C536" s="320"/>
      <c r="D536" s="320"/>
      <c r="E536" s="321"/>
      <c r="F536" s="415"/>
      <c r="I536" s="62"/>
      <c r="J536" s="62"/>
      <c r="K536" s="60"/>
      <c r="L536" s="62"/>
      <c r="M536" s="62"/>
    </row>
    <row r="537" spans="1:14" x14ac:dyDescent="0.25">
      <c r="A537" s="155">
        <v>5</v>
      </c>
      <c r="B537" s="322"/>
      <c r="C537" s="323"/>
      <c r="D537" s="323"/>
      <c r="E537" s="324"/>
      <c r="F537" s="415"/>
      <c r="I537" s="62"/>
      <c r="J537" s="62"/>
      <c r="K537" s="62"/>
      <c r="L537" s="62"/>
      <c r="M537" s="62"/>
    </row>
    <row r="538" spans="1:14" ht="15.75" x14ac:dyDescent="0.25">
      <c r="A538" s="155">
        <v>6</v>
      </c>
      <c r="B538" s="110" t="s">
        <v>338</v>
      </c>
      <c r="C538" s="111">
        <f>50.02*(10.764)</f>
        <v>538.41528000000005</v>
      </c>
      <c r="D538" s="112">
        <f t="shared" ref="D538" si="134">C538*1.2</f>
        <v>646.09833600000002</v>
      </c>
      <c r="E538" s="110">
        <f t="shared" ref="E538" si="135">C538*(($E$247)+1)</f>
        <v>807.62292000000002</v>
      </c>
      <c r="F538" s="416"/>
      <c r="I538" s="62"/>
      <c r="J538" s="62"/>
      <c r="K538" s="60"/>
      <c r="L538" s="62"/>
      <c r="M538" s="62"/>
    </row>
    <row r="539" spans="1:14" x14ac:dyDescent="0.25">
      <c r="A539" s="179" t="s">
        <v>60</v>
      </c>
      <c r="B539" s="180"/>
      <c r="C539" s="180"/>
      <c r="D539" s="180"/>
      <c r="E539" s="180"/>
      <c r="F539" s="181"/>
      <c r="I539" s="62"/>
      <c r="J539" s="62"/>
      <c r="K539" s="57"/>
    </row>
    <row r="540" spans="1:14" s="1" customFormat="1" ht="32.25" customHeight="1" x14ac:dyDescent="0.2">
      <c r="A540" s="148" t="s">
        <v>215</v>
      </c>
      <c r="B540" s="177" t="s">
        <v>276</v>
      </c>
      <c r="C540" s="178"/>
      <c r="D540" s="49" t="s">
        <v>216</v>
      </c>
      <c r="E540" s="177" t="s">
        <v>277</v>
      </c>
      <c r="F540" s="315"/>
      <c r="G540" s="53"/>
      <c r="H540" s="318"/>
      <c r="I540" s="318"/>
      <c r="J540" s="53"/>
      <c r="L540" s="56"/>
    </row>
    <row r="541" spans="1:14" s="1" customFormat="1" ht="12.75" x14ac:dyDescent="0.2">
      <c r="A541" s="148">
        <v>1</v>
      </c>
      <c r="B541" s="175" t="s">
        <v>374</v>
      </c>
      <c r="C541" s="176"/>
      <c r="D541" s="113">
        <v>8100</v>
      </c>
      <c r="E541" s="175" t="s">
        <v>278</v>
      </c>
      <c r="F541" s="316"/>
    </row>
    <row r="542" spans="1:14" s="1" customFormat="1" ht="12.75" hidden="1" x14ac:dyDescent="0.2">
      <c r="A542" s="148">
        <v>2</v>
      </c>
      <c r="B542" s="175"/>
      <c r="C542" s="176"/>
      <c r="D542" s="113"/>
      <c r="E542" s="175" t="s">
        <v>278</v>
      </c>
      <c r="F542" s="316"/>
      <c r="K542" s="55"/>
    </row>
    <row r="543" spans="1:14" s="1" customFormat="1" ht="12.75" hidden="1" x14ac:dyDescent="0.2">
      <c r="A543" s="148">
        <v>3</v>
      </c>
      <c r="B543" s="175"/>
      <c r="C543" s="176"/>
      <c r="D543" s="113"/>
      <c r="E543" s="175" t="s">
        <v>278</v>
      </c>
      <c r="F543" s="316"/>
    </row>
    <row r="544" spans="1:14" s="1" customFormat="1" ht="12.75" hidden="1" x14ac:dyDescent="0.2">
      <c r="A544" s="148">
        <v>4</v>
      </c>
      <c r="B544" s="175"/>
      <c r="C544" s="176"/>
      <c r="D544" s="113"/>
      <c r="E544" s="175" t="s">
        <v>278</v>
      </c>
      <c r="F544" s="316"/>
    </row>
    <row r="545" spans="1:12" s="1" customFormat="1" ht="12.75" hidden="1" x14ac:dyDescent="0.2">
      <c r="A545" s="148">
        <v>5</v>
      </c>
      <c r="B545" s="175"/>
      <c r="C545" s="176"/>
      <c r="D545" s="113"/>
      <c r="E545" s="175" t="s">
        <v>278</v>
      </c>
      <c r="F545" s="316"/>
      <c r="G545" s="57"/>
      <c r="H545" s="57"/>
      <c r="I545" s="57"/>
      <c r="J545" s="57"/>
      <c r="K545" s="57"/>
      <c r="L545" s="57"/>
    </row>
    <row r="546" spans="1:12" s="1" customFormat="1" ht="12.75" hidden="1" x14ac:dyDescent="0.2">
      <c r="A546" s="148">
        <v>6</v>
      </c>
      <c r="B546" s="175"/>
      <c r="C546" s="176"/>
      <c r="D546" s="113"/>
      <c r="E546" s="175" t="s">
        <v>278</v>
      </c>
      <c r="F546" s="316"/>
      <c r="G546" s="57"/>
      <c r="H546" s="57"/>
      <c r="I546" s="57"/>
      <c r="J546" s="57"/>
      <c r="K546" s="58"/>
      <c r="L546" s="57"/>
    </row>
    <row r="547" spans="1:12" s="1" customFormat="1" ht="60.75" customHeight="1" x14ac:dyDescent="0.2">
      <c r="A547" s="148" t="s">
        <v>217</v>
      </c>
      <c r="B547" s="49" t="s">
        <v>218</v>
      </c>
      <c r="C547" s="49" t="s">
        <v>219</v>
      </c>
      <c r="D547" s="49" t="s">
        <v>220</v>
      </c>
      <c r="E547" s="49" t="s">
        <v>221</v>
      </c>
      <c r="F547" s="144" t="s">
        <v>222</v>
      </c>
      <c r="G547" s="59"/>
      <c r="H547" s="59"/>
      <c r="I547" s="59"/>
      <c r="J547" s="59"/>
      <c r="K547" s="57"/>
      <c r="L547" s="59"/>
    </row>
    <row r="548" spans="1:12" s="1" customFormat="1" ht="12.75" x14ac:dyDescent="0.2">
      <c r="A548" s="148" t="s">
        <v>223</v>
      </c>
      <c r="B548" s="113" t="s">
        <v>252</v>
      </c>
      <c r="C548" s="113" t="s">
        <v>252</v>
      </c>
      <c r="D548" s="113"/>
      <c r="E548" s="113"/>
      <c r="F548" s="157"/>
      <c r="G548" s="57"/>
      <c r="H548" s="57"/>
      <c r="I548" s="57"/>
      <c r="J548" s="57"/>
      <c r="K548" s="57"/>
      <c r="L548" s="57"/>
    </row>
    <row r="549" spans="1:12" s="1" customFormat="1" ht="12.75" hidden="1" x14ac:dyDescent="0.2">
      <c r="A549" s="148" t="s">
        <v>224</v>
      </c>
      <c r="B549" s="113"/>
      <c r="C549" s="113"/>
      <c r="D549" s="113"/>
      <c r="E549" s="113"/>
      <c r="F549" s="157"/>
      <c r="G549" s="57"/>
      <c r="H549" s="57"/>
      <c r="I549" s="57"/>
      <c r="J549" s="57"/>
      <c r="K549" s="57"/>
      <c r="L549" s="57"/>
    </row>
    <row r="550" spans="1:12" s="1" customFormat="1" ht="12.75" hidden="1" x14ac:dyDescent="0.2">
      <c r="A550" s="148" t="s">
        <v>225</v>
      </c>
      <c r="B550" s="113"/>
      <c r="C550" s="113"/>
      <c r="D550" s="113"/>
      <c r="E550" s="113"/>
      <c r="F550" s="157"/>
    </row>
    <row r="551" spans="1:12" s="1" customFormat="1" ht="12.75" hidden="1" x14ac:dyDescent="0.2">
      <c r="A551" s="148" t="s">
        <v>226</v>
      </c>
      <c r="B551" s="113"/>
      <c r="C551" s="113"/>
      <c r="D551" s="113"/>
      <c r="E551" s="113"/>
      <c r="F551" s="157"/>
    </row>
    <row r="552" spans="1:12" s="1" customFormat="1" ht="42.75" customHeight="1" x14ac:dyDescent="0.2">
      <c r="A552" s="148" t="s">
        <v>227</v>
      </c>
      <c r="B552" s="49" t="s">
        <v>218</v>
      </c>
      <c r="C552" s="49" t="s">
        <v>219</v>
      </c>
      <c r="D552" s="177" t="s">
        <v>228</v>
      </c>
      <c r="E552" s="178"/>
      <c r="F552" s="144" t="s">
        <v>229</v>
      </c>
      <c r="G552" s="55"/>
      <c r="H552" s="55"/>
      <c r="I552" s="55"/>
      <c r="J552" s="55"/>
      <c r="L552" s="55"/>
    </row>
    <row r="553" spans="1:12" s="1" customFormat="1" ht="12.75" x14ac:dyDescent="0.2">
      <c r="A553" s="148" t="s">
        <v>230</v>
      </c>
      <c r="B553" s="113" t="s">
        <v>252</v>
      </c>
      <c r="C553" s="113" t="s">
        <v>252</v>
      </c>
      <c r="D553" s="175"/>
      <c r="E553" s="176"/>
      <c r="F553" s="157"/>
    </row>
    <row r="554" spans="1:12" s="1" customFormat="1" ht="12.75" hidden="1" x14ac:dyDescent="0.2">
      <c r="A554" s="148" t="s">
        <v>231</v>
      </c>
      <c r="B554" s="113"/>
      <c r="C554" s="113"/>
      <c r="D554" s="175"/>
      <c r="E554" s="176"/>
      <c r="F554" s="157"/>
    </row>
    <row r="555" spans="1:12" s="1" customFormat="1" ht="12.75" hidden="1" x14ac:dyDescent="0.2">
      <c r="A555" s="148" t="s">
        <v>232</v>
      </c>
      <c r="B555" s="113"/>
      <c r="C555" s="113"/>
      <c r="D555" s="175"/>
      <c r="E555" s="176"/>
      <c r="F555" s="157"/>
    </row>
    <row r="556" spans="1:12" s="1" customFormat="1" ht="42.6" customHeight="1" x14ac:dyDescent="0.25">
      <c r="A556" s="148" t="s">
        <v>233</v>
      </c>
      <c r="B556" s="49" t="s">
        <v>218</v>
      </c>
      <c r="C556" s="49" t="s">
        <v>219</v>
      </c>
      <c r="D556" s="177" t="s">
        <v>234</v>
      </c>
      <c r="E556" s="178"/>
      <c r="F556" s="144" t="s">
        <v>235</v>
      </c>
      <c r="G556" s="53"/>
      <c r="H556" s="53"/>
      <c r="I556" s="53"/>
      <c r="J556" s="56"/>
      <c r="K556" s="45"/>
      <c r="L556" s="53"/>
    </row>
    <row r="557" spans="1:12" s="1" customFormat="1" x14ac:dyDescent="0.25">
      <c r="A557" s="148" t="s">
        <v>153</v>
      </c>
      <c r="B557" s="113" t="s">
        <v>252</v>
      </c>
      <c r="C557" s="113">
        <v>600000</v>
      </c>
      <c r="D557" s="175"/>
      <c r="E557" s="176"/>
      <c r="F557" s="157"/>
      <c r="G557" s="53"/>
      <c r="K557"/>
    </row>
    <row r="558" spans="1:12" s="1" customFormat="1" ht="24" hidden="1" x14ac:dyDescent="0.25">
      <c r="A558" s="148" t="s">
        <v>236</v>
      </c>
      <c r="B558" s="113"/>
      <c r="C558" s="113"/>
      <c r="D558" s="175"/>
      <c r="E558" s="176"/>
      <c r="F558" s="157"/>
      <c r="G558" s="53"/>
      <c r="K558" s="45"/>
    </row>
    <row r="559" spans="1:12" s="1" customFormat="1" ht="24" hidden="1" x14ac:dyDescent="0.25">
      <c r="A559" s="148" t="s">
        <v>237</v>
      </c>
      <c r="B559" s="113"/>
      <c r="C559" s="113"/>
      <c r="D559" s="175"/>
      <c r="E559" s="176"/>
      <c r="F559" s="157"/>
      <c r="G559" s="53"/>
      <c r="K559"/>
    </row>
    <row r="560" spans="1:12" s="1" customFormat="1" hidden="1" x14ac:dyDescent="0.25">
      <c r="A560" s="148" t="s">
        <v>238</v>
      </c>
      <c r="B560" s="113"/>
      <c r="C560" s="113"/>
      <c r="D560" s="175"/>
      <c r="E560" s="176"/>
      <c r="F560" s="157"/>
      <c r="G560" s="53"/>
      <c r="K560"/>
    </row>
    <row r="561" spans="1:11" s="1" customFormat="1" hidden="1" x14ac:dyDescent="0.25">
      <c r="A561" s="148" t="s">
        <v>239</v>
      </c>
      <c r="B561" s="113"/>
      <c r="C561" s="113"/>
      <c r="D561" s="175"/>
      <c r="E561" s="176"/>
      <c r="F561" s="157"/>
      <c r="G561" s="53"/>
      <c r="K561"/>
    </row>
    <row r="562" spans="1:11" s="1" customFormat="1" hidden="1" x14ac:dyDescent="0.25">
      <c r="A562" s="148" t="s">
        <v>240</v>
      </c>
      <c r="B562" s="113"/>
      <c r="C562" s="113"/>
      <c r="D562" s="175"/>
      <c r="E562" s="176"/>
      <c r="F562" s="157"/>
      <c r="G562" s="53"/>
      <c r="K562"/>
    </row>
    <row r="563" spans="1:11" s="1" customFormat="1" hidden="1" x14ac:dyDescent="0.25">
      <c r="A563" s="148" t="s">
        <v>241</v>
      </c>
      <c r="B563" s="113"/>
      <c r="C563" s="113"/>
      <c r="D563" s="175"/>
      <c r="E563" s="176"/>
      <c r="F563" s="157"/>
      <c r="G563" s="53"/>
      <c r="K563"/>
    </row>
    <row r="564" spans="1:11" s="1" customFormat="1" hidden="1" x14ac:dyDescent="0.25">
      <c r="A564" s="148" t="s">
        <v>242</v>
      </c>
      <c r="B564" s="113"/>
      <c r="C564" s="113"/>
      <c r="D564" s="175"/>
      <c r="E564" s="176"/>
      <c r="F564" s="157"/>
      <c r="G564" s="53"/>
      <c r="K564"/>
    </row>
    <row r="565" spans="1:11" s="1" customFormat="1" hidden="1" x14ac:dyDescent="0.25">
      <c r="A565" s="148" t="s">
        <v>243</v>
      </c>
      <c r="B565" s="113"/>
      <c r="C565" s="113"/>
      <c r="D565" s="175"/>
      <c r="E565" s="176"/>
      <c r="F565" s="157"/>
      <c r="G565" s="53"/>
      <c r="K565"/>
    </row>
    <row r="566" spans="1:11" s="45" customFormat="1" x14ac:dyDescent="0.25">
      <c r="A566" s="335" t="s">
        <v>61</v>
      </c>
      <c r="B566" s="336"/>
      <c r="C566" s="336"/>
      <c r="D566" s="336"/>
      <c r="E566" s="336"/>
      <c r="F566" s="337"/>
      <c r="K566"/>
    </row>
    <row r="567" spans="1:11" s="45" customFormat="1" x14ac:dyDescent="0.25">
      <c r="A567" s="158">
        <v>1</v>
      </c>
      <c r="B567" s="338" t="s">
        <v>279</v>
      </c>
      <c r="C567" s="338"/>
      <c r="D567" s="338"/>
      <c r="E567" s="338"/>
      <c r="F567" s="339"/>
      <c r="K567"/>
    </row>
    <row r="568" spans="1:11" s="45" customFormat="1" x14ac:dyDescent="0.25">
      <c r="A568" s="158">
        <f t="shared" ref="A568:A579" si="136">A567+1</f>
        <v>2</v>
      </c>
      <c r="B568" s="338" t="s">
        <v>378</v>
      </c>
      <c r="C568" s="338"/>
      <c r="D568" s="338"/>
      <c r="E568" s="338"/>
      <c r="F568" s="339"/>
      <c r="K568"/>
    </row>
    <row r="569" spans="1:11" s="45" customFormat="1" x14ac:dyDescent="0.25">
      <c r="A569" s="158">
        <f t="shared" si="136"/>
        <v>3</v>
      </c>
      <c r="B569" s="160" t="s">
        <v>379</v>
      </c>
      <c r="C569" s="340"/>
      <c r="D569" s="340"/>
      <c r="E569" s="340"/>
      <c r="F569" s="341"/>
      <c r="K569"/>
    </row>
    <row r="570" spans="1:11" s="45" customFormat="1" x14ac:dyDescent="0.25">
      <c r="A570" s="158">
        <f t="shared" si="136"/>
        <v>4</v>
      </c>
      <c r="B570" s="338" t="s">
        <v>281</v>
      </c>
      <c r="C570" s="338"/>
      <c r="D570" s="338"/>
      <c r="E570" s="338"/>
      <c r="F570" s="339"/>
      <c r="K570"/>
    </row>
    <row r="571" spans="1:11" s="45" customFormat="1" x14ac:dyDescent="0.25">
      <c r="A571" s="158">
        <f t="shared" si="136"/>
        <v>5</v>
      </c>
      <c r="B571" s="338" t="s">
        <v>282</v>
      </c>
      <c r="C571" s="338"/>
      <c r="D571" s="338"/>
      <c r="E571" s="338"/>
      <c r="F571" s="339"/>
      <c r="K571"/>
    </row>
    <row r="572" spans="1:11" s="45" customFormat="1" x14ac:dyDescent="0.25">
      <c r="A572" s="158">
        <f t="shared" si="136"/>
        <v>6</v>
      </c>
      <c r="B572" s="338" t="s">
        <v>380</v>
      </c>
      <c r="C572" s="338"/>
      <c r="D572" s="338"/>
      <c r="E572" s="338"/>
      <c r="F572" s="339"/>
      <c r="K572"/>
    </row>
    <row r="573" spans="1:11" s="45" customFormat="1" x14ac:dyDescent="0.25">
      <c r="A573" s="158">
        <f t="shared" si="136"/>
        <v>7</v>
      </c>
      <c r="B573" s="338" t="s">
        <v>283</v>
      </c>
      <c r="C573" s="338"/>
      <c r="D573" s="338"/>
      <c r="E573" s="338"/>
      <c r="F573" s="339"/>
      <c r="K573"/>
    </row>
    <row r="574" spans="1:11" s="45" customFormat="1" ht="30" customHeight="1" x14ac:dyDescent="0.25">
      <c r="A574" s="158">
        <f t="shared" si="136"/>
        <v>8</v>
      </c>
      <c r="B574" s="160" t="s">
        <v>284</v>
      </c>
      <c r="C574" s="161"/>
      <c r="D574" s="161"/>
      <c r="E574" s="161"/>
      <c r="F574" s="162"/>
      <c r="K574"/>
    </row>
    <row r="575" spans="1:11" s="45" customFormat="1" ht="45.75" customHeight="1" x14ac:dyDescent="0.25">
      <c r="A575" s="158">
        <f t="shared" si="136"/>
        <v>9</v>
      </c>
      <c r="B575" s="160" t="s">
        <v>377</v>
      </c>
      <c r="C575" s="161"/>
      <c r="D575" s="161"/>
      <c r="E575" s="161"/>
      <c r="F575" s="162"/>
      <c r="K575"/>
    </row>
    <row r="576" spans="1:11" s="45" customFormat="1" ht="45.75" customHeight="1" x14ac:dyDescent="0.25">
      <c r="A576" s="158">
        <f t="shared" si="136"/>
        <v>10</v>
      </c>
      <c r="B576" s="446" t="s">
        <v>381</v>
      </c>
      <c r="C576" s="447"/>
      <c r="D576" s="447"/>
      <c r="E576" s="447"/>
      <c r="F576" s="448"/>
      <c r="K576"/>
    </row>
    <row r="577" spans="1:11" s="45" customFormat="1" x14ac:dyDescent="0.25">
      <c r="A577" s="158">
        <f t="shared" si="136"/>
        <v>11</v>
      </c>
      <c r="B577" s="160" t="s">
        <v>382</v>
      </c>
      <c r="C577" s="161"/>
      <c r="D577" s="161"/>
      <c r="E577" s="161"/>
      <c r="F577" s="162"/>
      <c r="K577"/>
    </row>
    <row r="578" spans="1:11" s="45" customFormat="1" x14ac:dyDescent="0.25">
      <c r="A578" s="158">
        <f t="shared" si="136"/>
        <v>12</v>
      </c>
      <c r="B578" s="160" t="s">
        <v>394</v>
      </c>
      <c r="C578" s="161"/>
      <c r="D578" s="161"/>
      <c r="E578" s="161"/>
      <c r="F578" s="162"/>
      <c r="K578"/>
    </row>
    <row r="579" spans="1:11" s="45" customFormat="1" ht="15.75" thickBot="1" x14ac:dyDescent="0.3">
      <c r="A579" s="158">
        <f t="shared" si="136"/>
        <v>13</v>
      </c>
      <c r="B579" s="443" t="s">
        <v>393</v>
      </c>
      <c r="C579" s="444"/>
      <c r="D579" s="444"/>
      <c r="E579" s="444"/>
      <c r="F579" s="445"/>
      <c r="K579"/>
    </row>
    <row r="580" spans="1:11" x14ac:dyDescent="0.25">
      <c r="A580" s="331" t="s">
        <v>62</v>
      </c>
      <c r="B580" s="331"/>
      <c r="C580" s="332" t="str">
        <f>B2</f>
        <v xml:space="preserve"> Galaxy Heights Tower 1</v>
      </c>
      <c r="D580" s="332"/>
      <c r="E580" s="332"/>
      <c r="F580" s="332"/>
    </row>
    <row r="626" spans="1:1" x14ac:dyDescent="0.25">
      <c r="A626" s="50" t="s">
        <v>63</v>
      </c>
    </row>
    <row r="672" spans="1:1" x14ac:dyDescent="0.25">
      <c r="A672" s="50" t="s">
        <v>63</v>
      </c>
    </row>
    <row r="719" spans="1:1" x14ac:dyDescent="0.25">
      <c r="A719" s="50" t="s">
        <v>64</v>
      </c>
    </row>
    <row r="760" spans="1:6" ht="57" customHeight="1" x14ac:dyDescent="0.25">
      <c r="A760" s="51" t="s">
        <v>65</v>
      </c>
      <c r="B760" s="138" t="s">
        <v>390</v>
      </c>
      <c r="C760" s="333" t="s">
        <v>66</v>
      </c>
      <c r="D760" s="333"/>
      <c r="E760" s="334"/>
      <c r="F760" s="334"/>
    </row>
  </sheetData>
  <dataConsolidate/>
  <mergeCells count="556">
    <mergeCell ref="B577:F577"/>
    <mergeCell ref="B578:F578"/>
    <mergeCell ref="C174:D174"/>
    <mergeCell ref="E174:F174"/>
    <mergeCell ref="G174:H174"/>
    <mergeCell ref="C175:D175"/>
    <mergeCell ref="E175:F175"/>
    <mergeCell ref="G175:H175"/>
    <mergeCell ref="B575:F575"/>
    <mergeCell ref="B576:F576"/>
    <mergeCell ref="G190:H190"/>
    <mergeCell ref="C191:D191"/>
    <mergeCell ref="E191:F191"/>
    <mergeCell ref="G191:H191"/>
    <mergeCell ref="C188:D188"/>
    <mergeCell ref="E187:F187"/>
    <mergeCell ref="G187:H187"/>
    <mergeCell ref="C197:D197"/>
    <mergeCell ref="E197:F197"/>
    <mergeCell ref="G197:H197"/>
    <mergeCell ref="C192:D192"/>
    <mergeCell ref="E192:F192"/>
    <mergeCell ref="G192:H192"/>
    <mergeCell ref="E188:F188"/>
    <mergeCell ref="G188:H188"/>
    <mergeCell ref="C189:D189"/>
    <mergeCell ref="B204:B205"/>
    <mergeCell ref="C204:C205"/>
    <mergeCell ref="D204:D205"/>
    <mergeCell ref="E204:E205"/>
    <mergeCell ref="A206:F206"/>
    <mergeCell ref="A208:F208"/>
    <mergeCell ref="C201:D201"/>
    <mergeCell ref="E201:F201"/>
    <mergeCell ref="G201:H201"/>
    <mergeCell ref="L490:M490"/>
    <mergeCell ref="G176:H176"/>
    <mergeCell ref="C177:D177"/>
    <mergeCell ref="E177:F177"/>
    <mergeCell ref="G177:H177"/>
    <mergeCell ref="C182:D182"/>
    <mergeCell ref="E182:F182"/>
    <mergeCell ref="G182:H182"/>
    <mergeCell ref="C183:D183"/>
    <mergeCell ref="E183:F183"/>
    <mergeCell ref="G183:H183"/>
    <mergeCell ref="A489:F489"/>
    <mergeCell ref="G490:H490"/>
    <mergeCell ref="A409:F409"/>
    <mergeCell ref="G410:H410"/>
    <mergeCell ref="A419:F419"/>
    <mergeCell ref="G420:H420"/>
    <mergeCell ref="G198:H198"/>
    <mergeCell ref="C195:D195"/>
    <mergeCell ref="E195:F195"/>
    <mergeCell ref="G195:H195"/>
    <mergeCell ref="C196:D196"/>
    <mergeCell ref="E196:F196"/>
    <mergeCell ref="G196:H196"/>
    <mergeCell ref="G533:H533"/>
    <mergeCell ref="L533:M533"/>
    <mergeCell ref="B536:E537"/>
    <mergeCell ref="F533:F538"/>
    <mergeCell ref="A511:F511"/>
    <mergeCell ref="G512:H512"/>
    <mergeCell ref="L512:M512"/>
    <mergeCell ref="A518:F518"/>
    <mergeCell ref="G519:H519"/>
    <mergeCell ref="L519:M519"/>
    <mergeCell ref="A525:F525"/>
    <mergeCell ref="G526:H526"/>
    <mergeCell ref="L526:M526"/>
    <mergeCell ref="A532:F532"/>
    <mergeCell ref="F512:F517"/>
    <mergeCell ref="F519:F524"/>
    <mergeCell ref="F526:F531"/>
    <mergeCell ref="B529:E530"/>
    <mergeCell ref="B497:E498"/>
    <mergeCell ref="A503:F503"/>
    <mergeCell ref="B504:E505"/>
    <mergeCell ref="G504:H504"/>
    <mergeCell ref="L504:M504"/>
    <mergeCell ref="A510:F510"/>
    <mergeCell ref="A446:F446"/>
    <mergeCell ref="G447:H447"/>
    <mergeCell ref="L447:M447"/>
    <mergeCell ref="A496:F496"/>
    <mergeCell ref="G497:H497"/>
    <mergeCell ref="L497:M497"/>
    <mergeCell ref="A453:F453"/>
    <mergeCell ref="G454:H454"/>
    <mergeCell ref="L454:M454"/>
    <mergeCell ref="B455:E456"/>
    <mergeCell ref="A460:F460"/>
    <mergeCell ref="G461:H461"/>
    <mergeCell ref="L461:M461"/>
    <mergeCell ref="B462:E463"/>
    <mergeCell ref="A467:F467"/>
    <mergeCell ref="A468:F468"/>
    <mergeCell ref="G469:H469"/>
    <mergeCell ref="L469:M469"/>
    <mergeCell ref="A475:F475"/>
    <mergeCell ref="G476:H476"/>
    <mergeCell ref="L476:M476"/>
    <mergeCell ref="A482:F482"/>
    <mergeCell ref="G483:H483"/>
    <mergeCell ref="L483:M483"/>
    <mergeCell ref="B422:E422"/>
    <mergeCell ref="A424:F424"/>
    <mergeCell ref="A432:F432"/>
    <mergeCell ref="G433:H433"/>
    <mergeCell ref="L433:M433"/>
    <mergeCell ref="A439:F439"/>
    <mergeCell ref="G440:H440"/>
    <mergeCell ref="L440:M440"/>
    <mergeCell ref="A425:F425"/>
    <mergeCell ref="G426:H426"/>
    <mergeCell ref="L426:M426"/>
    <mergeCell ref="L420:M420"/>
    <mergeCell ref="A394:F394"/>
    <mergeCell ref="G395:H395"/>
    <mergeCell ref="L395:M395"/>
    <mergeCell ref="A401:F401"/>
    <mergeCell ref="A402:F402"/>
    <mergeCell ref="A403:F403"/>
    <mergeCell ref="A404:F404"/>
    <mergeCell ref="G405:H405"/>
    <mergeCell ref="L405:M405"/>
    <mergeCell ref="A380:F380"/>
    <mergeCell ref="G381:H381"/>
    <mergeCell ref="L381:M381"/>
    <mergeCell ref="A387:F387"/>
    <mergeCell ref="G388:H388"/>
    <mergeCell ref="L388:M388"/>
    <mergeCell ref="L410:M410"/>
    <mergeCell ref="A414:F414"/>
    <mergeCell ref="G415:H415"/>
    <mergeCell ref="L415:M415"/>
    <mergeCell ref="G353:H353"/>
    <mergeCell ref="L353:M353"/>
    <mergeCell ref="A359:F359"/>
    <mergeCell ref="G360:H360"/>
    <mergeCell ref="L360:M360"/>
    <mergeCell ref="A366:F366"/>
    <mergeCell ref="L367:M367"/>
    <mergeCell ref="A373:F373"/>
    <mergeCell ref="G374:H374"/>
    <mergeCell ref="L374:M374"/>
    <mergeCell ref="A331:F331"/>
    <mergeCell ref="G332:H332"/>
    <mergeCell ref="L332:M332"/>
    <mergeCell ref="A338:F338"/>
    <mergeCell ref="G339:H339"/>
    <mergeCell ref="L339:M339"/>
    <mergeCell ref="L346:M346"/>
    <mergeCell ref="B343:E344"/>
    <mergeCell ref="A352:F352"/>
    <mergeCell ref="A303:F303"/>
    <mergeCell ref="G304:H304"/>
    <mergeCell ref="L304:M304"/>
    <mergeCell ref="A310:F310"/>
    <mergeCell ref="G311:H311"/>
    <mergeCell ref="L311:M311"/>
    <mergeCell ref="L318:M318"/>
    <mergeCell ref="A324:F324"/>
    <mergeCell ref="G325:H325"/>
    <mergeCell ref="L325:M325"/>
    <mergeCell ref="A292:F292"/>
    <mergeCell ref="A295:F295"/>
    <mergeCell ref="A296:F296"/>
    <mergeCell ref="L251:M251"/>
    <mergeCell ref="A244:F244"/>
    <mergeCell ref="A257:F257"/>
    <mergeCell ref="A248:F248"/>
    <mergeCell ref="L297:M297"/>
    <mergeCell ref="A293:F293"/>
    <mergeCell ref="A294:F294"/>
    <mergeCell ref="B542:C542"/>
    <mergeCell ref="E542:F542"/>
    <mergeCell ref="B543:C543"/>
    <mergeCell ref="E543:F543"/>
    <mergeCell ref="B544:C544"/>
    <mergeCell ref="E544:F544"/>
    <mergeCell ref="B545:C545"/>
    <mergeCell ref="E545:F545"/>
    <mergeCell ref="G108:H108"/>
    <mergeCell ref="G120:H120"/>
    <mergeCell ref="G121:H121"/>
    <mergeCell ref="G122:H122"/>
    <mergeCell ref="G123:H123"/>
    <mergeCell ref="G204:H204"/>
    <mergeCell ref="C200:D200"/>
    <mergeCell ref="E200:F200"/>
    <mergeCell ref="G200:H200"/>
    <mergeCell ref="A202:F202"/>
    <mergeCell ref="A203:F203"/>
    <mergeCell ref="G205:H205"/>
    <mergeCell ref="A204:A205"/>
    <mergeCell ref="A122:B122"/>
    <mergeCell ref="A123:B123"/>
    <mergeCell ref="C122:F122"/>
    <mergeCell ref="D89:F89"/>
    <mergeCell ref="D90:F90"/>
    <mergeCell ref="D91:F91"/>
    <mergeCell ref="D92:F92"/>
    <mergeCell ref="D93:F93"/>
    <mergeCell ref="D94:F94"/>
    <mergeCell ref="E106:F106"/>
    <mergeCell ref="B102:C102"/>
    <mergeCell ref="B101:C101"/>
    <mergeCell ref="E101:F101"/>
    <mergeCell ref="B103:C103"/>
    <mergeCell ref="E103:F103"/>
    <mergeCell ref="B95:F95"/>
    <mergeCell ref="A96:F96"/>
    <mergeCell ref="A100:F100"/>
    <mergeCell ref="B99:C99"/>
    <mergeCell ref="E99:F99"/>
    <mergeCell ref="E102:F102"/>
    <mergeCell ref="B98:C98"/>
    <mergeCell ref="E98:F98"/>
    <mergeCell ref="G107:H107"/>
    <mergeCell ref="G60:H60"/>
    <mergeCell ref="G61:H61"/>
    <mergeCell ref="G62:H62"/>
    <mergeCell ref="G63:H63"/>
    <mergeCell ref="D81:F81"/>
    <mergeCell ref="D82:F82"/>
    <mergeCell ref="D83:F83"/>
    <mergeCell ref="D84:F84"/>
    <mergeCell ref="D86:F86"/>
    <mergeCell ref="D87:F87"/>
    <mergeCell ref="A67:F67"/>
    <mergeCell ref="B78:F78"/>
    <mergeCell ref="A61:B61"/>
    <mergeCell ref="A62:B62"/>
    <mergeCell ref="C60:F60"/>
    <mergeCell ref="C61:F61"/>
    <mergeCell ref="C62:F62"/>
    <mergeCell ref="B104:C104"/>
    <mergeCell ref="E104:F104"/>
    <mergeCell ref="E105:F105"/>
    <mergeCell ref="B105:C105"/>
    <mergeCell ref="B106:C106"/>
    <mergeCell ref="D88:F88"/>
    <mergeCell ref="A60:B60"/>
    <mergeCell ref="C56:F56"/>
    <mergeCell ref="C52:F52"/>
    <mergeCell ref="A50:F50"/>
    <mergeCell ref="A51:B51"/>
    <mergeCell ref="C51:F51"/>
    <mergeCell ref="A52:B52"/>
    <mergeCell ref="A44:B44"/>
    <mergeCell ref="J81:L81"/>
    <mergeCell ref="A63:F63"/>
    <mergeCell ref="A59:F59"/>
    <mergeCell ref="A57:B57"/>
    <mergeCell ref="C57:F57"/>
    <mergeCell ref="G49:H49"/>
    <mergeCell ref="G50:H50"/>
    <mergeCell ref="G51:H51"/>
    <mergeCell ref="G52:H52"/>
    <mergeCell ref="G47:H47"/>
    <mergeCell ref="G48:H48"/>
    <mergeCell ref="C123:F123"/>
    <mergeCell ref="A124:F124"/>
    <mergeCell ref="A107:B107"/>
    <mergeCell ref="C107:F107"/>
    <mergeCell ref="C108:F108"/>
    <mergeCell ref="A120:B120"/>
    <mergeCell ref="C120:F120"/>
    <mergeCell ref="A112:D112"/>
    <mergeCell ref="E112:F112"/>
    <mergeCell ref="A113:F113"/>
    <mergeCell ref="A116:B116"/>
    <mergeCell ref="C116:F116"/>
    <mergeCell ref="A580:B580"/>
    <mergeCell ref="C580:F580"/>
    <mergeCell ref="C760:D760"/>
    <mergeCell ref="E760:F760"/>
    <mergeCell ref="A125:B126"/>
    <mergeCell ref="D561:E561"/>
    <mergeCell ref="D562:E562"/>
    <mergeCell ref="B546:C546"/>
    <mergeCell ref="E546:F546"/>
    <mergeCell ref="A566:F566"/>
    <mergeCell ref="B567:F567"/>
    <mergeCell ref="B568:F568"/>
    <mergeCell ref="B569:F569"/>
    <mergeCell ref="B570:F570"/>
    <mergeCell ref="B571:F571"/>
    <mergeCell ref="D557:E557"/>
    <mergeCell ref="D559:E559"/>
    <mergeCell ref="D560:E560"/>
    <mergeCell ref="C178:D178"/>
    <mergeCell ref="E178:F178"/>
    <mergeCell ref="E176:F176"/>
    <mergeCell ref="B572:F572"/>
    <mergeCell ref="B573:F573"/>
    <mergeCell ref="B579:F579"/>
    <mergeCell ref="E540:F540"/>
    <mergeCell ref="B541:C541"/>
    <mergeCell ref="E541:F541"/>
    <mergeCell ref="A250:F250"/>
    <mergeCell ref="A249:F249"/>
    <mergeCell ref="G258:H258"/>
    <mergeCell ref="L258:M258"/>
    <mergeCell ref="A285:F285"/>
    <mergeCell ref="G286:H286"/>
    <mergeCell ref="L286:M286"/>
    <mergeCell ref="A271:F271"/>
    <mergeCell ref="G272:H272"/>
    <mergeCell ref="L272:M272"/>
    <mergeCell ref="A264:F264"/>
    <mergeCell ref="G265:H265"/>
    <mergeCell ref="L265:M265"/>
    <mergeCell ref="G251:H251"/>
    <mergeCell ref="H540:I540"/>
    <mergeCell ref="G346:H346"/>
    <mergeCell ref="G367:H367"/>
    <mergeCell ref="B392:E393"/>
    <mergeCell ref="B287:E288"/>
    <mergeCell ref="L279:M279"/>
    <mergeCell ref="B280:E281"/>
    <mergeCell ref="L209:M209"/>
    <mergeCell ref="A245:F245"/>
    <mergeCell ref="A246:A247"/>
    <mergeCell ref="B246:B247"/>
    <mergeCell ref="C246:C247"/>
    <mergeCell ref="D246:D247"/>
    <mergeCell ref="G246:H246"/>
    <mergeCell ref="G247:H247"/>
    <mergeCell ref="G214:H214"/>
    <mergeCell ref="L214:M214"/>
    <mergeCell ref="G209:H209"/>
    <mergeCell ref="A211:F211"/>
    <mergeCell ref="A212:F212"/>
    <mergeCell ref="A213:F213"/>
    <mergeCell ref="A221:F221"/>
    <mergeCell ref="A222:F222"/>
    <mergeCell ref="A223:F223"/>
    <mergeCell ref="G224:H224"/>
    <mergeCell ref="L224:M224"/>
    <mergeCell ref="L235:M235"/>
    <mergeCell ref="G199:H199"/>
    <mergeCell ref="A184:F184"/>
    <mergeCell ref="C185:D185"/>
    <mergeCell ref="E185:F185"/>
    <mergeCell ref="G185:H185"/>
    <mergeCell ref="C186:D186"/>
    <mergeCell ref="E186:F186"/>
    <mergeCell ref="G186:H186"/>
    <mergeCell ref="C187:D187"/>
    <mergeCell ref="E189:F189"/>
    <mergeCell ref="G189:H189"/>
    <mergeCell ref="C190:D190"/>
    <mergeCell ref="E190:F190"/>
    <mergeCell ref="C194:D194"/>
    <mergeCell ref="E194:F194"/>
    <mergeCell ref="G194:H194"/>
    <mergeCell ref="C199:D199"/>
    <mergeCell ref="E199:F199"/>
    <mergeCell ref="C198:D198"/>
    <mergeCell ref="E198:F198"/>
    <mergeCell ref="B127:F127"/>
    <mergeCell ref="E128:F128"/>
    <mergeCell ref="E129:F138"/>
    <mergeCell ref="A169:F169"/>
    <mergeCell ref="C173:D173"/>
    <mergeCell ref="E173:F173"/>
    <mergeCell ref="G173:H173"/>
    <mergeCell ref="A172:F172"/>
    <mergeCell ref="A1:F1"/>
    <mergeCell ref="B2:D2"/>
    <mergeCell ref="A3:F3"/>
    <mergeCell ref="A10:F10"/>
    <mergeCell ref="A4:B4"/>
    <mergeCell ref="A79:F79"/>
    <mergeCell ref="B80:F80"/>
    <mergeCell ref="A41:F41"/>
    <mergeCell ref="C4:F4"/>
    <mergeCell ref="A5:B5"/>
    <mergeCell ref="A6:B6"/>
    <mergeCell ref="C5:F5"/>
    <mergeCell ref="C6:F6"/>
    <mergeCell ref="A7:B7"/>
    <mergeCell ref="A14:F14"/>
    <mergeCell ref="C12:D12"/>
    <mergeCell ref="E12:F12"/>
    <mergeCell ref="C13:D13"/>
    <mergeCell ref="E13:F13"/>
    <mergeCell ref="A36:B36"/>
    <mergeCell ref="A32:B32"/>
    <mergeCell ref="C32:F32"/>
    <mergeCell ref="A33:B33"/>
    <mergeCell ref="C33:F33"/>
    <mergeCell ref="A8:B8"/>
    <mergeCell ref="B23:C23"/>
    <mergeCell ref="C36:F36"/>
    <mergeCell ref="A35:B35"/>
    <mergeCell ref="C35:F35"/>
    <mergeCell ref="A27:B27"/>
    <mergeCell ref="A28:B28"/>
    <mergeCell ref="A29:B29"/>
    <mergeCell ref="A30:B30"/>
    <mergeCell ref="C7:F7"/>
    <mergeCell ref="C8:F8"/>
    <mergeCell ref="A9:B9"/>
    <mergeCell ref="C9:F9"/>
    <mergeCell ref="A15:B15"/>
    <mergeCell ref="A43:B43"/>
    <mergeCell ref="C43:F43"/>
    <mergeCell ref="A42:B42"/>
    <mergeCell ref="C42:F42"/>
    <mergeCell ref="C15:F15"/>
    <mergeCell ref="B25:C25"/>
    <mergeCell ref="E25:F25"/>
    <mergeCell ref="B20:C20"/>
    <mergeCell ref="E20:F20"/>
    <mergeCell ref="E19:F19"/>
    <mergeCell ref="B21:C21"/>
    <mergeCell ref="E21:F21"/>
    <mergeCell ref="B22:C22"/>
    <mergeCell ref="E22:F22"/>
    <mergeCell ref="A34:B34"/>
    <mergeCell ref="C34:F34"/>
    <mergeCell ref="A38:B38"/>
    <mergeCell ref="C38:F38"/>
    <mergeCell ref="E23:F23"/>
    <mergeCell ref="A39:B39"/>
    <mergeCell ref="C39:F39"/>
    <mergeCell ref="A40:B40"/>
    <mergeCell ref="C40:F40"/>
    <mergeCell ref="A49:B49"/>
    <mergeCell ref="C49:F49"/>
    <mergeCell ref="A55:B55"/>
    <mergeCell ref="C55:F55"/>
    <mergeCell ref="A56:B56"/>
    <mergeCell ref="A53:B53"/>
    <mergeCell ref="C53:F53"/>
    <mergeCell ref="C44:F44"/>
    <mergeCell ref="A45:B45"/>
    <mergeCell ref="C45:F45"/>
    <mergeCell ref="A46:B46"/>
    <mergeCell ref="C46:F46"/>
    <mergeCell ref="A47:B47"/>
    <mergeCell ref="C47:F47"/>
    <mergeCell ref="A54:B54"/>
    <mergeCell ref="C54:F54"/>
    <mergeCell ref="A48:B48"/>
    <mergeCell ref="C48:F48"/>
    <mergeCell ref="I12:J12"/>
    <mergeCell ref="I13:J13"/>
    <mergeCell ref="G28:H28"/>
    <mergeCell ref="G29:H29"/>
    <mergeCell ref="G30:H30"/>
    <mergeCell ref="G31:H31"/>
    <mergeCell ref="G34:H34"/>
    <mergeCell ref="G32:H33"/>
    <mergeCell ref="A193:F193"/>
    <mergeCell ref="A16:F16"/>
    <mergeCell ref="A26:F26"/>
    <mergeCell ref="A31:F31"/>
    <mergeCell ref="B17:F17"/>
    <mergeCell ref="B18:C18"/>
    <mergeCell ref="E18:F18"/>
    <mergeCell ref="B19:C19"/>
    <mergeCell ref="A121:B121"/>
    <mergeCell ref="C121:F121"/>
    <mergeCell ref="A109:F109"/>
    <mergeCell ref="A110:D110"/>
    <mergeCell ref="E110:F110"/>
    <mergeCell ref="A111:D111"/>
    <mergeCell ref="E111:F111"/>
    <mergeCell ref="A108:B108"/>
    <mergeCell ref="G35:H35"/>
    <mergeCell ref="G36:H36"/>
    <mergeCell ref="G37:H37"/>
    <mergeCell ref="G38:H38"/>
    <mergeCell ref="G39:H39"/>
    <mergeCell ref="G40:H40"/>
    <mergeCell ref="G41:H41"/>
    <mergeCell ref="G42:H42"/>
    <mergeCell ref="G43:H43"/>
    <mergeCell ref="A37:B37"/>
    <mergeCell ref="C37:F37"/>
    <mergeCell ref="G116:H116"/>
    <mergeCell ref="C117:F117"/>
    <mergeCell ref="G117:H117"/>
    <mergeCell ref="C118:F118"/>
    <mergeCell ref="G118:H118"/>
    <mergeCell ref="B24:F24"/>
    <mergeCell ref="A77:F77"/>
    <mergeCell ref="D85:F85"/>
    <mergeCell ref="A84:A85"/>
    <mergeCell ref="B84:B85"/>
    <mergeCell ref="C84:C85"/>
    <mergeCell ref="G53:H53"/>
    <mergeCell ref="G54:H54"/>
    <mergeCell ref="G55:H55"/>
    <mergeCell ref="G56:H56"/>
    <mergeCell ref="G57:H57"/>
    <mergeCell ref="A58:B58"/>
    <mergeCell ref="C58:F58"/>
    <mergeCell ref="G58:H58"/>
    <mergeCell ref="G44:H44"/>
    <mergeCell ref="G45:H45"/>
    <mergeCell ref="G46:H46"/>
    <mergeCell ref="G119:H119"/>
    <mergeCell ref="A117:B119"/>
    <mergeCell ref="A179:F179"/>
    <mergeCell ref="C180:D180"/>
    <mergeCell ref="E180:F180"/>
    <mergeCell ref="G180:H180"/>
    <mergeCell ref="I180:L181"/>
    <mergeCell ref="C181:D181"/>
    <mergeCell ref="E181:F181"/>
    <mergeCell ref="G181:H181"/>
    <mergeCell ref="A167:D168"/>
    <mergeCell ref="E167:F168"/>
    <mergeCell ref="A139:B140"/>
    <mergeCell ref="B141:F141"/>
    <mergeCell ref="E142:F142"/>
    <mergeCell ref="E143:F152"/>
    <mergeCell ref="A153:B154"/>
    <mergeCell ref="B155:F155"/>
    <mergeCell ref="E156:F156"/>
    <mergeCell ref="E157:F166"/>
    <mergeCell ref="C119:F119"/>
    <mergeCell ref="G178:H178"/>
    <mergeCell ref="I173:L176"/>
    <mergeCell ref="C176:D176"/>
    <mergeCell ref="B574:F574"/>
    <mergeCell ref="A207:F207"/>
    <mergeCell ref="A232:F232"/>
    <mergeCell ref="A233:F233"/>
    <mergeCell ref="A234:F234"/>
    <mergeCell ref="G235:H235"/>
    <mergeCell ref="G297:H297"/>
    <mergeCell ref="A317:F317"/>
    <mergeCell ref="G318:H318"/>
    <mergeCell ref="A345:F345"/>
    <mergeCell ref="A278:F278"/>
    <mergeCell ref="G279:H279"/>
    <mergeCell ref="F246:F247"/>
    <mergeCell ref="D563:E563"/>
    <mergeCell ref="D564:E564"/>
    <mergeCell ref="D565:E565"/>
    <mergeCell ref="D552:E552"/>
    <mergeCell ref="D556:E556"/>
    <mergeCell ref="D553:E553"/>
    <mergeCell ref="D554:E554"/>
    <mergeCell ref="D555:E555"/>
    <mergeCell ref="D558:E558"/>
    <mergeCell ref="A539:F539"/>
    <mergeCell ref="B540:C540"/>
  </mergeCells>
  <dataValidations count="16">
    <dataValidation type="list" allowBlank="1" showInputMessage="1" showErrorMessage="1" sqref="B39:B40 B33:B34 B36:B37">
      <formula1>$C$584:$C$589</formula1>
    </dataValidation>
    <dataValidation type="list" allowBlank="1" showInputMessage="1" showErrorMessage="1" sqref="F33:F34 F40 F36:F37">
      <formula1>$G$580:$G$582</formula1>
    </dataValidation>
    <dataValidation type="list" allowBlank="1" showInputMessage="1" showErrorMessage="1" sqref="F2">
      <formula1>"Airoli,Goregaon"</formula1>
    </dataValidation>
    <dataValidation type="list" allowBlank="1" showInputMessage="1" showErrorMessage="1" sqref="D11">
      <formula1>"Mr. Abhishek Manjarekar,Mr. Rushabh Kakade,Miss. Bharti,Mr. Ajinkya Oturkar"</formula1>
    </dataValidation>
    <dataValidation type="list" allowBlank="1" showInputMessage="1" showErrorMessage="1" sqref="E13:F13">
      <formula1>"Sachin Sawant,Shruti Fule,Hitakshi Mhatre,Shruti Tathare,Sonali Kumbhar,Pooja Kawale,Mansee Mohite"</formula1>
    </dataValidation>
    <dataValidation type="list" allowBlank="1" showInputMessage="1" showErrorMessage="1" sqref="A18">
      <formula1>"Plot No.,Survey No.,CTS No.,Gut No."</formula1>
    </dataValidation>
    <dataValidation type="list" allowBlank="1" showInputMessage="1" showErrorMessage="1" sqref="D18">
      <formula1>"Hissa No., Sector No., Plot No."</formula1>
    </dataValidation>
    <dataValidation type="list" allowBlank="1" showInputMessage="1" showErrorMessage="1" sqref="D19">
      <formula1>"Ward No.,Existing Builidng Name &amp; No.,City"</formula1>
    </dataValidation>
    <dataValidation type="list" allowBlank="1" showInputMessage="1" showErrorMessage="1" sqref="E21:F21">
      <formula1>"Mumbai,Thane,Palghar,Raigad,Pune"</formula1>
    </dataValidation>
    <dataValidation type="list" allowBlank="1" showInputMessage="1" showErrorMessage="1" sqref="C120:F121 B97 B102:C106 E103:F106 E101:F101 C107:F108">
      <formula1>"Yes,No"</formula1>
    </dataValidation>
    <dataValidation type="list" allowBlank="1" showInputMessage="1" showErrorMessage="1" sqref="B82:B84 B86:B94">
      <formula1>"Applicable and Received,Applicable and Not Received,Not Applicable"</formula1>
    </dataValidation>
    <dataValidation type="list" allowBlank="1" showInputMessage="1" showErrorMessage="1" sqref="D97">
      <formula1>"Registered,Not Registered"</formula1>
    </dataValidation>
    <dataValidation type="list" allowBlank="1" showInputMessage="1" showErrorMessage="1" sqref="B101:C101">
      <formula1>"Zone II,Zone III,Zone IV,Zone V"</formula1>
    </dataValidation>
    <dataValidation type="list" allowBlank="1" showInputMessage="1" showErrorMessage="1" sqref="E102:F102">
      <formula1>"Not Appicable,Zone I,Zone II,Zone III,Zone IV"</formula1>
    </dataValidation>
    <dataValidation type="list" allowBlank="1" showInputMessage="1" showErrorMessage="1" sqref="E541:F546">
      <formula1>"Carpet Area,Buildup Area,Saleable Area"</formula1>
    </dataValidation>
    <dataValidation type="list" allowBlank="1" showInputMessage="1" showErrorMessage="1" sqref="B567:F567">
      <formula1>"Construction Work is active at the time of visit.,Construction Work is not active at the time of visit.,Work not yet Started, All work Completed"</formula1>
    </dataValidation>
  </dataValidations>
  <hyperlinks>
    <hyperlink ref="C6" r:id="rId1"/>
    <hyperlink ref="B24" r:id="rId2"/>
  </hyperlinks>
  <pageMargins left="0.39370078740157483" right="0.39370078740157483" top="0.78740157480314965" bottom="0.78740157480314965" header="0.31496062992125984" footer="0.31496062992125984"/>
  <pageSetup fitToHeight="0" orientation="portrait" r:id="rId3"/>
  <headerFooter>
    <oddHeader>&amp;C&amp;G</oddHeader>
    <oddFooter>&amp;L&amp;"-,Bold"Ref No: &amp;F&amp;R&amp;"-,Bold"&amp;P</oddFooter>
  </headerFooter>
  <rowBreaks count="9" manualBreakCount="9">
    <brk id="168" max="16383" man="1"/>
    <brk id="201" max="5" man="1"/>
    <brk id="244" max="5" man="1"/>
    <brk id="466" max="5" man="1"/>
    <brk id="509" max="5" man="1"/>
    <brk id="579" max="16383" man="1"/>
    <brk id="625" max="16383" man="1"/>
    <brk id="671" max="16383" man="1"/>
    <brk id="717" max="16383" man="1"/>
  </rowBreak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4:K124"/>
  <sheetViews>
    <sheetView topLeftCell="A117" workbookViewId="0">
      <selection activeCell="B124" sqref="B124"/>
    </sheetView>
  </sheetViews>
  <sheetFormatPr defaultRowHeight="15" x14ac:dyDescent="0.25"/>
  <sheetData>
    <row r="104" spans="2:11" ht="15.75" thickBot="1" x14ac:dyDescent="0.3"/>
    <row r="105" spans="2:11" ht="15.75" x14ac:dyDescent="0.25">
      <c r="B105" s="422" t="s">
        <v>4</v>
      </c>
      <c r="C105" s="423"/>
      <c r="D105" s="424" t="s">
        <v>44</v>
      </c>
      <c r="E105" s="425"/>
      <c r="F105" s="425"/>
      <c r="G105" s="425"/>
      <c r="H105" s="425"/>
      <c r="I105" s="426"/>
      <c r="J105" s="13" t="str">
        <f ca="1">(IF(F109&gt;99%,"All work completed. Please provide OC.",IF(F109&gt;89.8%,"Plinth, RCC, Brick, Plaster, Flooring, Painting work Completed. Finishing work is in process.",IF(F109&lt;94%,(IF(D109=0,"Work not yet Started.",IF(E109=25%,"Piling work in process",IF(E109=50%,"Excavation work in process",IF(E109=100%,"Excavation work Completed. ","0")))&amp;(IF(D110=0%,"",IF(D110=K111,"Footing work is process",IF(D110=K112,"Footing work Completed",IF(D110=K113,"1st Basement Completed",IF(D110=K114,"1st &amp; 2nd Basement Completed",IF(D110=K115,"1st to 3rd Basement Completed",IF(D110=K116,"1st to 4th Basement Completed",IF(D110=K117,"Plinth work is process",IF(D110=K118,"Plinth work completed","0")))))))))))&amp;(IF(D111=(D106+E106+F106),", RCC Slab",IF(D111&gt;0,", RCC upto "&amp;D111&amp;" Slab",""))&amp;(IF(D112=F106,", Brickwork",IF(D112&gt;0,", Brickwork upto "&amp;D112&amp;" Floor",""))&amp;(IF(D113=F106,", Internal Plaster",IF(D113&gt;0,", Internal Plaster upto "&amp;D113&amp;" Floor",""))&amp;(IF(D114=F106,", External Plaster",IF(D114&gt;0,", External Plaster upto "&amp;D114&amp;" Floor",""))&amp;(IF(D115=F106,", Flooring",IF(D115&gt;0,", Flooring upto "&amp;D115&amp;" Floor",""))&amp;(IF(D116=F106,", Painting",IF(D116&gt;0,", Painting upto "&amp;D116&amp;" Floor",""))&amp;(IF(D117&gt;0,", Finishing upto "&amp;D117&amp;" Floor","")&amp;(IF(D111&gt;0.5," Completed",""))))))))))))))</f>
        <v>All work completed. Please provide OC.</v>
      </c>
      <c r="K105" s="14"/>
    </row>
    <row r="106" spans="2:11" ht="15.75" x14ac:dyDescent="0.25">
      <c r="B106" s="15" t="s">
        <v>5</v>
      </c>
      <c r="C106" s="16">
        <v>0</v>
      </c>
      <c r="D106" s="32">
        <v>1</v>
      </c>
      <c r="E106" s="33">
        <v>0</v>
      </c>
      <c r="F106" s="33">
        <f ca="1">--TRIM(RIGHT(SUBSTITUTE(LEFT(D105,_xlfn.AGGREGATE(16,6,FIND({0,1,2,3,4,5,6,7,8,9},D105,ROW(INDIRECT("1:"&amp;LEN(D105)))),1))," ",REPT(" ",LEN(D105))),LEN(D105)))</f>
        <v>7</v>
      </c>
      <c r="G106" s="33"/>
      <c r="H106" s="33"/>
      <c r="I106" s="34"/>
      <c r="J106" s="17"/>
      <c r="K106" s="18"/>
    </row>
    <row r="107" spans="2:11" ht="15.75" x14ac:dyDescent="0.25">
      <c r="B107" s="427" t="s">
        <v>9</v>
      </c>
      <c r="C107" s="428"/>
      <c r="D107" s="429" t="str">
        <f>J107</f>
        <v>All work Completed. OC Received.</v>
      </c>
      <c r="E107" s="429"/>
      <c r="F107" s="429"/>
      <c r="G107" s="429"/>
      <c r="H107" s="429"/>
      <c r="I107" s="430"/>
      <c r="J107" s="17" t="s">
        <v>10</v>
      </c>
      <c r="K107" s="18"/>
    </row>
    <row r="108" spans="2:11" ht="31.5" x14ac:dyDescent="0.25">
      <c r="B108" s="431" t="s">
        <v>11</v>
      </c>
      <c r="C108" s="432"/>
      <c r="D108" s="19" t="s">
        <v>13</v>
      </c>
      <c r="E108" s="19" t="s">
        <v>14</v>
      </c>
      <c r="F108" s="432" t="s">
        <v>15</v>
      </c>
      <c r="G108" s="432"/>
      <c r="H108" s="432" t="s">
        <v>41</v>
      </c>
      <c r="I108" s="433"/>
      <c r="J108" s="20" t="s">
        <v>16</v>
      </c>
      <c r="K108" s="21">
        <f ca="1">F106*25%</f>
        <v>1.75</v>
      </c>
    </row>
    <row r="109" spans="2:11" ht="15.75" x14ac:dyDescent="0.25">
      <c r="B109" s="431" t="s">
        <v>17</v>
      </c>
      <c r="C109" s="432"/>
      <c r="D109" s="22">
        <f ca="1">K110</f>
        <v>7</v>
      </c>
      <c r="E109" s="23">
        <f ca="1">((100/F106)*D109)/100</f>
        <v>1</v>
      </c>
      <c r="F109" s="436">
        <f ca="1">(((D110/F106*10)+(40/(D106+E106+F106)*D111)+(7.5/(F106)*D112)+(7.5/(F106)*D113)+(10/F106*D114)+(10/F106*D115)+(5/F106*D116)+(5/F106*D117)+(5/F106*D118))/100)</f>
        <v>1</v>
      </c>
      <c r="G109" s="436"/>
      <c r="H109" s="436">
        <f ca="1">((((D109/F106)*20)+((D110/F106)*25)+(30/(F106+E106+D106)*D111)+(5/F106*D112)+(5/F106*D113)+(5/F106*D114)+(5/F106*D115)+(0/F106*D116)+(0/F106*D117)+(5/F106*D118))/100)</f>
        <v>1</v>
      </c>
      <c r="I109" s="438"/>
      <c r="J109" s="20" t="s">
        <v>18</v>
      </c>
      <c r="K109" s="24">
        <f ca="1">F106*50%</f>
        <v>3.5</v>
      </c>
    </row>
    <row r="110" spans="2:11" ht="15.75" x14ac:dyDescent="0.25">
      <c r="B110" s="431" t="s">
        <v>19</v>
      </c>
      <c r="C110" s="432"/>
      <c r="D110" s="25">
        <f ca="1">K118</f>
        <v>7</v>
      </c>
      <c r="E110" s="23">
        <f ca="1">((100/F106)*D110)/100</f>
        <v>1</v>
      </c>
      <c r="F110" s="436"/>
      <c r="G110" s="436"/>
      <c r="H110" s="436"/>
      <c r="I110" s="438"/>
      <c r="J110" s="20" t="s">
        <v>20</v>
      </c>
      <c r="K110" s="24">
        <f ca="1">F106</f>
        <v>7</v>
      </c>
    </row>
    <row r="111" spans="2:11" ht="15.75" x14ac:dyDescent="0.25">
      <c r="B111" s="440" t="s">
        <v>21</v>
      </c>
      <c r="C111" s="441"/>
      <c r="D111" s="25">
        <v>8</v>
      </c>
      <c r="E111" s="23">
        <f ca="1">((100/(D106+E106+F106))*D111)/100</f>
        <v>1</v>
      </c>
      <c r="F111" s="436"/>
      <c r="G111" s="436"/>
      <c r="H111" s="436"/>
      <c r="I111" s="438"/>
      <c r="J111" s="20" t="s">
        <v>22</v>
      </c>
      <c r="K111" s="26">
        <f ca="1">(IF(C106&gt;1,(F106/(C106+2)),F106/4))</f>
        <v>1.75</v>
      </c>
    </row>
    <row r="112" spans="2:11" ht="15.75" x14ac:dyDescent="0.25">
      <c r="B112" s="431" t="s">
        <v>23</v>
      </c>
      <c r="C112" s="432" t="s">
        <v>42</v>
      </c>
      <c r="D112" s="22">
        <v>7</v>
      </c>
      <c r="E112" s="23">
        <f ca="1">((100/F106)*D112)/100</f>
        <v>1</v>
      </c>
      <c r="F112" s="436"/>
      <c r="G112" s="436"/>
      <c r="H112" s="436"/>
      <c r="I112" s="438"/>
      <c r="J112" s="20" t="s">
        <v>24</v>
      </c>
      <c r="K112" s="26">
        <f ca="1">(IF(C106&gt;1,(F106/(C106+2)+K111),F106/4+K111))</f>
        <v>3.5</v>
      </c>
    </row>
    <row r="113" spans="2:11" ht="15.75" x14ac:dyDescent="0.25">
      <c r="B113" s="431" t="s">
        <v>25</v>
      </c>
      <c r="C113" s="432" t="s">
        <v>42</v>
      </c>
      <c r="D113" s="22">
        <v>7</v>
      </c>
      <c r="E113" s="23">
        <f ca="1">((100/F106)*D113)/100</f>
        <v>1</v>
      </c>
      <c r="F113" s="436"/>
      <c r="G113" s="436"/>
      <c r="H113" s="436"/>
      <c r="I113" s="438"/>
      <c r="J113" s="20" t="s">
        <v>26</v>
      </c>
      <c r="K113" s="26">
        <f>(IF(C106&gt;1,(F106/(C106+2)+K112),0))</f>
        <v>0</v>
      </c>
    </row>
    <row r="114" spans="2:11" ht="15.75" x14ac:dyDescent="0.25">
      <c r="B114" s="431" t="s">
        <v>27</v>
      </c>
      <c r="C114" s="432" t="s">
        <v>43</v>
      </c>
      <c r="D114" s="22">
        <v>7</v>
      </c>
      <c r="E114" s="23">
        <f ca="1">((100/(F106))*D114)/100</f>
        <v>1</v>
      </c>
      <c r="F114" s="436"/>
      <c r="G114" s="436"/>
      <c r="H114" s="436"/>
      <c r="I114" s="438"/>
      <c r="J114" s="20" t="s">
        <v>28</v>
      </c>
      <c r="K114" s="26">
        <f>(IF(C106&gt;2,(F106/(C106+2)+K113),0))</f>
        <v>0</v>
      </c>
    </row>
    <row r="115" spans="2:11" ht="15.75" x14ac:dyDescent="0.25">
      <c r="B115" s="431" t="s">
        <v>29</v>
      </c>
      <c r="C115" s="432" t="s">
        <v>29</v>
      </c>
      <c r="D115" s="22">
        <v>7</v>
      </c>
      <c r="E115" s="23">
        <f ca="1">((100/F106)*D115)/100</f>
        <v>1</v>
      </c>
      <c r="F115" s="436"/>
      <c r="G115" s="436"/>
      <c r="H115" s="436"/>
      <c r="I115" s="438"/>
      <c r="J115" s="20" t="s">
        <v>30</v>
      </c>
      <c r="K115" s="27">
        <f>(IF(C106&gt;3,(F106/(C106+2)+K114),0))</f>
        <v>0</v>
      </c>
    </row>
    <row r="116" spans="2:11" ht="15.75" x14ac:dyDescent="0.25">
      <c r="B116" s="431" t="s">
        <v>31</v>
      </c>
      <c r="C116" s="432"/>
      <c r="D116" s="22">
        <v>7</v>
      </c>
      <c r="E116" s="23">
        <f ca="1">((100/F106)*D116)/100</f>
        <v>1</v>
      </c>
      <c r="F116" s="436"/>
      <c r="G116" s="436"/>
      <c r="H116" s="436"/>
      <c r="I116" s="438"/>
      <c r="J116" s="20" t="s">
        <v>32</v>
      </c>
      <c r="K116" s="26">
        <f>(IF(C106&gt;4,(F106/(C106+2)+K115),0))</f>
        <v>0</v>
      </c>
    </row>
    <row r="117" spans="2:11" ht="15.75" x14ac:dyDescent="0.25">
      <c r="B117" s="431" t="s">
        <v>33</v>
      </c>
      <c r="C117" s="432" t="s">
        <v>33</v>
      </c>
      <c r="D117" s="22">
        <v>7</v>
      </c>
      <c r="E117" s="23">
        <f ca="1">((100/(F106))*D117)/100</f>
        <v>1</v>
      </c>
      <c r="F117" s="436"/>
      <c r="G117" s="436"/>
      <c r="H117" s="436"/>
      <c r="I117" s="438"/>
      <c r="J117" s="20" t="s">
        <v>34</v>
      </c>
      <c r="K117" s="26">
        <f ca="1">(IF(C106=1,(F106/(C106+3)+K112),IF(C106=0,(F106/4+K112),IF(C106&gt;1,0))))</f>
        <v>5.25</v>
      </c>
    </row>
    <row r="118" spans="2:11" ht="16.5" thickBot="1" x14ac:dyDescent="0.3">
      <c r="B118" s="434" t="s">
        <v>35</v>
      </c>
      <c r="C118" s="435"/>
      <c r="D118" s="28">
        <v>7</v>
      </c>
      <c r="E118" s="29">
        <f ca="1">((100/(F106))*D118)/100</f>
        <v>1</v>
      </c>
      <c r="F118" s="437"/>
      <c r="G118" s="437"/>
      <c r="H118" s="437"/>
      <c r="I118" s="439"/>
      <c r="J118" s="30" t="s">
        <v>36</v>
      </c>
      <c r="K118" s="31">
        <f ca="1">(IF(C106&gt;1.5,(F106/(C106+2)+K112+MAX(0,K113-K112)+MAX(0,K114-K113)+MAX(0,K115-K114)+MAX(0,K116-K115)+MAX(0,K117-K116)),IF(C106=1,(F106/(C106+3)+K117),IF(C106=0,F106/4+K117))))</f>
        <v>7</v>
      </c>
    </row>
    <row r="124" spans="2:11" x14ac:dyDescent="0.25">
      <c r="B124" t="str">
        <f>(IF(E125&gt;99%,"All work completed. Please provide OC.",IF(E125&gt;89.8%,"Plinth, RCC, Brick, Plaster, Flooring, Painting work Completed. Finishing work is in process.",IF(E125&lt;94%,(IF(C125=0,"Work not yet Started.",IF(D125=25%,"Piling work in process",IF(D125=50%,"Excavation work in process",IF(D125=100%,"Excavation work Completed. ","0")))&amp;(IF(C126=0%,"",IF(C126=H127,"Footing work is process",IF(C126=H128,"Footing work Completed",IF(C126=H129,"1st Basement Completed",IF(C126=H130,"1st &amp; 2nd Basement Completed",IF(C126=H131,"1st to 3rd Basement Completed",IF(C126=H132,"1st to 4th Basement Completed",IF(C126=H133,"Plinth work is process",IF(C126=H134,"Plinth work completed","0")))))))))))&amp;(IF(C127=(D122+E122+F122),", RCC Slab",IF(C127&gt;0,", RCC upto "&amp;C127&amp;" Slab",""))&amp;(IF(C128=F122,", Brickwork",IF(C128&gt;0,", Brickwork upto "&amp;C128&amp;" Floor",""))&amp;(IF(C129=F122,", Internal Plaster",IF(C129&gt;0,", Internal Plaster upto "&amp;C129&amp;" Floor",""))&amp;(IF(C130=F122,", External Plaster",IF(C130&gt;0,", External Plaster upto "&amp;C130&amp;" Floor",""))&amp;(IF(C131=F122,", Flooring",IF(C131&gt;0,", Flooring upto "&amp;C131&amp;" Floor",""))&amp;(IF(C132=F122,", Painting",IF(C132&gt;0,", Painting upto "&amp;C132&amp;" Floor",""))&amp;(IF(C133&gt;0,", Finishing upto "&amp;C133&amp;" Floor","")&amp;(IF(C127&gt;0.5," Completed",""))))))))))))))</f>
        <v>Work not yet Started., RCC Slab, Brickwork, Internal Plaster, External Plaster, Flooring, Painting</v>
      </c>
    </row>
  </sheetData>
  <mergeCells count="19">
    <mergeCell ref="B117:C117"/>
    <mergeCell ref="B118:C118"/>
    <mergeCell ref="B109:C109"/>
    <mergeCell ref="F109:G118"/>
    <mergeCell ref="H109:I118"/>
    <mergeCell ref="B110:C110"/>
    <mergeCell ref="B111:C111"/>
    <mergeCell ref="B112:C112"/>
    <mergeCell ref="B113:C113"/>
    <mergeCell ref="B114:C114"/>
    <mergeCell ref="B115:C115"/>
    <mergeCell ref="B116:C116"/>
    <mergeCell ref="B105:C105"/>
    <mergeCell ref="D105:I105"/>
    <mergeCell ref="B107:C107"/>
    <mergeCell ref="D107:I107"/>
    <mergeCell ref="B108:C108"/>
    <mergeCell ref="F108:G108"/>
    <mergeCell ref="H108:I1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SACHIN</dc:creator>
  <cp:lastModifiedBy>VSJC</cp:lastModifiedBy>
  <cp:lastPrinted>2025-08-11T10:46:22Z</cp:lastPrinted>
  <dcterms:created xsi:type="dcterms:W3CDTF">2023-05-19T08:34:56Z</dcterms:created>
  <dcterms:modified xsi:type="dcterms:W3CDTF">2025-08-11T10:48:54Z</dcterms:modified>
</cp:coreProperties>
</file>