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August 2025\07-08-2025\"/>
    </mc:Choice>
  </mc:AlternateContent>
  <bookViews>
    <workbookView xWindow="0" yWindow="0" windowWidth="19200" windowHeight="6640" tabRatio="849"/>
  </bookViews>
  <sheets>
    <sheet name="Report (2)" sheetId="1" r:id="rId1"/>
    <sheet name="Note" sheetId="8" r:id="rId2"/>
    <sheet name="C% E1," sheetId="2" r:id="rId3"/>
    <sheet name="C% E2, " sheetId="4" r:id="rId4"/>
    <sheet name="C% (3)E3" sheetId="5" r:id="rId5"/>
    <sheet name="C% E4" sheetId="6" r:id="rId6"/>
    <sheet name="C%  E5 (2)" sheetId="7" r:id="rId7"/>
    <sheet name="Flat detail" sheetId="3" r:id="rId8"/>
    <sheet name="VALUATION" sheetId="9" r:id="rId9"/>
  </sheets>
  <definedNames>
    <definedName name="_xlnm.Print_Area" localSheetId="0">'Report (2)'!$A$1:$J$301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1" i="1" l="1"/>
  <c r="L80" i="1"/>
  <c r="L79" i="1"/>
  <c r="L78" i="1"/>
  <c r="F3" i="1"/>
  <c r="I70" i="1"/>
  <c r="D83" i="1" l="1"/>
  <c r="D81" i="1"/>
  <c r="D79" i="1"/>
  <c r="D77" i="1"/>
  <c r="L75" i="1"/>
  <c r="C74" i="1" s="1"/>
  <c r="D74" i="1" s="1"/>
  <c r="L73" i="1"/>
  <c r="L76" i="1"/>
  <c r="L77" i="1" s="1"/>
  <c r="L82" i="1" s="1"/>
  <c r="L83" i="1" s="1"/>
  <c r="C75" i="1" s="1"/>
  <c r="D82" i="1"/>
  <c r="D80" i="1"/>
  <c r="D78" i="1"/>
  <c r="C76" i="1"/>
  <c r="D76" i="1" s="1"/>
  <c r="L74" i="1"/>
  <c r="L126" i="1"/>
  <c r="K117" i="1"/>
  <c r="K126" i="1"/>
  <c r="K127" i="1"/>
  <c r="K128" i="1"/>
  <c r="K137" i="1"/>
  <c r="K146" i="1"/>
  <c r="K147" i="1"/>
  <c r="K148" i="1"/>
  <c r="K157" i="1"/>
  <c r="K166" i="1"/>
  <c r="K167" i="1"/>
  <c r="K168" i="1"/>
  <c r="K177" i="1"/>
  <c r="K186" i="1"/>
  <c r="K187" i="1"/>
  <c r="K188" i="1"/>
  <c r="K197" i="1"/>
  <c r="L66" i="1"/>
  <c r="L65" i="1"/>
  <c r="I55" i="1"/>
  <c r="F74" i="1" l="1"/>
  <c r="C72" i="1" s="1"/>
  <c r="D75" i="1"/>
  <c r="H74" i="1"/>
  <c r="C61" i="1"/>
  <c r="D61" i="1" s="1"/>
  <c r="D68" i="1"/>
  <c r="D64" i="1"/>
  <c r="L60" i="1"/>
  <c r="C59" i="1" s="1"/>
  <c r="D59" i="1" s="1"/>
  <c r="L58" i="1"/>
  <c r="D66" i="1"/>
  <c r="L61" i="1"/>
  <c r="L62" i="1" s="1"/>
  <c r="L67" i="1" s="1"/>
  <c r="D67" i="1"/>
  <c r="D63" i="1"/>
  <c r="L59" i="1"/>
  <c r="D62" i="1"/>
  <c r="D65" i="1"/>
  <c r="F6" i="9"/>
  <c r="G6" i="9" s="1"/>
  <c r="F7" i="9"/>
  <c r="G7" i="9" s="1"/>
  <c r="F8" i="9"/>
  <c r="G8" i="9" s="1"/>
  <c r="F9" i="9"/>
  <c r="G9" i="9" s="1"/>
  <c r="F5" i="9"/>
  <c r="G5" i="9" s="1"/>
  <c r="H57" i="1" l="1"/>
  <c r="H72" i="1"/>
  <c r="K69" i="1"/>
  <c r="C71" i="1" s="1"/>
  <c r="C57" i="1"/>
  <c r="G10" i="9"/>
  <c r="L63" i="1"/>
  <c r="L64" i="1" s="1"/>
  <c r="B16" i="7"/>
  <c r="O7" i="7" s="1"/>
  <c r="H19" i="7" s="1"/>
  <c r="B14" i="7"/>
  <c r="E9" i="7" s="1"/>
  <c r="B12" i="7"/>
  <c r="M7" i="7" s="1"/>
  <c r="H17" i="7" s="1"/>
  <c r="B10" i="7"/>
  <c r="L7" i="7" s="1"/>
  <c r="H16" i="7" s="1"/>
  <c r="E8" i="7"/>
  <c r="B8" i="7"/>
  <c r="K7" i="7" s="1"/>
  <c r="H15" i="7" s="1"/>
  <c r="I6" i="7"/>
  <c r="G13" i="7" s="1"/>
  <c r="B6" i="7"/>
  <c r="J7" i="7" s="1"/>
  <c r="H14" i="7" s="1"/>
  <c r="E4" i="7"/>
  <c r="L6" i="7" l="1"/>
  <c r="G16" i="7" s="1"/>
  <c r="M6" i="7"/>
  <c r="G17" i="7" s="1"/>
  <c r="N6" i="7"/>
  <c r="G18" i="7" s="1"/>
  <c r="E7" i="7"/>
  <c r="N7" i="7"/>
  <c r="H18" i="7" s="1"/>
  <c r="L68" i="1"/>
  <c r="C60" i="1" s="1"/>
  <c r="J6" i="7"/>
  <c r="G14" i="7" s="1"/>
  <c r="E5" i="7"/>
  <c r="E6" i="7"/>
  <c r="I7" i="7"/>
  <c r="H13" i="7" s="1"/>
  <c r="E10" i="7"/>
  <c r="K6" i="7"/>
  <c r="G15" i="7" s="1"/>
  <c r="O6" i="7"/>
  <c r="G19" i="7" s="1"/>
  <c r="H20" i="7" l="1"/>
  <c r="F59" i="1"/>
  <c r="K54" i="1" s="1"/>
  <c r="C56" i="1" s="1"/>
  <c r="H59" i="1"/>
  <c r="D60" i="1"/>
  <c r="G20" i="7"/>
  <c r="D169" i="1"/>
  <c r="C13" i="1" l="1"/>
  <c r="B16" i="6"/>
  <c r="O7" i="6" s="1"/>
  <c r="H19" i="6" s="1"/>
  <c r="B14" i="6"/>
  <c r="E9" i="6" s="1"/>
  <c r="B12" i="6"/>
  <c r="M7" i="6" s="1"/>
  <c r="H17" i="6" s="1"/>
  <c r="E10" i="6"/>
  <c r="B10" i="6"/>
  <c r="L7" i="6" s="1"/>
  <c r="H16" i="6" s="1"/>
  <c r="B8" i="6"/>
  <c r="K7" i="6" s="1"/>
  <c r="H15" i="6" s="1"/>
  <c r="I6" i="6"/>
  <c r="G13" i="6" s="1"/>
  <c r="B6" i="6"/>
  <c r="J7" i="6" s="1"/>
  <c r="H14" i="6" s="1"/>
  <c r="E4" i="6"/>
  <c r="B16" i="5"/>
  <c r="E10" i="5" s="1"/>
  <c r="B14" i="5"/>
  <c r="N6" i="5" s="1"/>
  <c r="G18" i="5" s="1"/>
  <c r="B12" i="5"/>
  <c r="M7" i="5" s="1"/>
  <c r="H17" i="5" s="1"/>
  <c r="B10" i="5"/>
  <c r="L7" i="5" s="1"/>
  <c r="H16" i="5" s="1"/>
  <c r="B8" i="5"/>
  <c r="K7" i="5" s="1"/>
  <c r="H15" i="5" s="1"/>
  <c r="O7" i="5"/>
  <c r="H19" i="5" s="1"/>
  <c r="I6" i="5"/>
  <c r="I7" i="5" s="1"/>
  <c r="H13" i="5" s="1"/>
  <c r="B6" i="5"/>
  <c r="J7" i="5" s="1"/>
  <c r="H14" i="5" s="1"/>
  <c r="E4" i="5"/>
  <c r="B16" i="4"/>
  <c r="E10" i="4" s="1"/>
  <c r="B14" i="4"/>
  <c r="E9" i="4" s="1"/>
  <c r="B12" i="4"/>
  <c r="M7" i="4" s="1"/>
  <c r="H17" i="4" s="1"/>
  <c r="B10" i="4"/>
  <c r="L7" i="4" s="1"/>
  <c r="H16" i="4" s="1"/>
  <c r="B8" i="4"/>
  <c r="K7" i="4" s="1"/>
  <c r="H15" i="4" s="1"/>
  <c r="O7" i="4"/>
  <c r="H19" i="4" s="1"/>
  <c r="I6" i="4"/>
  <c r="I7" i="4" s="1"/>
  <c r="H13" i="4" s="1"/>
  <c r="B6" i="4"/>
  <c r="J7" i="4" s="1"/>
  <c r="H14" i="4" s="1"/>
  <c r="E4" i="4"/>
  <c r="D205" i="1"/>
  <c r="G205" i="1" s="1"/>
  <c r="K205" i="1" s="1"/>
  <c r="D204" i="1"/>
  <c r="G204" i="1" s="1"/>
  <c r="K204" i="1" s="1"/>
  <c r="D203" i="1"/>
  <c r="G203" i="1" s="1"/>
  <c r="K203" i="1" s="1"/>
  <c r="D202" i="1"/>
  <c r="G202" i="1" s="1"/>
  <c r="K202" i="1" s="1"/>
  <c r="D201" i="1"/>
  <c r="G201" i="1" s="1"/>
  <c r="K201" i="1" s="1"/>
  <c r="D200" i="1"/>
  <c r="G200" i="1" s="1"/>
  <c r="K200" i="1" s="1"/>
  <c r="D199" i="1"/>
  <c r="G199" i="1" s="1"/>
  <c r="K199" i="1" s="1"/>
  <c r="I198" i="1"/>
  <c r="D198" i="1"/>
  <c r="G198" i="1" s="1"/>
  <c r="K198" i="1" s="1"/>
  <c r="F196" i="1"/>
  <c r="D196" i="1"/>
  <c r="F195" i="1"/>
  <c r="D195" i="1"/>
  <c r="F194" i="1"/>
  <c r="D194" i="1"/>
  <c r="F193" i="1"/>
  <c r="D193" i="1"/>
  <c r="F192" i="1"/>
  <c r="D192" i="1"/>
  <c r="F191" i="1"/>
  <c r="D191" i="1"/>
  <c r="F190" i="1"/>
  <c r="D190" i="1"/>
  <c r="F189" i="1"/>
  <c r="D189" i="1"/>
  <c r="D145" i="1"/>
  <c r="G145" i="1" s="1"/>
  <c r="D144" i="1"/>
  <c r="G144" i="1" s="1"/>
  <c r="D143" i="1"/>
  <c r="G143" i="1" s="1"/>
  <c r="D142" i="1"/>
  <c r="G142" i="1" s="1"/>
  <c r="D141" i="1"/>
  <c r="G141" i="1" s="1"/>
  <c r="D140" i="1"/>
  <c r="G140" i="1" s="1"/>
  <c r="D139" i="1"/>
  <c r="G139" i="1" s="1"/>
  <c r="I138" i="1"/>
  <c r="D138" i="1"/>
  <c r="G138" i="1" s="1"/>
  <c r="F136" i="1"/>
  <c r="D136" i="1"/>
  <c r="F135" i="1"/>
  <c r="D135" i="1"/>
  <c r="F134" i="1"/>
  <c r="D134" i="1"/>
  <c r="F133" i="1"/>
  <c r="D133" i="1"/>
  <c r="F132" i="1"/>
  <c r="D132" i="1"/>
  <c r="F131" i="1"/>
  <c r="D131" i="1"/>
  <c r="F130" i="1"/>
  <c r="D130" i="1"/>
  <c r="F129" i="1"/>
  <c r="D129" i="1"/>
  <c r="K6" i="4" l="1"/>
  <c r="G15" i="4" s="1"/>
  <c r="N7" i="4"/>
  <c r="H18" i="4" s="1"/>
  <c r="L6" i="6"/>
  <c r="G16" i="6" s="1"/>
  <c r="E8" i="6"/>
  <c r="J6" i="4"/>
  <c r="G14" i="4" s="1"/>
  <c r="M6" i="5"/>
  <c r="G17" i="5" s="1"/>
  <c r="E8" i="5"/>
  <c r="E5" i="4"/>
  <c r="M6" i="6"/>
  <c r="G17" i="6" s="1"/>
  <c r="L138" i="1"/>
  <c r="K138" i="1"/>
  <c r="K145" i="1"/>
  <c r="L145" i="1"/>
  <c r="L141" i="1"/>
  <c r="K141" i="1"/>
  <c r="L140" i="1"/>
  <c r="K140" i="1"/>
  <c r="L142" i="1"/>
  <c r="K142" i="1"/>
  <c r="K144" i="1"/>
  <c r="L144" i="1"/>
  <c r="L139" i="1"/>
  <c r="K139" i="1"/>
  <c r="L143" i="1"/>
  <c r="K143" i="1"/>
  <c r="N7" i="5"/>
  <c r="H18" i="5" s="1"/>
  <c r="E5" i="6"/>
  <c r="J6" i="5"/>
  <c r="G14" i="5" s="1"/>
  <c r="E6" i="5"/>
  <c r="K6" i="5"/>
  <c r="G15" i="5" s="1"/>
  <c r="J6" i="6"/>
  <c r="G14" i="6" s="1"/>
  <c r="G13" i="5"/>
  <c r="M6" i="4"/>
  <c r="G17" i="4" s="1"/>
  <c r="E7" i="6"/>
  <c r="N6" i="4"/>
  <c r="G18" i="4" s="1"/>
  <c r="E8" i="4"/>
  <c r="E9" i="5"/>
  <c r="O6" i="4"/>
  <c r="G19" i="4" s="1"/>
  <c r="O6" i="5"/>
  <c r="G19" i="5" s="1"/>
  <c r="E5" i="5"/>
  <c r="E6" i="6"/>
  <c r="G13" i="4"/>
  <c r="E6" i="4"/>
  <c r="G134" i="1"/>
  <c r="K134" i="1" s="1"/>
  <c r="G190" i="1"/>
  <c r="K190" i="1" s="1"/>
  <c r="G192" i="1"/>
  <c r="K192" i="1" s="1"/>
  <c r="G194" i="1"/>
  <c r="K194" i="1" s="1"/>
  <c r="G196" i="1"/>
  <c r="K196" i="1" s="1"/>
  <c r="G193" i="1"/>
  <c r="K193" i="1" s="1"/>
  <c r="C99" i="1"/>
  <c r="C100" i="1" s="1"/>
  <c r="D99" i="1"/>
  <c r="D100" i="1" s="1"/>
  <c r="G132" i="1"/>
  <c r="K132" i="1" s="1"/>
  <c r="G131" i="1"/>
  <c r="K131" i="1" s="1"/>
  <c r="G133" i="1"/>
  <c r="K133" i="1" s="1"/>
  <c r="G135" i="1"/>
  <c r="K135" i="1" s="1"/>
  <c r="G195" i="1"/>
  <c r="K195" i="1" s="1"/>
  <c r="I7" i="6"/>
  <c r="H13" i="6" s="1"/>
  <c r="N6" i="6"/>
  <c r="G18" i="6" s="1"/>
  <c r="N7" i="6"/>
  <c r="H18" i="6" s="1"/>
  <c r="K6" i="6"/>
  <c r="G15" i="6" s="1"/>
  <c r="O6" i="6"/>
  <c r="G19" i="6" s="1"/>
  <c r="H20" i="4"/>
  <c r="H20" i="5"/>
  <c r="L6" i="5"/>
  <c r="G16" i="5" s="1"/>
  <c r="E7" i="5"/>
  <c r="L6" i="4"/>
  <c r="G16" i="4" s="1"/>
  <c r="E7" i="4"/>
  <c r="G136" i="1"/>
  <c r="K136" i="1" s="1"/>
  <c r="G130" i="1"/>
  <c r="K130" i="1" s="1"/>
  <c r="G189" i="1"/>
  <c r="K189" i="1" s="1"/>
  <c r="G191" i="1"/>
  <c r="K191" i="1" s="1"/>
  <c r="G129" i="1"/>
  <c r="K129" i="1" s="1"/>
  <c r="I158" i="1"/>
  <c r="D165" i="1"/>
  <c r="G165" i="1" s="1"/>
  <c r="K165" i="1" s="1"/>
  <c r="D164" i="1"/>
  <c r="G164" i="1" s="1"/>
  <c r="K164" i="1" s="1"/>
  <c r="D163" i="1"/>
  <c r="G163" i="1" s="1"/>
  <c r="K163" i="1" s="1"/>
  <c r="D162" i="1"/>
  <c r="G162" i="1" s="1"/>
  <c r="K162" i="1" s="1"/>
  <c r="D161" i="1"/>
  <c r="G161" i="1" s="1"/>
  <c r="K161" i="1" s="1"/>
  <c r="D160" i="1"/>
  <c r="G160" i="1" s="1"/>
  <c r="K160" i="1" s="1"/>
  <c r="D159" i="1"/>
  <c r="G159" i="1" s="1"/>
  <c r="K159" i="1" s="1"/>
  <c r="D158" i="1"/>
  <c r="G158" i="1" s="1"/>
  <c r="K158" i="1" s="1"/>
  <c r="F156" i="1"/>
  <c r="F155" i="1"/>
  <c r="F154" i="1"/>
  <c r="F153" i="1"/>
  <c r="F152" i="1"/>
  <c r="F151" i="1"/>
  <c r="F150" i="1"/>
  <c r="F149" i="1"/>
  <c r="D156" i="1"/>
  <c r="D155" i="1"/>
  <c r="D154" i="1"/>
  <c r="D153" i="1"/>
  <c r="D152" i="1"/>
  <c r="D151" i="1"/>
  <c r="G151" i="1" s="1"/>
  <c r="K151" i="1" s="1"/>
  <c r="D150" i="1"/>
  <c r="G150" i="1" s="1"/>
  <c r="K150" i="1" s="1"/>
  <c r="D149" i="1"/>
  <c r="I178" i="1"/>
  <c r="D185" i="1"/>
  <c r="G185" i="1" s="1"/>
  <c r="K185" i="1" s="1"/>
  <c r="D184" i="1"/>
  <c r="G184" i="1" s="1"/>
  <c r="K184" i="1" s="1"/>
  <c r="D183" i="1"/>
  <c r="G183" i="1" s="1"/>
  <c r="K183" i="1" s="1"/>
  <c r="D182" i="1"/>
  <c r="G182" i="1" s="1"/>
  <c r="K182" i="1" s="1"/>
  <c r="D181" i="1"/>
  <c r="G181" i="1" s="1"/>
  <c r="K181" i="1" s="1"/>
  <c r="D180" i="1"/>
  <c r="G180" i="1" s="1"/>
  <c r="K180" i="1" s="1"/>
  <c r="D179" i="1"/>
  <c r="G179" i="1" s="1"/>
  <c r="K179" i="1" s="1"/>
  <c r="D178" i="1"/>
  <c r="G178" i="1" s="1"/>
  <c r="K178" i="1" s="1"/>
  <c r="D125" i="1"/>
  <c r="G125" i="1" s="1"/>
  <c r="D124" i="1"/>
  <c r="G124" i="1" s="1"/>
  <c r="F176" i="1"/>
  <c r="D176" i="1"/>
  <c r="F175" i="1"/>
  <c r="D175" i="1"/>
  <c r="F174" i="1"/>
  <c r="D174" i="1"/>
  <c r="F173" i="1"/>
  <c r="D173" i="1"/>
  <c r="F172" i="1"/>
  <c r="D172" i="1"/>
  <c r="F171" i="1"/>
  <c r="D171" i="1"/>
  <c r="F170" i="1"/>
  <c r="D170" i="1"/>
  <c r="F169" i="1"/>
  <c r="I118" i="1"/>
  <c r="D123" i="1"/>
  <c r="G123" i="1" s="1"/>
  <c r="D122" i="1"/>
  <c r="G122" i="1" s="1"/>
  <c r="D121" i="1"/>
  <c r="G121" i="1" s="1"/>
  <c r="D120" i="1"/>
  <c r="G120" i="1" s="1"/>
  <c r="D119" i="1"/>
  <c r="G119" i="1" s="1"/>
  <c r="D118" i="1"/>
  <c r="G118" i="1" s="1"/>
  <c r="F116" i="1"/>
  <c r="F115" i="1"/>
  <c r="F114" i="1"/>
  <c r="F113" i="1"/>
  <c r="F112" i="1"/>
  <c r="F111" i="1"/>
  <c r="F110" i="1"/>
  <c r="F109" i="1"/>
  <c r="D116" i="1"/>
  <c r="D115" i="1"/>
  <c r="G115" i="1" s="1"/>
  <c r="K115" i="1" s="1"/>
  <c r="D114" i="1"/>
  <c r="D113" i="1"/>
  <c r="D112" i="1"/>
  <c r="D111" i="1"/>
  <c r="G111" i="1" s="1"/>
  <c r="K111" i="1" s="1"/>
  <c r="D110" i="1"/>
  <c r="G110" i="1" s="1"/>
  <c r="K110" i="1" s="1"/>
  <c r="D109" i="1"/>
  <c r="F38" i="1"/>
  <c r="G152" i="1" l="1"/>
  <c r="K152" i="1" s="1"/>
  <c r="G153" i="1"/>
  <c r="K153" i="1" s="1"/>
  <c r="G114" i="1"/>
  <c r="K114" i="1" s="1"/>
  <c r="G20" i="5"/>
  <c r="K119" i="1"/>
  <c r="L119" i="1"/>
  <c r="L121" i="1"/>
  <c r="K121" i="1"/>
  <c r="L122" i="1"/>
  <c r="K122" i="1"/>
  <c r="L123" i="1"/>
  <c r="K123" i="1"/>
  <c r="L120" i="1"/>
  <c r="K120" i="1"/>
  <c r="L124" i="1"/>
  <c r="K124" i="1"/>
  <c r="K118" i="1"/>
  <c r="L118" i="1"/>
  <c r="L125" i="1"/>
  <c r="K125" i="1"/>
  <c r="G116" i="1"/>
  <c r="K116" i="1" s="1"/>
  <c r="G20" i="4"/>
  <c r="G20" i="6"/>
  <c r="G156" i="1"/>
  <c r="K156" i="1" s="1"/>
  <c r="D96" i="1"/>
  <c r="D97" i="1" s="1"/>
  <c r="C96" i="1"/>
  <c r="C97" i="1" s="1"/>
  <c r="G149" i="1"/>
  <c r="K149" i="1" s="1"/>
  <c r="D98" i="1"/>
  <c r="C98" i="1"/>
  <c r="G99" i="1"/>
  <c r="G100" i="1" s="1"/>
  <c r="H20" i="6"/>
  <c r="G154" i="1"/>
  <c r="K154" i="1" s="1"/>
  <c r="G109" i="1"/>
  <c r="K109" i="1" s="1"/>
  <c r="G113" i="1"/>
  <c r="K113" i="1" s="1"/>
  <c r="G170" i="1"/>
  <c r="K170" i="1" s="1"/>
  <c r="G172" i="1"/>
  <c r="K172" i="1" s="1"/>
  <c r="G174" i="1"/>
  <c r="K174" i="1" s="1"/>
  <c r="G169" i="1"/>
  <c r="K169" i="1" s="1"/>
  <c r="G171" i="1"/>
  <c r="K171" i="1" s="1"/>
  <c r="G173" i="1"/>
  <c r="K173" i="1" s="1"/>
  <c r="G155" i="1"/>
  <c r="K155" i="1" s="1"/>
  <c r="G112" i="1"/>
  <c r="K112" i="1" s="1"/>
  <c r="G175" i="1"/>
  <c r="K175" i="1" s="1"/>
  <c r="G176" i="1"/>
  <c r="K176" i="1"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B16" i="2"/>
  <c r="O6" i="2" s="1"/>
  <c r="G19" i="2" s="1"/>
  <c r="B14" i="2"/>
  <c r="E9" i="2" s="1"/>
  <c r="B12" i="2"/>
  <c r="E8" i="2" s="1"/>
  <c r="B10" i="2"/>
  <c r="L7" i="2" s="1"/>
  <c r="H16" i="2" s="1"/>
  <c r="B8" i="2"/>
  <c r="K7" i="2" s="1"/>
  <c r="H15" i="2" s="1"/>
  <c r="I6" i="2"/>
  <c r="G13" i="2" s="1"/>
  <c r="B6" i="2"/>
  <c r="J7" i="2" s="1"/>
  <c r="H14" i="2" s="1"/>
  <c r="E4" i="2"/>
  <c r="M7" i="2" l="1"/>
  <c r="H17" i="2" s="1"/>
  <c r="L34" i="3"/>
  <c r="K34" i="3" s="1"/>
  <c r="E6" i="2"/>
  <c r="K6" i="2"/>
  <c r="G15" i="2" s="1"/>
  <c r="M6" i="2"/>
  <c r="G17" i="2" s="1"/>
  <c r="G96" i="1"/>
  <c r="C101" i="1"/>
  <c r="G98" i="1"/>
  <c r="D101" i="1"/>
  <c r="E10" i="2"/>
  <c r="O7" i="2"/>
  <c r="H19" i="2" s="1"/>
  <c r="E34" i="3"/>
  <c r="I34" i="3"/>
  <c r="H34" i="3" s="1"/>
  <c r="L6" i="2"/>
  <c r="G16" i="2" s="1"/>
  <c r="E7" i="2"/>
  <c r="I7" i="2"/>
  <c r="H13" i="2" s="1"/>
  <c r="E5" i="2"/>
  <c r="J6" i="2"/>
  <c r="G14" i="2" s="1"/>
  <c r="N6" i="2"/>
  <c r="G18" i="2" s="1"/>
  <c r="N7" i="2"/>
  <c r="H18" i="2" s="1"/>
  <c r="D218" i="1"/>
  <c r="G94" i="1"/>
  <c r="D47" i="1"/>
  <c r="H44" i="1"/>
  <c r="C44" i="1"/>
  <c r="F39" i="1"/>
  <c r="D49" i="1" s="1"/>
  <c r="F7" i="1"/>
  <c r="G97" i="1" l="1"/>
  <c r="G101" i="1" s="1"/>
  <c r="H20" i="2"/>
  <c r="G20" i="2"/>
  <c r="D34" i="3"/>
  <c r="D36" i="3" s="1"/>
  <c r="E36" i="3"/>
</calcChain>
</file>

<file path=xl/sharedStrings.xml><?xml version="1.0" encoding="utf-8"?>
<sst xmlns="http://schemas.openxmlformats.org/spreadsheetml/2006/main" count="717" uniqueCount="263">
  <si>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</si>
  <si>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</si>
  <si>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</si>
  <si>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</si>
  <si>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</si>
  <si>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</si>
  <si>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</si>
  <si>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</si>
  <si>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</si>
  <si>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</si>
  <si>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</si>
  <si>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</si>
  <si>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</si>
  <si>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Locality</t>
  </si>
  <si>
    <t>Road</t>
  </si>
  <si>
    <t>District</t>
  </si>
  <si>
    <t>City</t>
  </si>
  <si>
    <t>Pin Code</t>
  </si>
  <si>
    <t>Near by Landmark</t>
  </si>
  <si>
    <t xml:space="preserve">Distance from city centre: </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</si>
  <si>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</si>
  <si>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</si>
  <si>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</si>
  <si>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</si>
  <si>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</si>
  <si>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</si>
  <si>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</si>
  <si>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</si>
  <si>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</si>
  <si>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</si>
  <si>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</si>
  <si>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</si>
  <si>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</si>
  <si>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</si>
  <si>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</si>
  <si>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</si>
  <si>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</si>
  <si>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</si>
  <si>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</si>
  <si>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</si>
  <si>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</si>
  <si>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</si>
  <si>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</si>
  <si>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</si>
  <si>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</si>
  <si>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Residential</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</si>
  <si>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</si>
  <si>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</si>
  <si>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</si>
  <si>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</si>
  <si>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</si>
  <si>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</si>
  <si>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</si>
  <si>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</si>
  <si>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</si>
  <si>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</si>
  <si>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</si>
  <si>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</si>
  <si>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</si>
  <si>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</si>
  <si>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</si>
  <si>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</si>
  <si>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</si>
  <si>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</si>
  <si>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</si>
  <si>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</si>
  <si>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</si>
  <si>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</si>
  <si>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</si>
  <si>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</si>
  <si>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 xml:space="preserve">Construction details:                                                                  </t>
  </si>
  <si>
    <t>Type of Work</t>
  </si>
  <si>
    <t>Plinth</t>
  </si>
  <si>
    <t>RCC</t>
  </si>
  <si>
    <t>Plaster</t>
  </si>
  <si>
    <t>Flooring</t>
  </si>
  <si>
    <t>Finishing</t>
  </si>
  <si>
    <t>Violations Observed if any : NA</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</si>
  <si>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</si>
  <si>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</si>
  <si>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Rates of the Property :</t>
  </si>
  <si>
    <t>Recommended rate of the flat Per Sq. Ft. ( on Saleable area)</t>
  </si>
  <si>
    <t>Club Charges</t>
  </si>
  <si>
    <t>Society formation charges</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</si>
  <si>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</si>
  <si>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</si>
  <si>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</si>
  <si>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</si>
  <si>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</si>
  <si>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</si>
  <si>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</si>
  <si>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</si>
  <si>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</si>
  <si>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</si>
  <si>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</si>
  <si>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</si>
  <si>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</si>
  <si>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</si>
  <si>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</si>
  <si>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</si>
  <si>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</si>
  <si>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</si>
  <si>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</si>
  <si>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</si>
  <si>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</si>
  <si>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</si>
  <si>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Authorized Signatory
                                                                                                                                                                                                                                                                                     Name &amp; Seal of the agency</t>
  </si>
  <si>
    <t>Google Map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</si>
  <si>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</si>
  <si>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</si>
  <si>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</si>
  <si>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</si>
  <si>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</si>
  <si>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</si>
  <si>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</si>
  <si>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</si>
  <si>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</si>
  <si>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</si>
  <si>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</si>
  <si>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</si>
  <si>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</si>
  <si>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</si>
  <si>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</si>
  <si>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</si>
  <si>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</si>
  <si>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</si>
  <si>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</si>
  <si>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</si>
  <si>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</si>
  <si>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</si>
  <si>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</si>
  <si>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</si>
  <si>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</si>
  <si>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</si>
  <si>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</si>
  <si>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</si>
  <si>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</si>
  <si>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</si>
  <si>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</si>
  <si>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</si>
  <si>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</si>
  <si>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</si>
  <si>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</si>
  <si>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</si>
  <si>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</si>
  <si>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</si>
  <si>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</si>
  <si>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</si>
  <si>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</si>
  <si>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</si>
  <si>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</si>
  <si>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Axis Sanpada</t>
  </si>
  <si>
    <t xml:space="preserve">P52000020031
</t>
  </si>
  <si>
    <t>Chavane</t>
  </si>
  <si>
    <t>Raigad</t>
  </si>
  <si>
    <t>Panvel</t>
  </si>
  <si>
    <t>Savroli - Kharpada Road</t>
  </si>
  <si>
    <t>Mari Aai Mandir Kaliwali</t>
  </si>
  <si>
    <t>Open</t>
  </si>
  <si>
    <t>About 7.8 Km from Rasayani Railway Station</t>
  </si>
  <si>
    <t>BP/M.CHAVANE/T.PANVEL/S.N.101/24</t>
  </si>
  <si>
    <t>05/01/2019.</t>
  </si>
  <si>
    <t>25/02/2019.</t>
  </si>
  <si>
    <t>Ground Floor is For Parking</t>
  </si>
  <si>
    <t>1st, 3rd, 5th &amp; 7th Floor is For Residential</t>
  </si>
  <si>
    <t>1BHK</t>
  </si>
  <si>
    <t>2BHK</t>
  </si>
  <si>
    <t>1st, 3rd, 5th &amp; 7th Floor</t>
  </si>
  <si>
    <t>2nd, 4th &amp; 6th Floors</t>
  </si>
  <si>
    <t>Wing E3</t>
  </si>
  <si>
    <t>1st, 3rd, 5th  Floor is For Residential</t>
  </si>
  <si>
    <t>1RK</t>
  </si>
  <si>
    <t>1st, 3rd, 5th  Floor</t>
  </si>
  <si>
    <t>E1</t>
  </si>
  <si>
    <t>E2</t>
  </si>
  <si>
    <t>E3</t>
  </si>
  <si>
    <t>E5</t>
  </si>
  <si>
    <t>50000/-</t>
  </si>
  <si>
    <t>05 Buildings</t>
  </si>
  <si>
    <t>PLOT E</t>
  </si>
  <si>
    <t>Wing  E2</t>
  </si>
  <si>
    <t xml:space="preserve">Wing E1 </t>
  </si>
  <si>
    <t xml:space="preserve">Wing E4 </t>
  </si>
  <si>
    <t>Wing  E5</t>
  </si>
  <si>
    <t>E4</t>
  </si>
  <si>
    <r>
      <t xml:space="preserve">Flat No.
</t>
    </r>
    <r>
      <rPr>
        <b/>
        <sz val="9"/>
        <color theme="1"/>
        <rFont val="Times New Roman"/>
        <family val="1"/>
      </rPr>
      <t>(As per Approved Plan)</t>
    </r>
  </si>
  <si>
    <r>
      <rPr>
        <b/>
        <sz val="11"/>
        <color theme="1"/>
        <rFont val="Times New Roman"/>
        <family val="1"/>
      </rPr>
      <t>Flat No.</t>
    </r>
    <r>
      <rPr>
        <b/>
        <sz val="12"/>
        <color theme="1"/>
        <rFont val="Times New Roman"/>
        <family val="1"/>
      </rPr>
      <t xml:space="preserve">
</t>
    </r>
    <r>
      <rPr>
        <b/>
        <sz val="9"/>
        <color theme="1"/>
        <rFont val="Times New Roman"/>
        <family val="1"/>
      </rPr>
      <t>(As per Sale Plan)</t>
    </r>
  </si>
  <si>
    <t>No.of Flats</t>
  </si>
  <si>
    <t>Flats = 272</t>
  </si>
  <si>
    <t>M/s.Emperia Realty</t>
  </si>
  <si>
    <t>Akshar Rivergate Plot E</t>
  </si>
  <si>
    <t>Sr.No</t>
  </si>
  <si>
    <t>100/1/2 (Plot-E) of GUT No.100/1, 101, 104 &amp; 110/2B</t>
  </si>
  <si>
    <t>Other Charges (Car Parking)</t>
  </si>
  <si>
    <t>225000/-</t>
  </si>
  <si>
    <t>Wing E1 to E5</t>
  </si>
  <si>
    <t>Asmita</t>
  </si>
  <si>
    <t>OLD APF</t>
  </si>
  <si>
    <t>Photographs of property :</t>
  </si>
  <si>
    <t>Market Research Data</t>
  </si>
  <si>
    <t>Source</t>
  </si>
  <si>
    <t>Distance from proposed property</t>
  </si>
  <si>
    <t>Net Carpet</t>
  </si>
  <si>
    <t>Saleable Area</t>
  </si>
  <si>
    <t>Rate on Saleable</t>
  </si>
  <si>
    <t>Market Value</t>
  </si>
  <si>
    <t>Average</t>
  </si>
  <si>
    <t xml:space="preserve">Valuation Adopted </t>
  </si>
  <si>
    <t>housing</t>
  </si>
  <si>
    <t>1.5BHK</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</si>
  <si>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</si>
  <si>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</si>
  <si>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</si>
  <si>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</si>
  <si>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</si>
  <si>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</si>
  <si>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</si>
  <si>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</si>
  <si>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</si>
  <si>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</si>
  <si>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</si>
  <si>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</si>
  <si>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</si>
  <si>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</si>
  <si>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</si>
  <si>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</si>
  <si>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</si>
  <si>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</si>
  <si>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</si>
  <si>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</si>
  <si>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</si>
  <si>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</si>
  <si>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</si>
  <si>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</si>
  <si>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</si>
  <si>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</si>
  <si>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</si>
  <si>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</si>
  <si>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</si>
  <si>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</si>
  <si>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</si>
  <si>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</si>
  <si>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</si>
  <si>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MS/L.N.1(B)/P.K.122/2018
Valid Up to: 
Wing E1, E2, E4, E5 = G + 1st to 7th Floor
Wing E3 = G + 1st to 6th Floor</t>
  </si>
  <si>
    <t>Wing E1, E2, E4, E5 = G + 1st to 7th Floor
Wing E3 = G + 1st to 6th Floor</t>
  </si>
  <si>
    <t>150000/-</t>
  </si>
  <si>
    <t>50,000/-</t>
  </si>
  <si>
    <t>1,50,000/-</t>
  </si>
  <si>
    <t xml:space="preserve">Maintenance Charges </t>
  </si>
  <si>
    <t xml:space="preserve">Development charges </t>
  </si>
  <si>
    <t>https://goo.gl/maps/mL1siTj8EAjag1gp8</t>
  </si>
  <si>
    <t>Location Link</t>
  </si>
  <si>
    <t>18.855191, 73.153436</t>
  </si>
  <si>
    <t>3300 to 3500 by smit on 30/11/2023.</t>
  </si>
  <si>
    <t>Office No. 1031, Wing J, Akshar Business Park, Plot No. 03 Sector 25, Near APMC Market,
Vashi, Navi Mumbai, Maharashtra 400703 TEL: 022-46090378/79/80                                                                                                     Email : vsjcapf@gmail.com. Web site : www.vsjadon.com</t>
  </si>
  <si>
    <t>Wing E3 = G + 1st to 6th Floor</t>
  </si>
  <si>
    <t>Completed</t>
  </si>
  <si>
    <t>Wing E1, E2, E4, E5 = G + 1st to 7th Floor</t>
  </si>
  <si>
    <t>Projected life of the structure: 60 Years</t>
  </si>
  <si>
    <t>Material laying at Site: :Nothing</t>
  </si>
  <si>
    <t>Wheather the construction is as per approved Building plan : Yes</t>
  </si>
  <si>
    <t>Rate 3850 by smith verbal for Flat no 505, Wing E3, Akshar Rivergate LA 17,49,027/- 90% of the MV</t>
  </si>
  <si>
    <t>Remark :
1. All work completed. Please provide OC
2. We considered Saleable area as per our calculation.
3. We considered Carpet area as per Approved Plan.
4. We have considered rate by verifying it from market inquire.
5. Recommended rate should be considered as all inclusive rate if other charges are not mentioned. (Excluding GST &amp; other government Taxes)
6. We have considered Other charges from cost sheet.
7. Car parking is subjected to authentic documentation.
8. Recommended Rates of the Property have been revised on 30/11/2023.
9. On site we met Kanti Bhai : 9833551180.
10. Recommended Rates of the Property have been revised on 07/08/2025.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</si>
</sst>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0.000"/>
    <numFmt numFmtId="167" formatCode="_(* #,##0_);_(* \(#,##0\);_(* &quot;-&quot;??_);_(@_)"/>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color rgb="FFFF0000"/>
      <name val="Times New Roman"/>
      <family val="1"/>
    </font>
    <font>
      <sz val="11"/>
      <name val="Times New Roman"/>
      <family val="1"/>
    </font>
    <font>
      <b/>
      <sz val="11"/>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4"/>
      <color indexed="8"/>
      <name val="Times New Roman"/>
      <family val="1"/>
    </font>
    <font>
      <b/>
      <sz val="10"/>
      <color indexed="8"/>
      <name val="Times New Roman"/>
      <family val="1"/>
    </font>
    <font>
      <b/>
      <sz val="11"/>
      <color theme="1"/>
      <name val="Times New Roman"/>
      <family val="1"/>
    </font>
    <font>
      <sz val="11"/>
      <color rgb="FFFF0000"/>
      <name val="Calibri"/>
      <family val="2"/>
      <scheme val="minor"/>
    </font>
    <font>
      <b/>
      <sz val="11"/>
      <color theme="1"/>
      <name val="Calibri"/>
      <family val="2"/>
      <scheme val="minor"/>
    </font>
    <font>
      <b/>
      <sz val="12"/>
      <color theme="1"/>
      <name val="Times New Roman"/>
      <family val="1"/>
    </font>
    <font>
      <b/>
      <sz val="9"/>
      <color theme="1"/>
      <name val="Times New Roman"/>
      <family val="1"/>
    </font>
    <font>
      <sz val="11"/>
      <color rgb="FFFF0000"/>
      <name val="Calibri"/>
      <family val="2"/>
    </font>
    <font>
      <sz val="10"/>
      <name val="Arial"/>
      <family val="2"/>
    </font>
    <font>
      <sz val="12"/>
      <name val="Times New Roman"/>
      <family val="1"/>
    </font>
    <font>
      <b/>
      <sz val="12"/>
      <name val="Times New Roman"/>
      <family val="1"/>
    </font>
    <font>
      <sz val="11"/>
      <color rgb="FF000000"/>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0" fontId="4" fillId="0" borderId="0"/>
    <xf numFmtId="0" fontId="11" fillId="0" borderId="0"/>
    <xf numFmtId="0" fontId="3" fillId="0" borderId="0"/>
    <xf numFmtId="0" fontId="1" fillId="0" borderId="0"/>
    <xf numFmtId="0" fontId="1" fillId="0" borderId="0"/>
    <xf numFmtId="0" fontId="11" fillId="0" borderId="0"/>
    <xf numFmtId="0" fontId="1" fillId="0" borderId="0"/>
    <xf numFmtId="164" fontId="11" fillId="0" borderId="0" applyFont="0" applyFill="0" applyBorder="0" applyAlignment="0" applyProtection="0"/>
    <xf numFmtId="0" fontId="23" fillId="0" borderId="0"/>
    <xf numFmtId="0" fontId="27" fillId="0" borderId="0" applyNumberFormat="0" applyFill="0" applyBorder="0" applyAlignment="0" applyProtection="0"/>
  </cellStyleXfs>
  <cellXfs count="245">
    <xf numFmtId="0" fontId="0" fillId="0" borderId="0" xfId="0"/>
    <xf numFmtId="0" fontId="6" fillId="0" borderId="0" xfId="1" applyFont="1"/>
    <xf numFmtId="0" fontId="7" fillId="0" borderId="3" xfId="1" applyFont="1" applyBorder="1" applyAlignment="1">
      <alignment horizontal="left" vertical="top"/>
    </xf>
    <xf numFmtId="0" fontId="7" fillId="0" borderId="4" xfId="1" applyFont="1" applyBorder="1" applyAlignment="1">
      <alignment vertical="top" wrapText="1"/>
    </xf>
    <xf numFmtId="0" fontId="7" fillId="0" borderId="1" xfId="1" applyFont="1" applyBorder="1" applyAlignment="1">
      <alignment vertical="top"/>
    </xf>
    <xf numFmtId="0" fontId="7" fillId="0" borderId="4" xfId="1" applyFont="1" applyBorder="1" applyAlignment="1">
      <alignment vertical="top"/>
    </xf>
    <xf numFmtId="0" fontId="8" fillId="0" borderId="3" xfId="1" applyFont="1" applyBorder="1" applyAlignment="1">
      <alignment vertical="top" wrapText="1"/>
    </xf>
    <xf numFmtId="0" fontId="7" fillId="0" borderId="3" xfId="1" applyFont="1" applyBorder="1" applyAlignment="1">
      <alignment vertical="top" wrapText="1"/>
    </xf>
    <xf numFmtId="0" fontId="7" fillId="2" borderId="4" xfId="1" applyFont="1" applyFill="1" applyBorder="1" applyAlignment="1">
      <alignment horizontal="left" vertical="top"/>
    </xf>
    <xf numFmtId="0" fontId="7" fillId="2" borderId="4" xfId="1" applyFont="1" applyFill="1" applyBorder="1" applyAlignment="1">
      <alignment vertical="top"/>
    </xf>
    <xf numFmtId="0" fontId="7" fillId="0" borderId="0" xfId="2" applyFont="1"/>
    <xf numFmtId="0" fontId="13" fillId="0" borderId="0" xfId="0" applyFont="1" applyAlignment="1">
      <alignment horizontal="center" vertical="center"/>
    </xf>
    <xf numFmtId="1" fontId="14" fillId="0" borderId="4" xfId="1" applyNumberFormat="1" applyFont="1" applyBorder="1" applyAlignment="1">
      <alignment horizontal="center" vertical="top" wrapText="1"/>
    </xf>
    <xf numFmtId="1" fontId="16" fillId="0" borderId="4" xfId="1" applyNumberFormat="1" applyFont="1" applyBorder="1" applyAlignment="1">
      <alignment horizontal="center" vertical="top" wrapText="1"/>
    </xf>
    <xf numFmtId="0" fontId="13" fillId="0" borderId="0" xfId="1" applyFont="1" applyAlignment="1">
      <alignment horizontal="center" vertical="center"/>
    </xf>
    <xf numFmtId="1" fontId="12" fillId="0" borderId="4" xfId="1" applyNumberFormat="1" applyFont="1" applyBorder="1" applyAlignment="1">
      <alignment horizontal="center" vertical="center" wrapText="1"/>
    </xf>
    <xf numFmtId="0" fontId="16" fillId="0" borderId="0" xfId="1" applyFont="1" applyAlignment="1">
      <alignment vertical="top"/>
    </xf>
    <xf numFmtId="0" fontId="5" fillId="0" borderId="0" xfId="1" applyFont="1" applyAlignment="1">
      <alignment vertical="top" wrapText="1"/>
    </xf>
    <xf numFmtId="0" fontId="5" fillId="0" borderId="0" xfId="1" applyFont="1" applyAlignment="1">
      <alignment vertical="top"/>
    </xf>
    <xf numFmtId="0" fontId="17" fillId="0" borderId="0" xfId="1" applyFont="1"/>
    <xf numFmtId="0" fontId="6" fillId="0" borderId="0" xfId="0" applyFont="1"/>
    <xf numFmtId="0" fontId="3" fillId="0" borderId="0" xfId="3"/>
    <xf numFmtId="0" fontId="19" fillId="3" borderId="4" xfId="3" applyFont="1" applyFill="1" applyBorder="1"/>
    <xf numFmtId="0" fontId="3" fillId="0" borderId="4" xfId="3" applyBorder="1"/>
    <xf numFmtId="0" fontId="3" fillId="0" borderId="13" xfId="3" applyBorder="1"/>
    <xf numFmtId="0" fontId="3" fillId="0" borderId="0" xfId="3" applyAlignment="1">
      <alignment wrapText="1"/>
    </xf>
    <xf numFmtId="0" fontId="3" fillId="0" borderId="4" xfId="3" applyBorder="1" applyAlignment="1">
      <alignment wrapText="1"/>
    </xf>
    <xf numFmtId="0" fontId="18" fillId="0" borderId="0" xfId="3" applyFont="1"/>
    <xf numFmtId="0" fontId="0" fillId="3" borderId="4" xfId="0" applyFill="1" applyBorder="1"/>
    <xf numFmtId="0" fontId="0" fillId="0" borderId="9" xfId="0" applyBorder="1"/>
    <xf numFmtId="0" fontId="19" fillId="0" borderId="4" xfId="0" applyFont="1" applyBorder="1"/>
    <xf numFmtId="0" fontId="19" fillId="0" borderId="4" xfId="0" applyFont="1" applyBorder="1" applyAlignment="1">
      <alignment horizontal="center"/>
    </xf>
    <xf numFmtId="0" fontId="0" fillId="0" borderId="4" xfId="0" applyBorder="1"/>
    <xf numFmtId="0" fontId="2" fillId="0" borderId="0" xfId="3" applyFont="1"/>
    <xf numFmtId="1" fontId="20" fillId="0" borderId="4" xfId="1" applyNumberFormat="1" applyFont="1" applyBorder="1" applyAlignment="1">
      <alignment horizontal="center" vertical="top" wrapText="1"/>
    </xf>
    <xf numFmtId="0" fontId="6" fillId="0" borderId="4" xfId="0" applyFont="1" applyBorder="1" applyAlignment="1">
      <alignment horizontal="center" vertical="center"/>
    </xf>
    <xf numFmtId="0" fontId="17" fillId="0" borderId="4" xfId="0" applyFont="1" applyBorder="1" applyAlignment="1">
      <alignment horizontal="center" vertical="center"/>
    </xf>
    <xf numFmtId="0" fontId="13" fillId="0" borderId="4" xfId="1" applyFont="1" applyBorder="1" applyAlignment="1">
      <alignment horizontal="center" vertical="center"/>
    </xf>
    <xf numFmtId="1" fontId="12" fillId="0" borderId="1" xfId="1" applyNumberFormat="1" applyFont="1" applyBorder="1" applyAlignment="1">
      <alignment horizontal="center" vertical="center" wrapText="1"/>
    </xf>
    <xf numFmtId="14" fontId="0" fillId="0" borderId="0" xfId="0" applyNumberFormat="1"/>
    <xf numFmtId="0" fontId="11" fillId="0" borderId="0" xfId="6"/>
    <xf numFmtId="0" fontId="1" fillId="0" borderId="0" xfId="7"/>
    <xf numFmtId="0" fontId="19" fillId="0" borderId="4" xfId="7" applyFont="1" applyBorder="1" applyAlignment="1">
      <alignment horizontal="center" vertical="top" wrapText="1"/>
    </xf>
    <xf numFmtId="0" fontId="22" fillId="0" borderId="0" xfId="6" applyFont="1"/>
    <xf numFmtId="0" fontId="1" fillId="0" borderId="4" xfId="7" applyBorder="1" applyAlignment="1">
      <alignment horizontal="center" vertical="center"/>
    </xf>
    <xf numFmtId="0" fontId="1" fillId="0" borderId="4" xfId="7" applyBorder="1" applyAlignment="1">
      <alignment horizontal="left" vertical="center"/>
    </xf>
    <xf numFmtId="1" fontId="1" fillId="0" borderId="4" xfId="7" applyNumberFormat="1" applyBorder="1" applyAlignment="1">
      <alignment horizontal="center" vertical="center"/>
    </xf>
    <xf numFmtId="167" fontId="1" fillId="0" borderId="4" xfId="8" applyNumberFormat="1" applyFont="1" applyBorder="1" applyAlignment="1">
      <alignment horizontal="right" vertical="center"/>
    </xf>
    <xf numFmtId="0" fontId="19" fillId="0" borderId="4" xfId="7" applyFont="1" applyBorder="1" applyAlignment="1">
      <alignment horizontal="center" vertical="center"/>
    </xf>
    <xf numFmtId="1" fontId="18" fillId="0" borderId="4" xfId="7" applyNumberFormat="1" applyFont="1" applyBorder="1" applyAlignment="1">
      <alignment horizontal="center" vertical="center"/>
    </xf>
    <xf numFmtId="0" fontId="11" fillId="0" borderId="4" xfId="6" applyBorder="1" applyAlignment="1">
      <alignment horizontal="center" vertical="center"/>
    </xf>
    <xf numFmtId="0" fontId="13" fillId="0" borderId="19" xfId="4" applyFont="1" applyBorder="1" applyProtection="1">
      <protection hidden="1"/>
    </xf>
    <xf numFmtId="0" fontId="13" fillId="0" borderId="20" xfId="4" applyFont="1" applyBorder="1" applyProtection="1">
      <protection hidden="1"/>
    </xf>
    <xf numFmtId="0" fontId="24" fillId="0" borderId="21" xfId="4" applyFont="1" applyBorder="1" applyAlignment="1" applyProtection="1">
      <alignment horizontal="center" vertical="top"/>
      <protection locked="0"/>
    </xf>
    <xf numFmtId="0" fontId="24" fillId="0" borderId="4" xfId="4" applyFont="1" applyBorder="1" applyAlignment="1" applyProtection="1">
      <alignment horizontal="center" vertical="top"/>
      <protection locked="0"/>
    </xf>
    <xf numFmtId="0" fontId="13" fillId="0" borderId="0" xfId="4" applyFont="1" applyProtection="1">
      <protection hidden="1"/>
    </xf>
    <xf numFmtId="0" fontId="13" fillId="0" borderId="23" xfId="4" applyFont="1" applyBorder="1" applyProtection="1">
      <protection hidden="1"/>
    </xf>
    <xf numFmtId="0" fontId="26" fillId="0" borderId="0" xfId="0" applyFont="1" applyProtection="1">
      <protection hidden="1"/>
    </xf>
    <xf numFmtId="0" fontId="13" fillId="0" borderId="23" xfId="4" applyFont="1" applyBorder="1"/>
    <xf numFmtId="0" fontId="26"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6" fillId="0" borderId="32" xfId="0" applyFont="1" applyBorder="1" applyProtection="1">
      <protection hidden="1"/>
    </xf>
    <xf numFmtId="1" fontId="0" fillId="0" borderId="33" xfId="0" applyNumberFormat="1" applyBorder="1"/>
    <xf numFmtId="0" fontId="24" fillId="0" borderId="4" xfId="4" applyFont="1" applyBorder="1" applyAlignment="1" applyProtection="1">
      <alignment horizontal="center" vertical="top" wrapText="1"/>
      <protection locked="0"/>
    </xf>
    <xf numFmtId="0" fontId="24" fillId="0" borderId="4" xfId="4" applyFont="1" applyBorder="1" applyAlignment="1" applyProtection="1">
      <alignment horizontal="center" wrapText="1"/>
      <protection locked="0"/>
    </xf>
    <xf numFmtId="1" fontId="24" fillId="0" borderId="4" xfId="4" applyNumberFormat="1" applyFont="1" applyBorder="1" applyAlignment="1" applyProtection="1">
      <alignment horizontal="center" wrapText="1"/>
      <protection locked="0"/>
    </xf>
    <xf numFmtId="0" fontId="24" fillId="0" borderId="28" xfId="4" applyFont="1" applyBorder="1" applyAlignment="1" applyProtection="1">
      <alignment horizontal="center" wrapText="1"/>
      <protection locked="0"/>
    </xf>
    <xf numFmtId="0" fontId="5" fillId="2" borderId="4" xfId="1" applyFont="1" applyFill="1" applyBorder="1" applyAlignment="1">
      <alignment horizontal="left" vertical="top"/>
    </xf>
    <xf numFmtId="0" fontId="24" fillId="0" borderId="21" xfId="4" applyFont="1" applyBorder="1" applyAlignment="1" applyProtection="1">
      <alignment horizontal="center" vertical="top" wrapText="1"/>
      <protection locked="0"/>
    </xf>
    <xf numFmtId="0" fontId="24" fillId="0" borderId="4" xfId="4" applyFont="1" applyBorder="1" applyAlignment="1" applyProtection="1">
      <alignment horizontal="center" vertical="top" wrapText="1"/>
      <protection locked="0"/>
    </xf>
    <xf numFmtId="9" fontId="24" fillId="2" borderId="1" xfId="4" applyNumberFormat="1" applyFont="1" applyFill="1" applyBorder="1" applyAlignment="1" applyProtection="1">
      <alignment horizontal="center" vertical="center" wrapText="1"/>
      <protection hidden="1"/>
    </xf>
    <xf numFmtId="9" fontId="24" fillId="2" borderId="3" xfId="4" applyNumberFormat="1" applyFont="1" applyFill="1" applyBorder="1" applyAlignment="1" applyProtection="1">
      <alignment horizontal="center" vertical="center" wrapText="1"/>
      <protection hidden="1"/>
    </xf>
    <xf numFmtId="9" fontId="24" fillId="2" borderId="4" xfId="4" applyNumberFormat="1" applyFont="1" applyFill="1" applyBorder="1" applyAlignment="1" applyProtection="1">
      <alignment horizontal="center" vertical="center" wrapText="1"/>
      <protection hidden="1"/>
    </xf>
    <xf numFmtId="9" fontId="24" fillId="2" borderId="28" xfId="4" applyNumberFormat="1" applyFont="1" applyFill="1" applyBorder="1" applyAlignment="1" applyProtection="1">
      <alignment horizontal="center" vertical="center" wrapText="1"/>
      <protection hidden="1"/>
    </xf>
    <xf numFmtId="9" fontId="24" fillId="2" borderId="5" xfId="4" applyNumberFormat="1" applyFont="1" applyFill="1" applyBorder="1" applyAlignment="1" applyProtection="1">
      <alignment horizontal="center" vertical="center" wrapText="1"/>
      <protection hidden="1"/>
    </xf>
    <xf numFmtId="9" fontId="24" fillId="2" borderId="6" xfId="4" applyNumberFormat="1" applyFont="1" applyFill="1" applyBorder="1" applyAlignment="1" applyProtection="1">
      <alignment horizontal="center" vertical="center" wrapText="1"/>
      <protection hidden="1"/>
    </xf>
    <xf numFmtId="9" fontId="24" fillId="2" borderId="26" xfId="4" applyNumberFormat="1" applyFont="1" applyFill="1" applyBorder="1" applyAlignment="1" applyProtection="1">
      <alignment horizontal="center" vertical="center" wrapText="1"/>
      <protection hidden="1"/>
    </xf>
    <xf numFmtId="9" fontId="24" fillId="2" borderId="11" xfId="4" applyNumberFormat="1" applyFont="1" applyFill="1" applyBorder="1" applyAlignment="1" applyProtection="1">
      <alignment horizontal="center" vertical="center" wrapText="1"/>
      <protection hidden="1"/>
    </xf>
    <xf numFmtId="9" fontId="24" fillId="2" borderId="0" xfId="4" applyNumberFormat="1" applyFont="1" applyFill="1" applyAlignment="1" applyProtection="1">
      <alignment horizontal="center" vertical="center" wrapText="1"/>
      <protection hidden="1"/>
    </xf>
    <xf numFmtId="9" fontId="24" fillId="2" borderId="23" xfId="4" applyNumberFormat="1" applyFont="1" applyFill="1" applyBorder="1" applyAlignment="1" applyProtection="1">
      <alignment horizontal="center" vertical="center" wrapText="1"/>
      <protection hidden="1"/>
    </xf>
    <xf numFmtId="9" fontId="24" fillId="2" borderId="31" xfId="4" applyNumberFormat="1" applyFont="1" applyFill="1" applyBorder="1" applyAlignment="1" applyProtection="1">
      <alignment horizontal="center" vertical="center" wrapText="1"/>
      <protection hidden="1"/>
    </xf>
    <xf numFmtId="9" fontId="24" fillId="2" borderId="32" xfId="4" applyNumberFormat="1" applyFont="1" applyFill="1" applyBorder="1" applyAlignment="1" applyProtection="1">
      <alignment horizontal="center" vertical="center" wrapText="1"/>
      <protection hidden="1"/>
    </xf>
    <xf numFmtId="9" fontId="24" fillId="2" borderId="33" xfId="4" applyNumberFormat="1" applyFont="1" applyFill="1" applyBorder="1" applyAlignment="1" applyProtection="1">
      <alignment horizontal="center" vertical="center" wrapText="1"/>
      <protection hidden="1"/>
    </xf>
    <xf numFmtId="0" fontId="24" fillId="0" borderId="21" xfId="4" applyFont="1" applyBorder="1" applyAlignment="1" applyProtection="1">
      <alignment horizontal="center" vertical="top"/>
      <protection locked="0"/>
    </xf>
    <xf numFmtId="0" fontId="24" fillId="0" borderId="4" xfId="4" applyFont="1" applyBorder="1" applyAlignment="1" applyProtection="1">
      <alignment horizontal="center" vertical="top"/>
      <protection locked="0"/>
    </xf>
    <xf numFmtId="0" fontId="24" fillId="0" borderId="27" xfId="4" applyFont="1" applyBorder="1" applyAlignment="1" applyProtection="1">
      <alignment horizontal="center" vertical="top" wrapText="1"/>
      <protection locked="0"/>
    </xf>
    <xf numFmtId="0" fontId="24" fillId="0" borderId="28" xfId="4" applyFont="1" applyBorder="1" applyAlignment="1" applyProtection="1">
      <alignment horizontal="center" vertical="top" wrapText="1"/>
      <protection locked="0"/>
    </xf>
    <xf numFmtId="9" fontId="24" fillId="2" borderId="29" xfId="4" applyNumberFormat="1" applyFont="1" applyFill="1" applyBorder="1" applyAlignment="1" applyProtection="1">
      <alignment horizontal="center" vertical="center" wrapText="1"/>
      <protection hidden="1"/>
    </xf>
    <xf numFmtId="9" fontId="24" fillId="2" borderId="30" xfId="4" applyNumberFormat="1" applyFont="1" applyFill="1" applyBorder="1" applyAlignment="1" applyProtection="1">
      <alignment horizontal="center" vertical="center" wrapText="1"/>
      <protection hidden="1"/>
    </xf>
    <xf numFmtId="0" fontId="25" fillId="0" borderId="14" xfId="4" applyFont="1" applyBorder="1" applyAlignment="1" applyProtection="1">
      <alignment horizontal="center" vertical="top" wrapText="1"/>
      <protection locked="0"/>
    </xf>
    <xf numFmtId="0" fontId="25" fillId="0" borderId="15" xfId="4" applyFont="1" applyBorder="1" applyAlignment="1" applyProtection="1">
      <alignment horizontal="center" vertical="top" wrapText="1"/>
      <protection locked="0"/>
    </xf>
    <xf numFmtId="0" fontId="25" fillId="0" borderId="16" xfId="4" applyFont="1" applyBorder="1" applyAlignment="1" applyProtection="1">
      <alignment horizontal="left" vertical="top" wrapText="1"/>
      <protection locked="0"/>
    </xf>
    <xf numFmtId="0" fontId="25" fillId="0" borderId="17" xfId="4" applyFont="1" applyBorder="1" applyAlignment="1" applyProtection="1">
      <alignment horizontal="left" vertical="top" wrapText="1"/>
      <protection locked="0"/>
    </xf>
    <xf numFmtId="0" fontId="25" fillId="0" borderId="18" xfId="4" applyFont="1" applyBorder="1" applyAlignment="1" applyProtection="1">
      <alignment horizontal="left" vertical="top" wrapText="1"/>
      <protection locked="0"/>
    </xf>
    <xf numFmtId="0" fontId="24" fillId="0" borderId="1" xfId="4" applyFont="1" applyBorder="1" applyAlignment="1" applyProtection="1">
      <alignment horizontal="center" vertical="top"/>
      <protection locked="0"/>
    </xf>
    <xf numFmtId="0" fontId="24" fillId="0" borderId="3" xfId="4" applyFont="1" applyBorder="1" applyAlignment="1" applyProtection="1">
      <alignment horizontal="center" vertical="top"/>
      <protection locked="0"/>
    </xf>
    <xf numFmtId="0" fontId="24" fillId="0" borderId="22" xfId="4" applyFont="1" applyBorder="1" applyAlignment="1" applyProtection="1">
      <alignment horizontal="center" vertical="top"/>
      <protection locked="0"/>
    </xf>
    <xf numFmtId="0" fontId="25" fillId="0" borderId="21" xfId="4" applyFont="1" applyBorder="1" applyAlignment="1" applyProtection="1">
      <alignment horizontal="left" vertical="top"/>
      <protection locked="0"/>
    </xf>
    <xf numFmtId="0" fontId="25" fillId="0" borderId="4" xfId="4" applyFont="1" applyBorder="1" applyAlignment="1" applyProtection="1">
      <alignment horizontal="left" vertical="top"/>
      <protection locked="0"/>
    </xf>
    <xf numFmtId="0" fontId="25" fillId="0" borderId="1" xfId="4" applyFont="1" applyBorder="1" applyAlignment="1" applyProtection="1">
      <alignment horizontal="left" vertical="top" wrapText="1"/>
      <protection locked="0"/>
    </xf>
    <xf numFmtId="0" fontId="25" fillId="0" borderId="2" xfId="4" applyFont="1" applyBorder="1" applyAlignment="1" applyProtection="1">
      <alignment horizontal="left" vertical="top" wrapText="1"/>
      <protection locked="0"/>
    </xf>
    <xf numFmtId="0" fontId="25" fillId="0" borderId="22" xfId="4" applyFont="1" applyBorder="1" applyAlignment="1" applyProtection="1">
      <alignment horizontal="left" vertical="top" wrapText="1"/>
      <protection locked="0"/>
    </xf>
    <xf numFmtId="0" fontId="24" fillId="0" borderId="24" xfId="4" applyFont="1" applyBorder="1" applyAlignment="1" applyProtection="1">
      <alignment horizontal="center" vertical="top" wrapText="1"/>
      <protection locked="0"/>
    </xf>
    <xf numFmtId="0" fontId="24" fillId="0" borderId="3" xfId="4" applyFont="1" applyBorder="1" applyAlignment="1" applyProtection="1">
      <alignment horizontal="center" vertical="top" wrapText="1"/>
      <protection locked="0"/>
    </xf>
    <xf numFmtId="0" fontId="24" fillId="0" borderId="25" xfId="4" applyFont="1" applyBorder="1" applyAlignment="1" applyProtection="1">
      <alignment horizontal="center" vertical="top" wrapText="1"/>
      <protection locked="0"/>
    </xf>
    <xf numFmtId="9" fontId="25" fillId="0" borderId="4" xfId="4" applyNumberFormat="1" applyFont="1" applyBorder="1" applyAlignment="1" applyProtection="1">
      <alignment horizontal="center" vertical="center" wrapText="1"/>
      <protection locked="0"/>
    </xf>
    <xf numFmtId="0" fontId="25" fillId="0" borderId="4" xfId="4" applyFont="1" applyBorder="1" applyAlignment="1" applyProtection="1">
      <alignment horizontal="center" vertical="center" wrapText="1"/>
      <protection locked="0"/>
    </xf>
    <xf numFmtId="1" fontId="12" fillId="0" borderId="1" xfId="1" applyNumberFormat="1" applyFont="1" applyBorder="1" applyAlignment="1">
      <alignment horizontal="center" vertical="center" wrapText="1"/>
    </xf>
    <xf numFmtId="1" fontId="12" fillId="0" borderId="3" xfId="1" applyNumberFormat="1" applyFont="1" applyBorder="1" applyAlignment="1">
      <alignment horizontal="center" vertical="center" wrapText="1"/>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1" fontId="14" fillId="0" borderId="1" xfId="1" applyNumberFormat="1" applyFont="1" applyBorder="1" applyAlignment="1">
      <alignment horizontal="center" vertical="center" wrapText="1"/>
    </xf>
    <xf numFmtId="1" fontId="14" fillId="0" borderId="2" xfId="1" applyNumberFormat="1" applyFont="1" applyBorder="1" applyAlignment="1">
      <alignment horizontal="center" vertical="center" wrapText="1"/>
    </xf>
    <xf numFmtId="1" fontId="14" fillId="0" borderId="3" xfId="1" applyNumberFormat="1" applyFont="1" applyBorder="1" applyAlignment="1">
      <alignment horizontal="center" vertical="center" wrapText="1"/>
    </xf>
    <xf numFmtId="1" fontId="12" fillId="0" borderId="5" xfId="1" applyNumberFormat="1" applyFont="1" applyBorder="1" applyAlignment="1">
      <alignment horizontal="center" vertical="center" wrapText="1"/>
    </xf>
    <xf numFmtId="1" fontId="12" fillId="0" borderId="7" xfId="1" applyNumberFormat="1" applyFont="1" applyBorder="1" applyAlignment="1">
      <alignment horizontal="center" vertical="center" wrapText="1"/>
    </xf>
    <xf numFmtId="1" fontId="12" fillId="0" borderId="11" xfId="1" applyNumberFormat="1" applyFont="1" applyBorder="1" applyAlignment="1">
      <alignment horizontal="center" vertical="center" wrapText="1"/>
    </xf>
    <xf numFmtId="1" fontId="12" fillId="0" borderId="12" xfId="1" applyNumberFormat="1" applyFont="1" applyBorder="1" applyAlignment="1">
      <alignment horizontal="center" vertical="center" wrapText="1"/>
    </xf>
    <xf numFmtId="1" fontId="12" fillId="0" borderId="8" xfId="1" applyNumberFormat="1" applyFont="1" applyBorder="1" applyAlignment="1">
      <alignment horizontal="center" vertical="center" wrapText="1"/>
    </xf>
    <xf numFmtId="1" fontId="12" fillId="0" borderId="10" xfId="1" applyNumberFormat="1" applyFont="1" applyBorder="1" applyAlignment="1">
      <alignment horizontal="center" vertical="center" wrapText="1"/>
    </xf>
    <xf numFmtId="0" fontId="5" fillId="0" borderId="5" xfId="1" applyFont="1" applyBorder="1" applyAlignment="1">
      <alignment horizontal="center" vertical="top"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11" xfId="1" applyFont="1" applyBorder="1" applyAlignment="1">
      <alignment horizontal="center" vertical="top" wrapText="1"/>
    </xf>
    <xf numFmtId="0" fontId="5" fillId="0" borderId="0" xfId="1" applyFont="1" applyAlignment="1">
      <alignment horizontal="center" vertical="top" wrapText="1"/>
    </xf>
    <xf numFmtId="0" fontId="5" fillId="0" borderId="12" xfId="1" applyFont="1" applyBorder="1" applyAlignment="1">
      <alignment horizontal="center" vertical="top" wrapText="1"/>
    </xf>
    <xf numFmtId="0" fontId="5" fillId="0" borderId="8" xfId="1" applyFont="1" applyBorder="1" applyAlignment="1">
      <alignment horizontal="center" vertical="top" wrapText="1"/>
    </xf>
    <xf numFmtId="0" fontId="5" fillId="0" borderId="9" xfId="1" applyFont="1" applyBorder="1" applyAlignment="1">
      <alignment horizontal="center" vertical="top" wrapText="1"/>
    </xf>
    <xf numFmtId="0" fontId="5" fillId="0" borderId="10" xfId="1" applyFont="1" applyBorder="1" applyAlignment="1">
      <alignment horizontal="center" vertical="top" wrapText="1"/>
    </xf>
    <xf numFmtId="0" fontId="10" fillId="0" borderId="4" xfId="2" applyFont="1" applyBorder="1" applyAlignment="1">
      <alignment horizontal="left"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1" fontId="5" fillId="0" borderId="1" xfId="0" applyNumberFormat="1" applyFont="1" applyBorder="1" applyAlignment="1">
      <alignment horizontal="center" vertical="top" wrapText="1"/>
    </xf>
    <xf numFmtId="1" fontId="5" fillId="0" borderId="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7" fillId="0" borderId="2" xfId="0" applyNumberFormat="1" applyFont="1" applyBorder="1" applyAlignment="1">
      <alignment horizontal="center" vertical="center" wrapText="1"/>
    </xf>
    <xf numFmtId="1" fontId="17" fillId="0" borderId="1" xfId="0" applyNumberFormat="1" applyFont="1" applyBorder="1" applyAlignment="1">
      <alignment horizontal="center" vertical="top" wrapText="1"/>
    </xf>
    <xf numFmtId="1" fontId="17" fillId="0" borderId="2" xfId="0" applyNumberFormat="1" applyFont="1" applyBorder="1" applyAlignment="1">
      <alignment horizontal="center" vertical="top" wrapText="1"/>
    </xf>
    <xf numFmtId="1" fontId="17" fillId="0" borderId="3" xfId="0" applyNumberFormat="1" applyFont="1" applyBorder="1" applyAlignment="1">
      <alignment horizontal="center" vertical="top" wrapText="1"/>
    </xf>
    <xf numFmtId="0" fontId="7" fillId="2" borderId="1" xfId="1" applyFont="1" applyFill="1" applyBorder="1" applyAlignment="1">
      <alignment horizontal="left" vertical="top"/>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3" fontId="7" fillId="2" borderId="1" xfId="1" applyNumberFormat="1" applyFont="1" applyFill="1" applyBorder="1" applyAlignment="1">
      <alignment horizontal="left" vertical="top" wrapText="1"/>
    </xf>
    <xf numFmtId="0" fontId="5" fillId="2" borderId="1" xfId="1" applyFont="1" applyFill="1" applyBorder="1" applyAlignment="1">
      <alignment horizontal="left" vertical="top"/>
    </xf>
    <xf numFmtId="0" fontId="5" fillId="2" borderId="2" xfId="1" applyFont="1" applyFill="1" applyBorder="1" applyAlignment="1">
      <alignment horizontal="left" vertical="top"/>
    </xf>
    <xf numFmtId="0" fontId="5" fillId="2" borderId="3" xfId="1" applyFont="1" applyFill="1" applyBorder="1" applyAlignment="1">
      <alignment horizontal="left" vertical="top"/>
    </xf>
    <xf numFmtId="0" fontId="10" fillId="0" borderId="1" xfId="1" applyFont="1" applyBorder="1" applyAlignment="1">
      <alignment horizontal="left" vertical="top"/>
    </xf>
    <xf numFmtId="0" fontId="10" fillId="0" borderId="3" xfId="1" applyFont="1" applyBorder="1" applyAlignment="1">
      <alignment horizontal="left" vertical="top"/>
    </xf>
    <xf numFmtId="0" fontId="10" fillId="0" borderId="1" xfId="1" applyFont="1" applyBorder="1" applyAlignment="1">
      <alignment horizontal="left" vertical="top" wrapText="1"/>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0" fontId="5" fillId="0" borderId="1" xfId="1"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0" fontId="9" fillId="0" borderId="1" xfId="1" applyFont="1" applyBorder="1" applyAlignment="1">
      <alignment horizontal="left" vertical="top"/>
    </xf>
    <xf numFmtId="0" fontId="9" fillId="0" borderId="2" xfId="1" applyFont="1" applyBorder="1" applyAlignment="1">
      <alignment horizontal="left" vertical="top"/>
    </xf>
    <xf numFmtId="0" fontId="7" fillId="0" borderId="4" xfId="1" applyFont="1" applyBorder="1" applyAlignment="1">
      <alignment horizontal="left" vertical="top"/>
    </xf>
    <xf numFmtId="0" fontId="7" fillId="0" borderId="4" xfId="1" applyFont="1" applyBorder="1" applyAlignment="1">
      <alignment horizontal="center" vertical="top"/>
    </xf>
    <xf numFmtId="0" fontId="6" fillId="0" borderId="3" xfId="1" applyFont="1" applyBorder="1" applyAlignment="1">
      <alignment horizontal="left"/>
    </xf>
    <xf numFmtId="0" fontId="5" fillId="0" borderId="1" xfId="1" applyFont="1" applyBorder="1" applyAlignment="1">
      <alignment vertical="top"/>
    </xf>
    <xf numFmtId="0" fontId="5" fillId="0" borderId="2" xfId="1" applyFont="1" applyBorder="1" applyAlignment="1">
      <alignment vertical="top"/>
    </xf>
    <xf numFmtId="0" fontId="5" fillId="0" borderId="3" xfId="1" applyFont="1" applyBorder="1" applyAlignment="1">
      <alignment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9" fillId="0" borderId="4" xfId="1" applyFont="1" applyBorder="1" applyAlignment="1">
      <alignment horizontal="left" vertical="top" wrapText="1"/>
    </xf>
    <xf numFmtId="0" fontId="9" fillId="0" borderId="4" xfId="1" applyFont="1" applyBorder="1" applyAlignment="1">
      <alignment horizontal="center" vertical="top" wrapText="1"/>
    </xf>
    <xf numFmtId="0" fontId="9" fillId="0" borderId="1" xfId="1" applyFont="1" applyBorder="1" applyAlignment="1">
      <alignment horizontal="left" vertical="top"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166" fontId="7" fillId="0" borderId="1" xfId="1" applyNumberFormat="1" applyFont="1" applyBorder="1" applyAlignment="1">
      <alignment horizontal="left" vertical="top"/>
    </xf>
    <xf numFmtId="166" fontId="7" fillId="0" borderId="2" xfId="1" applyNumberFormat="1" applyFont="1" applyBorder="1" applyAlignment="1">
      <alignment horizontal="left" vertical="top"/>
    </xf>
    <xf numFmtId="166" fontId="7" fillId="0" borderId="3" xfId="1" applyNumberFormat="1" applyFont="1" applyBorder="1" applyAlignment="1">
      <alignment horizontal="left" vertical="top"/>
    </xf>
    <xf numFmtId="0" fontId="9" fillId="0" borderId="3" xfId="1" applyFont="1" applyBorder="1" applyAlignment="1">
      <alignment horizontal="left" vertical="top"/>
    </xf>
    <xf numFmtId="166" fontId="7" fillId="0" borderId="1" xfId="1" applyNumberFormat="1" applyFont="1" applyBorder="1" applyAlignment="1">
      <alignment horizontal="left" vertical="top" wrapText="1"/>
    </xf>
    <xf numFmtId="166" fontId="7" fillId="0" borderId="2" xfId="1" applyNumberFormat="1" applyFont="1" applyBorder="1" applyAlignment="1">
      <alignment horizontal="left" vertical="top" wrapText="1"/>
    </xf>
    <xf numFmtId="166" fontId="7" fillId="0" borderId="3" xfId="1" applyNumberFormat="1" applyFont="1" applyBorder="1" applyAlignment="1">
      <alignment horizontal="left" vertical="top" wrapText="1"/>
    </xf>
    <xf numFmtId="0" fontId="9" fillId="0" borderId="1"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27" fillId="0" borderId="1" xfId="10" applyBorder="1" applyAlignment="1">
      <alignment horizontal="left" vertical="top"/>
    </xf>
    <xf numFmtId="0" fontId="6" fillId="0" borderId="1"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6" fillId="0" borderId="1" xfId="1" applyFont="1" applyBorder="1" applyAlignment="1">
      <alignment horizontal="center" vertical="top"/>
    </xf>
    <xf numFmtId="0" fontId="6" fillId="0" borderId="3" xfId="1" applyFont="1" applyBorder="1" applyAlignment="1">
      <alignment horizontal="center" vertical="top"/>
    </xf>
    <xf numFmtId="0" fontId="7" fillId="2" borderId="4" xfId="1" applyFont="1" applyFill="1" applyBorder="1" applyAlignment="1">
      <alignment horizontal="left" vertical="top"/>
    </xf>
    <xf numFmtId="0" fontId="7" fillId="0" borderId="4" xfId="1" applyFont="1" applyBorder="1" applyAlignment="1">
      <alignment horizontal="left" vertical="top" wrapText="1"/>
    </xf>
    <xf numFmtId="0" fontId="7" fillId="0" borderId="5" xfId="1" applyFont="1" applyBorder="1" applyAlignment="1">
      <alignment horizontal="left" vertical="top" wrapTex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5" fillId="0" borderId="1" xfId="1" applyFont="1" applyBorder="1" applyAlignment="1">
      <alignment horizontal="center" vertical="top" wrapText="1"/>
    </xf>
    <xf numFmtId="0" fontId="5" fillId="0" borderId="2" xfId="1" applyFont="1" applyBorder="1" applyAlignment="1">
      <alignment horizontal="center" vertical="top" wrapText="1"/>
    </xf>
    <xf numFmtId="0" fontId="5" fillId="0" borderId="3" xfId="1" applyFont="1" applyBorder="1" applyAlignment="1">
      <alignment horizontal="center" vertical="top" wrapText="1"/>
    </xf>
    <xf numFmtId="0" fontId="5" fillId="0" borderId="1" xfId="1" applyFont="1" applyBorder="1" applyAlignment="1">
      <alignment horizontal="center" vertical="top"/>
    </xf>
    <xf numFmtId="0" fontId="5" fillId="0" borderId="2" xfId="1" applyFont="1" applyBorder="1" applyAlignment="1">
      <alignment horizontal="center" vertical="top"/>
    </xf>
    <xf numFmtId="0" fontId="5" fillId="0" borderId="3" xfId="1" applyFont="1" applyBorder="1" applyAlignment="1">
      <alignment horizontal="center"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7" fillId="0" borderId="1" xfId="1" applyFont="1" applyBorder="1" applyAlignment="1">
      <alignment horizontal="center" vertical="top" wrapText="1"/>
    </xf>
    <xf numFmtId="0" fontId="7" fillId="0" borderId="3" xfId="1" applyFont="1" applyBorder="1" applyAlignment="1">
      <alignment horizontal="center" vertical="top" wrapText="1"/>
    </xf>
    <xf numFmtId="0" fontId="25" fillId="0" borderId="4" xfId="4" applyFont="1" applyBorder="1" applyAlignment="1" applyProtection="1">
      <alignment horizontal="center" vertical="center"/>
      <protection locked="0"/>
    </xf>
    <xf numFmtId="1" fontId="5" fillId="0" borderId="1"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15" fillId="0" borderId="1" xfId="1" applyFont="1" applyBorder="1" applyAlignment="1">
      <alignment horizontal="center" vertical="top"/>
    </xf>
    <xf numFmtId="0" fontId="15" fillId="0" borderId="2" xfId="1" applyFont="1" applyBorder="1" applyAlignment="1">
      <alignment horizontal="center" vertical="top"/>
    </xf>
    <xf numFmtId="0" fontId="15" fillId="0" borderId="3" xfId="1" applyFont="1" applyBorder="1" applyAlignment="1">
      <alignment horizontal="center" vertical="top"/>
    </xf>
    <xf numFmtId="1" fontId="5" fillId="0" borderId="1" xfId="1" applyNumberFormat="1" applyFont="1" applyBorder="1" applyAlignment="1">
      <alignment horizontal="center" vertical="top" wrapText="1"/>
    </xf>
    <xf numFmtId="1" fontId="5" fillId="0" borderId="3" xfId="1" applyNumberFormat="1" applyFont="1" applyBorder="1" applyAlignment="1">
      <alignment horizontal="center" vertical="top" wrapText="1"/>
    </xf>
    <xf numFmtId="1" fontId="14" fillId="0" borderId="1" xfId="1" applyNumberFormat="1" applyFont="1" applyBorder="1" applyAlignment="1">
      <alignment horizontal="center" vertical="top" wrapText="1"/>
    </xf>
    <xf numFmtId="1" fontId="14" fillId="0" borderId="3" xfId="1" applyNumberFormat="1" applyFont="1" applyBorder="1" applyAlignment="1">
      <alignment horizontal="center" vertical="top" wrapText="1"/>
    </xf>
    <xf numFmtId="0" fontId="0" fillId="3" borderId="4" xfId="0" applyFill="1" applyBorder="1" applyAlignment="1">
      <alignment horizontal="center" wrapText="1"/>
    </xf>
    <xf numFmtId="0" fontId="19" fillId="0" borderId="4" xfId="0" applyFont="1" applyBorder="1" applyAlignment="1">
      <alignment horizontal="center"/>
    </xf>
    <xf numFmtId="0" fontId="19" fillId="0" borderId="4" xfId="7" applyFont="1" applyBorder="1" applyAlignment="1">
      <alignment horizontal="left"/>
    </xf>
    <xf numFmtId="0" fontId="6" fillId="0" borderId="0" xfId="1" applyFont="1" applyAlignment="1"/>
  </cellXfs>
  <cellStyles count="11">
    <cellStyle name="Comma 2" xfId="8"/>
    <cellStyle name="Excel Built-in Normal" xfId="2"/>
    <cellStyle name="Excel Built-in Normal 2" xfId="6"/>
    <cellStyle name="Hyperlink" xfId="10" builtinId="8"/>
    <cellStyle name="Normal" xfId="0" builtinId="0"/>
    <cellStyle name="Normal 2" xfId="3"/>
    <cellStyle name="Normal 2 2" xfId="5"/>
    <cellStyle name="Normal 3" xfId="1"/>
    <cellStyle name="Normal 3 2" xfId="4"/>
    <cellStyle name="Normal 3 3" xfId="9"/>
    <cellStyle name="Normal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17.jpeg"/><Relationship Id="rId2" Type="http://schemas.microsoft.com/office/2007/relationships/hdphoto" Target="../media/hdphoto1.wdp"/><Relationship Id="rId1" Type="http://schemas.openxmlformats.org/officeDocument/2006/relationships/image" Target="../media/image13.png"/><Relationship Id="rId6" Type="http://schemas.openxmlformats.org/officeDocument/2006/relationships/image" Target="../media/image16.jpeg"/><Relationship Id="rId5" Type="http://schemas.openxmlformats.org/officeDocument/2006/relationships/image" Target="../media/image15.jpeg"/><Relationship Id="rId4" Type="http://schemas.microsoft.com/office/2007/relationships/hdphoto" Target="../media/hdphoto2.wdp"/></Relationships>
</file>

<file path=xl/drawings/_rels/drawing3.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5" Type="http://schemas.openxmlformats.org/officeDocument/2006/relationships/image" Target="../media/image22.png"/><Relationship Id="rId4"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543225</xdr:colOff>
      <xdr:row>281</xdr:row>
      <xdr:rowOff>136055</xdr:rowOff>
    </xdr:from>
    <xdr:to>
      <xdr:col>7</xdr:col>
      <xdr:colOff>369424</xdr:colOff>
      <xdr:row>296</xdr:row>
      <xdr:rowOff>158555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43300" y="67687355"/>
          <a:ext cx="3864799" cy="2880000"/>
        </a:xfrm>
        <a:prstGeom prst="rect">
          <a:avLst/>
        </a:prstGeom>
        <a:ln>
          <a:solidFill>
            <a:schemeClr val="tx1"/>
          </a:solidFill>
        </a:ln>
      </xdr:spPr>
    </xdr:pic>
    <xdr:clientData/>
  </xdr:twoCellAnchor>
  <xdr:twoCellAnchor editAs="oneCell">
    <xdr:from>
      <xdr:col>1</xdr:col>
      <xdr:colOff>567486</xdr:colOff>
      <xdr:row>266</xdr:row>
      <xdr:rowOff>2546</xdr:rowOff>
    </xdr:from>
    <xdr:to>
      <xdr:col>7</xdr:col>
      <xdr:colOff>374633</xdr:colOff>
      <xdr:row>281</xdr:row>
      <xdr:rowOff>25046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67561" y="64696346"/>
          <a:ext cx="3845747" cy="2880000"/>
        </a:xfrm>
        <a:prstGeom prst="rect">
          <a:avLst/>
        </a:prstGeom>
        <a:ln>
          <a:solidFill>
            <a:schemeClr val="tx1"/>
          </a:solidFill>
        </a:ln>
      </xdr:spPr>
    </xdr:pic>
    <xdr:clientData/>
  </xdr:twoCellAnchor>
  <xdr:twoCellAnchor>
    <xdr:from>
      <xdr:col>0</xdr:col>
      <xdr:colOff>63500</xdr:colOff>
      <xdr:row>218</xdr:row>
      <xdr:rowOff>95250</xdr:rowOff>
    </xdr:from>
    <xdr:to>
      <xdr:col>9</xdr:col>
      <xdr:colOff>149000</xdr:colOff>
      <xdr:row>262</xdr:row>
      <xdr:rowOff>117022</xdr:rowOff>
    </xdr:to>
    <xdr:grpSp>
      <xdr:nvGrpSpPr>
        <xdr:cNvPr id="5" name="Group 4"/>
        <xdr:cNvGrpSpPr/>
      </xdr:nvGrpSpPr>
      <xdr:grpSpPr>
        <a:xfrm>
          <a:off x="63500" y="41986200"/>
          <a:ext cx="6410100" cy="7851322"/>
          <a:chOff x="63500" y="41814750"/>
          <a:chExt cx="6410100" cy="7851322"/>
        </a:xfrm>
      </xdr:grpSpPr>
      <xdr:pic>
        <xdr:nvPicPr>
          <xdr:cNvPr id="13" name="Picture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927583" y="47506072"/>
            <a:ext cx="1617750" cy="2160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424450" y="44660411"/>
            <a:ext cx="2049150" cy="2736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902743" y="47506072"/>
            <a:ext cx="2876000" cy="216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63500" y="41814750"/>
            <a:ext cx="2049150" cy="2736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243975" y="41814750"/>
            <a:ext cx="2049150" cy="2736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424450" y="41814750"/>
            <a:ext cx="2049150" cy="2736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3500" y="44660411"/>
            <a:ext cx="2049150" cy="2736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243975" y="44660411"/>
            <a:ext cx="2049150"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10</xdr:row>
      <xdr:rowOff>0</xdr:rowOff>
    </xdr:from>
    <xdr:to>
      <xdr:col>12</xdr:col>
      <xdr:colOff>400800</xdr:colOff>
      <xdr:row>19</xdr:row>
      <xdr:rowOff>64500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6267450" y="1905000"/>
          <a:ext cx="1620000" cy="2160000"/>
        </a:xfrm>
        <a:prstGeom prst="rect">
          <a:avLst/>
        </a:prstGeom>
        <a:ln>
          <a:solidFill>
            <a:schemeClr val="tx1"/>
          </a:solidFill>
        </a:ln>
      </xdr:spPr>
    </xdr:pic>
    <xdr:clientData/>
  </xdr:twoCellAnchor>
  <xdr:twoCellAnchor editAs="oneCell">
    <xdr:from>
      <xdr:col>12</xdr:col>
      <xdr:colOff>541058</xdr:colOff>
      <xdr:row>10</xdr:row>
      <xdr:rowOff>17880</xdr:rowOff>
    </xdr:from>
    <xdr:to>
      <xdr:col>15</xdr:col>
      <xdr:colOff>332258</xdr:colOff>
      <xdr:row>19</xdr:row>
      <xdr:rowOff>82380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8027708" y="1922880"/>
          <a:ext cx="1620000" cy="2160000"/>
        </a:xfrm>
        <a:prstGeom prst="rect">
          <a:avLst/>
        </a:prstGeom>
        <a:ln>
          <a:solidFill>
            <a:schemeClr val="tx1"/>
          </a:solidFill>
        </a:ln>
      </xdr:spPr>
    </xdr:pic>
    <xdr:clientData/>
  </xdr:twoCellAnchor>
  <xdr:twoCellAnchor editAs="oneCell">
    <xdr:from>
      <xdr:col>10</xdr:col>
      <xdr:colOff>0</xdr:colOff>
      <xdr:row>21</xdr:row>
      <xdr:rowOff>15509</xdr:rowOff>
    </xdr:from>
    <xdr:to>
      <xdr:col>12</xdr:col>
      <xdr:colOff>400800</xdr:colOff>
      <xdr:row>32</xdr:row>
      <xdr:rowOff>80009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6267450" y="4397009"/>
          <a:ext cx="1620000" cy="2160000"/>
        </a:xfrm>
        <a:prstGeom prst="rect">
          <a:avLst/>
        </a:prstGeom>
        <a:ln>
          <a:solidFill>
            <a:schemeClr val="tx1"/>
          </a:solidFill>
        </a:ln>
      </xdr:spPr>
    </xdr:pic>
    <xdr:clientData/>
  </xdr:twoCellAnchor>
  <xdr:twoCellAnchor editAs="oneCell">
    <xdr:from>
      <xdr:col>12</xdr:col>
      <xdr:colOff>554714</xdr:colOff>
      <xdr:row>21</xdr:row>
      <xdr:rowOff>0</xdr:rowOff>
    </xdr:from>
    <xdr:to>
      <xdr:col>15</xdr:col>
      <xdr:colOff>345914</xdr:colOff>
      <xdr:row>32</xdr:row>
      <xdr:rowOff>64500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8041364" y="4381500"/>
          <a:ext cx="1620000" cy="2160000"/>
        </a:xfrm>
        <a:prstGeom prst="rect">
          <a:avLst/>
        </a:prstGeom>
        <a:ln>
          <a:solidFill>
            <a:schemeClr val="tx1"/>
          </a:solidFill>
        </a:ln>
      </xdr:spPr>
    </xdr:pic>
    <xdr:clientData/>
  </xdr:twoCellAnchor>
  <xdr:twoCellAnchor editAs="oneCell">
    <xdr:from>
      <xdr:col>15</xdr:col>
      <xdr:colOff>482867</xdr:colOff>
      <xdr:row>21</xdr:row>
      <xdr:rowOff>14882</xdr:rowOff>
    </xdr:from>
    <xdr:to>
      <xdr:col>18</xdr:col>
      <xdr:colOff>274067</xdr:colOff>
      <xdr:row>32</xdr:row>
      <xdr:rowOff>79382</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9798317" y="4396382"/>
          <a:ext cx="1620000"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3796</xdr:rowOff>
    </xdr:from>
    <xdr:to>
      <xdr:col>6</xdr:col>
      <xdr:colOff>116020</xdr:colOff>
      <xdr:row>30</xdr:row>
      <xdr:rowOff>174796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609600" y="2480296"/>
          <a:ext cx="6754945" cy="3600000"/>
        </a:xfrm>
        <a:prstGeom prst="rect">
          <a:avLst/>
        </a:prstGeom>
        <a:ln>
          <a:solidFill>
            <a:schemeClr val="tx1"/>
          </a:solidFill>
        </a:ln>
      </xdr:spPr>
    </xdr:pic>
    <xdr:clientData/>
  </xdr:twoCellAnchor>
  <xdr:twoCellAnchor editAs="oneCell">
    <xdr:from>
      <xdr:col>1</xdr:col>
      <xdr:colOff>16340</xdr:colOff>
      <xdr:row>31</xdr:row>
      <xdr:rowOff>126249</xdr:rowOff>
    </xdr:from>
    <xdr:to>
      <xdr:col>6</xdr:col>
      <xdr:colOff>132360</xdr:colOff>
      <xdr:row>50</xdr:row>
      <xdr:rowOff>106749</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625940" y="6222249"/>
          <a:ext cx="6754945" cy="3600000"/>
        </a:xfrm>
        <a:prstGeom prst="rect">
          <a:avLst/>
        </a:prstGeom>
        <a:ln>
          <a:solidFill>
            <a:schemeClr val="tx1"/>
          </a:solidFill>
        </a:ln>
      </xdr:spPr>
    </xdr:pic>
    <xdr:clientData/>
  </xdr:twoCellAnchor>
  <xdr:twoCellAnchor editAs="oneCell">
    <xdr:from>
      <xdr:col>6</xdr:col>
      <xdr:colOff>234920</xdr:colOff>
      <xdr:row>12</xdr:row>
      <xdr:rowOff>21781</xdr:rowOff>
    </xdr:from>
    <xdr:to>
      <xdr:col>15</xdr:col>
      <xdr:colOff>331890</xdr:colOff>
      <xdr:row>31</xdr:row>
      <xdr:rowOff>2281</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7483445" y="2498281"/>
          <a:ext cx="6754945" cy="3600000"/>
        </a:xfrm>
        <a:prstGeom prst="rect">
          <a:avLst/>
        </a:prstGeom>
        <a:ln>
          <a:solidFill>
            <a:schemeClr val="tx1"/>
          </a:solidFill>
        </a:ln>
      </xdr:spPr>
    </xdr:pic>
    <xdr:clientData/>
  </xdr:twoCellAnchor>
  <xdr:twoCellAnchor editAs="oneCell">
    <xdr:from>
      <xdr:col>6</xdr:col>
      <xdr:colOff>233338</xdr:colOff>
      <xdr:row>32</xdr:row>
      <xdr:rowOff>2201</xdr:rowOff>
    </xdr:from>
    <xdr:to>
      <xdr:col>15</xdr:col>
      <xdr:colOff>330308</xdr:colOff>
      <xdr:row>50</xdr:row>
      <xdr:rowOff>173201</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a:stretch>
          <a:fillRect/>
        </a:stretch>
      </xdr:blipFill>
      <xdr:spPr>
        <a:xfrm>
          <a:off x="7481863" y="6288701"/>
          <a:ext cx="6754945" cy="3600000"/>
        </a:xfrm>
        <a:prstGeom prst="rect">
          <a:avLst/>
        </a:prstGeom>
        <a:ln>
          <a:solidFill>
            <a:schemeClr val="tx1"/>
          </a:solidFill>
        </a:ln>
      </xdr:spPr>
    </xdr:pic>
    <xdr:clientData/>
  </xdr:twoCellAnchor>
  <xdr:twoCellAnchor editAs="oneCell">
    <xdr:from>
      <xdr:col>15</xdr:col>
      <xdr:colOff>330308</xdr:colOff>
      <xdr:row>12</xdr:row>
      <xdr:rowOff>0</xdr:rowOff>
    </xdr:from>
    <xdr:to>
      <xdr:col>26</xdr:col>
      <xdr:colOff>379653</xdr:colOff>
      <xdr:row>30</xdr:row>
      <xdr:rowOff>171000</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a:stretch>
          <a:fillRect/>
        </a:stretch>
      </xdr:blipFill>
      <xdr:spPr>
        <a:xfrm>
          <a:off x="14236808" y="2476500"/>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L1siTj8EAjag1gp8"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6"/>
  <sheetViews>
    <sheetView tabSelected="1" view="pageBreakPreview" topLeftCell="A208" zoomScaleNormal="100" zoomScaleSheetLayoutView="100" workbookViewId="0">
      <selection activeCell="M218" sqref="M218"/>
    </sheetView>
  </sheetViews>
  <sheetFormatPr defaultRowHeight="14" x14ac:dyDescent="0.3"/>
  <cols>
    <col min="1" max="1" width="9" style="1" customWidth="1"/>
    <col min="2" max="3" width="14.453125" style="1" customWidth="1"/>
    <col min="4" max="4" width="7.26953125" style="1" customWidth="1"/>
    <col min="5" max="5" width="5.54296875" style="1" customWidth="1"/>
    <col min="6" max="6" width="9" style="1" customWidth="1"/>
    <col min="7" max="8" width="9.81640625" style="1" customWidth="1"/>
    <col min="9" max="9" width="11.1796875" style="1" customWidth="1"/>
    <col min="10" max="10" width="2.81640625" style="1" customWidth="1"/>
    <col min="11" max="253" width="9.1796875" style="1"/>
    <col min="254" max="254" width="8.7265625" style="1" customWidth="1"/>
    <col min="255" max="255" width="9.81640625" style="1" customWidth="1"/>
    <col min="256" max="256" width="14.453125" style="1" customWidth="1"/>
    <col min="257" max="257" width="7.26953125" style="1" customWidth="1"/>
    <col min="258" max="258" width="5.54296875" style="1" customWidth="1"/>
    <col min="259" max="259" width="9" style="1" customWidth="1"/>
    <col min="260" max="261" width="9.81640625" style="1" customWidth="1"/>
    <col min="262" max="262" width="11.1796875" style="1" customWidth="1"/>
    <col min="263" max="263" width="2.81640625" style="1" customWidth="1"/>
    <col min="264" max="264" width="3.54296875" style="1" customWidth="1"/>
    <col min="265" max="509" width="9.1796875" style="1"/>
    <col min="510" max="510" width="8.7265625" style="1" customWidth="1"/>
    <col min="511" max="511" width="9.81640625" style="1" customWidth="1"/>
    <col min="512" max="512" width="14.453125" style="1" customWidth="1"/>
    <col min="513" max="513" width="7.26953125" style="1" customWidth="1"/>
    <col min="514" max="514" width="5.54296875" style="1" customWidth="1"/>
    <col min="515" max="515" width="9" style="1" customWidth="1"/>
    <col min="516" max="517" width="9.81640625" style="1" customWidth="1"/>
    <col min="518" max="518" width="11.1796875" style="1" customWidth="1"/>
    <col min="519" max="519" width="2.81640625" style="1" customWidth="1"/>
    <col min="520" max="520" width="3.54296875" style="1" customWidth="1"/>
    <col min="521" max="765" width="9.1796875" style="1"/>
    <col min="766" max="766" width="8.7265625" style="1" customWidth="1"/>
    <col min="767" max="767" width="9.81640625" style="1" customWidth="1"/>
    <col min="768" max="768" width="14.453125" style="1" customWidth="1"/>
    <col min="769" max="769" width="7.26953125" style="1" customWidth="1"/>
    <col min="770" max="770" width="5.54296875" style="1" customWidth="1"/>
    <col min="771" max="771" width="9" style="1" customWidth="1"/>
    <col min="772" max="773" width="9.81640625" style="1" customWidth="1"/>
    <col min="774" max="774" width="11.1796875" style="1" customWidth="1"/>
    <col min="775" max="775" width="2.81640625" style="1" customWidth="1"/>
    <col min="776" max="776" width="3.54296875" style="1" customWidth="1"/>
    <col min="777" max="1021" width="9.1796875" style="1"/>
    <col min="1022" max="1022" width="8.7265625" style="1" customWidth="1"/>
    <col min="1023" max="1023" width="9.81640625" style="1" customWidth="1"/>
    <col min="1024" max="1024" width="14.453125" style="1" customWidth="1"/>
    <col min="1025" max="1025" width="7.26953125" style="1" customWidth="1"/>
    <col min="1026" max="1026" width="5.54296875" style="1" customWidth="1"/>
    <col min="1027" max="1027" width="9" style="1" customWidth="1"/>
    <col min="1028" max="1029" width="9.81640625" style="1" customWidth="1"/>
    <col min="1030" max="1030" width="11.1796875" style="1" customWidth="1"/>
    <col min="1031" max="1031" width="2.81640625" style="1" customWidth="1"/>
    <col min="1032" max="1032" width="3.54296875" style="1" customWidth="1"/>
    <col min="1033" max="1277" width="9.1796875" style="1"/>
    <col min="1278" max="1278" width="8.7265625" style="1" customWidth="1"/>
    <col min="1279" max="1279" width="9.81640625" style="1" customWidth="1"/>
    <col min="1280" max="1280" width="14.453125" style="1" customWidth="1"/>
    <col min="1281" max="1281" width="7.26953125" style="1" customWidth="1"/>
    <col min="1282" max="1282" width="5.54296875" style="1" customWidth="1"/>
    <col min="1283" max="1283" width="9" style="1" customWidth="1"/>
    <col min="1284" max="1285" width="9.81640625" style="1" customWidth="1"/>
    <col min="1286" max="1286" width="11.1796875" style="1" customWidth="1"/>
    <col min="1287" max="1287" width="2.81640625" style="1" customWidth="1"/>
    <col min="1288" max="1288" width="3.54296875" style="1" customWidth="1"/>
    <col min="1289" max="1533" width="9.1796875" style="1"/>
    <col min="1534" max="1534" width="8.7265625" style="1" customWidth="1"/>
    <col min="1535" max="1535" width="9.81640625" style="1" customWidth="1"/>
    <col min="1536" max="1536" width="14.453125" style="1" customWidth="1"/>
    <col min="1537" max="1537" width="7.26953125" style="1" customWidth="1"/>
    <col min="1538" max="1538" width="5.54296875" style="1" customWidth="1"/>
    <col min="1539" max="1539" width="9" style="1" customWidth="1"/>
    <col min="1540" max="1541" width="9.81640625" style="1" customWidth="1"/>
    <col min="1542" max="1542" width="11.1796875" style="1" customWidth="1"/>
    <col min="1543" max="1543" width="2.81640625" style="1" customWidth="1"/>
    <col min="1544" max="1544" width="3.54296875" style="1" customWidth="1"/>
    <col min="1545" max="1789" width="9.1796875" style="1"/>
    <col min="1790" max="1790" width="8.7265625" style="1" customWidth="1"/>
    <col min="1791" max="1791" width="9.81640625" style="1" customWidth="1"/>
    <col min="1792" max="1792" width="14.453125" style="1" customWidth="1"/>
    <col min="1793" max="1793" width="7.26953125" style="1" customWidth="1"/>
    <col min="1794" max="1794" width="5.54296875" style="1" customWidth="1"/>
    <col min="1795" max="1795" width="9" style="1" customWidth="1"/>
    <col min="1796" max="1797" width="9.81640625" style="1" customWidth="1"/>
    <col min="1798" max="1798" width="11.1796875" style="1" customWidth="1"/>
    <col min="1799" max="1799" width="2.81640625" style="1" customWidth="1"/>
    <col min="1800" max="1800" width="3.54296875" style="1" customWidth="1"/>
    <col min="1801" max="2045" width="9.1796875" style="1"/>
    <col min="2046" max="2046" width="8.7265625" style="1" customWidth="1"/>
    <col min="2047" max="2047" width="9.81640625" style="1" customWidth="1"/>
    <col min="2048" max="2048" width="14.453125" style="1" customWidth="1"/>
    <col min="2049" max="2049" width="7.26953125" style="1" customWidth="1"/>
    <col min="2050" max="2050" width="5.54296875" style="1" customWidth="1"/>
    <col min="2051" max="2051" width="9" style="1" customWidth="1"/>
    <col min="2052" max="2053" width="9.81640625" style="1" customWidth="1"/>
    <col min="2054" max="2054" width="11.1796875" style="1" customWidth="1"/>
    <col min="2055" max="2055" width="2.81640625" style="1" customWidth="1"/>
    <col min="2056" max="2056" width="3.54296875" style="1" customWidth="1"/>
    <col min="2057" max="2301" width="9.1796875" style="1"/>
    <col min="2302" max="2302" width="8.7265625" style="1" customWidth="1"/>
    <col min="2303" max="2303" width="9.81640625" style="1" customWidth="1"/>
    <col min="2304" max="2304" width="14.453125" style="1" customWidth="1"/>
    <col min="2305" max="2305" width="7.26953125" style="1" customWidth="1"/>
    <col min="2306" max="2306" width="5.54296875" style="1" customWidth="1"/>
    <col min="2307" max="2307" width="9" style="1" customWidth="1"/>
    <col min="2308" max="2309" width="9.81640625" style="1" customWidth="1"/>
    <col min="2310" max="2310" width="11.1796875" style="1" customWidth="1"/>
    <col min="2311" max="2311" width="2.81640625" style="1" customWidth="1"/>
    <col min="2312" max="2312" width="3.54296875" style="1" customWidth="1"/>
    <col min="2313" max="2557" width="9.1796875" style="1"/>
    <col min="2558" max="2558" width="8.7265625" style="1" customWidth="1"/>
    <col min="2559" max="2559" width="9.81640625" style="1" customWidth="1"/>
    <col min="2560" max="2560" width="14.453125" style="1" customWidth="1"/>
    <col min="2561" max="2561" width="7.26953125" style="1" customWidth="1"/>
    <col min="2562" max="2562" width="5.54296875" style="1" customWidth="1"/>
    <col min="2563" max="2563" width="9" style="1" customWidth="1"/>
    <col min="2564" max="2565" width="9.81640625" style="1" customWidth="1"/>
    <col min="2566" max="2566" width="11.1796875" style="1" customWidth="1"/>
    <col min="2567" max="2567" width="2.81640625" style="1" customWidth="1"/>
    <col min="2568" max="2568" width="3.54296875" style="1" customWidth="1"/>
    <col min="2569" max="2813" width="9.1796875" style="1"/>
    <col min="2814" max="2814" width="8.7265625" style="1" customWidth="1"/>
    <col min="2815" max="2815" width="9.81640625" style="1" customWidth="1"/>
    <col min="2816" max="2816" width="14.453125" style="1" customWidth="1"/>
    <col min="2817" max="2817" width="7.26953125" style="1" customWidth="1"/>
    <col min="2818" max="2818" width="5.54296875" style="1" customWidth="1"/>
    <col min="2819" max="2819" width="9" style="1" customWidth="1"/>
    <col min="2820" max="2821" width="9.81640625" style="1" customWidth="1"/>
    <col min="2822" max="2822" width="11.1796875" style="1" customWidth="1"/>
    <col min="2823" max="2823" width="2.81640625" style="1" customWidth="1"/>
    <col min="2824" max="2824" width="3.54296875" style="1" customWidth="1"/>
    <col min="2825" max="3069" width="9.1796875" style="1"/>
    <col min="3070" max="3070" width="8.7265625" style="1" customWidth="1"/>
    <col min="3071" max="3071" width="9.81640625" style="1" customWidth="1"/>
    <col min="3072" max="3072" width="14.453125" style="1" customWidth="1"/>
    <col min="3073" max="3073" width="7.26953125" style="1" customWidth="1"/>
    <col min="3074" max="3074" width="5.54296875" style="1" customWidth="1"/>
    <col min="3075" max="3075" width="9" style="1" customWidth="1"/>
    <col min="3076" max="3077" width="9.81640625" style="1" customWidth="1"/>
    <col min="3078" max="3078" width="11.1796875" style="1" customWidth="1"/>
    <col min="3079" max="3079" width="2.81640625" style="1" customWidth="1"/>
    <col min="3080" max="3080" width="3.54296875" style="1" customWidth="1"/>
    <col min="3081" max="3325" width="9.1796875" style="1"/>
    <col min="3326" max="3326" width="8.7265625" style="1" customWidth="1"/>
    <col min="3327" max="3327" width="9.81640625" style="1" customWidth="1"/>
    <col min="3328" max="3328" width="14.453125" style="1" customWidth="1"/>
    <col min="3329" max="3329" width="7.26953125" style="1" customWidth="1"/>
    <col min="3330" max="3330" width="5.54296875" style="1" customWidth="1"/>
    <col min="3331" max="3331" width="9" style="1" customWidth="1"/>
    <col min="3332" max="3333" width="9.81640625" style="1" customWidth="1"/>
    <col min="3334" max="3334" width="11.1796875" style="1" customWidth="1"/>
    <col min="3335" max="3335" width="2.81640625" style="1" customWidth="1"/>
    <col min="3336" max="3336" width="3.54296875" style="1" customWidth="1"/>
    <col min="3337" max="3581" width="9.1796875" style="1"/>
    <col min="3582" max="3582" width="8.7265625" style="1" customWidth="1"/>
    <col min="3583" max="3583" width="9.81640625" style="1" customWidth="1"/>
    <col min="3584" max="3584" width="14.453125" style="1" customWidth="1"/>
    <col min="3585" max="3585" width="7.26953125" style="1" customWidth="1"/>
    <col min="3586" max="3586" width="5.54296875" style="1" customWidth="1"/>
    <col min="3587" max="3587" width="9" style="1" customWidth="1"/>
    <col min="3588" max="3589" width="9.81640625" style="1" customWidth="1"/>
    <col min="3590" max="3590" width="11.1796875" style="1" customWidth="1"/>
    <col min="3591" max="3591" width="2.81640625" style="1" customWidth="1"/>
    <col min="3592" max="3592" width="3.54296875" style="1" customWidth="1"/>
    <col min="3593" max="3837" width="9.1796875" style="1"/>
    <col min="3838" max="3838" width="8.7265625" style="1" customWidth="1"/>
    <col min="3839" max="3839" width="9.81640625" style="1" customWidth="1"/>
    <col min="3840" max="3840" width="14.453125" style="1" customWidth="1"/>
    <col min="3841" max="3841" width="7.26953125" style="1" customWidth="1"/>
    <col min="3842" max="3842" width="5.54296875" style="1" customWidth="1"/>
    <col min="3843" max="3843" width="9" style="1" customWidth="1"/>
    <col min="3844" max="3845" width="9.81640625" style="1" customWidth="1"/>
    <col min="3846" max="3846" width="11.1796875" style="1" customWidth="1"/>
    <col min="3847" max="3847" width="2.81640625" style="1" customWidth="1"/>
    <col min="3848" max="3848" width="3.54296875" style="1" customWidth="1"/>
    <col min="3849" max="4093" width="9.1796875" style="1"/>
    <col min="4094" max="4094" width="8.7265625" style="1" customWidth="1"/>
    <col min="4095" max="4095" width="9.81640625" style="1" customWidth="1"/>
    <col min="4096" max="4096" width="14.453125" style="1" customWidth="1"/>
    <col min="4097" max="4097" width="7.26953125" style="1" customWidth="1"/>
    <col min="4098" max="4098" width="5.54296875" style="1" customWidth="1"/>
    <col min="4099" max="4099" width="9" style="1" customWidth="1"/>
    <col min="4100" max="4101" width="9.81640625" style="1" customWidth="1"/>
    <col min="4102" max="4102" width="11.1796875" style="1" customWidth="1"/>
    <col min="4103" max="4103" width="2.81640625" style="1" customWidth="1"/>
    <col min="4104" max="4104" width="3.54296875" style="1" customWidth="1"/>
    <col min="4105" max="4349" width="9.1796875" style="1"/>
    <col min="4350" max="4350" width="8.7265625" style="1" customWidth="1"/>
    <col min="4351" max="4351" width="9.81640625" style="1" customWidth="1"/>
    <col min="4352" max="4352" width="14.453125" style="1" customWidth="1"/>
    <col min="4353" max="4353" width="7.26953125" style="1" customWidth="1"/>
    <col min="4354" max="4354" width="5.54296875" style="1" customWidth="1"/>
    <col min="4355" max="4355" width="9" style="1" customWidth="1"/>
    <col min="4356" max="4357" width="9.81640625" style="1" customWidth="1"/>
    <col min="4358" max="4358" width="11.1796875" style="1" customWidth="1"/>
    <col min="4359" max="4359" width="2.81640625" style="1" customWidth="1"/>
    <col min="4360" max="4360" width="3.54296875" style="1" customWidth="1"/>
    <col min="4361" max="4605" width="9.1796875" style="1"/>
    <col min="4606" max="4606" width="8.7265625" style="1" customWidth="1"/>
    <col min="4607" max="4607" width="9.81640625" style="1" customWidth="1"/>
    <col min="4608" max="4608" width="14.453125" style="1" customWidth="1"/>
    <col min="4609" max="4609" width="7.26953125" style="1" customWidth="1"/>
    <col min="4610" max="4610" width="5.54296875" style="1" customWidth="1"/>
    <col min="4611" max="4611" width="9" style="1" customWidth="1"/>
    <col min="4612" max="4613" width="9.81640625" style="1" customWidth="1"/>
    <col min="4614" max="4614" width="11.1796875" style="1" customWidth="1"/>
    <col min="4615" max="4615" width="2.81640625" style="1" customWidth="1"/>
    <col min="4616" max="4616" width="3.54296875" style="1" customWidth="1"/>
    <col min="4617" max="4861" width="9.1796875" style="1"/>
    <col min="4862" max="4862" width="8.7265625" style="1" customWidth="1"/>
    <col min="4863" max="4863" width="9.81640625" style="1" customWidth="1"/>
    <col min="4864" max="4864" width="14.453125" style="1" customWidth="1"/>
    <col min="4865" max="4865" width="7.26953125" style="1" customWidth="1"/>
    <col min="4866" max="4866" width="5.54296875" style="1" customWidth="1"/>
    <col min="4867" max="4867" width="9" style="1" customWidth="1"/>
    <col min="4868" max="4869" width="9.81640625" style="1" customWidth="1"/>
    <col min="4870" max="4870" width="11.1796875" style="1" customWidth="1"/>
    <col min="4871" max="4871" width="2.81640625" style="1" customWidth="1"/>
    <col min="4872" max="4872" width="3.54296875" style="1" customWidth="1"/>
    <col min="4873" max="5117" width="9.1796875" style="1"/>
    <col min="5118" max="5118" width="8.7265625" style="1" customWidth="1"/>
    <col min="5119" max="5119" width="9.81640625" style="1" customWidth="1"/>
    <col min="5120" max="5120" width="14.453125" style="1" customWidth="1"/>
    <col min="5121" max="5121" width="7.26953125" style="1" customWidth="1"/>
    <col min="5122" max="5122" width="5.54296875" style="1" customWidth="1"/>
    <col min="5123" max="5123" width="9" style="1" customWidth="1"/>
    <col min="5124" max="5125" width="9.81640625" style="1" customWidth="1"/>
    <col min="5126" max="5126" width="11.1796875" style="1" customWidth="1"/>
    <col min="5127" max="5127" width="2.81640625" style="1" customWidth="1"/>
    <col min="5128" max="5128" width="3.54296875" style="1" customWidth="1"/>
    <col min="5129" max="5373" width="9.1796875" style="1"/>
    <col min="5374" max="5374" width="8.7265625" style="1" customWidth="1"/>
    <col min="5375" max="5375" width="9.81640625" style="1" customWidth="1"/>
    <col min="5376" max="5376" width="14.453125" style="1" customWidth="1"/>
    <col min="5377" max="5377" width="7.26953125" style="1" customWidth="1"/>
    <col min="5378" max="5378" width="5.54296875" style="1" customWidth="1"/>
    <col min="5379" max="5379" width="9" style="1" customWidth="1"/>
    <col min="5380" max="5381" width="9.81640625" style="1" customWidth="1"/>
    <col min="5382" max="5382" width="11.1796875" style="1" customWidth="1"/>
    <col min="5383" max="5383" width="2.81640625" style="1" customWidth="1"/>
    <col min="5384" max="5384" width="3.54296875" style="1" customWidth="1"/>
    <col min="5385" max="5629" width="9.1796875" style="1"/>
    <col min="5630" max="5630" width="8.7265625" style="1" customWidth="1"/>
    <col min="5631" max="5631" width="9.81640625" style="1" customWidth="1"/>
    <col min="5632" max="5632" width="14.453125" style="1" customWidth="1"/>
    <col min="5633" max="5633" width="7.26953125" style="1" customWidth="1"/>
    <col min="5634" max="5634" width="5.54296875" style="1" customWidth="1"/>
    <col min="5635" max="5635" width="9" style="1" customWidth="1"/>
    <col min="5636" max="5637" width="9.81640625" style="1" customWidth="1"/>
    <col min="5638" max="5638" width="11.1796875" style="1" customWidth="1"/>
    <col min="5639" max="5639" width="2.81640625" style="1" customWidth="1"/>
    <col min="5640" max="5640" width="3.54296875" style="1" customWidth="1"/>
    <col min="5641" max="5885" width="9.1796875" style="1"/>
    <col min="5886" max="5886" width="8.7265625" style="1" customWidth="1"/>
    <col min="5887" max="5887" width="9.81640625" style="1" customWidth="1"/>
    <col min="5888" max="5888" width="14.453125" style="1" customWidth="1"/>
    <col min="5889" max="5889" width="7.26953125" style="1" customWidth="1"/>
    <col min="5890" max="5890" width="5.54296875" style="1" customWidth="1"/>
    <col min="5891" max="5891" width="9" style="1" customWidth="1"/>
    <col min="5892" max="5893" width="9.81640625" style="1" customWidth="1"/>
    <col min="5894" max="5894" width="11.1796875" style="1" customWidth="1"/>
    <col min="5895" max="5895" width="2.81640625" style="1" customWidth="1"/>
    <col min="5896" max="5896" width="3.54296875" style="1" customWidth="1"/>
    <col min="5897" max="6141" width="9.1796875" style="1"/>
    <col min="6142" max="6142" width="8.7265625" style="1" customWidth="1"/>
    <col min="6143" max="6143" width="9.81640625" style="1" customWidth="1"/>
    <col min="6144" max="6144" width="14.453125" style="1" customWidth="1"/>
    <col min="6145" max="6145" width="7.26953125" style="1" customWidth="1"/>
    <col min="6146" max="6146" width="5.54296875" style="1" customWidth="1"/>
    <col min="6147" max="6147" width="9" style="1" customWidth="1"/>
    <col min="6148" max="6149" width="9.81640625" style="1" customWidth="1"/>
    <col min="6150" max="6150" width="11.1796875" style="1" customWidth="1"/>
    <col min="6151" max="6151" width="2.81640625" style="1" customWidth="1"/>
    <col min="6152" max="6152" width="3.54296875" style="1" customWidth="1"/>
    <col min="6153" max="6397" width="9.1796875" style="1"/>
    <col min="6398" max="6398" width="8.7265625" style="1" customWidth="1"/>
    <col min="6399" max="6399" width="9.81640625" style="1" customWidth="1"/>
    <col min="6400" max="6400" width="14.453125" style="1" customWidth="1"/>
    <col min="6401" max="6401" width="7.26953125" style="1" customWidth="1"/>
    <col min="6402" max="6402" width="5.54296875" style="1" customWidth="1"/>
    <col min="6403" max="6403" width="9" style="1" customWidth="1"/>
    <col min="6404" max="6405" width="9.81640625" style="1" customWidth="1"/>
    <col min="6406" max="6406" width="11.1796875" style="1" customWidth="1"/>
    <col min="6407" max="6407" width="2.81640625" style="1" customWidth="1"/>
    <col min="6408" max="6408" width="3.54296875" style="1" customWidth="1"/>
    <col min="6409" max="6653" width="9.1796875" style="1"/>
    <col min="6654" max="6654" width="8.7265625" style="1" customWidth="1"/>
    <col min="6655" max="6655" width="9.81640625" style="1" customWidth="1"/>
    <col min="6656" max="6656" width="14.453125" style="1" customWidth="1"/>
    <col min="6657" max="6657" width="7.26953125" style="1" customWidth="1"/>
    <col min="6658" max="6658" width="5.54296875" style="1" customWidth="1"/>
    <col min="6659" max="6659" width="9" style="1" customWidth="1"/>
    <col min="6660" max="6661" width="9.81640625" style="1" customWidth="1"/>
    <col min="6662" max="6662" width="11.1796875" style="1" customWidth="1"/>
    <col min="6663" max="6663" width="2.81640625" style="1" customWidth="1"/>
    <col min="6664" max="6664" width="3.54296875" style="1" customWidth="1"/>
    <col min="6665" max="6909" width="9.1796875" style="1"/>
    <col min="6910" max="6910" width="8.7265625" style="1" customWidth="1"/>
    <col min="6911" max="6911" width="9.81640625" style="1" customWidth="1"/>
    <col min="6912" max="6912" width="14.453125" style="1" customWidth="1"/>
    <col min="6913" max="6913" width="7.26953125" style="1" customWidth="1"/>
    <col min="6914" max="6914" width="5.54296875" style="1" customWidth="1"/>
    <col min="6915" max="6915" width="9" style="1" customWidth="1"/>
    <col min="6916" max="6917" width="9.81640625" style="1" customWidth="1"/>
    <col min="6918" max="6918" width="11.1796875" style="1" customWidth="1"/>
    <col min="6919" max="6919" width="2.81640625" style="1" customWidth="1"/>
    <col min="6920" max="6920" width="3.54296875" style="1" customWidth="1"/>
    <col min="6921" max="7165" width="9.1796875" style="1"/>
    <col min="7166" max="7166" width="8.7265625" style="1" customWidth="1"/>
    <col min="7167" max="7167" width="9.81640625" style="1" customWidth="1"/>
    <col min="7168" max="7168" width="14.453125" style="1" customWidth="1"/>
    <col min="7169" max="7169" width="7.26953125" style="1" customWidth="1"/>
    <col min="7170" max="7170" width="5.54296875" style="1" customWidth="1"/>
    <col min="7171" max="7171" width="9" style="1" customWidth="1"/>
    <col min="7172" max="7173" width="9.81640625" style="1" customWidth="1"/>
    <col min="7174" max="7174" width="11.1796875" style="1" customWidth="1"/>
    <col min="7175" max="7175" width="2.81640625" style="1" customWidth="1"/>
    <col min="7176" max="7176" width="3.54296875" style="1" customWidth="1"/>
    <col min="7177" max="7421" width="9.1796875" style="1"/>
    <col min="7422" max="7422" width="8.7265625" style="1" customWidth="1"/>
    <col min="7423" max="7423" width="9.81640625" style="1" customWidth="1"/>
    <col min="7424" max="7424" width="14.453125" style="1" customWidth="1"/>
    <col min="7425" max="7425" width="7.26953125" style="1" customWidth="1"/>
    <col min="7426" max="7426" width="5.54296875" style="1" customWidth="1"/>
    <col min="7427" max="7427" width="9" style="1" customWidth="1"/>
    <col min="7428" max="7429" width="9.81640625" style="1" customWidth="1"/>
    <col min="7430" max="7430" width="11.1796875" style="1" customWidth="1"/>
    <col min="7431" max="7431" width="2.81640625" style="1" customWidth="1"/>
    <col min="7432" max="7432" width="3.54296875" style="1" customWidth="1"/>
    <col min="7433" max="7677" width="9.1796875" style="1"/>
    <col min="7678" max="7678" width="8.7265625" style="1" customWidth="1"/>
    <col min="7679" max="7679" width="9.81640625" style="1" customWidth="1"/>
    <col min="7680" max="7680" width="14.453125" style="1" customWidth="1"/>
    <col min="7681" max="7681" width="7.26953125" style="1" customWidth="1"/>
    <col min="7682" max="7682" width="5.54296875" style="1" customWidth="1"/>
    <col min="7683" max="7683" width="9" style="1" customWidth="1"/>
    <col min="7684" max="7685" width="9.81640625" style="1" customWidth="1"/>
    <col min="7686" max="7686" width="11.1796875" style="1" customWidth="1"/>
    <col min="7687" max="7687" width="2.81640625" style="1" customWidth="1"/>
    <col min="7688" max="7688" width="3.54296875" style="1" customWidth="1"/>
    <col min="7689" max="7933" width="9.1796875" style="1"/>
    <col min="7934" max="7934" width="8.7265625" style="1" customWidth="1"/>
    <col min="7935" max="7935" width="9.81640625" style="1" customWidth="1"/>
    <col min="7936" max="7936" width="14.453125" style="1" customWidth="1"/>
    <col min="7937" max="7937" width="7.26953125" style="1" customWidth="1"/>
    <col min="7938" max="7938" width="5.54296875" style="1" customWidth="1"/>
    <col min="7939" max="7939" width="9" style="1" customWidth="1"/>
    <col min="7940" max="7941" width="9.81640625" style="1" customWidth="1"/>
    <col min="7942" max="7942" width="11.1796875" style="1" customWidth="1"/>
    <col min="7943" max="7943" width="2.81640625" style="1" customWidth="1"/>
    <col min="7944" max="7944" width="3.54296875" style="1" customWidth="1"/>
    <col min="7945" max="8189" width="9.1796875" style="1"/>
    <col min="8190" max="8190" width="8.7265625" style="1" customWidth="1"/>
    <col min="8191" max="8191" width="9.81640625" style="1" customWidth="1"/>
    <col min="8192" max="8192" width="14.453125" style="1" customWidth="1"/>
    <col min="8193" max="8193" width="7.26953125" style="1" customWidth="1"/>
    <col min="8194" max="8194" width="5.54296875" style="1" customWidth="1"/>
    <col min="8195" max="8195" width="9" style="1" customWidth="1"/>
    <col min="8196" max="8197" width="9.81640625" style="1" customWidth="1"/>
    <col min="8198" max="8198" width="11.1796875" style="1" customWidth="1"/>
    <col min="8199" max="8199" width="2.81640625" style="1" customWidth="1"/>
    <col min="8200" max="8200" width="3.54296875" style="1" customWidth="1"/>
    <col min="8201" max="8445" width="9.1796875" style="1"/>
    <col min="8446" max="8446" width="8.7265625" style="1" customWidth="1"/>
    <col min="8447" max="8447" width="9.81640625" style="1" customWidth="1"/>
    <col min="8448" max="8448" width="14.453125" style="1" customWidth="1"/>
    <col min="8449" max="8449" width="7.26953125" style="1" customWidth="1"/>
    <col min="8450" max="8450" width="5.54296875" style="1" customWidth="1"/>
    <col min="8451" max="8451" width="9" style="1" customWidth="1"/>
    <col min="8452" max="8453" width="9.81640625" style="1" customWidth="1"/>
    <col min="8454" max="8454" width="11.1796875" style="1" customWidth="1"/>
    <col min="8455" max="8455" width="2.81640625" style="1" customWidth="1"/>
    <col min="8456" max="8456" width="3.54296875" style="1" customWidth="1"/>
    <col min="8457" max="8701" width="9.1796875" style="1"/>
    <col min="8702" max="8702" width="8.7265625" style="1" customWidth="1"/>
    <col min="8703" max="8703" width="9.81640625" style="1" customWidth="1"/>
    <col min="8704" max="8704" width="14.453125" style="1" customWidth="1"/>
    <col min="8705" max="8705" width="7.26953125" style="1" customWidth="1"/>
    <col min="8706" max="8706" width="5.54296875" style="1" customWidth="1"/>
    <col min="8707" max="8707" width="9" style="1" customWidth="1"/>
    <col min="8708" max="8709" width="9.81640625" style="1" customWidth="1"/>
    <col min="8710" max="8710" width="11.1796875" style="1" customWidth="1"/>
    <col min="8711" max="8711" width="2.81640625" style="1" customWidth="1"/>
    <col min="8712" max="8712" width="3.54296875" style="1" customWidth="1"/>
    <col min="8713" max="8957" width="9.1796875" style="1"/>
    <col min="8958" max="8958" width="8.7265625" style="1" customWidth="1"/>
    <col min="8959" max="8959" width="9.81640625" style="1" customWidth="1"/>
    <col min="8960" max="8960" width="14.453125" style="1" customWidth="1"/>
    <col min="8961" max="8961" width="7.26953125" style="1" customWidth="1"/>
    <col min="8962" max="8962" width="5.54296875" style="1" customWidth="1"/>
    <col min="8963" max="8963" width="9" style="1" customWidth="1"/>
    <col min="8964" max="8965" width="9.81640625" style="1" customWidth="1"/>
    <col min="8966" max="8966" width="11.1796875" style="1" customWidth="1"/>
    <col min="8967" max="8967" width="2.81640625" style="1" customWidth="1"/>
    <col min="8968" max="8968" width="3.54296875" style="1" customWidth="1"/>
    <col min="8969" max="9213" width="9.1796875" style="1"/>
    <col min="9214" max="9214" width="8.7265625" style="1" customWidth="1"/>
    <col min="9215" max="9215" width="9.81640625" style="1" customWidth="1"/>
    <col min="9216" max="9216" width="14.453125" style="1" customWidth="1"/>
    <col min="9217" max="9217" width="7.26953125" style="1" customWidth="1"/>
    <col min="9218" max="9218" width="5.54296875" style="1" customWidth="1"/>
    <col min="9219" max="9219" width="9" style="1" customWidth="1"/>
    <col min="9220" max="9221" width="9.81640625" style="1" customWidth="1"/>
    <col min="9222" max="9222" width="11.1796875" style="1" customWidth="1"/>
    <col min="9223" max="9223" width="2.81640625" style="1" customWidth="1"/>
    <col min="9224" max="9224" width="3.54296875" style="1" customWidth="1"/>
    <col min="9225" max="9469" width="9.1796875" style="1"/>
    <col min="9470" max="9470" width="8.7265625" style="1" customWidth="1"/>
    <col min="9471" max="9471" width="9.81640625" style="1" customWidth="1"/>
    <col min="9472" max="9472" width="14.453125" style="1" customWidth="1"/>
    <col min="9473" max="9473" width="7.26953125" style="1" customWidth="1"/>
    <col min="9474" max="9474" width="5.54296875" style="1" customWidth="1"/>
    <col min="9475" max="9475" width="9" style="1" customWidth="1"/>
    <col min="9476" max="9477" width="9.81640625" style="1" customWidth="1"/>
    <col min="9478" max="9478" width="11.1796875" style="1" customWidth="1"/>
    <col min="9479" max="9479" width="2.81640625" style="1" customWidth="1"/>
    <col min="9480" max="9480" width="3.54296875" style="1" customWidth="1"/>
    <col min="9481" max="9725" width="9.1796875" style="1"/>
    <col min="9726" max="9726" width="8.7265625" style="1" customWidth="1"/>
    <col min="9727" max="9727" width="9.81640625" style="1" customWidth="1"/>
    <col min="9728" max="9728" width="14.453125" style="1" customWidth="1"/>
    <col min="9729" max="9729" width="7.26953125" style="1" customWidth="1"/>
    <col min="9730" max="9730" width="5.54296875" style="1" customWidth="1"/>
    <col min="9731" max="9731" width="9" style="1" customWidth="1"/>
    <col min="9732" max="9733" width="9.81640625" style="1" customWidth="1"/>
    <col min="9734" max="9734" width="11.1796875" style="1" customWidth="1"/>
    <col min="9735" max="9735" width="2.81640625" style="1" customWidth="1"/>
    <col min="9736" max="9736" width="3.54296875" style="1" customWidth="1"/>
    <col min="9737" max="9981" width="9.1796875" style="1"/>
    <col min="9982" max="9982" width="8.7265625" style="1" customWidth="1"/>
    <col min="9983" max="9983" width="9.81640625" style="1" customWidth="1"/>
    <col min="9984" max="9984" width="14.453125" style="1" customWidth="1"/>
    <col min="9985" max="9985" width="7.26953125" style="1" customWidth="1"/>
    <col min="9986" max="9986" width="5.54296875" style="1" customWidth="1"/>
    <col min="9987" max="9987" width="9" style="1" customWidth="1"/>
    <col min="9988" max="9989" width="9.81640625" style="1" customWidth="1"/>
    <col min="9990" max="9990" width="11.1796875" style="1" customWidth="1"/>
    <col min="9991" max="9991" width="2.81640625" style="1" customWidth="1"/>
    <col min="9992" max="9992" width="3.54296875" style="1" customWidth="1"/>
    <col min="9993" max="10237" width="9.1796875" style="1"/>
    <col min="10238" max="10238" width="8.7265625" style="1" customWidth="1"/>
    <col min="10239" max="10239" width="9.81640625" style="1" customWidth="1"/>
    <col min="10240" max="10240" width="14.453125" style="1" customWidth="1"/>
    <col min="10241" max="10241" width="7.26953125" style="1" customWidth="1"/>
    <col min="10242" max="10242" width="5.54296875" style="1" customWidth="1"/>
    <col min="10243" max="10243" width="9" style="1" customWidth="1"/>
    <col min="10244" max="10245" width="9.81640625" style="1" customWidth="1"/>
    <col min="10246" max="10246" width="11.1796875" style="1" customWidth="1"/>
    <col min="10247" max="10247" width="2.81640625" style="1" customWidth="1"/>
    <col min="10248" max="10248" width="3.54296875" style="1" customWidth="1"/>
    <col min="10249" max="10493" width="9.1796875" style="1"/>
    <col min="10494" max="10494" width="8.7265625" style="1" customWidth="1"/>
    <col min="10495" max="10495" width="9.81640625" style="1" customWidth="1"/>
    <col min="10496" max="10496" width="14.453125" style="1" customWidth="1"/>
    <col min="10497" max="10497" width="7.26953125" style="1" customWidth="1"/>
    <col min="10498" max="10498" width="5.54296875" style="1" customWidth="1"/>
    <col min="10499" max="10499" width="9" style="1" customWidth="1"/>
    <col min="10500" max="10501" width="9.81640625" style="1" customWidth="1"/>
    <col min="10502" max="10502" width="11.1796875" style="1" customWidth="1"/>
    <col min="10503" max="10503" width="2.81640625" style="1" customWidth="1"/>
    <col min="10504" max="10504" width="3.54296875" style="1" customWidth="1"/>
    <col min="10505" max="10749" width="9.1796875" style="1"/>
    <col min="10750" max="10750" width="8.7265625" style="1" customWidth="1"/>
    <col min="10751" max="10751" width="9.81640625" style="1" customWidth="1"/>
    <col min="10752" max="10752" width="14.453125" style="1" customWidth="1"/>
    <col min="10753" max="10753" width="7.26953125" style="1" customWidth="1"/>
    <col min="10754" max="10754" width="5.54296875" style="1" customWidth="1"/>
    <col min="10755" max="10755" width="9" style="1" customWidth="1"/>
    <col min="10756" max="10757" width="9.81640625" style="1" customWidth="1"/>
    <col min="10758" max="10758" width="11.1796875" style="1" customWidth="1"/>
    <col min="10759" max="10759" width="2.81640625" style="1" customWidth="1"/>
    <col min="10760" max="10760" width="3.54296875" style="1" customWidth="1"/>
    <col min="10761" max="11005" width="9.1796875" style="1"/>
    <col min="11006" max="11006" width="8.7265625" style="1" customWidth="1"/>
    <col min="11007" max="11007" width="9.81640625" style="1" customWidth="1"/>
    <col min="11008" max="11008" width="14.453125" style="1" customWidth="1"/>
    <col min="11009" max="11009" width="7.26953125" style="1" customWidth="1"/>
    <col min="11010" max="11010" width="5.54296875" style="1" customWidth="1"/>
    <col min="11011" max="11011" width="9" style="1" customWidth="1"/>
    <col min="11012" max="11013" width="9.81640625" style="1" customWidth="1"/>
    <col min="11014" max="11014" width="11.1796875" style="1" customWidth="1"/>
    <col min="11015" max="11015" width="2.81640625" style="1" customWidth="1"/>
    <col min="11016" max="11016" width="3.54296875" style="1" customWidth="1"/>
    <col min="11017" max="11261" width="9.1796875" style="1"/>
    <col min="11262" max="11262" width="8.7265625" style="1" customWidth="1"/>
    <col min="11263" max="11263" width="9.81640625" style="1" customWidth="1"/>
    <col min="11264" max="11264" width="14.453125" style="1" customWidth="1"/>
    <col min="11265" max="11265" width="7.26953125" style="1" customWidth="1"/>
    <col min="11266" max="11266" width="5.54296875" style="1" customWidth="1"/>
    <col min="11267" max="11267" width="9" style="1" customWidth="1"/>
    <col min="11268" max="11269" width="9.81640625" style="1" customWidth="1"/>
    <col min="11270" max="11270" width="11.1796875" style="1" customWidth="1"/>
    <col min="11271" max="11271" width="2.81640625" style="1" customWidth="1"/>
    <col min="11272" max="11272" width="3.54296875" style="1" customWidth="1"/>
    <col min="11273" max="11517" width="9.1796875" style="1"/>
    <col min="11518" max="11518" width="8.7265625" style="1" customWidth="1"/>
    <col min="11519" max="11519" width="9.81640625" style="1" customWidth="1"/>
    <col min="11520" max="11520" width="14.453125" style="1" customWidth="1"/>
    <col min="11521" max="11521" width="7.26953125" style="1" customWidth="1"/>
    <col min="11522" max="11522" width="5.54296875" style="1" customWidth="1"/>
    <col min="11523" max="11523" width="9" style="1" customWidth="1"/>
    <col min="11524" max="11525" width="9.81640625" style="1" customWidth="1"/>
    <col min="11526" max="11526" width="11.1796875" style="1" customWidth="1"/>
    <col min="11527" max="11527" width="2.81640625" style="1" customWidth="1"/>
    <col min="11528" max="11528" width="3.54296875" style="1" customWidth="1"/>
    <col min="11529" max="11773" width="9.1796875" style="1"/>
    <col min="11774" max="11774" width="8.7265625" style="1" customWidth="1"/>
    <col min="11775" max="11775" width="9.81640625" style="1" customWidth="1"/>
    <col min="11776" max="11776" width="14.453125" style="1" customWidth="1"/>
    <col min="11777" max="11777" width="7.26953125" style="1" customWidth="1"/>
    <col min="11778" max="11778" width="5.54296875" style="1" customWidth="1"/>
    <col min="11779" max="11779" width="9" style="1" customWidth="1"/>
    <col min="11780" max="11781" width="9.81640625" style="1" customWidth="1"/>
    <col min="11782" max="11782" width="11.1796875" style="1" customWidth="1"/>
    <col min="11783" max="11783" width="2.81640625" style="1" customWidth="1"/>
    <col min="11784" max="11784" width="3.54296875" style="1" customWidth="1"/>
    <col min="11785" max="12029" width="9.1796875" style="1"/>
    <col min="12030" max="12030" width="8.7265625" style="1" customWidth="1"/>
    <col min="12031" max="12031" width="9.81640625" style="1" customWidth="1"/>
    <col min="12032" max="12032" width="14.453125" style="1" customWidth="1"/>
    <col min="12033" max="12033" width="7.26953125" style="1" customWidth="1"/>
    <col min="12034" max="12034" width="5.54296875" style="1" customWidth="1"/>
    <col min="12035" max="12035" width="9" style="1" customWidth="1"/>
    <col min="12036" max="12037" width="9.81640625" style="1" customWidth="1"/>
    <col min="12038" max="12038" width="11.1796875" style="1" customWidth="1"/>
    <col min="12039" max="12039" width="2.81640625" style="1" customWidth="1"/>
    <col min="12040" max="12040" width="3.54296875" style="1" customWidth="1"/>
    <col min="12041" max="12285" width="9.1796875" style="1"/>
    <col min="12286" max="12286" width="8.7265625" style="1" customWidth="1"/>
    <col min="12287" max="12287" width="9.81640625" style="1" customWidth="1"/>
    <col min="12288" max="12288" width="14.453125" style="1" customWidth="1"/>
    <col min="12289" max="12289" width="7.26953125" style="1" customWidth="1"/>
    <col min="12290" max="12290" width="5.54296875" style="1" customWidth="1"/>
    <col min="12291" max="12291" width="9" style="1" customWidth="1"/>
    <col min="12292" max="12293" width="9.81640625" style="1" customWidth="1"/>
    <col min="12294" max="12294" width="11.1796875" style="1" customWidth="1"/>
    <col min="12295" max="12295" width="2.81640625" style="1" customWidth="1"/>
    <col min="12296" max="12296" width="3.54296875" style="1" customWidth="1"/>
    <col min="12297" max="12541" width="9.1796875" style="1"/>
    <col min="12542" max="12542" width="8.7265625" style="1" customWidth="1"/>
    <col min="12543" max="12543" width="9.81640625" style="1" customWidth="1"/>
    <col min="12544" max="12544" width="14.453125" style="1" customWidth="1"/>
    <col min="12545" max="12545" width="7.26953125" style="1" customWidth="1"/>
    <col min="12546" max="12546" width="5.54296875" style="1" customWidth="1"/>
    <col min="12547" max="12547" width="9" style="1" customWidth="1"/>
    <col min="12548" max="12549" width="9.81640625" style="1" customWidth="1"/>
    <col min="12550" max="12550" width="11.1796875" style="1" customWidth="1"/>
    <col min="12551" max="12551" width="2.81640625" style="1" customWidth="1"/>
    <col min="12552" max="12552" width="3.54296875" style="1" customWidth="1"/>
    <col min="12553" max="12797" width="9.1796875" style="1"/>
    <col min="12798" max="12798" width="8.7265625" style="1" customWidth="1"/>
    <col min="12799" max="12799" width="9.81640625" style="1" customWidth="1"/>
    <col min="12800" max="12800" width="14.453125" style="1" customWidth="1"/>
    <col min="12801" max="12801" width="7.26953125" style="1" customWidth="1"/>
    <col min="12802" max="12802" width="5.54296875" style="1" customWidth="1"/>
    <col min="12803" max="12803" width="9" style="1" customWidth="1"/>
    <col min="12804" max="12805" width="9.81640625" style="1" customWidth="1"/>
    <col min="12806" max="12806" width="11.1796875" style="1" customWidth="1"/>
    <col min="12807" max="12807" width="2.81640625" style="1" customWidth="1"/>
    <col min="12808" max="12808" width="3.54296875" style="1" customWidth="1"/>
    <col min="12809" max="13053" width="9.1796875" style="1"/>
    <col min="13054" max="13054" width="8.7265625" style="1" customWidth="1"/>
    <col min="13055" max="13055" width="9.81640625" style="1" customWidth="1"/>
    <col min="13056" max="13056" width="14.453125" style="1" customWidth="1"/>
    <col min="13057" max="13057" width="7.26953125" style="1" customWidth="1"/>
    <col min="13058" max="13058" width="5.54296875" style="1" customWidth="1"/>
    <col min="13059" max="13059" width="9" style="1" customWidth="1"/>
    <col min="13060" max="13061" width="9.81640625" style="1" customWidth="1"/>
    <col min="13062" max="13062" width="11.1796875" style="1" customWidth="1"/>
    <col min="13063" max="13063" width="2.81640625" style="1" customWidth="1"/>
    <col min="13064" max="13064" width="3.54296875" style="1" customWidth="1"/>
    <col min="13065" max="13309" width="9.1796875" style="1"/>
    <col min="13310" max="13310" width="8.7265625" style="1" customWidth="1"/>
    <col min="13311" max="13311" width="9.81640625" style="1" customWidth="1"/>
    <col min="13312" max="13312" width="14.453125" style="1" customWidth="1"/>
    <col min="13313" max="13313" width="7.26953125" style="1" customWidth="1"/>
    <col min="13314" max="13314" width="5.54296875" style="1" customWidth="1"/>
    <col min="13315" max="13315" width="9" style="1" customWidth="1"/>
    <col min="13316" max="13317" width="9.81640625" style="1" customWidth="1"/>
    <col min="13318" max="13318" width="11.1796875" style="1" customWidth="1"/>
    <col min="13319" max="13319" width="2.81640625" style="1" customWidth="1"/>
    <col min="13320" max="13320" width="3.54296875" style="1" customWidth="1"/>
    <col min="13321" max="13565" width="9.1796875" style="1"/>
    <col min="13566" max="13566" width="8.7265625" style="1" customWidth="1"/>
    <col min="13567" max="13567" width="9.81640625" style="1" customWidth="1"/>
    <col min="13568" max="13568" width="14.453125" style="1" customWidth="1"/>
    <col min="13569" max="13569" width="7.26953125" style="1" customWidth="1"/>
    <col min="13570" max="13570" width="5.54296875" style="1" customWidth="1"/>
    <col min="13571" max="13571" width="9" style="1" customWidth="1"/>
    <col min="13572" max="13573" width="9.81640625" style="1" customWidth="1"/>
    <col min="13574" max="13574" width="11.1796875" style="1" customWidth="1"/>
    <col min="13575" max="13575" width="2.81640625" style="1" customWidth="1"/>
    <col min="13576" max="13576" width="3.54296875" style="1" customWidth="1"/>
    <col min="13577" max="13821" width="9.1796875" style="1"/>
    <col min="13822" max="13822" width="8.7265625" style="1" customWidth="1"/>
    <col min="13823" max="13823" width="9.81640625" style="1" customWidth="1"/>
    <col min="13824" max="13824" width="14.453125" style="1" customWidth="1"/>
    <col min="13825" max="13825" width="7.26953125" style="1" customWidth="1"/>
    <col min="13826" max="13826" width="5.54296875" style="1" customWidth="1"/>
    <col min="13827" max="13827" width="9" style="1" customWidth="1"/>
    <col min="13828" max="13829" width="9.81640625" style="1" customWidth="1"/>
    <col min="13830" max="13830" width="11.1796875" style="1" customWidth="1"/>
    <col min="13831" max="13831" width="2.81640625" style="1" customWidth="1"/>
    <col min="13832" max="13832" width="3.54296875" style="1" customWidth="1"/>
    <col min="13833" max="14077" width="9.1796875" style="1"/>
    <col min="14078" max="14078" width="8.7265625" style="1" customWidth="1"/>
    <col min="14079" max="14079" width="9.81640625" style="1" customWidth="1"/>
    <col min="14080" max="14080" width="14.453125" style="1" customWidth="1"/>
    <col min="14081" max="14081" width="7.26953125" style="1" customWidth="1"/>
    <col min="14082" max="14082" width="5.54296875" style="1" customWidth="1"/>
    <col min="14083" max="14083" width="9" style="1" customWidth="1"/>
    <col min="14084" max="14085" width="9.81640625" style="1" customWidth="1"/>
    <col min="14086" max="14086" width="11.1796875" style="1" customWidth="1"/>
    <col min="14087" max="14087" width="2.81640625" style="1" customWidth="1"/>
    <col min="14088" max="14088" width="3.54296875" style="1" customWidth="1"/>
    <col min="14089" max="14333" width="9.1796875" style="1"/>
    <col min="14334" max="14334" width="8.7265625" style="1" customWidth="1"/>
    <col min="14335" max="14335" width="9.81640625" style="1" customWidth="1"/>
    <col min="14336" max="14336" width="14.453125" style="1" customWidth="1"/>
    <col min="14337" max="14337" width="7.26953125" style="1" customWidth="1"/>
    <col min="14338" max="14338" width="5.54296875" style="1" customWidth="1"/>
    <col min="14339" max="14339" width="9" style="1" customWidth="1"/>
    <col min="14340" max="14341" width="9.81640625" style="1" customWidth="1"/>
    <col min="14342" max="14342" width="11.1796875" style="1" customWidth="1"/>
    <col min="14343" max="14343" width="2.81640625" style="1" customWidth="1"/>
    <col min="14344" max="14344" width="3.54296875" style="1" customWidth="1"/>
    <col min="14345" max="14589" width="9.1796875" style="1"/>
    <col min="14590" max="14590" width="8.7265625" style="1" customWidth="1"/>
    <col min="14591" max="14591" width="9.81640625" style="1" customWidth="1"/>
    <col min="14592" max="14592" width="14.453125" style="1" customWidth="1"/>
    <col min="14593" max="14593" width="7.26953125" style="1" customWidth="1"/>
    <col min="14594" max="14594" width="5.54296875" style="1" customWidth="1"/>
    <col min="14595" max="14595" width="9" style="1" customWidth="1"/>
    <col min="14596" max="14597" width="9.81640625" style="1" customWidth="1"/>
    <col min="14598" max="14598" width="11.1796875" style="1" customWidth="1"/>
    <col min="14599" max="14599" width="2.81640625" style="1" customWidth="1"/>
    <col min="14600" max="14600" width="3.54296875" style="1" customWidth="1"/>
    <col min="14601" max="14845" width="9.1796875" style="1"/>
    <col min="14846" max="14846" width="8.7265625" style="1" customWidth="1"/>
    <col min="14847" max="14847" width="9.81640625" style="1" customWidth="1"/>
    <col min="14848" max="14848" width="14.453125" style="1" customWidth="1"/>
    <col min="14849" max="14849" width="7.26953125" style="1" customWidth="1"/>
    <col min="14850" max="14850" width="5.54296875" style="1" customWidth="1"/>
    <col min="14851" max="14851" width="9" style="1" customWidth="1"/>
    <col min="14852" max="14853" width="9.81640625" style="1" customWidth="1"/>
    <col min="14854" max="14854" width="11.1796875" style="1" customWidth="1"/>
    <col min="14855" max="14855" width="2.81640625" style="1" customWidth="1"/>
    <col min="14856" max="14856" width="3.54296875" style="1" customWidth="1"/>
    <col min="14857" max="15101" width="9.1796875" style="1"/>
    <col min="15102" max="15102" width="8.7265625" style="1" customWidth="1"/>
    <col min="15103" max="15103" width="9.81640625" style="1" customWidth="1"/>
    <col min="15104" max="15104" width="14.453125" style="1" customWidth="1"/>
    <col min="15105" max="15105" width="7.26953125" style="1" customWidth="1"/>
    <col min="15106" max="15106" width="5.54296875" style="1" customWidth="1"/>
    <col min="15107" max="15107" width="9" style="1" customWidth="1"/>
    <col min="15108" max="15109" width="9.81640625" style="1" customWidth="1"/>
    <col min="15110" max="15110" width="11.1796875" style="1" customWidth="1"/>
    <col min="15111" max="15111" width="2.81640625" style="1" customWidth="1"/>
    <col min="15112" max="15112" width="3.54296875" style="1" customWidth="1"/>
    <col min="15113" max="15357" width="9.1796875" style="1"/>
    <col min="15358" max="15358" width="8.7265625" style="1" customWidth="1"/>
    <col min="15359" max="15359" width="9.81640625" style="1" customWidth="1"/>
    <col min="15360" max="15360" width="14.453125" style="1" customWidth="1"/>
    <col min="15361" max="15361" width="7.26953125" style="1" customWidth="1"/>
    <col min="15362" max="15362" width="5.54296875" style="1" customWidth="1"/>
    <col min="15363" max="15363" width="9" style="1" customWidth="1"/>
    <col min="15364" max="15365" width="9.81640625" style="1" customWidth="1"/>
    <col min="15366" max="15366" width="11.1796875" style="1" customWidth="1"/>
    <col min="15367" max="15367" width="2.81640625" style="1" customWidth="1"/>
    <col min="15368" max="15368" width="3.54296875" style="1" customWidth="1"/>
    <col min="15369" max="15613" width="9.1796875" style="1"/>
    <col min="15614" max="15614" width="8.7265625" style="1" customWidth="1"/>
    <col min="15615" max="15615" width="9.81640625" style="1" customWidth="1"/>
    <col min="15616" max="15616" width="14.453125" style="1" customWidth="1"/>
    <col min="15617" max="15617" width="7.26953125" style="1" customWidth="1"/>
    <col min="15618" max="15618" width="5.54296875" style="1" customWidth="1"/>
    <col min="15619" max="15619" width="9" style="1" customWidth="1"/>
    <col min="15620" max="15621" width="9.81640625" style="1" customWidth="1"/>
    <col min="15622" max="15622" width="11.1796875" style="1" customWidth="1"/>
    <col min="15623" max="15623" width="2.81640625" style="1" customWidth="1"/>
    <col min="15624" max="15624" width="3.54296875" style="1" customWidth="1"/>
    <col min="15625" max="15869" width="9.1796875" style="1"/>
    <col min="15870" max="15870" width="8.7265625" style="1" customWidth="1"/>
    <col min="15871" max="15871" width="9.81640625" style="1" customWidth="1"/>
    <col min="15872" max="15872" width="14.453125" style="1" customWidth="1"/>
    <col min="15873" max="15873" width="7.26953125" style="1" customWidth="1"/>
    <col min="15874" max="15874" width="5.54296875" style="1" customWidth="1"/>
    <col min="15875" max="15875" width="9" style="1" customWidth="1"/>
    <col min="15876" max="15877" width="9.81640625" style="1" customWidth="1"/>
    <col min="15878" max="15878" width="11.1796875" style="1" customWidth="1"/>
    <col min="15879" max="15879" width="2.81640625" style="1" customWidth="1"/>
    <col min="15880" max="15880" width="3.54296875" style="1" customWidth="1"/>
    <col min="15881" max="16125" width="9.1796875" style="1"/>
    <col min="16126" max="16126" width="8.7265625" style="1" customWidth="1"/>
    <col min="16127" max="16127" width="9.81640625" style="1" customWidth="1"/>
    <col min="16128" max="16128" width="14.453125" style="1" customWidth="1"/>
    <col min="16129" max="16129" width="7.26953125" style="1" customWidth="1"/>
    <col min="16130" max="16130" width="5.54296875" style="1" customWidth="1"/>
    <col min="16131" max="16131" width="9" style="1" customWidth="1"/>
    <col min="16132" max="16133" width="9.81640625" style="1" customWidth="1"/>
    <col min="16134" max="16134" width="11.1796875" style="1" customWidth="1"/>
    <col min="16135" max="16135" width="2.81640625" style="1" customWidth="1"/>
    <col min="16136" max="16136" width="3.54296875" style="1" customWidth="1"/>
    <col min="16137" max="16384" width="9.1796875" style="1"/>
  </cols>
  <sheetData>
    <row r="1" spans="1:10" ht="43.9" customHeight="1" x14ac:dyDescent="0.3">
      <c r="A1" s="220" t="s">
        <v>254</v>
      </c>
      <c r="B1" s="221"/>
      <c r="C1" s="221"/>
      <c r="D1" s="221"/>
      <c r="E1" s="221"/>
      <c r="F1" s="221"/>
      <c r="G1" s="221"/>
      <c r="H1" s="221"/>
      <c r="I1" s="221"/>
      <c r="J1" s="222"/>
    </row>
    <row r="2" spans="1:10" x14ac:dyDescent="0.3">
      <c r="A2" s="223" t="s">
        <v>0</v>
      </c>
      <c r="B2" s="224"/>
      <c r="C2" s="224"/>
      <c r="D2" s="224"/>
      <c r="E2" s="224"/>
      <c r="F2" s="224"/>
      <c r="G2" s="224"/>
      <c r="H2" s="224"/>
      <c r="I2" s="224"/>
      <c r="J2" s="225"/>
    </row>
    <row r="3" spans="1:10" x14ac:dyDescent="0.3">
      <c r="A3" s="135" t="s">
        <v>1</v>
      </c>
      <c r="B3" s="136"/>
      <c r="C3" s="136"/>
      <c r="D3" s="136"/>
      <c r="E3" s="137"/>
      <c r="F3" s="226" t="str">
        <f ca="1">TEXT(TODAY(),"DD/MM/YYYY")</f>
        <v>07/08/2025</v>
      </c>
      <c r="G3" s="227"/>
      <c r="H3" s="227"/>
      <c r="I3" s="227"/>
      <c r="J3" s="228"/>
    </row>
    <row r="4" spans="1:10" ht="15" customHeight="1" x14ac:dyDescent="0.3">
      <c r="A4" s="135" t="s">
        <v>2</v>
      </c>
      <c r="B4" s="136"/>
      <c r="C4" s="136"/>
      <c r="D4" s="136"/>
      <c r="E4" s="137"/>
      <c r="F4" s="204" t="s">
        <v>151</v>
      </c>
      <c r="G4" s="205"/>
      <c r="H4" s="205"/>
      <c r="I4" s="205"/>
      <c r="J4" s="2"/>
    </row>
    <row r="5" spans="1:10" x14ac:dyDescent="0.3">
      <c r="A5" s="135" t="s">
        <v>3</v>
      </c>
      <c r="B5" s="136"/>
      <c r="C5" s="136"/>
      <c r="D5" s="136"/>
      <c r="E5" s="137"/>
      <c r="F5" s="226">
        <v>45876</v>
      </c>
      <c r="G5" s="227"/>
      <c r="H5" s="227"/>
      <c r="I5" s="227"/>
      <c r="J5" s="228"/>
    </row>
    <row r="6" spans="1:10" ht="16.5" customHeight="1" x14ac:dyDescent="0.3">
      <c r="A6" s="135" t="s">
        <v>4</v>
      </c>
      <c r="B6" s="136"/>
      <c r="C6" s="136"/>
      <c r="D6" s="136"/>
      <c r="E6" s="137"/>
      <c r="F6" s="110" t="s">
        <v>189</v>
      </c>
      <c r="G6" s="111"/>
      <c r="H6" s="111"/>
      <c r="I6" s="111"/>
      <c r="J6" s="112"/>
    </row>
    <row r="7" spans="1:10" ht="15" customHeight="1" x14ac:dyDescent="0.3">
      <c r="A7" s="135" t="s">
        <v>5</v>
      </c>
      <c r="B7" s="136"/>
      <c r="C7" s="136"/>
      <c r="D7" s="136"/>
      <c r="E7" s="137"/>
      <c r="F7" s="110" t="str">
        <f>F6</f>
        <v>M/s.Emperia Realty</v>
      </c>
      <c r="G7" s="111"/>
      <c r="H7" s="111"/>
      <c r="I7" s="111"/>
      <c r="J7" s="112"/>
    </row>
    <row r="8" spans="1:10" x14ac:dyDescent="0.3">
      <c r="A8" s="135" t="s">
        <v>6</v>
      </c>
      <c r="B8" s="136"/>
      <c r="C8" s="136"/>
      <c r="D8" s="136"/>
      <c r="E8" s="137"/>
      <c r="F8" s="171" t="s">
        <v>190</v>
      </c>
      <c r="G8" s="172"/>
      <c r="H8" s="172"/>
      <c r="I8" s="172"/>
      <c r="J8" s="173"/>
    </row>
    <row r="9" spans="1:10" x14ac:dyDescent="0.3">
      <c r="A9" s="135" t="s">
        <v>7</v>
      </c>
      <c r="B9" s="136"/>
      <c r="C9" s="136"/>
      <c r="D9" s="136"/>
      <c r="E9" s="137"/>
      <c r="F9" s="135">
        <v>2227666003</v>
      </c>
      <c r="G9" s="136"/>
      <c r="H9" s="136"/>
      <c r="I9" s="136"/>
      <c r="J9" s="137"/>
    </row>
    <row r="10" spans="1:10" x14ac:dyDescent="0.3">
      <c r="A10" s="135" t="s">
        <v>8</v>
      </c>
      <c r="B10" s="136"/>
      <c r="C10" s="136"/>
      <c r="D10" s="136"/>
      <c r="E10" s="137"/>
      <c r="F10" s="186" t="s">
        <v>195</v>
      </c>
      <c r="G10" s="175"/>
      <c r="H10" s="175"/>
      <c r="I10" s="175"/>
      <c r="J10" s="195"/>
    </row>
    <row r="11" spans="1:10" x14ac:dyDescent="0.3">
      <c r="A11" s="135" t="s">
        <v>9</v>
      </c>
      <c r="B11" s="136"/>
      <c r="C11" s="136"/>
      <c r="D11" s="136"/>
      <c r="E11" s="137"/>
      <c r="F11" s="186" t="s">
        <v>10</v>
      </c>
      <c r="G11" s="187"/>
      <c r="H11" s="187"/>
      <c r="I11" s="187"/>
      <c r="J11" s="188"/>
    </row>
    <row r="12" spans="1:10" x14ac:dyDescent="0.3">
      <c r="A12" s="135" t="s">
        <v>11</v>
      </c>
      <c r="B12" s="136"/>
      <c r="C12" s="136"/>
      <c r="D12" s="136"/>
      <c r="E12" s="137"/>
      <c r="F12" s="110" t="s">
        <v>152</v>
      </c>
      <c r="G12" s="136"/>
      <c r="H12" s="136"/>
      <c r="I12" s="136"/>
      <c r="J12" s="137"/>
    </row>
    <row r="13" spans="1:10" ht="31.5" customHeight="1" x14ac:dyDescent="0.3">
      <c r="A13" s="209" t="s">
        <v>12</v>
      </c>
      <c r="B13" s="209"/>
      <c r="C13" s="110" t="str">
        <f>CONCATENATE((IF(OR(F8="",F8="NA"),"",F8)),", ",(IF(OR(A14="",A14="NA"),"",A14)),".",(IF(OR(C14="",C14="NA"),"",C14)),", ",(IF(OR(B15="",B15="NA"),"",B15)),", ",(IF(OR(I14="",I14="NA"),"",I14)),", ",(IF(OR(B16="",B16="NA"),"",B16)),", ",(IF(OR(G15="",G15="NA"),"",G15)),".")</f>
        <v>Akshar Rivergate Plot E, Sr.No.100/1/2 (Plot-E) of GUT No.100/1, 101, 104 &amp; 110/2B, Savroli - Kharpada Road, Chavane, Panvel, Raigad.</v>
      </c>
      <c r="D13" s="111"/>
      <c r="E13" s="111"/>
      <c r="F13" s="111"/>
      <c r="G13" s="111"/>
      <c r="H13" s="111"/>
      <c r="I13" s="111"/>
      <c r="J13" s="112"/>
    </row>
    <row r="14" spans="1:10" ht="15" customHeight="1" x14ac:dyDescent="0.3">
      <c r="A14" s="110" t="s">
        <v>191</v>
      </c>
      <c r="B14" s="112"/>
      <c r="C14" s="110" t="s">
        <v>192</v>
      </c>
      <c r="D14" s="111"/>
      <c r="E14" s="111"/>
      <c r="F14" s="111"/>
      <c r="G14" s="112"/>
      <c r="H14" s="3" t="s">
        <v>13</v>
      </c>
      <c r="I14" s="229" t="s">
        <v>153</v>
      </c>
      <c r="J14" s="230"/>
    </row>
    <row r="15" spans="1:10" x14ac:dyDescent="0.3">
      <c r="A15" s="4" t="s">
        <v>14</v>
      </c>
      <c r="B15" s="135" t="s">
        <v>156</v>
      </c>
      <c r="C15" s="136"/>
      <c r="D15" s="136"/>
      <c r="E15" s="137"/>
      <c r="F15" s="5" t="s">
        <v>15</v>
      </c>
      <c r="G15" s="135" t="s">
        <v>154</v>
      </c>
      <c r="H15" s="136"/>
      <c r="I15" s="136"/>
      <c r="J15" s="137"/>
    </row>
    <row r="16" spans="1:10" x14ac:dyDescent="0.3">
      <c r="A16" s="4" t="s">
        <v>16</v>
      </c>
      <c r="B16" s="135" t="s">
        <v>155</v>
      </c>
      <c r="C16" s="136"/>
      <c r="D16" s="136"/>
      <c r="E16" s="137"/>
      <c r="F16" s="5" t="s">
        <v>17</v>
      </c>
      <c r="G16" s="135">
        <v>410206</v>
      </c>
      <c r="H16" s="136"/>
      <c r="I16" s="136"/>
      <c r="J16" s="137"/>
    </row>
    <row r="17" spans="1:10" ht="32.25" customHeight="1" x14ac:dyDescent="0.3">
      <c r="A17" s="176" t="s">
        <v>18</v>
      </c>
      <c r="B17" s="176"/>
      <c r="C17" s="208" t="s">
        <v>157</v>
      </c>
      <c r="D17" s="208"/>
      <c r="E17" s="208"/>
      <c r="F17" s="209" t="s">
        <v>19</v>
      </c>
      <c r="G17" s="209"/>
      <c r="H17" s="187" t="s">
        <v>159</v>
      </c>
      <c r="I17" s="187"/>
      <c r="J17" s="188"/>
    </row>
    <row r="18" spans="1:10" ht="15" customHeight="1" x14ac:dyDescent="0.3">
      <c r="A18" s="210" t="s">
        <v>20</v>
      </c>
      <c r="B18" s="211"/>
      <c r="C18" s="211"/>
      <c r="D18" s="211"/>
      <c r="E18" s="212"/>
      <c r="F18" s="214" t="s">
        <v>21</v>
      </c>
      <c r="G18" s="215"/>
      <c r="H18" s="215"/>
      <c r="I18" s="215"/>
      <c r="J18" s="216"/>
    </row>
    <row r="19" spans="1:10" x14ac:dyDescent="0.3">
      <c r="A19" s="201"/>
      <c r="B19" s="202"/>
      <c r="C19" s="202"/>
      <c r="D19" s="202"/>
      <c r="E19" s="213"/>
      <c r="F19" s="217"/>
      <c r="G19" s="218"/>
      <c r="H19" s="218"/>
      <c r="I19" s="218"/>
      <c r="J19" s="219"/>
    </row>
    <row r="20" spans="1:10" ht="15" customHeight="1" x14ac:dyDescent="0.3">
      <c r="A20" s="210" t="s">
        <v>22</v>
      </c>
      <c r="B20" s="211"/>
      <c r="C20" s="211"/>
      <c r="D20" s="211"/>
      <c r="E20" s="212"/>
      <c r="F20" s="210" t="s">
        <v>23</v>
      </c>
      <c r="G20" s="211"/>
      <c r="H20" s="211"/>
      <c r="I20" s="211"/>
      <c r="J20" s="212"/>
    </row>
    <row r="21" spans="1:10" ht="15" customHeight="1" x14ac:dyDescent="0.3">
      <c r="A21" s="135" t="s">
        <v>24</v>
      </c>
      <c r="B21" s="136"/>
      <c r="C21" s="136"/>
      <c r="D21" s="136"/>
      <c r="E21" s="137"/>
      <c r="F21" s="204" t="s">
        <v>25</v>
      </c>
      <c r="G21" s="205"/>
      <c r="H21" s="205"/>
      <c r="I21" s="205"/>
      <c r="J21" s="6"/>
    </row>
    <row r="22" spans="1:10" x14ac:dyDescent="0.3">
      <c r="A22" s="135" t="s">
        <v>26</v>
      </c>
      <c r="B22" s="136"/>
      <c r="C22" s="136"/>
      <c r="D22" s="136"/>
      <c r="E22" s="137"/>
      <c r="F22" s="132" t="s">
        <v>27</v>
      </c>
      <c r="G22" s="133"/>
      <c r="H22" s="133"/>
      <c r="I22" s="133"/>
      <c r="J22" s="134"/>
    </row>
    <row r="23" spans="1:10" ht="15" customHeight="1" x14ac:dyDescent="0.3">
      <c r="A23" s="135" t="s">
        <v>28</v>
      </c>
      <c r="B23" s="136"/>
      <c r="C23" s="136"/>
      <c r="D23" s="136"/>
      <c r="E23" s="137"/>
      <c r="F23" s="204" t="s">
        <v>29</v>
      </c>
      <c r="G23" s="205"/>
      <c r="H23" s="205"/>
      <c r="I23" s="205"/>
      <c r="J23" s="6"/>
    </row>
    <row r="24" spans="1:10" x14ac:dyDescent="0.3">
      <c r="A24" s="135" t="s">
        <v>30</v>
      </c>
      <c r="B24" s="136"/>
      <c r="C24" s="136"/>
      <c r="D24" s="136"/>
      <c r="E24" s="137"/>
      <c r="F24" s="132" t="s">
        <v>31</v>
      </c>
      <c r="G24" s="133"/>
      <c r="H24" s="133"/>
      <c r="I24" s="133"/>
      <c r="J24" s="134"/>
    </row>
    <row r="25" spans="1:10" x14ac:dyDescent="0.3">
      <c r="A25" s="206" t="s">
        <v>32</v>
      </c>
      <c r="B25" s="207"/>
      <c r="C25" s="206" t="s">
        <v>33</v>
      </c>
      <c r="D25" s="207"/>
      <c r="E25" s="206" t="s">
        <v>34</v>
      </c>
      <c r="F25" s="207"/>
      <c r="G25" s="206" t="s">
        <v>35</v>
      </c>
      <c r="H25" s="207"/>
      <c r="I25" s="206" t="s">
        <v>36</v>
      </c>
      <c r="J25" s="207"/>
    </row>
    <row r="26" spans="1:10" x14ac:dyDescent="0.3">
      <c r="A26" s="182" t="s">
        <v>37</v>
      </c>
      <c r="B26" s="183"/>
      <c r="C26" s="182" t="s">
        <v>38</v>
      </c>
      <c r="D26" s="183"/>
      <c r="E26" s="182" t="s">
        <v>38</v>
      </c>
      <c r="F26" s="183"/>
      <c r="G26" s="182" t="s">
        <v>38</v>
      </c>
      <c r="H26" s="183"/>
      <c r="I26" s="182" t="s">
        <v>38</v>
      </c>
      <c r="J26" s="183"/>
    </row>
    <row r="27" spans="1:10" x14ac:dyDescent="0.3">
      <c r="A27" s="182" t="s">
        <v>39</v>
      </c>
      <c r="B27" s="183"/>
      <c r="C27" s="182" t="s">
        <v>158</v>
      </c>
      <c r="D27" s="183"/>
      <c r="E27" s="182" t="s">
        <v>14</v>
      </c>
      <c r="F27" s="183"/>
      <c r="G27" s="182" t="s">
        <v>14</v>
      </c>
      <c r="H27" s="183"/>
      <c r="I27" s="182" t="s">
        <v>158</v>
      </c>
      <c r="J27" s="183"/>
    </row>
    <row r="28" spans="1:10" x14ac:dyDescent="0.3">
      <c r="A28" s="135" t="s">
        <v>40</v>
      </c>
      <c r="B28" s="136"/>
      <c r="C28" s="136"/>
      <c r="D28" s="136"/>
      <c r="E28" s="136"/>
      <c r="F28" s="136"/>
      <c r="G28" s="136"/>
      <c r="H28" s="136"/>
      <c r="I28" s="136"/>
      <c r="J28" s="137"/>
    </row>
    <row r="29" spans="1:10" x14ac:dyDescent="0.3">
      <c r="A29" s="135" t="s">
        <v>41</v>
      </c>
      <c r="B29" s="136"/>
      <c r="C29" s="136"/>
      <c r="D29" s="136"/>
      <c r="E29" s="136"/>
      <c r="F29" s="136"/>
      <c r="G29" s="136"/>
      <c r="H29" s="136"/>
      <c r="I29" s="136"/>
      <c r="J29" s="137"/>
    </row>
    <row r="30" spans="1:10" x14ac:dyDescent="0.3">
      <c r="A30" s="135" t="s">
        <v>42</v>
      </c>
      <c r="B30" s="137"/>
      <c r="C30" s="135" t="s">
        <v>252</v>
      </c>
      <c r="D30" s="136"/>
      <c r="E30" s="136"/>
      <c r="F30" s="136"/>
      <c r="G30" s="136"/>
      <c r="H30" s="136"/>
      <c r="I30" s="136"/>
      <c r="J30" s="137"/>
    </row>
    <row r="31" spans="1:10" ht="14.5" x14ac:dyDescent="0.3">
      <c r="A31" s="135" t="s">
        <v>251</v>
      </c>
      <c r="B31" s="137"/>
      <c r="C31" s="203" t="s">
        <v>250</v>
      </c>
      <c r="D31" s="136"/>
      <c r="E31" s="136"/>
      <c r="F31" s="136"/>
      <c r="G31" s="136"/>
      <c r="H31" s="136"/>
      <c r="I31" s="136"/>
      <c r="J31" s="137"/>
    </row>
    <row r="32" spans="1:10" x14ac:dyDescent="0.3">
      <c r="A32" s="171" t="s">
        <v>43</v>
      </c>
      <c r="B32" s="172"/>
      <c r="C32" s="172"/>
      <c r="D32" s="172"/>
      <c r="E32" s="172"/>
      <c r="F32" s="172"/>
      <c r="G32" s="172"/>
      <c r="H32" s="172"/>
      <c r="I32" s="172"/>
      <c r="J32" s="173"/>
    </row>
    <row r="33" spans="1:10" ht="15" customHeight="1" x14ac:dyDescent="0.3">
      <c r="A33" s="110" t="s">
        <v>44</v>
      </c>
      <c r="B33" s="111"/>
      <c r="C33" s="111"/>
      <c r="D33" s="111"/>
      <c r="E33" s="112"/>
      <c r="F33" s="199" t="s">
        <v>45</v>
      </c>
      <c r="G33" s="200"/>
      <c r="H33" s="200"/>
      <c r="I33" s="200"/>
      <c r="J33" s="7"/>
    </row>
    <row r="34" spans="1:10" ht="15" customHeight="1" x14ac:dyDescent="0.3">
      <c r="A34" s="201" t="s">
        <v>46</v>
      </c>
      <c r="B34" s="202"/>
      <c r="C34" s="202"/>
      <c r="D34" s="202"/>
      <c r="E34" s="202"/>
      <c r="F34" s="110" t="s">
        <v>47</v>
      </c>
      <c r="G34" s="111"/>
      <c r="H34" s="111"/>
      <c r="I34" s="111"/>
      <c r="J34" s="112"/>
    </row>
    <row r="35" spans="1:10" x14ac:dyDescent="0.3">
      <c r="A35" s="171" t="s">
        <v>48</v>
      </c>
      <c r="B35" s="172"/>
      <c r="C35" s="172"/>
      <c r="D35" s="172"/>
      <c r="E35" s="172"/>
      <c r="F35" s="172"/>
      <c r="G35" s="172"/>
      <c r="H35" s="172"/>
      <c r="I35" s="172"/>
      <c r="J35" s="173"/>
    </row>
    <row r="36" spans="1:10" x14ac:dyDescent="0.3">
      <c r="A36" s="135" t="s">
        <v>49</v>
      </c>
      <c r="B36" s="136"/>
      <c r="C36" s="136"/>
      <c r="D36" s="136"/>
      <c r="E36" s="137"/>
      <c r="F36" s="196">
        <v>7327</v>
      </c>
      <c r="G36" s="197"/>
      <c r="H36" s="197"/>
      <c r="I36" s="197"/>
      <c r="J36" s="198"/>
    </row>
    <row r="37" spans="1:10" x14ac:dyDescent="0.3">
      <c r="A37" s="135" t="s">
        <v>50</v>
      </c>
      <c r="B37" s="136"/>
      <c r="C37" s="136"/>
      <c r="D37" s="136"/>
      <c r="E37" s="137"/>
      <c r="F37" s="189">
        <v>1.3</v>
      </c>
      <c r="G37" s="190"/>
      <c r="H37" s="190"/>
      <c r="I37" s="190"/>
      <c r="J37" s="191"/>
    </row>
    <row r="38" spans="1:10" x14ac:dyDescent="0.3">
      <c r="A38" s="135" t="s">
        <v>51</v>
      </c>
      <c r="B38" s="136"/>
      <c r="C38" s="136"/>
      <c r="D38" s="136"/>
      <c r="E38" s="137"/>
      <c r="F38" s="189">
        <f>F40/F36-F37</f>
        <v>0.16697993721850679</v>
      </c>
      <c r="G38" s="190"/>
      <c r="H38" s="190"/>
      <c r="I38" s="190"/>
      <c r="J38" s="191"/>
    </row>
    <row r="39" spans="1:10" x14ac:dyDescent="0.3">
      <c r="A39" s="135" t="s">
        <v>52</v>
      </c>
      <c r="B39" s="136"/>
      <c r="C39" s="136"/>
      <c r="D39" s="136"/>
      <c r="E39" s="137"/>
      <c r="F39" s="189">
        <f>F37+F38</f>
        <v>1.4669799372185068</v>
      </c>
      <c r="G39" s="190"/>
      <c r="H39" s="190"/>
      <c r="I39" s="190"/>
      <c r="J39" s="191"/>
    </row>
    <row r="40" spans="1:10" x14ac:dyDescent="0.3">
      <c r="A40" s="135" t="s">
        <v>53</v>
      </c>
      <c r="B40" s="136"/>
      <c r="C40" s="136"/>
      <c r="D40" s="136"/>
      <c r="E40" s="137"/>
      <c r="F40" s="192">
        <v>10748.562</v>
      </c>
      <c r="G40" s="193"/>
      <c r="H40" s="193"/>
      <c r="I40" s="193"/>
      <c r="J40" s="194"/>
    </row>
    <row r="41" spans="1:10" x14ac:dyDescent="0.3">
      <c r="A41" s="135" t="s">
        <v>54</v>
      </c>
      <c r="B41" s="136"/>
      <c r="C41" s="136"/>
      <c r="D41" s="136"/>
      <c r="E41" s="137"/>
      <c r="F41" s="174" t="s">
        <v>178</v>
      </c>
      <c r="G41" s="175"/>
      <c r="H41" s="175"/>
      <c r="I41" s="175"/>
      <c r="J41" s="195"/>
    </row>
    <row r="42" spans="1:10" x14ac:dyDescent="0.3">
      <c r="A42" s="171" t="s">
        <v>55</v>
      </c>
      <c r="B42" s="172"/>
      <c r="C42" s="172"/>
      <c r="D42" s="172"/>
      <c r="E42" s="172"/>
      <c r="F42" s="172"/>
      <c r="G42" s="172"/>
      <c r="H42" s="172"/>
      <c r="I42" s="172"/>
      <c r="J42" s="173"/>
    </row>
    <row r="43" spans="1:10" x14ac:dyDescent="0.3">
      <c r="A43" s="110" t="s">
        <v>56</v>
      </c>
      <c r="B43" s="112"/>
      <c r="C43" s="153" t="s">
        <v>160</v>
      </c>
      <c r="D43" s="154"/>
      <c r="E43" s="154"/>
      <c r="F43" s="155"/>
      <c r="G43" s="8" t="s">
        <v>57</v>
      </c>
      <c r="H43" s="110" t="s">
        <v>161</v>
      </c>
      <c r="I43" s="111"/>
      <c r="J43" s="112"/>
    </row>
    <row r="44" spans="1:10" x14ac:dyDescent="0.3">
      <c r="A44" s="135" t="s">
        <v>58</v>
      </c>
      <c r="B44" s="137"/>
      <c r="C44" s="153" t="str">
        <f>C43</f>
        <v>BP/M.CHAVANE/T.PANVEL/S.N.101/24</v>
      </c>
      <c r="D44" s="154"/>
      <c r="E44" s="154"/>
      <c r="F44" s="155"/>
      <c r="G44" s="8" t="s">
        <v>57</v>
      </c>
      <c r="H44" s="110" t="str">
        <f>H43</f>
        <v>05/01/2019.</v>
      </c>
      <c r="I44" s="111"/>
      <c r="J44" s="112"/>
    </row>
    <row r="45" spans="1:10" ht="59.25" customHeight="1" x14ac:dyDescent="0.3">
      <c r="A45" s="110" t="s">
        <v>59</v>
      </c>
      <c r="B45" s="112"/>
      <c r="C45" s="153" t="s">
        <v>243</v>
      </c>
      <c r="D45" s="151"/>
      <c r="E45" s="151"/>
      <c r="F45" s="152"/>
      <c r="G45" s="9" t="s">
        <v>57</v>
      </c>
      <c r="H45" s="150" t="s">
        <v>162</v>
      </c>
      <c r="I45" s="151"/>
      <c r="J45" s="152"/>
    </row>
    <row r="46" spans="1:10" ht="15" customHeight="1" x14ac:dyDescent="0.3">
      <c r="A46" s="159" t="s">
        <v>60</v>
      </c>
      <c r="B46" s="161"/>
      <c r="C46" s="163" t="s">
        <v>38</v>
      </c>
      <c r="D46" s="164"/>
      <c r="E46" s="164"/>
      <c r="F46" s="165" t="s">
        <v>61</v>
      </c>
      <c r="G46" s="68" t="s">
        <v>57</v>
      </c>
      <c r="H46" s="159" t="s">
        <v>38</v>
      </c>
      <c r="I46" s="160" t="s">
        <v>38</v>
      </c>
      <c r="J46" s="161"/>
    </row>
    <row r="47" spans="1:10" x14ac:dyDescent="0.3">
      <c r="A47" s="176" t="s">
        <v>62</v>
      </c>
      <c r="B47" s="176"/>
      <c r="C47" s="176"/>
      <c r="D47" s="177" t="str">
        <f>H45</f>
        <v>25/02/2019.</v>
      </c>
      <c r="E47" s="177"/>
      <c r="F47" s="135" t="s">
        <v>63</v>
      </c>
      <c r="G47" s="178"/>
      <c r="H47" s="135" t="s">
        <v>256</v>
      </c>
      <c r="I47" s="136"/>
      <c r="J47" s="137"/>
    </row>
    <row r="48" spans="1:10" x14ac:dyDescent="0.3">
      <c r="A48" s="179" t="s">
        <v>64</v>
      </c>
      <c r="B48" s="180"/>
      <c r="C48" s="180"/>
      <c r="D48" s="180"/>
      <c r="E48" s="180"/>
      <c r="F48" s="180"/>
      <c r="G48" s="180"/>
      <c r="H48" s="180"/>
      <c r="I48" s="180"/>
      <c r="J48" s="181"/>
    </row>
    <row r="49" spans="1:12" x14ac:dyDescent="0.3">
      <c r="A49" s="135" t="s">
        <v>65</v>
      </c>
      <c r="B49" s="136"/>
      <c r="C49" s="137"/>
      <c r="D49" s="182">
        <f>F40</f>
        <v>10748.562</v>
      </c>
      <c r="E49" s="183"/>
      <c r="F49" s="184" t="s">
        <v>66</v>
      </c>
      <c r="G49" s="184"/>
      <c r="H49" s="184"/>
      <c r="I49" s="185" t="s">
        <v>188</v>
      </c>
      <c r="J49" s="185"/>
    </row>
    <row r="50" spans="1:12" ht="34.5" customHeight="1" x14ac:dyDescent="0.3">
      <c r="A50" s="174" t="s">
        <v>67</v>
      </c>
      <c r="B50" s="175"/>
      <c r="C50" s="186" t="s">
        <v>244</v>
      </c>
      <c r="D50" s="187"/>
      <c r="E50" s="187"/>
      <c r="F50" s="187"/>
      <c r="G50" s="188"/>
      <c r="H50" s="110" t="s">
        <v>68</v>
      </c>
      <c r="I50" s="111"/>
      <c r="J50" s="112"/>
    </row>
    <row r="51" spans="1:12" x14ac:dyDescent="0.3">
      <c r="A51" s="135" t="s">
        <v>69</v>
      </c>
      <c r="B51" s="136"/>
      <c r="C51" s="136"/>
      <c r="D51" s="110" t="s">
        <v>258</v>
      </c>
      <c r="E51" s="111"/>
      <c r="F51" s="111"/>
      <c r="G51" s="111"/>
      <c r="H51" s="111"/>
      <c r="I51" s="111"/>
      <c r="J51" s="112"/>
    </row>
    <row r="52" spans="1:12" x14ac:dyDescent="0.3">
      <c r="A52" s="135" t="s">
        <v>259</v>
      </c>
      <c r="B52" s="136"/>
      <c r="C52" s="136"/>
      <c r="D52" s="136"/>
      <c r="E52" s="136"/>
      <c r="F52" s="136"/>
      <c r="G52" s="136"/>
      <c r="H52" s="136"/>
      <c r="I52" s="136"/>
      <c r="J52" s="137"/>
    </row>
    <row r="53" spans="1:12" ht="15" customHeight="1" thickBot="1" x14ac:dyDescent="0.35">
      <c r="A53" s="159" t="s">
        <v>70</v>
      </c>
      <c r="B53" s="160"/>
      <c r="C53" s="160"/>
      <c r="D53" s="160"/>
      <c r="E53" s="160"/>
      <c r="F53" s="160"/>
      <c r="G53" s="160"/>
      <c r="H53" s="160"/>
      <c r="I53" s="160"/>
      <c r="J53" s="161"/>
    </row>
    <row r="54" spans="1:12" customFormat="1" ht="15.75" customHeight="1" x14ac:dyDescent="0.35">
      <c r="A54" s="90" t="s">
        <v>210</v>
      </c>
      <c r="B54" s="91"/>
      <c r="C54" s="92" t="s">
        <v>257</v>
      </c>
      <c r="D54" s="93"/>
      <c r="E54" s="93"/>
      <c r="F54" s="93"/>
      <c r="G54" s="93"/>
      <c r="H54" s="93"/>
      <c r="I54" s="93"/>
      <c r="J54" s="94"/>
      <c r="K54" s="51"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completed","0")))))))))))&amp;(IF(C61=(D55+G55+I55),", RCC Slab",IF(C61&gt;0,", RCC upto "&amp;C61&amp;" Slab",""))&amp;(IF(C62=I55,", Brickwork",IF(C62&gt;0,", Brickwork upto "&amp;C62&amp;" Floor",""))&amp;(IF(C63=I55,", Internal Plaster",IF(C63&gt;0,", Internal Plaster upto "&amp;C63&amp;" Floor",""))&amp;(IF(C64=I55,", External Plaster",IF(C64&gt;0,", External Plaster upto "&amp;C64&amp;" Floor",""))&amp;(IF(C65=I55,", Flooring",IF(C65&gt;0,", Flooring upto "&amp;C65&amp;" Floor",""))&amp;(IF(C66=I55,", Painting",IF(C66&gt;0,", Painting upto "&amp;C66&amp;" Floor",""))&amp;(IF(C67&gt;0,", Finishing upto "&amp;C67&amp;" Floor","")&amp;(IF(C61&gt;0.5," Completed",""))))))))))))))</f>
        <v>All work completed. Please provide OC.</v>
      </c>
      <c r="L54" s="52"/>
    </row>
    <row r="55" spans="1:12" customFormat="1" ht="15.5" x14ac:dyDescent="0.35">
      <c r="A55" s="53" t="s">
        <v>211</v>
      </c>
      <c r="B55" s="54">
        <v>0</v>
      </c>
      <c r="C55" s="54" t="s">
        <v>212</v>
      </c>
      <c r="D55" s="54">
        <v>1</v>
      </c>
      <c r="E55" s="95" t="s">
        <v>213</v>
      </c>
      <c r="F55" s="96"/>
      <c r="G55" s="54">
        <v>0</v>
      </c>
      <c r="H55" s="54" t="s">
        <v>214</v>
      </c>
      <c r="I55" s="95">
        <f ca="1">--TRIM(RIGHT(SUBSTITUTE(LEFT(C54,_xlfn.AGGREGATE(16,6,FIND({0,1,2,3,4,5,6,7,8,9},C54,ROW(INDIRECT("1:"&amp;LEN(C54)))),1))," ",REPT(" ",LEN(C54))),LEN(C54)))</f>
        <v>7</v>
      </c>
      <c r="J55" s="97"/>
      <c r="K55" s="55"/>
      <c r="L55" s="56"/>
    </row>
    <row r="56" spans="1:12" customFormat="1" ht="15.5" x14ac:dyDescent="0.35">
      <c r="A56" s="98" t="s">
        <v>215</v>
      </c>
      <c r="B56" s="99"/>
      <c r="C56" s="100" t="str">
        <f ca="1">K54</f>
        <v>All work completed. Please provide OC.</v>
      </c>
      <c r="D56" s="101"/>
      <c r="E56" s="101"/>
      <c r="F56" s="101"/>
      <c r="G56" s="101"/>
      <c r="H56" s="101"/>
      <c r="I56" s="101"/>
      <c r="J56" s="102"/>
      <c r="K56" s="55" t="s">
        <v>216</v>
      </c>
      <c r="L56" s="56"/>
    </row>
    <row r="57" spans="1:12" customFormat="1" ht="31" customHeight="1" thickBot="1" x14ac:dyDescent="0.4">
      <c r="A57" s="231" t="s">
        <v>219</v>
      </c>
      <c r="B57" s="231"/>
      <c r="C57" s="106">
        <f ca="1">F74</f>
        <v>1</v>
      </c>
      <c r="D57" s="107"/>
      <c r="E57" s="107" t="s">
        <v>220</v>
      </c>
      <c r="F57" s="107"/>
      <c r="G57" s="107"/>
      <c r="H57" s="106">
        <f ca="1">H74</f>
        <v>1</v>
      </c>
      <c r="I57" s="107"/>
      <c r="J57" s="107"/>
      <c r="K57" s="55"/>
      <c r="L57" s="56"/>
    </row>
    <row r="58" spans="1:12" customFormat="1" ht="15.75" hidden="1" customHeight="1" x14ac:dyDescent="0.35">
      <c r="A58" s="103" t="s">
        <v>71</v>
      </c>
      <c r="B58" s="104"/>
      <c r="C58" s="64" t="s">
        <v>217</v>
      </c>
      <c r="D58" s="70" t="s">
        <v>218</v>
      </c>
      <c r="E58" s="70"/>
      <c r="F58" s="70" t="s">
        <v>219</v>
      </c>
      <c r="G58" s="70"/>
      <c r="H58" s="70" t="s">
        <v>220</v>
      </c>
      <c r="I58" s="70"/>
      <c r="J58" s="105"/>
      <c r="K58" s="57" t="s">
        <v>221</v>
      </c>
      <c r="L58" s="58">
        <f ca="1">I55*25%</f>
        <v>1.75</v>
      </c>
    </row>
    <row r="59" spans="1:12" customFormat="1" ht="15.75" hidden="1" customHeight="1" x14ac:dyDescent="0.35">
      <c r="A59" s="69" t="s">
        <v>222</v>
      </c>
      <c r="B59" s="70"/>
      <c r="C59" s="65">
        <f ca="1">L60</f>
        <v>7</v>
      </c>
      <c r="D59" s="71">
        <f ca="1">((100/I55)*C59)/100</f>
        <v>1</v>
      </c>
      <c r="E59" s="72"/>
      <c r="F59" s="73">
        <f ca="1">(((C60/I55*10)+(40/(D55+G55+I55)*C61)+(7.5/(I55)*C62)+(7.5/(I55)*C63)+(10/I55*C64)+(10/I55*C65)+(5/I55*C66)+(5/I55*C67)+(5/I55*C68))/100)</f>
        <v>1</v>
      </c>
      <c r="G59" s="73"/>
      <c r="H59" s="75">
        <f ca="1">((((C59/I55)*20)+((C60/I55)*25)+(30/(I55+G55+D55)*C61)+(5/I55*C62)+(5/I55*C63)+(5/I55*C64)+(5/I55*C65)+(0/I55*C66)+(0/I55*C67)+(5/I55*C68))/100)</f>
        <v>1</v>
      </c>
      <c r="I59" s="76"/>
      <c r="J59" s="77"/>
      <c r="K59" s="57" t="s">
        <v>223</v>
      </c>
      <c r="L59" s="59">
        <f ca="1">I55*50%</f>
        <v>3.5</v>
      </c>
    </row>
    <row r="60" spans="1:12" customFormat="1" ht="15.5" hidden="1" x14ac:dyDescent="0.35">
      <c r="A60" s="69" t="s">
        <v>72</v>
      </c>
      <c r="B60" s="70"/>
      <c r="C60" s="66">
        <f ca="1">L68</f>
        <v>7</v>
      </c>
      <c r="D60" s="71">
        <f ca="1">((100/I55)*C60)/100</f>
        <v>1</v>
      </c>
      <c r="E60" s="72"/>
      <c r="F60" s="73"/>
      <c r="G60" s="73"/>
      <c r="H60" s="78"/>
      <c r="I60" s="79"/>
      <c r="J60" s="80"/>
      <c r="K60" s="57" t="s">
        <v>224</v>
      </c>
      <c r="L60" s="59">
        <f ca="1">I55</f>
        <v>7</v>
      </c>
    </row>
    <row r="61" spans="1:12" customFormat="1" ht="15.75" hidden="1" customHeight="1" x14ac:dyDescent="0.35">
      <c r="A61" s="84" t="s">
        <v>225</v>
      </c>
      <c r="B61" s="85"/>
      <c r="C61" s="66">
        <f ca="1">D55+I55</f>
        <v>8</v>
      </c>
      <c r="D61" s="71">
        <f ca="1">((100/(D55+G55+I55))*C61)/100</f>
        <v>1</v>
      </c>
      <c r="E61" s="72"/>
      <c r="F61" s="73"/>
      <c r="G61" s="73"/>
      <c r="H61" s="78"/>
      <c r="I61" s="79"/>
      <c r="J61" s="80"/>
      <c r="K61" s="57" t="s">
        <v>226</v>
      </c>
      <c r="L61" s="60">
        <f ca="1">(IF(B55&gt;1,(I55/(B55+2)),I55/4))</f>
        <v>1.75</v>
      </c>
    </row>
    <row r="62" spans="1:12" customFormat="1" ht="15.75" hidden="1" customHeight="1" x14ac:dyDescent="0.35">
      <c r="A62" s="69" t="s">
        <v>227</v>
      </c>
      <c r="B62" s="70" t="s">
        <v>228</v>
      </c>
      <c r="C62" s="65">
        <v>7</v>
      </c>
      <c r="D62" s="71">
        <f ca="1">((100/I55)*C62)/100</f>
        <v>1</v>
      </c>
      <c r="E62" s="72"/>
      <c r="F62" s="73"/>
      <c r="G62" s="73"/>
      <c r="H62" s="78"/>
      <c r="I62" s="79"/>
      <c r="J62" s="80"/>
      <c r="K62" s="57" t="s">
        <v>229</v>
      </c>
      <c r="L62" s="60">
        <f ca="1">(IF(B55&gt;1,(I55/(B55+2)+L61),I55/4+L61))</f>
        <v>3.5</v>
      </c>
    </row>
    <row r="63" spans="1:12" customFormat="1" ht="15.75" hidden="1" customHeight="1" x14ac:dyDescent="0.35">
      <c r="A63" s="69" t="s">
        <v>230</v>
      </c>
      <c r="B63" s="70" t="s">
        <v>228</v>
      </c>
      <c r="C63" s="65">
        <v>7</v>
      </c>
      <c r="D63" s="71">
        <f ca="1">((100/I55)*C63)/100</f>
        <v>1</v>
      </c>
      <c r="E63" s="72"/>
      <c r="F63" s="73"/>
      <c r="G63" s="73"/>
      <c r="H63" s="78"/>
      <c r="I63" s="79"/>
      <c r="J63" s="80"/>
      <c r="K63" s="57" t="s">
        <v>231</v>
      </c>
      <c r="L63" s="60">
        <f>(IF(B55&gt;1,(I55/(B55+2)+L62),0))</f>
        <v>0</v>
      </c>
    </row>
    <row r="64" spans="1:12" customFormat="1" ht="15.75" hidden="1" customHeight="1" x14ac:dyDescent="0.35">
      <c r="A64" s="69" t="s">
        <v>232</v>
      </c>
      <c r="B64" s="70" t="s">
        <v>233</v>
      </c>
      <c r="C64" s="65">
        <v>7</v>
      </c>
      <c r="D64" s="71">
        <f ca="1">((100/(I55))*C64)/100</f>
        <v>1</v>
      </c>
      <c r="E64" s="72"/>
      <c r="F64" s="73"/>
      <c r="G64" s="73"/>
      <c r="H64" s="78"/>
      <c r="I64" s="79"/>
      <c r="J64" s="80"/>
      <c r="K64" s="57" t="s">
        <v>234</v>
      </c>
      <c r="L64" s="60">
        <f>(IF(B55&gt;2,(I55/(B55+2)+L63),0))</f>
        <v>0</v>
      </c>
    </row>
    <row r="65" spans="1:12" customFormat="1" ht="15.75" hidden="1" customHeight="1" x14ac:dyDescent="0.35">
      <c r="A65" s="69" t="s">
        <v>235</v>
      </c>
      <c r="B65" s="70" t="s">
        <v>235</v>
      </c>
      <c r="C65" s="65">
        <v>7</v>
      </c>
      <c r="D65" s="71">
        <f ca="1">((100/I55)*C65)/100</f>
        <v>1</v>
      </c>
      <c r="E65" s="72"/>
      <c r="F65" s="73"/>
      <c r="G65" s="73"/>
      <c r="H65" s="78"/>
      <c r="I65" s="79"/>
      <c r="J65" s="80"/>
      <c r="K65" s="57" t="s">
        <v>236</v>
      </c>
      <c r="L65" s="61">
        <f>(IF(B55&gt;3,(I55/(B55+2)+L64),0))</f>
        <v>0</v>
      </c>
    </row>
    <row r="66" spans="1:12" customFormat="1" ht="15.75" hidden="1" customHeight="1" x14ac:dyDescent="0.35">
      <c r="A66" s="69" t="s">
        <v>237</v>
      </c>
      <c r="B66" s="70"/>
      <c r="C66" s="65">
        <v>7</v>
      </c>
      <c r="D66" s="71">
        <f ca="1">((100/I55)*C66)/100</f>
        <v>1</v>
      </c>
      <c r="E66" s="72"/>
      <c r="F66" s="73"/>
      <c r="G66" s="73"/>
      <c r="H66" s="78"/>
      <c r="I66" s="79"/>
      <c r="J66" s="80"/>
      <c r="K66" s="57" t="s">
        <v>238</v>
      </c>
      <c r="L66" s="60">
        <f>(IF(B55&gt;4,(I55/(B55+2)+L65),0))</f>
        <v>0</v>
      </c>
    </row>
    <row r="67" spans="1:12" customFormat="1" ht="15.75" hidden="1" customHeight="1" x14ac:dyDescent="0.35">
      <c r="A67" s="69" t="s">
        <v>239</v>
      </c>
      <c r="B67" s="70" t="s">
        <v>239</v>
      </c>
      <c r="C67" s="65">
        <v>7</v>
      </c>
      <c r="D67" s="71">
        <f ca="1">((100/(I55))*C67)/100</f>
        <v>1</v>
      </c>
      <c r="E67" s="72"/>
      <c r="F67" s="73"/>
      <c r="G67" s="73"/>
      <c r="H67" s="78"/>
      <c r="I67" s="79"/>
      <c r="J67" s="80"/>
      <c r="K67" s="57" t="s">
        <v>240</v>
      </c>
      <c r="L67" s="60">
        <f ca="1">(IF(B55=1,(I55/(B55+3)+L62),IF(B55=0,(I55/4+L62),IF(B55&gt;1,0))))</f>
        <v>5.25</v>
      </c>
    </row>
    <row r="68" spans="1:12" customFormat="1" ht="16.5" hidden="1" customHeight="1" thickBot="1" x14ac:dyDescent="0.4">
      <c r="A68" s="86" t="s">
        <v>241</v>
      </c>
      <c r="B68" s="87"/>
      <c r="C68" s="67">
        <v>7</v>
      </c>
      <c r="D68" s="88">
        <f ca="1">((100/(I55))*C68)/100</f>
        <v>1</v>
      </c>
      <c r="E68" s="89"/>
      <c r="F68" s="74"/>
      <c r="G68" s="74"/>
      <c r="H68" s="81"/>
      <c r="I68" s="82"/>
      <c r="J68" s="83"/>
      <c r="K68" s="62" t="s">
        <v>242</v>
      </c>
      <c r="L68" s="63">
        <f ca="1">(IF(B55&gt;1.5,(I55/(B55+2)+L62+MAX(0,L63-L62)+MAX(0,L64-L63)+MAX(0,L65-L64)+MAX(0,L66-L65)+MAX(0,L67-L66)),IF(B55=1,(I55/(B55+3)+L67),IF(B55=0,I55/4+L67))))</f>
        <v>7</v>
      </c>
    </row>
    <row r="69" spans="1:12" customFormat="1" ht="15.75" customHeight="1" x14ac:dyDescent="0.35">
      <c r="A69" s="90" t="s">
        <v>210</v>
      </c>
      <c r="B69" s="91"/>
      <c r="C69" s="92" t="s">
        <v>255</v>
      </c>
      <c r="D69" s="93"/>
      <c r="E69" s="93"/>
      <c r="F69" s="93"/>
      <c r="G69" s="93"/>
      <c r="H69" s="93"/>
      <c r="I69" s="93"/>
      <c r="J69" s="94"/>
      <c r="K69" s="51" t="str">
        <f ca="1">(IF(F74&gt;99%,"All work completed. Please provide OC.",IF(F74&gt;89.8%,"Plinth, RCC, Brick, Plaster, Flooring, Painting work Completed. Finishing work is in process.",IF(F74&lt;94%,(IF(C74=0,"Work not yet Started.",IF(D74=25%,"Piling work in process",IF(D74=50%,"Excavation work in process",IF(D74=100%,"Excavation work Completed. ","0")))&amp;(IF(C75=0%,"",IF(C75=L76,"Footing work is process",IF(C75=L77,"Footing work Completed",IF(C75=L78,"1st Basement Completed",IF(C75=L79,"1st &amp; 2nd Basement Completed",IF(C75=L80,"1st to 3rd Basement Completed",IF(C75=L81,"1st to 4th Basement Completed",IF(C75=L82,"Plinth work is process",IF(C75=L83,"Plinth work completed","0")))))))))))&amp;(IF(C76=(D70+G70+I70),", RCC Slab",IF(C76&gt;0,", RCC upto "&amp;C76&amp;" Slab",""))&amp;(IF(C77=I70,", Brickwork",IF(C77&gt;0,", Brickwork upto "&amp;C77&amp;" Floor",""))&amp;(IF(C78=I70,", Internal Plaster",IF(C78&gt;0,", Internal Plaster upto "&amp;C78&amp;" Floor",""))&amp;(IF(C79=I70,", External Plaster",IF(C79&gt;0,", External Plaster upto "&amp;C79&amp;" Floor",""))&amp;(IF(C80=I70,", Flooring",IF(C80&gt;0,", Flooring upto "&amp;C80&amp;" Floor",""))&amp;(IF(C81=I70,", Painting",IF(C81&gt;0,", Painting upto "&amp;C81&amp;" Floor",""))&amp;(IF(C82&gt;0,", Finishing upto "&amp;C82&amp;" Floor","")&amp;(IF(C76&gt;0.5," Completed",""))))))))))))))</f>
        <v>All work completed. Please provide OC.</v>
      </c>
      <c r="L69" s="52"/>
    </row>
    <row r="70" spans="1:12" customFormat="1" ht="15.5" x14ac:dyDescent="0.35">
      <c r="A70" s="53" t="s">
        <v>211</v>
      </c>
      <c r="B70" s="54">
        <v>0</v>
      </c>
      <c r="C70" s="54" t="s">
        <v>212</v>
      </c>
      <c r="D70" s="54">
        <v>1</v>
      </c>
      <c r="E70" s="95" t="s">
        <v>213</v>
      </c>
      <c r="F70" s="96"/>
      <c r="G70" s="54">
        <v>0</v>
      </c>
      <c r="H70" s="54" t="s">
        <v>214</v>
      </c>
      <c r="I70" s="95">
        <f ca="1">--TRIM(RIGHT(SUBSTITUTE(LEFT(C69,_xlfn.AGGREGATE(16,6,FIND({0,1,2,3,4,5,6,7,8,9},C69,ROW(INDIRECT("1:"&amp;LEN(C69)))),1))," ",REPT(" ",LEN(C69))),LEN(C69)))</f>
        <v>6</v>
      </c>
      <c r="J70" s="97"/>
      <c r="K70" s="55"/>
      <c r="L70" s="56"/>
    </row>
    <row r="71" spans="1:12" customFormat="1" ht="15.5" x14ac:dyDescent="0.35">
      <c r="A71" s="98" t="s">
        <v>215</v>
      </c>
      <c r="B71" s="99"/>
      <c r="C71" s="100" t="str">
        <f ca="1">K69</f>
        <v>All work completed. Please provide OC.</v>
      </c>
      <c r="D71" s="101"/>
      <c r="E71" s="101"/>
      <c r="F71" s="101"/>
      <c r="G71" s="101"/>
      <c r="H71" s="101"/>
      <c r="I71" s="101"/>
      <c r="J71" s="102"/>
      <c r="K71" s="55" t="s">
        <v>216</v>
      </c>
      <c r="L71" s="56"/>
    </row>
    <row r="72" spans="1:12" customFormat="1" ht="31" customHeight="1" x14ac:dyDescent="0.35">
      <c r="A72" s="231" t="s">
        <v>219</v>
      </c>
      <c r="B72" s="231"/>
      <c r="C72" s="106">
        <f ca="1">F74</f>
        <v>1</v>
      </c>
      <c r="D72" s="107"/>
      <c r="E72" s="107" t="s">
        <v>220</v>
      </c>
      <c r="F72" s="107"/>
      <c r="G72" s="107"/>
      <c r="H72" s="106">
        <f ca="1">H74</f>
        <v>1</v>
      </c>
      <c r="I72" s="107"/>
      <c r="J72" s="107"/>
      <c r="K72" s="55"/>
      <c r="L72" s="56"/>
    </row>
    <row r="73" spans="1:12" customFormat="1" ht="15.75" hidden="1" customHeight="1" x14ac:dyDescent="0.35">
      <c r="A73" s="103" t="s">
        <v>71</v>
      </c>
      <c r="B73" s="104"/>
      <c r="C73" s="64" t="s">
        <v>217</v>
      </c>
      <c r="D73" s="70" t="s">
        <v>218</v>
      </c>
      <c r="E73" s="70"/>
      <c r="F73" s="70" t="s">
        <v>219</v>
      </c>
      <c r="G73" s="70"/>
      <c r="H73" s="70" t="s">
        <v>220</v>
      </c>
      <c r="I73" s="70"/>
      <c r="J73" s="105"/>
      <c r="K73" s="57" t="s">
        <v>221</v>
      </c>
      <c r="L73" s="58">
        <f ca="1">I70*25%</f>
        <v>1.5</v>
      </c>
    </row>
    <row r="74" spans="1:12" customFormat="1" ht="15.75" hidden="1" customHeight="1" x14ac:dyDescent="0.35">
      <c r="A74" s="69" t="s">
        <v>222</v>
      </c>
      <c r="B74" s="70"/>
      <c r="C74" s="65">
        <f ca="1">L75</f>
        <v>6</v>
      </c>
      <c r="D74" s="71">
        <f ca="1">((100/I70)*C74)/100</f>
        <v>1</v>
      </c>
      <c r="E74" s="72"/>
      <c r="F74" s="73">
        <f ca="1">(((C75/I70*10)+(40/(D70+G70+I70)*C76)+(7.5/(I70)*C77)+(7.5/(I70)*C78)+(10/I70*C79)+(10/I70*C80)+(5/I70*C81)+(5/I70*C82)+(5/I70*C83))/100)</f>
        <v>1</v>
      </c>
      <c r="G74" s="73"/>
      <c r="H74" s="75">
        <f ca="1">((((C74/I70)*20)+((C75/I70)*25)+(30/(I70+G70+D70)*C76)+(5/I70*C77)+(5/I70*C78)+(5/I70*C79)+(5/I70*C80)+(0/I70*C81)+(0/I70*C82)+(5/I70*C83))/100)</f>
        <v>1</v>
      </c>
      <c r="I74" s="76"/>
      <c r="J74" s="77"/>
      <c r="K74" s="57" t="s">
        <v>223</v>
      </c>
      <c r="L74" s="59">
        <f ca="1">I70*50%</f>
        <v>3</v>
      </c>
    </row>
    <row r="75" spans="1:12" customFormat="1" ht="15.5" hidden="1" x14ac:dyDescent="0.35">
      <c r="A75" s="69" t="s">
        <v>72</v>
      </c>
      <c r="B75" s="70"/>
      <c r="C75" s="66">
        <f ca="1">L83</f>
        <v>6</v>
      </c>
      <c r="D75" s="71">
        <f ca="1">((100/I70)*C75)/100</f>
        <v>1</v>
      </c>
      <c r="E75" s="72"/>
      <c r="F75" s="73"/>
      <c r="G75" s="73"/>
      <c r="H75" s="78"/>
      <c r="I75" s="79"/>
      <c r="J75" s="80"/>
      <c r="K75" s="57" t="s">
        <v>224</v>
      </c>
      <c r="L75" s="59">
        <f ca="1">I70</f>
        <v>6</v>
      </c>
    </row>
    <row r="76" spans="1:12" customFormat="1" ht="15.75" hidden="1" customHeight="1" x14ac:dyDescent="0.35">
      <c r="A76" s="84" t="s">
        <v>225</v>
      </c>
      <c r="B76" s="85"/>
      <c r="C76" s="66">
        <f ca="1">D70+I70</f>
        <v>7</v>
      </c>
      <c r="D76" s="71">
        <f ca="1">((100/(D70+G70+I70))*C76)/100</f>
        <v>1</v>
      </c>
      <c r="E76" s="72"/>
      <c r="F76" s="73"/>
      <c r="G76" s="73"/>
      <c r="H76" s="78"/>
      <c r="I76" s="79"/>
      <c r="J76" s="80"/>
      <c r="K76" s="57" t="s">
        <v>226</v>
      </c>
      <c r="L76" s="60">
        <f ca="1">(IF(B70&gt;1,(I70/(B70+2)),I70/4))</f>
        <v>1.5</v>
      </c>
    </row>
    <row r="77" spans="1:12" customFormat="1" ht="15.75" hidden="1" customHeight="1" x14ac:dyDescent="0.35">
      <c r="A77" s="69" t="s">
        <v>227</v>
      </c>
      <c r="B77" s="70" t="s">
        <v>228</v>
      </c>
      <c r="C77" s="65">
        <v>6</v>
      </c>
      <c r="D77" s="71">
        <f ca="1">((100/I70)*C77)/100</f>
        <v>1</v>
      </c>
      <c r="E77" s="72"/>
      <c r="F77" s="73"/>
      <c r="G77" s="73"/>
      <c r="H77" s="78"/>
      <c r="I77" s="79"/>
      <c r="J77" s="80"/>
      <c r="K77" s="57" t="s">
        <v>229</v>
      </c>
      <c r="L77" s="60">
        <f ca="1">(IF(B70&gt;1,(I70/(B70+2)+L76),I70/4+L76))</f>
        <v>3</v>
      </c>
    </row>
    <row r="78" spans="1:12" customFormat="1" ht="15.75" hidden="1" customHeight="1" x14ac:dyDescent="0.35">
      <c r="A78" s="69" t="s">
        <v>230</v>
      </c>
      <c r="B78" s="70" t="s">
        <v>228</v>
      </c>
      <c r="C78" s="65">
        <v>6</v>
      </c>
      <c r="D78" s="71">
        <f ca="1">((100/I70)*C78)/100</f>
        <v>1</v>
      </c>
      <c r="E78" s="72"/>
      <c r="F78" s="73"/>
      <c r="G78" s="73"/>
      <c r="H78" s="78"/>
      <c r="I78" s="79"/>
      <c r="J78" s="80"/>
      <c r="K78" s="57" t="s">
        <v>231</v>
      </c>
      <c r="L78" s="60">
        <f>(IF(B70&gt;1,(I70/(B70+2)+L77),0))</f>
        <v>0</v>
      </c>
    </row>
    <row r="79" spans="1:12" customFormat="1" ht="15.75" hidden="1" customHeight="1" x14ac:dyDescent="0.35">
      <c r="A79" s="69" t="s">
        <v>232</v>
      </c>
      <c r="B79" s="70" t="s">
        <v>233</v>
      </c>
      <c r="C79" s="65">
        <v>6</v>
      </c>
      <c r="D79" s="71">
        <f ca="1">((100/(I70))*C79)/100</f>
        <v>1</v>
      </c>
      <c r="E79" s="72"/>
      <c r="F79" s="73"/>
      <c r="G79" s="73"/>
      <c r="H79" s="78"/>
      <c r="I79" s="79"/>
      <c r="J79" s="80"/>
      <c r="K79" s="57" t="s">
        <v>234</v>
      </c>
      <c r="L79" s="60">
        <f>(IF(B70&gt;2,(I70/(B70+2)+L78),0))</f>
        <v>0</v>
      </c>
    </row>
    <row r="80" spans="1:12" customFormat="1" ht="15.75" hidden="1" customHeight="1" x14ac:dyDescent="0.35">
      <c r="A80" s="69" t="s">
        <v>235</v>
      </c>
      <c r="B80" s="70" t="s">
        <v>235</v>
      </c>
      <c r="C80" s="65">
        <v>6</v>
      </c>
      <c r="D80" s="71">
        <f ca="1">((100/I70)*C80)/100</f>
        <v>1</v>
      </c>
      <c r="E80" s="72"/>
      <c r="F80" s="73"/>
      <c r="G80" s="73"/>
      <c r="H80" s="78"/>
      <c r="I80" s="79"/>
      <c r="J80" s="80"/>
      <c r="K80" s="57" t="s">
        <v>236</v>
      </c>
      <c r="L80" s="61">
        <f>(IF(B70&gt;3,(I70/(B70+2)+L79),0))</f>
        <v>0</v>
      </c>
    </row>
    <row r="81" spans="1:12" customFormat="1" ht="15.75" hidden="1" customHeight="1" x14ac:dyDescent="0.35">
      <c r="A81" s="69" t="s">
        <v>237</v>
      </c>
      <c r="B81" s="70"/>
      <c r="C81" s="65">
        <v>6</v>
      </c>
      <c r="D81" s="71">
        <f ca="1">((100/I70)*C81)/100</f>
        <v>1</v>
      </c>
      <c r="E81" s="72"/>
      <c r="F81" s="73"/>
      <c r="G81" s="73"/>
      <c r="H81" s="78"/>
      <c r="I81" s="79"/>
      <c r="J81" s="80"/>
      <c r="K81" s="57" t="s">
        <v>238</v>
      </c>
      <c r="L81" s="60">
        <f>(IF(B70&gt;4,(I70/(B70+2)+L80),0))</f>
        <v>0</v>
      </c>
    </row>
    <row r="82" spans="1:12" customFormat="1" ht="15.75" hidden="1" customHeight="1" x14ac:dyDescent="0.35">
      <c r="A82" s="69" t="s">
        <v>239</v>
      </c>
      <c r="B82" s="70" t="s">
        <v>239</v>
      </c>
      <c r="C82" s="65">
        <v>6</v>
      </c>
      <c r="D82" s="71">
        <f ca="1">((100/(I70))*C82)/100</f>
        <v>1</v>
      </c>
      <c r="E82" s="72"/>
      <c r="F82" s="73"/>
      <c r="G82" s="73"/>
      <c r="H82" s="78"/>
      <c r="I82" s="79"/>
      <c r="J82" s="80"/>
      <c r="K82" s="57" t="s">
        <v>240</v>
      </c>
      <c r="L82" s="60">
        <f ca="1">(IF(B70=1,(I70/(B70+3)+L77),IF(B70=0,(I70/4+L77),IF(B70&gt;1,0))))</f>
        <v>4.5</v>
      </c>
    </row>
    <row r="83" spans="1:12" customFormat="1" ht="16.5" hidden="1" customHeight="1" thickBot="1" x14ac:dyDescent="0.4">
      <c r="A83" s="86" t="s">
        <v>241</v>
      </c>
      <c r="B83" s="87"/>
      <c r="C83" s="67">
        <v>6</v>
      </c>
      <c r="D83" s="88">
        <f ca="1">((100/(I70))*C83)/100</f>
        <v>1</v>
      </c>
      <c r="E83" s="89"/>
      <c r="F83" s="74"/>
      <c r="G83" s="74"/>
      <c r="H83" s="81"/>
      <c r="I83" s="82"/>
      <c r="J83" s="83"/>
      <c r="K83" s="62" t="s">
        <v>242</v>
      </c>
      <c r="L83" s="63">
        <f ca="1">(IF(B70&gt;1.5,(I70/(B70+2)+L77+MAX(0,L78-L77)+MAX(0,L79-L78)+MAX(0,L80-L79)+MAX(0,L81-L80)+MAX(0,L82-L81)),IF(B70=1,(I70/(B70+3)+L82),IF(B70=0,I70/4+L82))))</f>
        <v>6</v>
      </c>
    </row>
    <row r="84" spans="1:12" x14ac:dyDescent="0.3">
      <c r="A84" s="135" t="s">
        <v>260</v>
      </c>
      <c r="B84" s="136"/>
      <c r="C84" s="136"/>
      <c r="D84" s="136"/>
      <c r="E84" s="136"/>
      <c r="F84" s="136"/>
      <c r="G84" s="136"/>
      <c r="H84" s="136"/>
      <c r="I84" s="136"/>
      <c r="J84" s="137"/>
    </row>
    <row r="85" spans="1:12" x14ac:dyDescent="0.3">
      <c r="A85" s="135" t="s">
        <v>77</v>
      </c>
      <c r="B85" s="136"/>
      <c r="C85" s="136"/>
      <c r="D85" s="136"/>
      <c r="E85" s="136"/>
      <c r="F85" s="136"/>
      <c r="G85" s="136"/>
      <c r="H85" s="136"/>
      <c r="I85" s="136"/>
      <c r="J85" s="137"/>
    </row>
    <row r="86" spans="1:12" ht="15" customHeight="1" x14ac:dyDescent="0.3">
      <c r="A86" s="166" t="s">
        <v>78</v>
      </c>
      <c r="B86" s="167"/>
      <c r="C86" s="168" t="s">
        <v>79</v>
      </c>
      <c r="D86" s="169"/>
      <c r="E86" s="169"/>
      <c r="F86" s="169"/>
      <c r="G86" s="169"/>
      <c r="H86" s="169"/>
      <c r="I86" s="169"/>
      <c r="J86" s="170"/>
    </row>
    <row r="87" spans="1:12" x14ac:dyDescent="0.3">
      <c r="A87" s="171" t="s">
        <v>80</v>
      </c>
      <c r="B87" s="172"/>
      <c r="C87" s="172"/>
      <c r="D87" s="172"/>
      <c r="E87" s="172"/>
      <c r="F87" s="172"/>
      <c r="G87" s="172"/>
      <c r="H87" s="172"/>
      <c r="I87" s="172"/>
      <c r="J87" s="173"/>
    </row>
    <row r="88" spans="1:12" x14ac:dyDescent="0.3">
      <c r="A88" s="135" t="s">
        <v>81</v>
      </c>
      <c r="B88" s="136"/>
      <c r="C88" s="136"/>
      <c r="D88" s="136"/>
      <c r="E88" s="136"/>
      <c r="F88" s="137"/>
      <c r="G88" s="163">
        <v>3850</v>
      </c>
      <c r="H88" s="164"/>
      <c r="I88" s="164"/>
      <c r="J88" s="165"/>
      <c r="L88" s="1" t="s">
        <v>253</v>
      </c>
    </row>
    <row r="89" spans="1:12" x14ac:dyDescent="0.3">
      <c r="A89" s="135" t="s">
        <v>193</v>
      </c>
      <c r="B89" s="136"/>
      <c r="C89" s="136"/>
      <c r="D89" s="136"/>
      <c r="E89" s="136"/>
      <c r="F89" s="137"/>
      <c r="G89" s="153" t="s">
        <v>194</v>
      </c>
      <c r="H89" s="154"/>
      <c r="I89" s="154"/>
      <c r="J89" s="155"/>
      <c r="L89" s="244" t="s">
        <v>261</v>
      </c>
    </row>
    <row r="90" spans="1:12" x14ac:dyDescent="0.3">
      <c r="A90" s="135" t="s">
        <v>82</v>
      </c>
      <c r="B90" s="136"/>
      <c r="C90" s="136"/>
      <c r="D90" s="136"/>
      <c r="E90" s="136"/>
      <c r="F90" s="137"/>
      <c r="G90" s="162" t="s">
        <v>245</v>
      </c>
      <c r="H90" s="154"/>
      <c r="I90" s="154"/>
      <c r="J90" s="155"/>
    </row>
    <row r="91" spans="1:12" x14ac:dyDescent="0.3">
      <c r="A91" s="110" t="s">
        <v>248</v>
      </c>
      <c r="B91" s="111"/>
      <c r="C91" s="111"/>
      <c r="D91" s="111"/>
      <c r="E91" s="111"/>
      <c r="F91" s="112"/>
      <c r="G91" s="153" t="s">
        <v>246</v>
      </c>
      <c r="H91" s="154"/>
      <c r="I91" s="154"/>
      <c r="J91" s="155"/>
    </row>
    <row r="92" spans="1:12" x14ac:dyDescent="0.3">
      <c r="A92" s="135" t="s">
        <v>83</v>
      </c>
      <c r="B92" s="136"/>
      <c r="C92" s="136"/>
      <c r="D92" s="136"/>
      <c r="E92" s="136"/>
      <c r="F92" s="137"/>
      <c r="G92" s="153" t="s">
        <v>177</v>
      </c>
      <c r="H92" s="154"/>
      <c r="I92" s="154"/>
      <c r="J92" s="155"/>
    </row>
    <row r="93" spans="1:12" x14ac:dyDescent="0.3">
      <c r="A93" s="135" t="s">
        <v>249</v>
      </c>
      <c r="B93" s="136"/>
      <c r="C93" s="136"/>
      <c r="D93" s="136"/>
      <c r="E93" s="136"/>
      <c r="F93" s="137"/>
      <c r="G93" s="153" t="s">
        <v>247</v>
      </c>
      <c r="H93" s="154"/>
      <c r="I93" s="154"/>
      <c r="J93" s="155"/>
    </row>
    <row r="94" spans="1:12" s="10" customFormat="1" ht="14.5" customHeight="1" x14ac:dyDescent="0.3">
      <c r="A94" s="171" t="s">
        <v>84</v>
      </c>
      <c r="B94" s="172"/>
      <c r="C94" s="172"/>
      <c r="D94" s="172"/>
      <c r="E94" s="172"/>
      <c r="F94" s="173"/>
      <c r="G94" s="150">
        <f>G88*0.8</f>
        <v>3080</v>
      </c>
      <c r="H94" s="151"/>
      <c r="I94" s="151"/>
      <c r="J94" s="152"/>
    </row>
    <row r="95" spans="1:12" s="11" customFormat="1" ht="15.75" customHeight="1" x14ac:dyDescent="0.35">
      <c r="A95" s="138" t="s">
        <v>85</v>
      </c>
      <c r="B95" s="140"/>
      <c r="C95" s="36" t="s">
        <v>187</v>
      </c>
      <c r="D95" s="156" t="s">
        <v>86</v>
      </c>
      <c r="E95" s="157"/>
      <c r="F95" s="158"/>
      <c r="G95" s="138" t="s">
        <v>87</v>
      </c>
      <c r="H95" s="139"/>
      <c r="I95" s="139"/>
      <c r="J95" s="140"/>
    </row>
    <row r="96" spans="1:12" s="11" customFormat="1" ht="15.5" x14ac:dyDescent="0.35">
      <c r="A96" s="141" t="s">
        <v>173</v>
      </c>
      <c r="B96" s="142"/>
      <c r="C96" s="35">
        <f>(COUNT(D109:E116))*4+(COUNT(D118:E125))*3</f>
        <v>56</v>
      </c>
      <c r="D96" s="143">
        <f>(SUM(D109:E116))*4+(SUM(D118:E125))*3</f>
        <v>27625.849055999999</v>
      </c>
      <c r="E96" s="144"/>
      <c r="F96" s="145"/>
      <c r="G96" s="143">
        <f>(G109+G110+G111+G112+G113+G114+G115+G116)*4+(G118+G119+G120+G121+G122+G123+G124+G125)*3</f>
        <v>41483.409739199997</v>
      </c>
      <c r="H96" s="144"/>
      <c r="I96" s="144"/>
      <c r="J96" s="145"/>
    </row>
    <row r="97" spans="1:11" s="11" customFormat="1" ht="15.5" x14ac:dyDescent="0.35">
      <c r="A97" s="141" t="s">
        <v>174</v>
      </c>
      <c r="B97" s="142"/>
      <c r="C97" s="35">
        <f>C96</f>
        <v>56</v>
      </c>
      <c r="D97" s="143">
        <f>D96</f>
        <v>27625.849055999999</v>
      </c>
      <c r="E97" s="144"/>
      <c r="F97" s="145"/>
      <c r="G97" s="143">
        <f>G96</f>
        <v>41483.409739199997</v>
      </c>
      <c r="H97" s="144"/>
      <c r="I97" s="144"/>
      <c r="J97" s="145"/>
    </row>
    <row r="98" spans="1:11" s="11" customFormat="1" ht="15.5" x14ac:dyDescent="0.35">
      <c r="A98" s="141" t="s">
        <v>175</v>
      </c>
      <c r="B98" s="142"/>
      <c r="C98" s="35">
        <f>(COUNT(D149:E156))*3+(COUNT(D158:E165))*3</f>
        <v>48</v>
      </c>
      <c r="D98" s="143">
        <f>(SUM(D149:E156))*3+(SUM(D158:E165))*3</f>
        <v>13180.819392000001</v>
      </c>
      <c r="E98" s="144"/>
      <c r="F98" s="145"/>
      <c r="G98" s="143">
        <f>SUM(G149:G156)*3+SUM(G158:G165)*3</f>
        <v>20071.195934399999</v>
      </c>
      <c r="H98" s="144"/>
      <c r="I98" s="144"/>
      <c r="J98" s="145"/>
    </row>
    <row r="99" spans="1:11" s="11" customFormat="1" ht="15.5" x14ac:dyDescent="0.35">
      <c r="A99" s="141" t="s">
        <v>184</v>
      </c>
      <c r="B99" s="142"/>
      <c r="C99" s="35">
        <f>COUNT(D189:E196)*4+COUNT(D198:E205)*3</f>
        <v>56</v>
      </c>
      <c r="D99" s="143">
        <f>SUM(D189:E196)*4+SUM(D198:E205)*3</f>
        <v>27625.849055999999</v>
      </c>
      <c r="E99" s="144"/>
      <c r="F99" s="145"/>
      <c r="G99" s="141">
        <f>SUM(G189:G196)*4+SUM(G198:G205)*3</f>
        <v>41483.409739199997</v>
      </c>
      <c r="H99" s="146"/>
      <c r="I99" s="146"/>
      <c r="J99" s="142"/>
    </row>
    <row r="100" spans="1:11" s="11" customFormat="1" ht="15.5" x14ac:dyDescent="0.35">
      <c r="A100" s="141" t="s">
        <v>176</v>
      </c>
      <c r="B100" s="142"/>
      <c r="C100" s="35">
        <f>C99</f>
        <v>56</v>
      </c>
      <c r="D100" s="143">
        <f>D99</f>
        <v>27625.849055999999</v>
      </c>
      <c r="E100" s="144"/>
      <c r="F100" s="145"/>
      <c r="G100" s="141">
        <f>G99</f>
        <v>41483.409739199997</v>
      </c>
      <c r="H100" s="146"/>
      <c r="I100" s="146"/>
      <c r="J100" s="142"/>
    </row>
    <row r="101" spans="1:11" s="11" customFormat="1" ht="15.5" x14ac:dyDescent="0.35">
      <c r="A101" s="232" t="s">
        <v>89</v>
      </c>
      <c r="B101" s="233"/>
      <c r="C101" s="36">
        <f>SUM(C96:C100)</f>
        <v>272</v>
      </c>
      <c r="D101" s="147">
        <f>SUM(D96:F100)</f>
        <v>123684.215616</v>
      </c>
      <c r="E101" s="148"/>
      <c r="F101" s="149"/>
      <c r="G101" s="138">
        <f>SUM(G96:J100)</f>
        <v>186004.83489119998</v>
      </c>
      <c r="H101" s="139"/>
      <c r="I101" s="139"/>
      <c r="J101" s="140"/>
    </row>
    <row r="102" spans="1:11" s="10" customFormat="1" ht="17.5" x14ac:dyDescent="0.3">
      <c r="A102" s="234" t="s">
        <v>90</v>
      </c>
      <c r="B102" s="235"/>
      <c r="C102" s="235"/>
      <c r="D102" s="235"/>
      <c r="E102" s="235"/>
      <c r="F102" s="235"/>
      <c r="G102" s="235"/>
      <c r="H102" s="235"/>
      <c r="I102" s="235"/>
      <c r="J102" s="236"/>
    </row>
    <row r="103" spans="1:11" x14ac:dyDescent="0.3">
      <c r="A103" s="223" t="s">
        <v>91</v>
      </c>
      <c r="B103" s="224"/>
      <c r="C103" s="224"/>
      <c r="D103" s="224"/>
      <c r="E103" s="224"/>
      <c r="F103" s="224"/>
      <c r="G103" s="224"/>
      <c r="H103" s="224"/>
      <c r="I103" s="224"/>
      <c r="J103" s="225"/>
    </row>
    <row r="104" spans="1:11" ht="56.25" customHeight="1" x14ac:dyDescent="0.3">
      <c r="A104" s="34" t="s">
        <v>186</v>
      </c>
      <c r="B104" s="34" t="s">
        <v>185</v>
      </c>
      <c r="C104" s="12" t="s">
        <v>92</v>
      </c>
      <c r="D104" s="237" t="s">
        <v>93</v>
      </c>
      <c r="E104" s="238"/>
      <c r="F104" s="13" t="s">
        <v>94</v>
      </c>
      <c r="G104" s="12" t="s">
        <v>95</v>
      </c>
      <c r="H104" s="12" t="s">
        <v>96</v>
      </c>
      <c r="I104" s="239" t="s">
        <v>97</v>
      </c>
      <c r="J104" s="240"/>
    </row>
    <row r="105" spans="1:11" ht="15" x14ac:dyDescent="0.3">
      <c r="A105" s="113" t="s">
        <v>179</v>
      </c>
      <c r="B105" s="114"/>
      <c r="C105" s="114"/>
      <c r="D105" s="114"/>
      <c r="E105" s="114"/>
      <c r="F105" s="114"/>
      <c r="G105" s="114"/>
      <c r="H105" s="114"/>
      <c r="I105" s="114"/>
      <c r="J105" s="115"/>
    </row>
    <row r="106" spans="1:11" ht="15" x14ac:dyDescent="0.3">
      <c r="A106" s="113" t="s">
        <v>181</v>
      </c>
      <c r="B106" s="114"/>
      <c r="C106" s="114"/>
      <c r="D106" s="114"/>
      <c r="E106" s="114"/>
      <c r="F106" s="114"/>
      <c r="G106" s="114"/>
      <c r="H106" s="114"/>
      <c r="I106" s="114"/>
      <c r="J106" s="115"/>
    </row>
    <row r="107" spans="1:11" s="14" customFormat="1" ht="15.5" x14ac:dyDescent="0.35">
      <c r="A107" s="113" t="s">
        <v>163</v>
      </c>
      <c r="B107" s="114"/>
      <c r="C107" s="114"/>
      <c r="D107" s="114"/>
      <c r="E107" s="114"/>
      <c r="F107" s="114"/>
      <c r="G107" s="114"/>
      <c r="H107" s="114"/>
      <c r="I107" s="114"/>
      <c r="J107" s="115"/>
    </row>
    <row r="108" spans="1:11" s="14" customFormat="1" ht="15.5" x14ac:dyDescent="0.35">
      <c r="A108" s="113" t="s">
        <v>164</v>
      </c>
      <c r="B108" s="114"/>
      <c r="C108" s="114"/>
      <c r="D108" s="114"/>
      <c r="E108" s="114"/>
      <c r="F108" s="114"/>
      <c r="G108" s="114"/>
      <c r="H108" s="114"/>
      <c r="I108" s="114"/>
      <c r="J108" s="115"/>
    </row>
    <row r="109" spans="1:11" s="14" customFormat="1" ht="15.75" customHeight="1" x14ac:dyDescent="0.35">
      <c r="A109" s="108">
        <v>1</v>
      </c>
      <c r="B109" s="109"/>
      <c r="C109" s="15" t="s">
        <v>165</v>
      </c>
      <c r="D109" s="108">
        <f>(25.6+6.75+4.05)*10.764</f>
        <v>391.80959999999999</v>
      </c>
      <c r="E109" s="109"/>
      <c r="F109" s="15">
        <f>4.14*10.764</f>
        <v>44.562959999999997</v>
      </c>
      <c r="G109" s="15">
        <f>D109*1.45+F109</f>
        <v>612.68687999999997</v>
      </c>
      <c r="H109" s="15" t="s">
        <v>98</v>
      </c>
      <c r="I109" s="116" t="s">
        <v>167</v>
      </c>
      <c r="J109" s="117"/>
      <c r="K109" s="14">
        <f>72*G109</f>
        <v>44113.45536</v>
      </c>
    </row>
    <row r="110" spans="1:11" s="14" customFormat="1" ht="15.5" x14ac:dyDescent="0.35">
      <c r="A110" s="108">
        <v>2</v>
      </c>
      <c r="B110" s="109"/>
      <c r="C110" s="15" t="s">
        <v>166</v>
      </c>
      <c r="D110" s="108">
        <f>(37.513+1.08+7.49+6.15)*10.764</f>
        <v>562.23601199999996</v>
      </c>
      <c r="E110" s="109"/>
      <c r="F110" s="15">
        <f>4.657*10.764</f>
        <v>50.127947999999996</v>
      </c>
      <c r="G110" s="15">
        <f t="shared" ref="G110:G116" si="0">D110*1.45+F110</f>
        <v>865.37016539999991</v>
      </c>
      <c r="H110" s="15" t="s">
        <v>98</v>
      </c>
      <c r="I110" s="118"/>
      <c r="J110" s="119"/>
      <c r="K110" s="14">
        <f t="shared" ref="K110:K173" si="1">72*G110</f>
        <v>62306.651908799991</v>
      </c>
    </row>
    <row r="111" spans="1:11" s="14" customFormat="1" ht="15.5" x14ac:dyDescent="0.35">
      <c r="A111" s="108">
        <v>3</v>
      </c>
      <c r="B111" s="109"/>
      <c r="C111" s="15" t="s">
        <v>166</v>
      </c>
      <c r="D111" s="108">
        <f>(34.64+5.704+5.831)*10.764</f>
        <v>497.02770000000004</v>
      </c>
      <c r="E111" s="109"/>
      <c r="F111" s="15">
        <f>3.967*10.764</f>
        <v>42.700787999999996</v>
      </c>
      <c r="G111" s="15">
        <f t="shared" si="0"/>
        <v>763.39095299999997</v>
      </c>
      <c r="H111" s="15" t="s">
        <v>98</v>
      </c>
      <c r="I111" s="118"/>
      <c r="J111" s="119"/>
      <c r="K111" s="14">
        <f t="shared" si="1"/>
        <v>54964.148615999999</v>
      </c>
    </row>
    <row r="112" spans="1:11" s="14" customFormat="1" ht="15.5" x14ac:dyDescent="0.35">
      <c r="A112" s="108">
        <v>4</v>
      </c>
      <c r="B112" s="109"/>
      <c r="C112" s="15" t="s">
        <v>166</v>
      </c>
      <c r="D112" s="108">
        <f>(34.64+5.704+5.831)*10.764</f>
        <v>497.02770000000004</v>
      </c>
      <c r="E112" s="109"/>
      <c r="F112" s="15">
        <f>3.967*10.764</f>
        <v>42.700787999999996</v>
      </c>
      <c r="G112" s="15">
        <f t="shared" si="0"/>
        <v>763.39095299999997</v>
      </c>
      <c r="H112" s="15" t="s">
        <v>98</v>
      </c>
      <c r="I112" s="118"/>
      <c r="J112" s="119"/>
      <c r="K112" s="14">
        <f t="shared" si="1"/>
        <v>54964.148615999999</v>
      </c>
    </row>
    <row r="113" spans="1:12" s="14" customFormat="1" ht="15.75" customHeight="1" x14ac:dyDescent="0.35">
      <c r="A113" s="108">
        <v>5</v>
      </c>
      <c r="B113" s="109"/>
      <c r="C113" s="15" t="s">
        <v>166</v>
      </c>
      <c r="D113" s="108">
        <f>(37.513+1.08+7.49+6.15)*10.764</f>
        <v>562.23601199999996</v>
      </c>
      <c r="E113" s="109"/>
      <c r="F113" s="15">
        <f>4.657*10.764</f>
        <v>50.127947999999996</v>
      </c>
      <c r="G113" s="15">
        <f t="shared" si="0"/>
        <v>865.37016539999991</v>
      </c>
      <c r="H113" s="37" t="s">
        <v>98</v>
      </c>
      <c r="I113" s="118"/>
      <c r="J113" s="119"/>
      <c r="K113" s="14">
        <f t="shared" si="1"/>
        <v>62306.651908799991</v>
      </c>
    </row>
    <row r="114" spans="1:12" s="14" customFormat="1" ht="15.5" x14ac:dyDescent="0.35">
      <c r="A114" s="108">
        <v>6</v>
      </c>
      <c r="B114" s="109"/>
      <c r="C114" s="15" t="s">
        <v>165</v>
      </c>
      <c r="D114" s="108">
        <f>(25.6+6.75+4.05)*10.764</f>
        <v>391.80959999999999</v>
      </c>
      <c r="E114" s="109"/>
      <c r="F114" s="15">
        <f>4.14*10.764</f>
        <v>44.562959999999997</v>
      </c>
      <c r="G114" s="15">
        <f t="shared" si="0"/>
        <v>612.68687999999997</v>
      </c>
      <c r="H114" s="15" t="s">
        <v>98</v>
      </c>
      <c r="I114" s="118"/>
      <c r="J114" s="119"/>
      <c r="K114" s="14">
        <f t="shared" si="1"/>
        <v>44113.45536</v>
      </c>
    </row>
    <row r="115" spans="1:12" s="14" customFormat="1" ht="15.5" x14ac:dyDescent="0.35">
      <c r="A115" s="108">
        <v>7</v>
      </c>
      <c r="B115" s="109"/>
      <c r="C115" s="15" t="s">
        <v>166</v>
      </c>
      <c r="D115" s="108">
        <f>(34.64+5.704+5.831)*10.764</f>
        <v>497.02770000000004</v>
      </c>
      <c r="E115" s="109"/>
      <c r="F115" s="15">
        <f>3.795*10.764</f>
        <v>40.849379999999996</v>
      </c>
      <c r="G115" s="15">
        <f t="shared" si="0"/>
        <v>761.53954499999998</v>
      </c>
      <c r="H115" s="15" t="s">
        <v>98</v>
      </c>
      <c r="I115" s="118"/>
      <c r="J115" s="119"/>
      <c r="K115" s="14">
        <f t="shared" si="1"/>
        <v>54830.847239999996</v>
      </c>
    </row>
    <row r="116" spans="1:12" s="14" customFormat="1" ht="15.5" x14ac:dyDescent="0.35">
      <c r="A116" s="108">
        <v>8</v>
      </c>
      <c r="B116" s="109"/>
      <c r="C116" s="15" t="s">
        <v>166</v>
      </c>
      <c r="D116" s="108">
        <f>(34.64+5.704+5.831)*10.764</f>
        <v>497.02770000000004</v>
      </c>
      <c r="E116" s="109"/>
      <c r="F116" s="15">
        <f>3.795*10.764</f>
        <v>40.849379999999996</v>
      </c>
      <c r="G116" s="15">
        <f t="shared" si="0"/>
        <v>761.53954499999998</v>
      </c>
      <c r="H116" s="15" t="s">
        <v>98</v>
      </c>
      <c r="I116" s="120"/>
      <c r="J116" s="121"/>
      <c r="K116" s="14">
        <f t="shared" si="1"/>
        <v>54830.847239999996</v>
      </c>
    </row>
    <row r="117" spans="1:12" s="14" customFormat="1" ht="15.5" x14ac:dyDescent="0.35">
      <c r="A117" s="113" t="s">
        <v>168</v>
      </c>
      <c r="B117" s="114"/>
      <c r="C117" s="114"/>
      <c r="D117" s="114"/>
      <c r="E117" s="114"/>
      <c r="F117" s="114"/>
      <c r="G117" s="114"/>
      <c r="H117" s="114"/>
      <c r="I117" s="114"/>
      <c r="J117" s="115"/>
      <c r="K117" s="14">
        <f t="shared" si="1"/>
        <v>0</v>
      </c>
    </row>
    <row r="118" spans="1:12" s="14" customFormat="1" ht="15.5" x14ac:dyDescent="0.35">
      <c r="A118" s="108">
        <v>1</v>
      </c>
      <c r="B118" s="109"/>
      <c r="C118" s="15" t="s">
        <v>165</v>
      </c>
      <c r="D118" s="108">
        <f>(25.6+6.75+5.4)*10.764</f>
        <v>406.34099999999995</v>
      </c>
      <c r="E118" s="109"/>
      <c r="F118" s="15">
        <v>0</v>
      </c>
      <c r="G118" s="15">
        <f>D118*1.45+F118</f>
        <v>589.19444999999996</v>
      </c>
      <c r="H118" s="15" t="s">
        <v>98</v>
      </c>
      <c r="I118" s="116" t="str">
        <f>A117</f>
        <v>2nd, 4th &amp; 6th Floors</v>
      </c>
      <c r="J118" s="117"/>
      <c r="K118" s="14">
        <f t="shared" si="1"/>
        <v>42422.000399999997</v>
      </c>
      <c r="L118" s="14">
        <f>200*G118</f>
        <v>117838.88999999998</v>
      </c>
    </row>
    <row r="119" spans="1:12" s="14" customFormat="1" ht="15.5" x14ac:dyDescent="0.35">
      <c r="A119" s="108">
        <v>2</v>
      </c>
      <c r="B119" s="109"/>
      <c r="C119" s="15" t="s">
        <v>166</v>
      </c>
      <c r="D119" s="108">
        <f>(37.513+1.08+7.49+7.669)*10.764</f>
        <v>578.58652799999993</v>
      </c>
      <c r="E119" s="109"/>
      <c r="F119" s="15">
        <v>0</v>
      </c>
      <c r="G119" s="15">
        <f t="shared" ref="G119:G122" si="2">D119*1.45+F119</f>
        <v>838.95046559999992</v>
      </c>
      <c r="H119" s="15" t="s">
        <v>98</v>
      </c>
      <c r="I119" s="118"/>
      <c r="J119" s="119"/>
      <c r="K119" s="14">
        <f t="shared" si="1"/>
        <v>60404.433523199994</v>
      </c>
      <c r="L119" s="14">
        <f t="shared" ref="L119:L126" si="3">200*G119</f>
        <v>167790.09311999998</v>
      </c>
    </row>
    <row r="120" spans="1:12" s="14" customFormat="1" ht="15.5" x14ac:dyDescent="0.35">
      <c r="A120" s="108">
        <v>3</v>
      </c>
      <c r="B120" s="109"/>
      <c r="C120" s="15" t="s">
        <v>166</v>
      </c>
      <c r="D120" s="108">
        <f>(34.64+5.704+7.125)*10.764</f>
        <v>510.95631599999996</v>
      </c>
      <c r="E120" s="109"/>
      <c r="F120" s="15">
        <v>0</v>
      </c>
      <c r="G120" s="15">
        <f t="shared" si="2"/>
        <v>740.88665819999994</v>
      </c>
      <c r="H120" s="15" t="s">
        <v>98</v>
      </c>
      <c r="I120" s="118"/>
      <c r="J120" s="119"/>
      <c r="K120" s="14">
        <f t="shared" si="1"/>
        <v>53343.839390399997</v>
      </c>
      <c r="L120" s="14">
        <f t="shared" si="3"/>
        <v>148177.33163999999</v>
      </c>
    </row>
    <row r="121" spans="1:12" s="14" customFormat="1" ht="15.5" x14ac:dyDescent="0.35">
      <c r="A121" s="108">
        <v>4</v>
      </c>
      <c r="B121" s="109"/>
      <c r="C121" s="15" t="s">
        <v>166</v>
      </c>
      <c r="D121" s="108">
        <f>(34.64+5.704+7.125)*10.764</f>
        <v>510.95631599999996</v>
      </c>
      <c r="E121" s="109"/>
      <c r="F121" s="15">
        <v>0</v>
      </c>
      <c r="G121" s="15">
        <f t="shared" si="2"/>
        <v>740.88665819999994</v>
      </c>
      <c r="H121" s="15" t="s">
        <v>98</v>
      </c>
      <c r="I121" s="118"/>
      <c r="J121" s="119"/>
      <c r="K121" s="14">
        <f t="shared" si="1"/>
        <v>53343.839390399997</v>
      </c>
      <c r="L121" s="14">
        <f t="shared" si="3"/>
        <v>148177.33163999999</v>
      </c>
    </row>
    <row r="122" spans="1:12" s="14" customFormat="1" ht="15.5" x14ac:dyDescent="0.35">
      <c r="A122" s="108">
        <v>5</v>
      </c>
      <c r="B122" s="109"/>
      <c r="C122" s="15" t="s">
        <v>166</v>
      </c>
      <c r="D122" s="108">
        <f>(37.513+1.08+7.49+7.669)*10.764</f>
        <v>578.58652799999993</v>
      </c>
      <c r="E122" s="109"/>
      <c r="F122" s="15">
        <v>0</v>
      </c>
      <c r="G122" s="15">
        <f t="shared" si="2"/>
        <v>838.95046559999992</v>
      </c>
      <c r="H122" s="15" t="s">
        <v>98</v>
      </c>
      <c r="I122" s="118"/>
      <c r="J122" s="119"/>
      <c r="K122" s="14">
        <f t="shared" si="1"/>
        <v>60404.433523199994</v>
      </c>
      <c r="L122" s="14">
        <f t="shared" si="3"/>
        <v>167790.09311999998</v>
      </c>
    </row>
    <row r="123" spans="1:12" s="14" customFormat="1" ht="15.5" x14ac:dyDescent="0.35">
      <c r="A123" s="108">
        <v>6</v>
      </c>
      <c r="B123" s="109"/>
      <c r="C123" s="15" t="s">
        <v>165</v>
      </c>
      <c r="D123" s="108">
        <f>(25.6+6.75+5.4)*10.764</f>
        <v>406.34099999999995</v>
      </c>
      <c r="E123" s="109"/>
      <c r="F123" s="15">
        <v>0</v>
      </c>
      <c r="G123" s="15">
        <f t="shared" ref="G123:G125" si="4">D123*1.45+F123</f>
        <v>589.19444999999996</v>
      </c>
      <c r="H123" s="15" t="s">
        <v>98</v>
      </c>
      <c r="I123" s="118"/>
      <c r="J123" s="119"/>
      <c r="K123" s="14">
        <f t="shared" si="1"/>
        <v>42422.000399999997</v>
      </c>
      <c r="L123" s="14">
        <f t="shared" si="3"/>
        <v>117838.88999999998</v>
      </c>
    </row>
    <row r="124" spans="1:12" s="14" customFormat="1" ht="15.5" x14ac:dyDescent="0.35">
      <c r="A124" s="108">
        <v>7</v>
      </c>
      <c r="B124" s="109"/>
      <c r="C124" s="15" t="s">
        <v>166</v>
      </c>
      <c r="D124" s="108">
        <f>(34.64+5.704+7.125)*10.764</f>
        <v>510.95631599999996</v>
      </c>
      <c r="E124" s="109"/>
      <c r="F124" s="15">
        <v>0</v>
      </c>
      <c r="G124" s="15">
        <f t="shared" si="4"/>
        <v>740.88665819999994</v>
      </c>
      <c r="H124" s="15" t="s">
        <v>98</v>
      </c>
      <c r="I124" s="118"/>
      <c r="J124" s="119"/>
      <c r="K124" s="14">
        <f t="shared" si="1"/>
        <v>53343.839390399997</v>
      </c>
      <c r="L124" s="14">
        <f t="shared" si="3"/>
        <v>148177.33163999999</v>
      </c>
    </row>
    <row r="125" spans="1:12" s="14" customFormat="1" ht="15.5" x14ac:dyDescent="0.35">
      <c r="A125" s="108">
        <v>8</v>
      </c>
      <c r="B125" s="109"/>
      <c r="C125" s="15" t="s">
        <v>166</v>
      </c>
      <c r="D125" s="108">
        <f>(34.64+5.704+7.125)*10.764</f>
        <v>510.95631599999996</v>
      </c>
      <c r="E125" s="109"/>
      <c r="F125" s="15">
        <v>0</v>
      </c>
      <c r="G125" s="15">
        <f t="shared" si="4"/>
        <v>740.88665819999994</v>
      </c>
      <c r="H125" s="15" t="s">
        <v>98</v>
      </c>
      <c r="I125" s="120"/>
      <c r="J125" s="121"/>
      <c r="K125" s="14">
        <f t="shared" si="1"/>
        <v>53343.839390399997</v>
      </c>
      <c r="L125" s="14">
        <f t="shared" si="3"/>
        <v>148177.33163999999</v>
      </c>
    </row>
    <row r="126" spans="1:12" ht="15.5" x14ac:dyDescent="0.3">
      <c r="A126" s="113" t="s">
        <v>180</v>
      </c>
      <c r="B126" s="114"/>
      <c r="C126" s="114"/>
      <c r="D126" s="114"/>
      <c r="E126" s="114"/>
      <c r="F126" s="114"/>
      <c r="G126" s="114"/>
      <c r="H126" s="114"/>
      <c r="I126" s="114"/>
      <c r="J126" s="115"/>
      <c r="K126" s="14">
        <f t="shared" si="1"/>
        <v>0</v>
      </c>
      <c r="L126" s="14">
        <f t="shared" si="3"/>
        <v>0</v>
      </c>
    </row>
    <row r="127" spans="1:12" s="14" customFormat="1" ht="15.5" x14ac:dyDescent="0.35">
      <c r="A127" s="113" t="s">
        <v>163</v>
      </c>
      <c r="B127" s="114"/>
      <c r="C127" s="114"/>
      <c r="D127" s="114"/>
      <c r="E127" s="114"/>
      <c r="F127" s="114"/>
      <c r="G127" s="114"/>
      <c r="H127" s="114"/>
      <c r="I127" s="114"/>
      <c r="J127" s="115"/>
      <c r="K127" s="14">
        <f t="shared" si="1"/>
        <v>0</v>
      </c>
    </row>
    <row r="128" spans="1:12" s="14" customFormat="1" ht="15.5" x14ac:dyDescent="0.35">
      <c r="A128" s="113" t="s">
        <v>164</v>
      </c>
      <c r="B128" s="114"/>
      <c r="C128" s="114"/>
      <c r="D128" s="114"/>
      <c r="E128" s="114"/>
      <c r="F128" s="114"/>
      <c r="G128" s="114"/>
      <c r="H128" s="114"/>
      <c r="I128" s="114"/>
      <c r="J128" s="115"/>
      <c r="K128" s="14">
        <f t="shared" si="1"/>
        <v>0</v>
      </c>
    </row>
    <row r="129" spans="1:12" s="14" customFormat="1" ht="15.75" customHeight="1" x14ac:dyDescent="0.35">
      <c r="A129" s="108">
        <v>1</v>
      </c>
      <c r="B129" s="109"/>
      <c r="C129" s="15" t="s">
        <v>165</v>
      </c>
      <c r="D129" s="108">
        <f>(25.6+6.75+4.05)*10.764</f>
        <v>391.80959999999999</v>
      </c>
      <c r="E129" s="109"/>
      <c r="F129" s="15">
        <f>4.14*10.764</f>
        <v>44.562959999999997</v>
      </c>
      <c r="G129" s="15">
        <f>D129*1.45+F129</f>
        <v>612.68687999999997</v>
      </c>
      <c r="H129" s="15" t="s">
        <v>98</v>
      </c>
      <c r="I129" s="116" t="s">
        <v>167</v>
      </c>
      <c r="J129" s="117"/>
      <c r="K129" s="14">
        <f t="shared" si="1"/>
        <v>44113.45536</v>
      </c>
    </row>
    <row r="130" spans="1:12" s="14" customFormat="1" ht="15.5" x14ac:dyDescent="0.35">
      <c r="A130" s="108">
        <v>2</v>
      </c>
      <c r="B130" s="109"/>
      <c r="C130" s="15" t="s">
        <v>166</v>
      </c>
      <c r="D130" s="108">
        <f>(37.513+1.08+7.49+6.15)*10.764</f>
        <v>562.23601199999996</v>
      </c>
      <c r="E130" s="109"/>
      <c r="F130" s="15">
        <f>4.657*10.764</f>
        <v>50.127947999999996</v>
      </c>
      <c r="G130" s="15">
        <f t="shared" ref="G130:G136" si="5">D130*1.45+F130</f>
        <v>865.37016539999991</v>
      </c>
      <c r="H130" s="15" t="s">
        <v>98</v>
      </c>
      <c r="I130" s="118"/>
      <c r="J130" s="119"/>
      <c r="K130" s="14">
        <f t="shared" si="1"/>
        <v>62306.651908799991</v>
      </c>
    </row>
    <row r="131" spans="1:12" s="14" customFormat="1" ht="15.5" x14ac:dyDescent="0.35">
      <c r="A131" s="108">
        <v>3</v>
      </c>
      <c r="B131" s="109"/>
      <c r="C131" s="15" t="s">
        <v>166</v>
      </c>
      <c r="D131" s="108">
        <f>(34.64+5.704+5.831)*10.764</f>
        <v>497.02770000000004</v>
      </c>
      <c r="E131" s="109"/>
      <c r="F131" s="15">
        <f>3.967*10.764</f>
        <v>42.700787999999996</v>
      </c>
      <c r="G131" s="15">
        <f t="shared" si="5"/>
        <v>763.39095299999997</v>
      </c>
      <c r="H131" s="15" t="s">
        <v>98</v>
      </c>
      <c r="I131" s="118"/>
      <c r="J131" s="119"/>
      <c r="K131" s="14">
        <f t="shared" si="1"/>
        <v>54964.148615999999</v>
      </c>
    </row>
    <row r="132" spans="1:12" s="14" customFormat="1" ht="15.75" customHeight="1" x14ac:dyDescent="0.35">
      <c r="A132" s="108">
        <v>4</v>
      </c>
      <c r="B132" s="109"/>
      <c r="C132" s="15" t="s">
        <v>166</v>
      </c>
      <c r="D132" s="108">
        <f>(34.64+5.704+5.831)*10.764</f>
        <v>497.02770000000004</v>
      </c>
      <c r="E132" s="109"/>
      <c r="F132" s="15">
        <f>3.967*10.764</f>
        <v>42.700787999999996</v>
      </c>
      <c r="G132" s="15">
        <f t="shared" si="5"/>
        <v>763.39095299999997</v>
      </c>
      <c r="H132" s="38" t="s">
        <v>98</v>
      </c>
      <c r="I132" s="118"/>
      <c r="J132" s="119"/>
      <c r="K132" s="14">
        <f t="shared" si="1"/>
        <v>54964.148615999999</v>
      </c>
    </row>
    <row r="133" spans="1:12" s="14" customFormat="1" ht="15.5" x14ac:dyDescent="0.35">
      <c r="A133" s="108">
        <v>5</v>
      </c>
      <c r="B133" s="109"/>
      <c r="C133" s="15" t="s">
        <v>166</v>
      </c>
      <c r="D133" s="108">
        <f>(37.513+1.08+7.49+6.15)*10.764</f>
        <v>562.23601199999996</v>
      </c>
      <c r="E133" s="109"/>
      <c r="F133" s="15">
        <f>4.657*10.764</f>
        <v>50.127947999999996</v>
      </c>
      <c r="G133" s="15">
        <f t="shared" si="5"/>
        <v>865.37016539999991</v>
      </c>
      <c r="H133" s="14" t="s">
        <v>98</v>
      </c>
      <c r="I133" s="118"/>
      <c r="J133" s="119"/>
      <c r="K133" s="14">
        <f t="shared" si="1"/>
        <v>62306.651908799991</v>
      </c>
    </row>
    <row r="134" spans="1:12" s="14" customFormat="1" ht="15.5" x14ac:dyDescent="0.35">
      <c r="A134" s="108">
        <v>6</v>
      </c>
      <c r="B134" s="109"/>
      <c r="C134" s="15" t="s">
        <v>165</v>
      </c>
      <c r="D134" s="108">
        <f>(25.6+6.75+4.05)*10.764</f>
        <v>391.80959999999999</v>
      </c>
      <c r="E134" s="109"/>
      <c r="F134" s="15">
        <f>4.14*10.764</f>
        <v>44.562959999999997</v>
      </c>
      <c r="G134" s="15">
        <f t="shared" si="5"/>
        <v>612.68687999999997</v>
      </c>
      <c r="H134" s="38" t="s">
        <v>98</v>
      </c>
      <c r="I134" s="118"/>
      <c r="J134" s="119"/>
      <c r="K134" s="14">
        <f t="shared" si="1"/>
        <v>44113.45536</v>
      </c>
    </row>
    <row r="135" spans="1:12" s="14" customFormat="1" ht="15.5" x14ac:dyDescent="0.35">
      <c r="A135" s="108">
        <v>7</v>
      </c>
      <c r="B135" s="109"/>
      <c r="C135" s="15" t="s">
        <v>166</v>
      </c>
      <c r="D135" s="108">
        <f>(34.64+5.704+5.831)*10.764</f>
        <v>497.02770000000004</v>
      </c>
      <c r="E135" s="109"/>
      <c r="F135" s="15">
        <f>3.795*10.764</f>
        <v>40.849379999999996</v>
      </c>
      <c r="G135" s="15">
        <f t="shared" si="5"/>
        <v>761.53954499999998</v>
      </c>
      <c r="H135" s="38" t="s">
        <v>98</v>
      </c>
      <c r="I135" s="118"/>
      <c r="J135" s="119"/>
      <c r="K135" s="14">
        <f t="shared" si="1"/>
        <v>54830.847239999996</v>
      </c>
    </row>
    <row r="136" spans="1:12" s="14" customFormat="1" ht="15.5" x14ac:dyDescent="0.35">
      <c r="A136" s="108">
        <v>8</v>
      </c>
      <c r="B136" s="109"/>
      <c r="C136" s="15" t="s">
        <v>166</v>
      </c>
      <c r="D136" s="108">
        <f>(34.64+5.704+5.831)*10.764</f>
        <v>497.02770000000004</v>
      </c>
      <c r="E136" s="109"/>
      <c r="F136" s="15">
        <f>3.795*10.764</f>
        <v>40.849379999999996</v>
      </c>
      <c r="G136" s="15">
        <f t="shared" si="5"/>
        <v>761.53954499999998</v>
      </c>
      <c r="H136" s="38" t="s">
        <v>98</v>
      </c>
      <c r="I136" s="120"/>
      <c r="J136" s="121"/>
      <c r="K136" s="14">
        <f t="shared" si="1"/>
        <v>54830.847239999996</v>
      </c>
    </row>
    <row r="137" spans="1:12" s="14" customFormat="1" ht="15.5" x14ac:dyDescent="0.35">
      <c r="A137" s="113" t="s">
        <v>168</v>
      </c>
      <c r="B137" s="114"/>
      <c r="C137" s="114"/>
      <c r="D137" s="114"/>
      <c r="E137" s="114"/>
      <c r="F137" s="114"/>
      <c r="G137" s="114"/>
      <c r="H137" s="114"/>
      <c r="I137" s="114"/>
      <c r="J137" s="115"/>
      <c r="K137" s="14">
        <f t="shared" si="1"/>
        <v>0</v>
      </c>
    </row>
    <row r="138" spans="1:12" s="14" customFormat="1" ht="15.5" x14ac:dyDescent="0.35">
      <c r="A138" s="108">
        <v>1</v>
      </c>
      <c r="B138" s="109"/>
      <c r="C138" s="15" t="s">
        <v>165</v>
      </c>
      <c r="D138" s="108">
        <f>(25.6+6.75+5.4)*10.764</f>
        <v>406.34099999999995</v>
      </c>
      <c r="E138" s="109"/>
      <c r="F138" s="15">
        <v>0</v>
      </c>
      <c r="G138" s="15">
        <f>D138*1.45+F138</f>
        <v>589.19444999999996</v>
      </c>
      <c r="H138" s="15" t="s">
        <v>98</v>
      </c>
      <c r="I138" s="116" t="str">
        <f>A137</f>
        <v>2nd, 4th &amp; 6th Floors</v>
      </c>
      <c r="J138" s="117"/>
      <c r="K138" s="14">
        <f t="shared" si="1"/>
        <v>42422.000399999997</v>
      </c>
      <c r="L138" s="14">
        <f t="shared" ref="L138:L145" si="6">200*G138</f>
        <v>117838.88999999998</v>
      </c>
    </row>
    <row r="139" spans="1:12" s="14" customFormat="1" ht="15.5" x14ac:dyDescent="0.35">
      <c r="A139" s="108">
        <v>2</v>
      </c>
      <c r="B139" s="109"/>
      <c r="C139" s="15" t="s">
        <v>166</v>
      </c>
      <c r="D139" s="108">
        <f>(37.513+1.08+7.49+7.669)*10.764</f>
        <v>578.58652799999993</v>
      </c>
      <c r="E139" s="109"/>
      <c r="F139" s="15">
        <v>0</v>
      </c>
      <c r="G139" s="15">
        <f t="shared" ref="G139:G145" si="7">D139*1.45+F139</f>
        <v>838.95046559999992</v>
      </c>
      <c r="H139" s="15" t="s">
        <v>98</v>
      </c>
      <c r="I139" s="118"/>
      <c r="J139" s="119"/>
      <c r="K139" s="14">
        <f t="shared" si="1"/>
        <v>60404.433523199994</v>
      </c>
      <c r="L139" s="14">
        <f t="shared" si="6"/>
        <v>167790.09311999998</v>
      </c>
    </row>
    <row r="140" spans="1:12" s="14" customFormat="1" ht="15.5" x14ac:dyDescent="0.35">
      <c r="A140" s="108">
        <v>3</v>
      </c>
      <c r="B140" s="109"/>
      <c r="C140" s="15" t="s">
        <v>166</v>
      </c>
      <c r="D140" s="108">
        <f>(34.64+5.704+7.125)*10.764</f>
        <v>510.95631599999996</v>
      </c>
      <c r="E140" s="109"/>
      <c r="F140" s="15">
        <v>0</v>
      </c>
      <c r="G140" s="15">
        <f t="shared" si="7"/>
        <v>740.88665819999994</v>
      </c>
      <c r="H140" s="15" t="s">
        <v>98</v>
      </c>
      <c r="I140" s="118"/>
      <c r="J140" s="119"/>
      <c r="K140" s="14">
        <f t="shared" si="1"/>
        <v>53343.839390399997</v>
      </c>
      <c r="L140" s="14">
        <f t="shared" si="6"/>
        <v>148177.33163999999</v>
      </c>
    </row>
    <row r="141" spans="1:12" s="14" customFormat="1" ht="15.5" x14ac:dyDescent="0.35">
      <c r="A141" s="108">
        <v>4</v>
      </c>
      <c r="B141" s="109"/>
      <c r="C141" s="15" t="s">
        <v>166</v>
      </c>
      <c r="D141" s="108">
        <f>(34.64+5.704+7.125)*10.764</f>
        <v>510.95631599999996</v>
      </c>
      <c r="E141" s="109"/>
      <c r="F141" s="15">
        <v>0</v>
      </c>
      <c r="G141" s="15">
        <f t="shared" si="7"/>
        <v>740.88665819999994</v>
      </c>
      <c r="H141" s="15" t="s">
        <v>98</v>
      </c>
      <c r="I141" s="118"/>
      <c r="J141" s="119"/>
      <c r="K141" s="14">
        <f t="shared" si="1"/>
        <v>53343.839390399997</v>
      </c>
      <c r="L141" s="14">
        <f t="shared" si="6"/>
        <v>148177.33163999999</v>
      </c>
    </row>
    <row r="142" spans="1:12" s="14" customFormat="1" ht="15.5" x14ac:dyDescent="0.35">
      <c r="A142" s="108">
        <v>5</v>
      </c>
      <c r="B142" s="109"/>
      <c r="C142" s="15" t="s">
        <v>166</v>
      </c>
      <c r="D142" s="108">
        <f>(37.513+1.08+7.49+7.669)*10.764</f>
        <v>578.58652799999993</v>
      </c>
      <c r="E142" s="109"/>
      <c r="F142" s="15">
        <v>0</v>
      </c>
      <c r="G142" s="15">
        <f t="shared" si="7"/>
        <v>838.95046559999992</v>
      </c>
      <c r="H142" s="15" t="s">
        <v>98</v>
      </c>
      <c r="I142" s="118"/>
      <c r="J142" s="119"/>
      <c r="K142" s="14">
        <f t="shared" si="1"/>
        <v>60404.433523199994</v>
      </c>
      <c r="L142" s="14">
        <f t="shared" si="6"/>
        <v>167790.09311999998</v>
      </c>
    </row>
    <row r="143" spans="1:12" s="14" customFormat="1" ht="15.5" x14ac:dyDescent="0.35">
      <c r="A143" s="108">
        <v>6</v>
      </c>
      <c r="B143" s="109"/>
      <c r="C143" s="15" t="s">
        <v>165</v>
      </c>
      <c r="D143" s="108">
        <f>(25.6+6.75+5.4)*10.764</f>
        <v>406.34099999999995</v>
      </c>
      <c r="E143" s="109"/>
      <c r="F143" s="15">
        <v>0</v>
      </c>
      <c r="G143" s="15">
        <f t="shared" si="7"/>
        <v>589.19444999999996</v>
      </c>
      <c r="H143" s="15" t="s">
        <v>98</v>
      </c>
      <c r="I143" s="118"/>
      <c r="J143" s="119"/>
      <c r="K143" s="14">
        <f t="shared" si="1"/>
        <v>42422.000399999997</v>
      </c>
      <c r="L143" s="14">
        <f t="shared" si="6"/>
        <v>117838.88999999998</v>
      </c>
    </row>
    <row r="144" spans="1:12" s="14" customFormat="1" ht="15.5" x14ac:dyDescent="0.35">
      <c r="A144" s="108">
        <v>7</v>
      </c>
      <c r="B144" s="109"/>
      <c r="C144" s="15" t="s">
        <v>166</v>
      </c>
      <c r="D144" s="108">
        <f>(34.64+5.704+7.125)*10.764</f>
        <v>510.95631599999996</v>
      </c>
      <c r="E144" s="109"/>
      <c r="F144" s="15">
        <v>0</v>
      </c>
      <c r="G144" s="15">
        <f t="shared" si="7"/>
        <v>740.88665819999994</v>
      </c>
      <c r="H144" s="15" t="s">
        <v>98</v>
      </c>
      <c r="I144" s="118"/>
      <c r="J144" s="119"/>
      <c r="K144" s="14">
        <f t="shared" si="1"/>
        <v>53343.839390399997</v>
      </c>
      <c r="L144" s="14">
        <f t="shared" si="6"/>
        <v>148177.33163999999</v>
      </c>
    </row>
    <row r="145" spans="1:12" s="14" customFormat="1" ht="15.5" x14ac:dyDescent="0.35">
      <c r="A145" s="108">
        <v>8</v>
      </c>
      <c r="B145" s="109"/>
      <c r="C145" s="15" t="s">
        <v>166</v>
      </c>
      <c r="D145" s="108">
        <f>(34.64+5.704+7.125)*10.764</f>
        <v>510.95631599999996</v>
      </c>
      <c r="E145" s="109"/>
      <c r="F145" s="15">
        <v>0</v>
      </c>
      <c r="G145" s="15">
        <f t="shared" si="7"/>
        <v>740.88665819999994</v>
      </c>
      <c r="H145" s="15" t="s">
        <v>98</v>
      </c>
      <c r="I145" s="120"/>
      <c r="J145" s="121"/>
      <c r="K145" s="14">
        <f t="shared" si="1"/>
        <v>53343.839390399997</v>
      </c>
      <c r="L145" s="14">
        <f t="shared" si="6"/>
        <v>148177.33163999999</v>
      </c>
    </row>
    <row r="146" spans="1:12" s="14" customFormat="1" ht="15.5" x14ac:dyDescent="0.35">
      <c r="A146" s="113" t="s">
        <v>169</v>
      </c>
      <c r="B146" s="114"/>
      <c r="C146" s="114"/>
      <c r="D146" s="114"/>
      <c r="E146" s="114"/>
      <c r="F146" s="114"/>
      <c r="G146" s="114"/>
      <c r="H146" s="114"/>
      <c r="I146" s="114"/>
      <c r="J146" s="115"/>
      <c r="K146" s="14">
        <f t="shared" si="1"/>
        <v>0</v>
      </c>
    </row>
    <row r="147" spans="1:12" s="14" customFormat="1" ht="15.5" x14ac:dyDescent="0.35">
      <c r="A147" s="113" t="s">
        <v>163</v>
      </c>
      <c r="B147" s="114"/>
      <c r="C147" s="114"/>
      <c r="D147" s="114"/>
      <c r="E147" s="114"/>
      <c r="F147" s="114"/>
      <c r="G147" s="114"/>
      <c r="H147" s="114"/>
      <c r="I147" s="114"/>
      <c r="J147" s="115"/>
      <c r="K147" s="14">
        <f t="shared" si="1"/>
        <v>0</v>
      </c>
    </row>
    <row r="148" spans="1:12" s="14" customFormat="1" ht="15.5" x14ac:dyDescent="0.35">
      <c r="A148" s="113" t="s">
        <v>170</v>
      </c>
      <c r="B148" s="114"/>
      <c r="C148" s="114"/>
      <c r="D148" s="114"/>
      <c r="E148" s="114"/>
      <c r="F148" s="114"/>
      <c r="G148" s="114"/>
      <c r="H148" s="114"/>
      <c r="I148" s="114"/>
      <c r="J148" s="115"/>
      <c r="K148" s="14">
        <f t="shared" si="1"/>
        <v>0</v>
      </c>
    </row>
    <row r="149" spans="1:12" s="14" customFormat="1" ht="15.5" x14ac:dyDescent="0.35">
      <c r="A149" s="108">
        <v>1</v>
      </c>
      <c r="B149" s="109"/>
      <c r="C149" s="15" t="s">
        <v>171</v>
      </c>
      <c r="D149" s="108">
        <f>(17.92+3.272+2.231)*10.764</f>
        <v>252.12517199999999</v>
      </c>
      <c r="E149" s="109"/>
      <c r="F149" s="15">
        <f>3.6*10.764</f>
        <v>38.750399999999999</v>
      </c>
      <c r="G149" s="15">
        <f>D149*1.45+F149</f>
        <v>404.3318994</v>
      </c>
      <c r="H149" s="15" t="s">
        <v>98</v>
      </c>
      <c r="I149" s="116" t="s">
        <v>172</v>
      </c>
      <c r="J149" s="117"/>
      <c r="K149" s="14">
        <f t="shared" si="1"/>
        <v>29111.896756800001</v>
      </c>
    </row>
    <row r="150" spans="1:12" s="14" customFormat="1" ht="15.5" x14ac:dyDescent="0.35">
      <c r="A150" s="108">
        <v>2</v>
      </c>
      <c r="B150" s="109"/>
      <c r="C150" s="15" t="s">
        <v>171</v>
      </c>
      <c r="D150" s="108">
        <f>(17.92+3.272+2.231)*10.764</f>
        <v>252.12517199999999</v>
      </c>
      <c r="E150" s="109"/>
      <c r="F150" s="15">
        <f>3.712*10.764</f>
        <v>39.955967999999999</v>
      </c>
      <c r="G150" s="15">
        <f t="shared" ref="G150:G156" si="8">D150*1.45+F150</f>
        <v>405.53746739999997</v>
      </c>
      <c r="H150" s="15" t="s">
        <v>98</v>
      </c>
      <c r="I150" s="118"/>
      <c r="J150" s="119"/>
      <c r="K150" s="14">
        <f t="shared" si="1"/>
        <v>29198.697652799998</v>
      </c>
    </row>
    <row r="151" spans="1:12" s="14" customFormat="1" ht="15.5" x14ac:dyDescent="0.35">
      <c r="A151" s="108">
        <v>3</v>
      </c>
      <c r="B151" s="109"/>
      <c r="C151" s="15" t="s">
        <v>171</v>
      </c>
      <c r="D151" s="108">
        <f>(17.245+0.945+3.355+2.287)*10.764</f>
        <v>256.527648</v>
      </c>
      <c r="E151" s="109"/>
      <c r="F151" s="15">
        <f>3.712*10.764</f>
        <v>39.955967999999999</v>
      </c>
      <c r="G151" s="15">
        <f t="shared" si="8"/>
        <v>411.92105759999998</v>
      </c>
      <c r="H151" s="15" t="s">
        <v>98</v>
      </c>
      <c r="I151" s="118"/>
      <c r="J151" s="119"/>
      <c r="K151" s="14">
        <f t="shared" si="1"/>
        <v>29658.316147199999</v>
      </c>
    </row>
    <row r="152" spans="1:12" s="14" customFormat="1" ht="15.5" x14ac:dyDescent="0.35">
      <c r="A152" s="108">
        <v>4</v>
      </c>
      <c r="B152" s="109"/>
      <c r="C152" s="15" t="s">
        <v>171</v>
      </c>
      <c r="D152" s="108">
        <f>(17.245+0.945+3.355+2.287)*10.764</f>
        <v>256.527648</v>
      </c>
      <c r="E152" s="109"/>
      <c r="F152" s="15">
        <f>3.6*10.764</f>
        <v>38.750399999999999</v>
      </c>
      <c r="G152" s="15">
        <f t="shared" si="8"/>
        <v>410.71548960000001</v>
      </c>
      <c r="H152" s="15" t="s">
        <v>98</v>
      </c>
      <c r="I152" s="118"/>
      <c r="J152" s="119"/>
      <c r="K152" s="14">
        <f t="shared" si="1"/>
        <v>29571.515251200002</v>
      </c>
    </row>
    <row r="153" spans="1:12" s="14" customFormat="1" ht="15.5" x14ac:dyDescent="0.35">
      <c r="A153" s="108">
        <v>5</v>
      </c>
      <c r="B153" s="109"/>
      <c r="C153" s="15" t="s">
        <v>171</v>
      </c>
      <c r="D153" s="108">
        <f>(17.92+3.272+2.231)*10.764</f>
        <v>252.12517199999999</v>
      </c>
      <c r="E153" s="109"/>
      <c r="F153" s="15">
        <f>3.6*10.764</f>
        <v>38.750399999999999</v>
      </c>
      <c r="G153" s="15">
        <f t="shared" si="8"/>
        <v>404.3318994</v>
      </c>
      <c r="H153" s="15" t="s">
        <v>98</v>
      </c>
      <c r="I153" s="118"/>
      <c r="J153" s="119"/>
      <c r="K153" s="14">
        <f t="shared" si="1"/>
        <v>29111.896756800001</v>
      </c>
    </row>
    <row r="154" spans="1:12" s="14" customFormat="1" ht="15.5" x14ac:dyDescent="0.35">
      <c r="A154" s="108">
        <v>6</v>
      </c>
      <c r="B154" s="109"/>
      <c r="C154" s="15" t="s">
        <v>171</v>
      </c>
      <c r="D154" s="108">
        <f>(17.92+3.272+2.231)*10.764</f>
        <v>252.12517199999999</v>
      </c>
      <c r="E154" s="109"/>
      <c r="F154" s="15">
        <f>3.712*10.764</f>
        <v>39.955967999999999</v>
      </c>
      <c r="G154" s="15">
        <f t="shared" si="8"/>
        <v>405.53746739999997</v>
      </c>
      <c r="H154" s="15" t="s">
        <v>98</v>
      </c>
      <c r="I154" s="118"/>
      <c r="J154" s="119"/>
      <c r="K154" s="14">
        <f t="shared" si="1"/>
        <v>29198.697652799998</v>
      </c>
    </row>
    <row r="155" spans="1:12" s="14" customFormat="1" ht="15.5" x14ac:dyDescent="0.35">
      <c r="A155" s="108">
        <v>7</v>
      </c>
      <c r="B155" s="109"/>
      <c r="C155" s="15" t="s">
        <v>171</v>
      </c>
      <c r="D155" s="108">
        <f>(17.245+0.945+3.355+2.287)*10.764</f>
        <v>256.527648</v>
      </c>
      <c r="E155" s="109"/>
      <c r="F155" s="15">
        <f>3.712*10.764</f>
        <v>39.955967999999999</v>
      </c>
      <c r="G155" s="15">
        <f t="shared" si="8"/>
        <v>411.92105759999998</v>
      </c>
      <c r="H155" s="15" t="s">
        <v>98</v>
      </c>
      <c r="I155" s="118"/>
      <c r="J155" s="119"/>
      <c r="K155" s="14">
        <f t="shared" si="1"/>
        <v>29658.316147199999</v>
      </c>
    </row>
    <row r="156" spans="1:12" s="14" customFormat="1" ht="15.5" x14ac:dyDescent="0.35">
      <c r="A156" s="108">
        <v>8</v>
      </c>
      <c r="B156" s="109"/>
      <c r="C156" s="15" t="s">
        <v>171</v>
      </c>
      <c r="D156" s="108">
        <f>(21.832+5.78+3.75)*10.764</f>
        <v>337.58056800000003</v>
      </c>
      <c r="E156" s="109"/>
      <c r="F156" s="15">
        <f>4.05*10.764</f>
        <v>43.594199999999994</v>
      </c>
      <c r="G156" s="15">
        <f t="shared" si="8"/>
        <v>533.08602359999998</v>
      </c>
      <c r="H156" s="15" t="s">
        <v>98</v>
      </c>
      <c r="I156" s="120"/>
      <c r="J156" s="121"/>
      <c r="K156" s="14">
        <f t="shared" si="1"/>
        <v>38382.193699199997</v>
      </c>
    </row>
    <row r="157" spans="1:12" s="14" customFormat="1" ht="15.5" x14ac:dyDescent="0.35">
      <c r="A157" s="113" t="s">
        <v>168</v>
      </c>
      <c r="B157" s="114"/>
      <c r="C157" s="114"/>
      <c r="D157" s="114"/>
      <c r="E157" s="114"/>
      <c r="F157" s="114"/>
      <c r="G157" s="114"/>
      <c r="H157" s="114"/>
      <c r="I157" s="114"/>
      <c r="J157" s="115"/>
      <c r="K157" s="14">
        <f t="shared" si="1"/>
        <v>0</v>
      </c>
    </row>
    <row r="158" spans="1:12" s="14" customFormat="1" ht="15.5" x14ac:dyDescent="0.35">
      <c r="A158" s="108">
        <v>1</v>
      </c>
      <c r="B158" s="109"/>
      <c r="C158" s="15" t="s">
        <v>171</v>
      </c>
      <c r="D158" s="108">
        <f>(17.92+3.272+4.031)*10.764</f>
        <v>271.50037199999997</v>
      </c>
      <c r="E158" s="109"/>
      <c r="F158" s="15">
        <v>0</v>
      </c>
      <c r="G158" s="15">
        <f>D158*1.45+F158</f>
        <v>393.67553939999993</v>
      </c>
      <c r="H158" s="15" t="s">
        <v>98</v>
      </c>
      <c r="I158" s="116" t="str">
        <f>A157</f>
        <v>2nd, 4th &amp; 6th Floors</v>
      </c>
      <c r="J158" s="117"/>
      <c r="K158" s="14">
        <f t="shared" si="1"/>
        <v>28344.638836799997</v>
      </c>
    </row>
    <row r="159" spans="1:12" s="14" customFormat="1" ht="15.5" x14ac:dyDescent="0.35">
      <c r="A159" s="108">
        <v>2</v>
      </c>
      <c r="B159" s="109"/>
      <c r="C159" s="15" t="s">
        <v>171</v>
      </c>
      <c r="D159" s="108">
        <f>(17.92+3.272+4.087)*10.764</f>
        <v>272.10315599999996</v>
      </c>
      <c r="E159" s="109"/>
      <c r="F159" s="15">
        <v>0</v>
      </c>
      <c r="G159" s="15">
        <f t="shared" ref="G159:G165" si="9">D159*1.45+F159</f>
        <v>394.54957619999993</v>
      </c>
      <c r="H159" s="15" t="s">
        <v>98</v>
      </c>
      <c r="I159" s="118"/>
      <c r="J159" s="119"/>
      <c r="K159" s="14">
        <f t="shared" si="1"/>
        <v>28407.569486399996</v>
      </c>
    </row>
    <row r="160" spans="1:12" s="14" customFormat="1" ht="15.5" x14ac:dyDescent="0.35">
      <c r="A160" s="108">
        <v>3</v>
      </c>
      <c r="B160" s="109"/>
      <c r="C160" s="15" t="s">
        <v>171</v>
      </c>
      <c r="D160" s="108">
        <f>(17.245+0.945+3.355+4.144)*10.764</f>
        <v>276.51639599999999</v>
      </c>
      <c r="E160" s="109"/>
      <c r="F160" s="15">
        <v>0</v>
      </c>
      <c r="G160" s="15">
        <f t="shared" si="9"/>
        <v>400.94877419999995</v>
      </c>
      <c r="H160" s="15" t="s">
        <v>98</v>
      </c>
      <c r="I160" s="118"/>
      <c r="J160" s="119"/>
      <c r="K160" s="14">
        <f t="shared" si="1"/>
        <v>28868.311742399997</v>
      </c>
    </row>
    <row r="161" spans="1:11" s="14" customFormat="1" ht="15.5" x14ac:dyDescent="0.35">
      <c r="A161" s="108">
        <v>4</v>
      </c>
      <c r="B161" s="109"/>
      <c r="C161" s="15" t="s">
        <v>171</v>
      </c>
      <c r="D161" s="108">
        <f>(17.245+0.945+3.355+4.087)*10.764</f>
        <v>275.90284800000001</v>
      </c>
      <c r="E161" s="109"/>
      <c r="F161" s="15">
        <v>0</v>
      </c>
      <c r="G161" s="15">
        <f t="shared" si="9"/>
        <v>400.05912960000001</v>
      </c>
      <c r="H161" s="15" t="s">
        <v>98</v>
      </c>
      <c r="I161" s="118"/>
      <c r="J161" s="119"/>
      <c r="K161" s="14">
        <f t="shared" si="1"/>
        <v>28804.257331200002</v>
      </c>
    </row>
    <row r="162" spans="1:11" s="14" customFormat="1" ht="15.5" x14ac:dyDescent="0.35">
      <c r="A162" s="108">
        <v>5</v>
      </c>
      <c r="B162" s="109"/>
      <c r="C162" s="15" t="s">
        <v>171</v>
      </c>
      <c r="D162" s="108">
        <f>(17.92+3.272+4.031)*10.764</f>
        <v>271.50037199999997</v>
      </c>
      <c r="E162" s="109"/>
      <c r="F162" s="15">
        <v>0</v>
      </c>
      <c r="G162" s="15">
        <f t="shared" si="9"/>
        <v>393.67553939999993</v>
      </c>
      <c r="H162" s="15" t="s">
        <v>98</v>
      </c>
      <c r="I162" s="118"/>
      <c r="J162" s="119"/>
      <c r="K162" s="14">
        <f t="shared" si="1"/>
        <v>28344.638836799997</v>
      </c>
    </row>
    <row r="163" spans="1:11" s="14" customFormat="1" ht="15.5" x14ac:dyDescent="0.35">
      <c r="A163" s="108">
        <v>6</v>
      </c>
      <c r="B163" s="109"/>
      <c r="C163" s="15" t="s">
        <v>171</v>
      </c>
      <c r="D163" s="108">
        <f>(17.92+3.272+4.087)*10.764</f>
        <v>272.10315599999996</v>
      </c>
      <c r="E163" s="109"/>
      <c r="F163" s="15">
        <v>0</v>
      </c>
      <c r="G163" s="15">
        <f t="shared" si="9"/>
        <v>394.54957619999993</v>
      </c>
      <c r="H163" s="15" t="s">
        <v>98</v>
      </c>
      <c r="I163" s="118"/>
      <c r="J163" s="119"/>
      <c r="K163" s="14">
        <f t="shared" si="1"/>
        <v>28407.569486399996</v>
      </c>
    </row>
    <row r="164" spans="1:11" s="14" customFormat="1" ht="15.5" x14ac:dyDescent="0.35">
      <c r="A164" s="108">
        <v>7</v>
      </c>
      <c r="B164" s="109"/>
      <c r="C164" s="15" t="s">
        <v>171</v>
      </c>
      <c r="D164" s="108">
        <f>(17.245+0.945+3.355+4.144)*10.764</f>
        <v>276.51639599999999</v>
      </c>
      <c r="E164" s="109"/>
      <c r="F164" s="15">
        <v>0</v>
      </c>
      <c r="G164" s="15">
        <f t="shared" si="9"/>
        <v>400.94877419999995</v>
      </c>
      <c r="H164" s="15" t="s">
        <v>98</v>
      </c>
      <c r="I164" s="118"/>
      <c r="J164" s="119"/>
      <c r="K164" s="14">
        <f>72*G164</f>
        <v>28868.311742399997</v>
      </c>
    </row>
    <row r="165" spans="1:11" s="14" customFormat="1" ht="15.5" x14ac:dyDescent="0.35">
      <c r="A165" s="108">
        <v>8</v>
      </c>
      <c r="B165" s="109"/>
      <c r="C165" s="15" t="s">
        <v>171</v>
      </c>
      <c r="D165" s="108">
        <f>(21.832+5.78+6)*10.764</f>
        <v>361.79956800000002</v>
      </c>
      <c r="E165" s="109"/>
      <c r="F165" s="15">
        <v>0</v>
      </c>
      <c r="G165" s="15">
        <f t="shared" si="9"/>
        <v>524.60937360000003</v>
      </c>
      <c r="H165" s="15" t="s">
        <v>98</v>
      </c>
      <c r="I165" s="120"/>
      <c r="J165" s="121"/>
      <c r="K165" s="14">
        <f>72*G165</f>
        <v>37771.874899200004</v>
      </c>
    </row>
    <row r="166" spans="1:11" ht="15.5" x14ac:dyDescent="0.3">
      <c r="A166" s="113" t="s">
        <v>182</v>
      </c>
      <c r="B166" s="114"/>
      <c r="C166" s="114"/>
      <c r="D166" s="114"/>
      <c r="E166" s="114"/>
      <c r="F166" s="114"/>
      <c r="G166" s="114"/>
      <c r="H166" s="114"/>
      <c r="I166" s="114"/>
      <c r="J166" s="115"/>
      <c r="K166" s="14">
        <f t="shared" si="1"/>
        <v>0</v>
      </c>
    </row>
    <row r="167" spans="1:11" s="14" customFormat="1" ht="15.5" x14ac:dyDescent="0.35">
      <c r="A167" s="113" t="s">
        <v>163</v>
      </c>
      <c r="B167" s="114"/>
      <c r="C167" s="114"/>
      <c r="D167" s="114"/>
      <c r="E167" s="114"/>
      <c r="F167" s="114"/>
      <c r="G167" s="114"/>
      <c r="H167" s="114"/>
      <c r="I167" s="114"/>
      <c r="J167" s="115"/>
      <c r="K167" s="14">
        <f t="shared" si="1"/>
        <v>0</v>
      </c>
    </row>
    <row r="168" spans="1:11" s="14" customFormat="1" ht="15.5" x14ac:dyDescent="0.35">
      <c r="A168" s="113" t="s">
        <v>164</v>
      </c>
      <c r="B168" s="114"/>
      <c r="C168" s="114"/>
      <c r="D168" s="114"/>
      <c r="E168" s="114"/>
      <c r="F168" s="114"/>
      <c r="G168" s="114"/>
      <c r="H168" s="114"/>
      <c r="I168" s="114"/>
      <c r="J168" s="115"/>
      <c r="K168" s="14">
        <f t="shared" si="1"/>
        <v>0</v>
      </c>
    </row>
    <row r="169" spans="1:11" s="14" customFormat="1" ht="15.75" customHeight="1" x14ac:dyDescent="0.35">
      <c r="A169" s="15">
        <v>7</v>
      </c>
      <c r="B169" s="15">
        <v>1</v>
      </c>
      <c r="C169" s="15" t="s">
        <v>166</v>
      </c>
      <c r="D169" s="108">
        <f>(34.64+5.704+5.831)*10.764</f>
        <v>497.02770000000004</v>
      </c>
      <c r="E169" s="109"/>
      <c r="F169" s="15">
        <f>3.795*10.764</f>
        <v>40.849379999999996</v>
      </c>
      <c r="G169" s="15">
        <f t="shared" ref="G169:G170" si="10">D169*1.45+F169</f>
        <v>761.53954499999998</v>
      </c>
      <c r="H169" s="15" t="s">
        <v>98</v>
      </c>
      <c r="I169" s="116" t="s">
        <v>167</v>
      </c>
      <c r="J169" s="117"/>
      <c r="K169" s="14">
        <f t="shared" si="1"/>
        <v>54830.847239999996</v>
      </c>
    </row>
    <row r="170" spans="1:11" s="14" customFormat="1" ht="15.5" x14ac:dyDescent="0.35">
      <c r="A170" s="15">
        <v>8</v>
      </c>
      <c r="B170" s="15">
        <v>2</v>
      </c>
      <c r="C170" s="15" t="s">
        <v>166</v>
      </c>
      <c r="D170" s="108">
        <f>(34.64+5.704+5.831)*10.764</f>
        <v>497.02770000000004</v>
      </c>
      <c r="E170" s="109"/>
      <c r="F170" s="15">
        <f>3.795*10.764</f>
        <v>40.849379999999996</v>
      </c>
      <c r="G170" s="15">
        <f t="shared" si="10"/>
        <v>761.53954499999998</v>
      </c>
      <c r="H170" s="15" t="s">
        <v>98</v>
      </c>
      <c r="I170" s="118"/>
      <c r="J170" s="119"/>
      <c r="K170" s="14">
        <f t="shared" si="1"/>
        <v>54830.847239999996</v>
      </c>
    </row>
    <row r="171" spans="1:11" s="14" customFormat="1" ht="15.5" x14ac:dyDescent="0.35">
      <c r="A171" s="15">
        <v>1</v>
      </c>
      <c r="B171" s="15">
        <v>3</v>
      </c>
      <c r="C171" s="15" t="s">
        <v>165</v>
      </c>
      <c r="D171" s="108">
        <f>(25.6+6.75+4.05)*10.764</f>
        <v>391.80959999999999</v>
      </c>
      <c r="E171" s="109"/>
      <c r="F171" s="15">
        <f>4.14*10.764</f>
        <v>44.562959999999997</v>
      </c>
      <c r="G171" s="15">
        <f>D171*1.45+F171</f>
        <v>612.68687999999997</v>
      </c>
      <c r="H171" s="15" t="s">
        <v>98</v>
      </c>
      <c r="I171" s="118"/>
      <c r="J171" s="119"/>
      <c r="K171" s="14">
        <f t="shared" si="1"/>
        <v>44113.45536</v>
      </c>
    </row>
    <row r="172" spans="1:11" s="14" customFormat="1" ht="15.5" x14ac:dyDescent="0.35">
      <c r="A172" s="15">
        <v>2</v>
      </c>
      <c r="B172" s="15">
        <v>4</v>
      </c>
      <c r="C172" s="15" t="s">
        <v>166</v>
      </c>
      <c r="D172" s="108">
        <f>(37.513+1.08+7.49+6.15)*10.764</f>
        <v>562.23601199999996</v>
      </c>
      <c r="E172" s="109"/>
      <c r="F172" s="15">
        <f>4.657*10.764</f>
        <v>50.127947999999996</v>
      </c>
      <c r="G172" s="15">
        <f t="shared" ref="G172:G176" si="11">D172*1.45+F172</f>
        <v>865.37016539999991</v>
      </c>
      <c r="H172" s="15" t="s">
        <v>98</v>
      </c>
      <c r="I172" s="118"/>
      <c r="J172" s="119"/>
      <c r="K172" s="14">
        <f t="shared" si="1"/>
        <v>62306.651908799991</v>
      </c>
    </row>
    <row r="173" spans="1:11" s="14" customFormat="1" ht="15.5" x14ac:dyDescent="0.35">
      <c r="A173" s="15">
        <v>3</v>
      </c>
      <c r="B173" s="15">
        <v>5</v>
      </c>
      <c r="C173" s="15" t="s">
        <v>166</v>
      </c>
      <c r="D173" s="108">
        <f>(34.64+5.704+5.831)*10.764</f>
        <v>497.02770000000004</v>
      </c>
      <c r="E173" s="109"/>
      <c r="F173" s="15">
        <f>3.967*10.764</f>
        <v>42.700787999999996</v>
      </c>
      <c r="G173" s="15">
        <f t="shared" si="11"/>
        <v>763.39095299999997</v>
      </c>
      <c r="H173" s="15" t="s">
        <v>98</v>
      </c>
      <c r="I173" s="118"/>
      <c r="J173" s="119"/>
      <c r="K173" s="14">
        <f t="shared" si="1"/>
        <v>54964.148615999999</v>
      </c>
    </row>
    <row r="174" spans="1:11" s="14" customFormat="1" ht="15.75" customHeight="1" x14ac:dyDescent="0.35">
      <c r="A174" s="15">
        <v>4</v>
      </c>
      <c r="B174" s="15">
        <v>6</v>
      </c>
      <c r="C174" s="15" t="s">
        <v>166</v>
      </c>
      <c r="D174" s="108">
        <f>(34.64+5.704+5.831)*10.764</f>
        <v>497.02770000000004</v>
      </c>
      <c r="E174" s="109"/>
      <c r="F174" s="15">
        <f>3.967*10.764</f>
        <v>42.700787999999996</v>
      </c>
      <c r="G174" s="15">
        <f t="shared" si="11"/>
        <v>763.39095299999997</v>
      </c>
      <c r="H174" s="15" t="s">
        <v>98</v>
      </c>
      <c r="I174" s="118"/>
      <c r="J174" s="119"/>
      <c r="K174" s="14">
        <f t="shared" ref="K174:K205" si="12">72*G174</f>
        <v>54964.148615999999</v>
      </c>
    </row>
    <row r="175" spans="1:11" s="14" customFormat="1" ht="15.5" x14ac:dyDescent="0.35">
      <c r="A175" s="15">
        <v>5</v>
      </c>
      <c r="B175" s="15">
        <v>7</v>
      </c>
      <c r="C175" s="15" t="s">
        <v>166</v>
      </c>
      <c r="D175" s="108">
        <f>(37.513+1.08+7.49+6.15)*10.764</f>
        <v>562.23601199999996</v>
      </c>
      <c r="E175" s="109"/>
      <c r="F175" s="15">
        <f>4.657*10.764</f>
        <v>50.127947999999996</v>
      </c>
      <c r="G175" s="15">
        <f t="shared" si="11"/>
        <v>865.37016539999991</v>
      </c>
      <c r="H175" s="15" t="s">
        <v>98</v>
      </c>
      <c r="I175" s="118"/>
      <c r="J175" s="119"/>
      <c r="K175" s="14">
        <f t="shared" si="12"/>
        <v>62306.651908799991</v>
      </c>
    </row>
    <row r="176" spans="1:11" s="14" customFormat="1" ht="15.5" x14ac:dyDescent="0.35">
      <c r="A176" s="15">
        <v>6</v>
      </c>
      <c r="B176" s="15">
        <v>8</v>
      </c>
      <c r="C176" s="15" t="s">
        <v>165</v>
      </c>
      <c r="D176" s="108">
        <f>(25.6+6.75+4.05)*10.764</f>
        <v>391.80959999999999</v>
      </c>
      <c r="E176" s="109"/>
      <c r="F176" s="15">
        <f>4.14*10.764</f>
        <v>44.562959999999997</v>
      </c>
      <c r="G176" s="15">
        <f t="shared" si="11"/>
        <v>612.68687999999997</v>
      </c>
      <c r="H176" s="15" t="s">
        <v>98</v>
      </c>
      <c r="I176" s="120"/>
      <c r="J176" s="121"/>
      <c r="K176" s="14">
        <f t="shared" si="12"/>
        <v>44113.45536</v>
      </c>
    </row>
    <row r="177" spans="1:11" s="14" customFormat="1" ht="15.5" x14ac:dyDescent="0.35">
      <c r="A177" s="113" t="s">
        <v>168</v>
      </c>
      <c r="B177" s="114"/>
      <c r="C177" s="114"/>
      <c r="D177" s="114"/>
      <c r="E177" s="114"/>
      <c r="F177" s="114"/>
      <c r="G177" s="114"/>
      <c r="H177" s="114"/>
      <c r="I177" s="114"/>
      <c r="J177" s="115"/>
      <c r="K177" s="14">
        <f t="shared" si="12"/>
        <v>0</v>
      </c>
    </row>
    <row r="178" spans="1:11" s="14" customFormat="1" ht="15.5" x14ac:dyDescent="0.35">
      <c r="A178" s="15">
        <v>7</v>
      </c>
      <c r="B178" s="15">
        <v>1</v>
      </c>
      <c r="C178" s="15" t="s">
        <v>166</v>
      </c>
      <c r="D178" s="108">
        <f t="shared" ref="D178:D179" si="13">(34.64+5.704+7.125)*10.764</f>
        <v>510.95631599999996</v>
      </c>
      <c r="E178" s="109"/>
      <c r="F178" s="15">
        <v>0</v>
      </c>
      <c r="G178" s="15">
        <f t="shared" ref="G178:G179" si="14">D178*1.45+F178</f>
        <v>740.88665819999994</v>
      </c>
      <c r="H178" s="15" t="s">
        <v>98</v>
      </c>
      <c r="I178" s="116" t="str">
        <f>A177</f>
        <v>2nd, 4th &amp; 6th Floors</v>
      </c>
      <c r="J178" s="117"/>
      <c r="K178" s="14">
        <f t="shared" si="12"/>
        <v>53343.839390399997</v>
      </c>
    </row>
    <row r="179" spans="1:11" s="14" customFormat="1" ht="15.5" x14ac:dyDescent="0.35">
      <c r="A179" s="15">
        <v>8</v>
      </c>
      <c r="B179" s="15">
        <v>2</v>
      </c>
      <c r="C179" s="15" t="s">
        <v>166</v>
      </c>
      <c r="D179" s="108">
        <f t="shared" si="13"/>
        <v>510.95631599999996</v>
      </c>
      <c r="E179" s="109"/>
      <c r="F179" s="15">
        <v>0</v>
      </c>
      <c r="G179" s="15">
        <f t="shared" si="14"/>
        <v>740.88665819999994</v>
      </c>
      <c r="H179" s="15" t="s">
        <v>98</v>
      </c>
      <c r="I179" s="118"/>
      <c r="J179" s="119"/>
      <c r="K179" s="14">
        <f t="shared" si="12"/>
        <v>53343.839390399997</v>
      </c>
    </row>
    <row r="180" spans="1:11" s="14" customFormat="1" ht="15.5" x14ac:dyDescent="0.35">
      <c r="A180" s="15">
        <v>1</v>
      </c>
      <c r="B180" s="15">
        <v>3</v>
      </c>
      <c r="C180" s="15" t="s">
        <v>165</v>
      </c>
      <c r="D180" s="108">
        <f>(25.6+6.75+5.4)*10.764</f>
        <v>406.34099999999995</v>
      </c>
      <c r="E180" s="109"/>
      <c r="F180" s="15">
        <v>0</v>
      </c>
      <c r="G180" s="15">
        <f>D180*1.45+F180</f>
        <v>589.19444999999996</v>
      </c>
      <c r="H180" s="15" t="s">
        <v>98</v>
      </c>
      <c r="I180" s="118"/>
      <c r="J180" s="119"/>
      <c r="K180" s="14">
        <f t="shared" si="12"/>
        <v>42422.000399999997</v>
      </c>
    </row>
    <row r="181" spans="1:11" s="14" customFormat="1" ht="15.5" x14ac:dyDescent="0.35">
      <c r="A181" s="15">
        <v>2</v>
      </c>
      <c r="B181" s="15">
        <v>4</v>
      </c>
      <c r="C181" s="15" t="s">
        <v>166</v>
      </c>
      <c r="D181" s="108">
        <f>(37.513+1.08+7.49+7.669)*10.764</f>
        <v>578.58652799999993</v>
      </c>
      <c r="E181" s="109"/>
      <c r="F181" s="15">
        <v>0</v>
      </c>
      <c r="G181" s="15">
        <f t="shared" ref="G181:G185" si="15">D181*1.45+F181</f>
        <v>838.95046559999992</v>
      </c>
      <c r="H181" s="15" t="s">
        <v>98</v>
      </c>
      <c r="I181" s="118"/>
      <c r="J181" s="119"/>
      <c r="K181" s="14">
        <f t="shared" si="12"/>
        <v>60404.433523199994</v>
      </c>
    </row>
    <row r="182" spans="1:11" s="14" customFormat="1" ht="15.5" x14ac:dyDescent="0.35">
      <c r="A182" s="15">
        <v>3</v>
      </c>
      <c r="B182" s="15">
        <v>5</v>
      </c>
      <c r="C182" s="15" t="s">
        <v>166</v>
      </c>
      <c r="D182" s="108">
        <f>(34.64+5.704+7.125)*10.764</f>
        <v>510.95631599999996</v>
      </c>
      <c r="E182" s="109"/>
      <c r="F182" s="15">
        <v>0</v>
      </c>
      <c r="G182" s="15">
        <f t="shared" si="15"/>
        <v>740.88665819999994</v>
      </c>
      <c r="H182" s="15" t="s">
        <v>98</v>
      </c>
      <c r="I182" s="118"/>
      <c r="J182" s="119"/>
      <c r="K182" s="14">
        <f t="shared" si="12"/>
        <v>53343.839390399997</v>
      </c>
    </row>
    <row r="183" spans="1:11" s="14" customFormat="1" ht="15.5" x14ac:dyDescent="0.35">
      <c r="A183" s="15">
        <v>4</v>
      </c>
      <c r="B183" s="15">
        <v>6</v>
      </c>
      <c r="C183" s="15" t="s">
        <v>166</v>
      </c>
      <c r="D183" s="108">
        <f>(34.64+5.704+7.125)*10.764</f>
        <v>510.95631599999996</v>
      </c>
      <c r="E183" s="109"/>
      <c r="F183" s="15">
        <v>0</v>
      </c>
      <c r="G183" s="15">
        <f t="shared" si="15"/>
        <v>740.88665819999994</v>
      </c>
      <c r="H183" s="15" t="s">
        <v>98</v>
      </c>
      <c r="I183" s="118"/>
      <c r="J183" s="119"/>
      <c r="K183" s="14">
        <f t="shared" si="12"/>
        <v>53343.839390399997</v>
      </c>
    </row>
    <row r="184" spans="1:11" s="14" customFormat="1" ht="15.5" x14ac:dyDescent="0.35">
      <c r="A184" s="15">
        <v>5</v>
      </c>
      <c r="B184" s="15">
        <v>7</v>
      </c>
      <c r="C184" s="15" t="s">
        <v>166</v>
      </c>
      <c r="D184" s="108">
        <f>(37.513+1.08+7.49+7.669)*10.764</f>
        <v>578.58652799999993</v>
      </c>
      <c r="E184" s="109"/>
      <c r="F184" s="15">
        <v>0</v>
      </c>
      <c r="G184" s="15">
        <f t="shared" si="15"/>
        <v>838.95046559999992</v>
      </c>
      <c r="H184" s="15" t="s">
        <v>98</v>
      </c>
      <c r="I184" s="118"/>
      <c r="J184" s="119"/>
      <c r="K184" s="14">
        <f t="shared" si="12"/>
        <v>60404.433523199994</v>
      </c>
    </row>
    <row r="185" spans="1:11" s="14" customFormat="1" ht="15.5" x14ac:dyDescent="0.35">
      <c r="A185" s="15">
        <v>6</v>
      </c>
      <c r="B185" s="15">
        <v>8</v>
      </c>
      <c r="C185" s="15" t="s">
        <v>165</v>
      </c>
      <c r="D185" s="108">
        <f>(25.6+6.75+5.4)*10.764</f>
        <v>406.34099999999995</v>
      </c>
      <c r="E185" s="109"/>
      <c r="F185" s="15">
        <v>0</v>
      </c>
      <c r="G185" s="15">
        <f t="shared" si="15"/>
        <v>589.19444999999996</v>
      </c>
      <c r="H185" s="15" t="s">
        <v>98</v>
      </c>
      <c r="I185" s="120"/>
      <c r="J185" s="121"/>
      <c r="K185" s="14">
        <f t="shared" si="12"/>
        <v>42422.000399999997</v>
      </c>
    </row>
    <row r="186" spans="1:11" ht="15.5" x14ac:dyDescent="0.3">
      <c r="A186" s="113" t="s">
        <v>183</v>
      </c>
      <c r="B186" s="114"/>
      <c r="C186" s="114"/>
      <c r="D186" s="114"/>
      <c r="E186" s="114"/>
      <c r="F186" s="114"/>
      <c r="G186" s="114"/>
      <c r="H186" s="114"/>
      <c r="I186" s="114"/>
      <c r="J186" s="115"/>
      <c r="K186" s="14">
        <f t="shared" si="12"/>
        <v>0</v>
      </c>
    </row>
    <row r="187" spans="1:11" s="14" customFormat="1" ht="15.5" x14ac:dyDescent="0.35">
      <c r="A187" s="113" t="s">
        <v>163</v>
      </c>
      <c r="B187" s="114"/>
      <c r="C187" s="114"/>
      <c r="D187" s="114"/>
      <c r="E187" s="114"/>
      <c r="F187" s="114"/>
      <c r="G187" s="114"/>
      <c r="H187" s="114"/>
      <c r="I187" s="114"/>
      <c r="J187" s="115"/>
      <c r="K187" s="14">
        <f t="shared" si="12"/>
        <v>0</v>
      </c>
    </row>
    <row r="188" spans="1:11" s="14" customFormat="1" ht="15.5" x14ac:dyDescent="0.35">
      <c r="A188" s="113" t="s">
        <v>164</v>
      </c>
      <c r="B188" s="114"/>
      <c r="C188" s="114"/>
      <c r="D188" s="114"/>
      <c r="E188" s="114"/>
      <c r="F188" s="114"/>
      <c r="G188" s="114"/>
      <c r="H188" s="114"/>
      <c r="I188" s="114"/>
      <c r="J188" s="115"/>
      <c r="K188" s="14">
        <f t="shared" si="12"/>
        <v>0</v>
      </c>
    </row>
    <row r="189" spans="1:11" s="14" customFormat="1" ht="15.5" x14ac:dyDescent="0.35">
      <c r="A189" s="15">
        <v>7</v>
      </c>
      <c r="B189" s="15">
        <v>1</v>
      </c>
      <c r="C189" s="15" t="s">
        <v>166</v>
      </c>
      <c r="D189" s="108">
        <f>(34.64+5.704+5.831)*10.764</f>
        <v>497.02770000000004</v>
      </c>
      <c r="E189" s="109"/>
      <c r="F189" s="15">
        <f>3.795*10.764</f>
        <v>40.849379999999996</v>
      </c>
      <c r="G189" s="15">
        <f t="shared" ref="G189:G190" si="16">D189*1.45+F189</f>
        <v>761.53954499999998</v>
      </c>
      <c r="H189" s="15" t="s">
        <v>98</v>
      </c>
      <c r="I189" s="116" t="s">
        <v>167</v>
      </c>
      <c r="J189" s="117"/>
      <c r="K189" s="14">
        <f t="shared" si="12"/>
        <v>54830.847239999996</v>
      </c>
    </row>
    <row r="190" spans="1:11" s="14" customFormat="1" ht="15.5" x14ac:dyDescent="0.35">
      <c r="A190" s="15">
        <v>8</v>
      </c>
      <c r="B190" s="15">
        <v>2</v>
      </c>
      <c r="C190" s="15" t="s">
        <v>166</v>
      </c>
      <c r="D190" s="108">
        <f>(34.64+5.704+5.831)*10.764</f>
        <v>497.02770000000004</v>
      </c>
      <c r="E190" s="109"/>
      <c r="F190" s="15">
        <f>3.795*10.764</f>
        <v>40.849379999999996</v>
      </c>
      <c r="G190" s="15">
        <f t="shared" si="16"/>
        <v>761.53954499999998</v>
      </c>
      <c r="H190" s="15" t="s">
        <v>98</v>
      </c>
      <c r="I190" s="118"/>
      <c r="J190" s="119"/>
      <c r="K190" s="14">
        <f t="shared" si="12"/>
        <v>54830.847239999996</v>
      </c>
    </row>
    <row r="191" spans="1:11" s="14" customFormat="1" ht="15.5" x14ac:dyDescent="0.35">
      <c r="A191" s="15">
        <v>1</v>
      </c>
      <c r="B191" s="15">
        <v>3</v>
      </c>
      <c r="C191" s="15" t="s">
        <v>165</v>
      </c>
      <c r="D191" s="108">
        <f>(25.6+6.75+4.05)*10.764</f>
        <v>391.80959999999999</v>
      </c>
      <c r="E191" s="109"/>
      <c r="F191" s="15">
        <f>4.14*10.764</f>
        <v>44.562959999999997</v>
      </c>
      <c r="G191" s="15">
        <f>D191*1.45+F191</f>
        <v>612.68687999999997</v>
      </c>
      <c r="H191" s="15" t="s">
        <v>98</v>
      </c>
      <c r="I191" s="118"/>
      <c r="J191" s="119"/>
      <c r="K191" s="14">
        <f t="shared" si="12"/>
        <v>44113.45536</v>
      </c>
    </row>
    <row r="192" spans="1:11" s="14" customFormat="1" ht="15.5" x14ac:dyDescent="0.35">
      <c r="A192" s="15">
        <v>2</v>
      </c>
      <c r="B192" s="15">
        <v>4</v>
      </c>
      <c r="C192" s="15" t="s">
        <v>166</v>
      </c>
      <c r="D192" s="108">
        <f>(37.513+1.08+7.49+6.15)*10.764</f>
        <v>562.23601199999996</v>
      </c>
      <c r="E192" s="109"/>
      <c r="F192" s="15">
        <f>4.657*10.764</f>
        <v>50.127947999999996</v>
      </c>
      <c r="G192" s="15">
        <f t="shared" ref="G192:G196" si="17">D192*1.45+F192</f>
        <v>865.37016539999991</v>
      </c>
      <c r="H192" s="15" t="s">
        <v>98</v>
      </c>
      <c r="I192" s="118"/>
      <c r="J192" s="119"/>
      <c r="K192" s="14">
        <f t="shared" si="12"/>
        <v>62306.651908799991</v>
      </c>
    </row>
    <row r="193" spans="1:11" s="14" customFormat="1" ht="15.5" x14ac:dyDescent="0.35">
      <c r="A193" s="15">
        <v>3</v>
      </c>
      <c r="B193" s="15">
        <v>5</v>
      </c>
      <c r="C193" s="15" t="s">
        <v>166</v>
      </c>
      <c r="D193" s="108">
        <f>(34.64+5.704+5.831)*10.764</f>
        <v>497.02770000000004</v>
      </c>
      <c r="E193" s="109"/>
      <c r="F193" s="15">
        <f>3.967*10.764</f>
        <v>42.700787999999996</v>
      </c>
      <c r="G193" s="15">
        <f t="shared" si="17"/>
        <v>763.39095299999997</v>
      </c>
      <c r="H193" s="15" t="s">
        <v>98</v>
      </c>
      <c r="I193" s="118"/>
      <c r="J193" s="119"/>
      <c r="K193" s="14">
        <f t="shared" si="12"/>
        <v>54964.148615999999</v>
      </c>
    </row>
    <row r="194" spans="1:11" s="14" customFormat="1" ht="15.5" x14ac:dyDescent="0.35">
      <c r="A194" s="15">
        <v>4</v>
      </c>
      <c r="B194" s="15">
        <v>6</v>
      </c>
      <c r="C194" s="15" t="s">
        <v>166</v>
      </c>
      <c r="D194" s="108">
        <f>(34.64+5.704+5.831)*10.764</f>
        <v>497.02770000000004</v>
      </c>
      <c r="E194" s="109"/>
      <c r="F194" s="15">
        <f>3.967*10.764</f>
        <v>42.700787999999996</v>
      </c>
      <c r="G194" s="15">
        <f t="shared" si="17"/>
        <v>763.39095299999997</v>
      </c>
      <c r="H194" s="15" t="s">
        <v>98</v>
      </c>
      <c r="I194" s="118"/>
      <c r="J194" s="119"/>
      <c r="K194" s="14">
        <f t="shared" si="12"/>
        <v>54964.148615999999</v>
      </c>
    </row>
    <row r="195" spans="1:11" s="14" customFormat="1" ht="15.5" x14ac:dyDescent="0.35">
      <c r="A195" s="15">
        <v>5</v>
      </c>
      <c r="B195" s="15">
        <v>7</v>
      </c>
      <c r="C195" s="15" t="s">
        <v>166</v>
      </c>
      <c r="D195" s="108">
        <f>(37.513+1.08+7.49+6.15)*10.764</f>
        <v>562.23601199999996</v>
      </c>
      <c r="E195" s="109"/>
      <c r="F195" s="15">
        <f>4.657*10.764</f>
        <v>50.127947999999996</v>
      </c>
      <c r="G195" s="15">
        <f t="shared" si="17"/>
        <v>865.37016539999991</v>
      </c>
      <c r="H195" s="15" t="s">
        <v>98</v>
      </c>
      <c r="I195" s="118"/>
      <c r="J195" s="119"/>
      <c r="K195" s="14">
        <f t="shared" si="12"/>
        <v>62306.651908799991</v>
      </c>
    </row>
    <row r="196" spans="1:11" s="14" customFormat="1" ht="15.5" x14ac:dyDescent="0.35">
      <c r="A196" s="15">
        <v>6</v>
      </c>
      <c r="B196" s="15">
        <v>8</v>
      </c>
      <c r="C196" s="15" t="s">
        <v>165</v>
      </c>
      <c r="D196" s="108">
        <f>(25.6+6.75+4.05)*10.764</f>
        <v>391.80959999999999</v>
      </c>
      <c r="E196" s="109"/>
      <c r="F196" s="15">
        <f>4.14*10.764</f>
        <v>44.562959999999997</v>
      </c>
      <c r="G196" s="15">
        <f t="shared" si="17"/>
        <v>612.68687999999997</v>
      </c>
      <c r="H196" s="15" t="s">
        <v>98</v>
      </c>
      <c r="I196" s="120"/>
      <c r="J196" s="121"/>
      <c r="K196" s="14">
        <f t="shared" si="12"/>
        <v>44113.45536</v>
      </c>
    </row>
    <row r="197" spans="1:11" s="14" customFormat="1" ht="15.5" x14ac:dyDescent="0.35">
      <c r="A197" s="113" t="s">
        <v>168</v>
      </c>
      <c r="B197" s="114"/>
      <c r="C197" s="114"/>
      <c r="D197" s="114"/>
      <c r="E197" s="114"/>
      <c r="F197" s="114"/>
      <c r="G197" s="114"/>
      <c r="H197" s="114"/>
      <c r="I197" s="114"/>
      <c r="J197" s="115"/>
      <c r="K197" s="14">
        <f t="shared" si="12"/>
        <v>0</v>
      </c>
    </row>
    <row r="198" spans="1:11" s="14" customFormat="1" ht="15.5" x14ac:dyDescent="0.35">
      <c r="A198" s="15">
        <v>7</v>
      </c>
      <c r="B198" s="15">
        <v>1</v>
      </c>
      <c r="C198" s="15" t="s">
        <v>166</v>
      </c>
      <c r="D198" s="108">
        <f t="shared" ref="D198:D199" si="18">(34.64+5.704+7.125)*10.764</f>
        <v>510.95631599999996</v>
      </c>
      <c r="E198" s="109"/>
      <c r="F198" s="15">
        <v>0</v>
      </c>
      <c r="G198" s="15">
        <f t="shared" ref="G198:G199" si="19">D198*1.45+F198</f>
        <v>740.88665819999994</v>
      </c>
      <c r="H198" s="15" t="s">
        <v>98</v>
      </c>
      <c r="I198" s="116" t="str">
        <f>A197</f>
        <v>2nd, 4th &amp; 6th Floors</v>
      </c>
      <c r="J198" s="117"/>
      <c r="K198" s="14">
        <f t="shared" si="12"/>
        <v>53343.839390399997</v>
      </c>
    </row>
    <row r="199" spans="1:11" s="14" customFormat="1" ht="15.5" x14ac:dyDescent="0.35">
      <c r="A199" s="15">
        <v>8</v>
      </c>
      <c r="B199" s="15">
        <v>2</v>
      </c>
      <c r="C199" s="15" t="s">
        <v>166</v>
      </c>
      <c r="D199" s="108">
        <f t="shared" si="18"/>
        <v>510.95631599999996</v>
      </c>
      <c r="E199" s="109"/>
      <c r="F199" s="15">
        <v>0</v>
      </c>
      <c r="G199" s="15">
        <f t="shared" si="19"/>
        <v>740.88665819999994</v>
      </c>
      <c r="H199" s="15" t="s">
        <v>98</v>
      </c>
      <c r="I199" s="118"/>
      <c r="J199" s="119"/>
      <c r="K199" s="14">
        <f t="shared" si="12"/>
        <v>53343.839390399997</v>
      </c>
    </row>
    <row r="200" spans="1:11" s="14" customFormat="1" ht="15.5" x14ac:dyDescent="0.35">
      <c r="A200" s="15">
        <v>1</v>
      </c>
      <c r="B200" s="15">
        <v>3</v>
      </c>
      <c r="C200" s="15" t="s">
        <v>165</v>
      </c>
      <c r="D200" s="108">
        <f>(25.6+6.75+5.4)*10.764</f>
        <v>406.34099999999995</v>
      </c>
      <c r="E200" s="109"/>
      <c r="F200" s="15">
        <v>0</v>
      </c>
      <c r="G200" s="15">
        <f>D200*1.45+F200</f>
        <v>589.19444999999996</v>
      </c>
      <c r="H200" s="15" t="s">
        <v>98</v>
      </c>
      <c r="I200" s="118"/>
      <c r="J200" s="119"/>
      <c r="K200" s="14">
        <f t="shared" si="12"/>
        <v>42422.000399999997</v>
      </c>
    </row>
    <row r="201" spans="1:11" s="14" customFormat="1" ht="15.5" x14ac:dyDescent="0.35">
      <c r="A201" s="15">
        <v>2</v>
      </c>
      <c r="B201" s="15">
        <v>4</v>
      </c>
      <c r="C201" s="15" t="s">
        <v>166</v>
      </c>
      <c r="D201" s="108">
        <f>(37.513+1.08+7.49+7.669)*10.764</f>
        <v>578.58652799999993</v>
      </c>
      <c r="E201" s="109"/>
      <c r="F201" s="15">
        <v>0</v>
      </c>
      <c r="G201" s="15">
        <f t="shared" ref="G201:G205" si="20">D201*1.45+F201</f>
        <v>838.95046559999992</v>
      </c>
      <c r="H201" s="15" t="s">
        <v>98</v>
      </c>
      <c r="I201" s="118"/>
      <c r="J201" s="119"/>
      <c r="K201" s="14">
        <f t="shared" si="12"/>
        <v>60404.433523199994</v>
      </c>
    </row>
    <row r="202" spans="1:11" s="14" customFormat="1" ht="15.5" x14ac:dyDescent="0.35">
      <c r="A202" s="15">
        <v>3</v>
      </c>
      <c r="B202" s="15">
        <v>5</v>
      </c>
      <c r="C202" s="15" t="s">
        <v>166</v>
      </c>
      <c r="D202" s="108">
        <f>(34.64+5.704+7.125)*10.764</f>
        <v>510.95631599999996</v>
      </c>
      <c r="E202" s="109"/>
      <c r="F202" s="15">
        <v>0</v>
      </c>
      <c r="G202" s="15">
        <f t="shared" si="20"/>
        <v>740.88665819999994</v>
      </c>
      <c r="H202" s="15" t="s">
        <v>98</v>
      </c>
      <c r="I202" s="118"/>
      <c r="J202" s="119"/>
      <c r="K202" s="14">
        <f t="shared" si="12"/>
        <v>53343.839390399997</v>
      </c>
    </row>
    <row r="203" spans="1:11" s="14" customFormat="1" ht="15.5" x14ac:dyDescent="0.35">
      <c r="A203" s="15">
        <v>4</v>
      </c>
      <c r="B203" s="15">
        <v>6</v>
      </c>
      <c r="C203" s="15" t="s">
        <v>166</v>
      </c>
      <c r="D203" s="108">
        <f>(34.64+5.704+7.125)*10.764</f>
        <v>510.95631599999996</v>
      </c>
      <c r="E203" s="109"/>
      <c r="F203" s="15">
        <v>0</v>
      </c>
      <c r="G203" s="15">
        <f t="shared" si="20"/>
        <v>740.88665819999994</v>
      </c>
      <c r="H203" s="15" t="s">
        <v>98</v>
      </c>
      <c r="I203" s="118"/>
      <c r="J203" s="119"/>
      <c r="K203" s="14">
        <f t="shared" si="12"/>
        <v>53343.839390399997</v>
      </c>
    </row>
    <row r="204" spans="1:11" s="14" customFormat="1" ht="15.5" x14ac:dyDescent="0.35">
      <c r="A204" s="15">
        <v>5</v>
      </c>
      <c r="B204" s="15">
        <v>7</v>
      </c>
      <c r="C204" s="15" t="s">
        <v>166</v>
      </c>
      <c r="D204" s="108">
        <f>(37.513+1.08+7.49+7.669)*10.764</f>
        <v>578.58652799999993</v>
      </c>
      <c r="E204" s="109"/>
      <c r="F204" s="15">
        <v>0</v>
      </c>
      <c r="G204" s="15">
        <f t="shared" si="20"/>
        <v>838.95046559999992</v>
      </c>
      <c r="H204" s="15" t="s">
        <v>98</v>
      </c>
      <c r="I204" s="118"/>
      <c r="J204" s="119"/>
      <c r="K204" s="14">
        <f t="shared" si="12"/>
        <v>60404.433523199994</v>
      </c>
    </row>
    <row r="205" spans="1:11" s="14" customFormat="1" ht="15.5" x14ac:dyDescent="0.35">
      <c r="A205" s="15">
        <v>6</v>
      </c>
      <c r="B205" s="15">
        <v>8</v>
      </c>
      <c r="C205" s="15" t="s">
        <v>165</v>
      </c>
      <c r="D205" s="108">
        <f>(25.6+6.75+5.4)*10.764</f>
        <v>406.34099999999995</v>
      </c>
      <c r="E205" s="109"/>
      <c r="F205" s="15">
        <v>0</v>
      </c>
      <c r="G205" s="15">
        <f t="shared" si="20"/>
        <v>589.19444999999996</v>
      </c>
      <c r="H205" s="15" t="s">
        <v>98</v>
      </c>
      <c r="I205" s="120"/>
      <c r="J205" s="121"/>
      <c r="K205" s="14">
        <f t="shared" si="12"/>
        <v>42422.000399999997</v>
      </c>
    </row>
    <row r="206" spans="1:11" s="20" customFormat="1" ht="172" customHeight="1" x14ac:dyDescent="0.3">
      <c r="A206" s="131" t="s">
        <v>262</v>
      </c>
      <c r="B206" s="131"/>
      <c r="C206" s="131"/>
      <c r="D206" s="131"/>
      <c r="E206" s="131"/>
      <c r="F206" s="131"/>
      <c r="G206" s="131"/>
      <c r="H206" s="131"/>
      <c r="I206" s="131"/>
      <c r="J206" s="131"/>
    </row>
    <row r="207" spans="1:11" x14ac:dyDescent="0.3">
      <c r="A207" s="132" t="s">
        <v>99</v>
      </c>
      <c r="B207" s="133"/>
      <c r="C207" s="133"/>
      <c r="D207" s="133"/>
      <c r="E207" s="133"/>
      <c r="F207" s="133"/>
      <c r="G207" s="133"/>
      <c r="H207" s="133"/>
      <c r="I207" s="133"/>
      <c r="J207" s="134"/>
    </row>
    <row r="208" spans="1:11" x14ac:dyDescent="0.3">
      <c r="A208" s="135" t="s">
        <v>100</v>
      </c>
      <c r="B208" s="136"/>
      <c r="C208" s="136"/>
      <c r="D208" s="136"/>
      <c r="E208" s="136"/>
      <c r="F208" s="136"/>
      <c r="G208" s="136"/>
      <c r="H208" s="136"/>
      <c r="I208" s="136"/>
      <c r="J208" s="137"/>
    </row>
    <row r="209" spans="1:10" x14ac:dyDescent="0.3">
      <c r="A209" s="132" t="s">
        <v>101</v>
      </c>
      <c r="B209" s="133"/>
      <c r="C209" s="133"/>
      <c r="D209" s="133"/>
      <c r="E209" s="133"/>
      <c r="F209" s="133"/>
      <c r="G209" s="133"/>
      <c r="H209" s="133"/>
      <c r="I209" s="133"/>
      <c r="J209" s="134"/>
    </row>
    <row r="210" spans="1:10" x14ac:dyDescent="0.3">
      <c r="A210" s="135" t="s">
        <v>102</v>
      </c>
      <c r="B210" s="136"/>
      <c r="C210" s="136"/>
      <c r="D210" s="136"/>
      <c r="E210" s="136"/>
      <c r="F210" s="136"/>
      <c r="G210" s="136"/>
      <c r="H210" s="136"/>
      <c r="I210" s="136"/>
      <c r="J210" s="137"/>
    </row>
    <row r="211" spans="1:10" x14ac:dyDescent="0.3">
      <c r="A211" s="135" t="s">
        <v>103</v>
      </c>
      <c r="B211" s="136"/>
      <c r="C211" s="136"/>
      <c r="D211" s="136"/>
      <c r="E211" s="136"/>
      <c r="F211" s="136"/>
      <c r="G211" s="136"/>
      <c r="H211" s="136"/>
      <c r="I211" s="136"/>
      <c r="J211" s="137"/>
    </row>
    <row r="212" spans="1:10" x14ac:dyDescent="0.3">
      <c r="A212" s="135" t="s">
        <v>104</v>
      </c>
      <c r="B212" s="136"/>
      <c r="C212" s="136"/>
      <c r="D212" s="136"/>
      <c r="E212" s="136"/>
      <c r="F212" s="136"/>
      <c r="G212" s="136"/>
      <c r="H212" s="136"/>
      <c r="I212" s="136"/>
      <c r="J212" s="137"/>
    </row>
    <row r="213" spans="1:10" x14ac:dyDescent="0.3">
      <c r="A213" s="110" t="s">
        <v>105</v>
      </c>
      <c r="B213" s="111"/>
      <c r="C213" s="111"/>
      <c r="D213" s="111"/>
      <c r="E213" s="111"/>
      <c r="F213" s="111"/>
      <c r="G213" s="111"/>
      <c r="H213" s="111"/>
      <c r="I213" s="111"/>
      <c r="J213" s="112"/>
    </row>
    <row r="214" spans="1:10" ht="15" customHeight="1" x14ac:dyDescent="0.3">
      <c r="A214" s="122" t="s">
        <v>106</v>
      </c>
      <c r="B214" s="123"/>
      <c r="C214" s="123"/>
      <c r="D214" s="123"/>
      <c r="E214" s="123"/>
      <c r="F214" s="123"/>
      <c r="G214" s="123"/>
      <c r="H214" s="123"/>
      <c r="I214" s="123"/>
      <c r="J214" s="124"/>
    </row>
    <row r="215" spans="1:10" x14ac:dyDescent="0.3">
      <c r="A215" s="125"/>
      <c r="B215" s="126"/>
      <c r="C215" s="126"/>
      <c r="D215" s="126"/>
      <c r="E215" s="126"/>
      <c r="F215" s="126"/>
      <c r="G215" s="126"/>
      <c r="H215" s="126"/>
      <c r="I215" s="126"/>
      <c r="J215" s="127"/>
    </row>
    <row r="216" spans="1:10" x14ac:dyDescent="0.3">
      <c r="A216" s="125"/>
      <c r="B216" s="126"/>
      <c r="C216" s="126"/>
      <c r="D216" s="126"/>
      <c r="E216" s="126"/>
      <c r="F216" s="126"/>
      <c r="G216" s="126"/>
      <c r="H216" s="126"/>
      <c r="I216" s="126"/>
      <c r="J216" s="127"/>
    </row>
    <row r="217" spans="1:10" x14ac:dyDescent="0.3">
      <c r="A217" s="128"/>
      <c r="B217" s="129"/>
      <c r="C217" s="129"/>
      <c r="D217" s="129"/>
      <c r="E217" s="129"/>
      <c r="F217" s="129"/>
      <c r="G217" s="129"/>
      <c r="H217" s="129"/>
      <c r="I217" s="129"/>
      <c r="J217" s="130"/>
    </row>
    <row r="218" spans="1:10" x14ac:dyDescent="0.3">
      <c r="A218" s="16" t="s">
        <v>198</v>
      </c>
      <c r="B218" s="17"/>
      <c r="C218" s="17"/>
      <c r="D218" s="18" t="str">
        <f>F8</f>
        <v>Akshar Rivergate Plot E</v>
      </c>
      <c r="G218" s="17"/>
      <c r="H218" s="17"/>
      <c r="I218" s="17"/>
      <c r="J218" s="17"/>
    </row>
    <row r="219" spans="1:10" ht="14.5" x14ac:dyDescent="0.35">
      <c r="A219" s="17"/>
      <c r="B219"/>
      <c r="C219" s="17"/>
      <c r="D219" s="17"/>
      <c r="E219" s="17"/>
      <c r="F219" s="17"/>
      <c r="G219" s="17"/>
      <c r="H219" s="17"/>
      <c r="I219" s="17"/>
      <c r="J219" s="17"/>
    </row>
    <row r="220" spans="1:10" x14ac:dyDescent="0.3">
      <c r="A220" s="17"/>
      <c r="B220" s="17"/>
      <c r="C220" s="17"/>
      <c r="D220" s="17"/>
      <c r="E220" s="17"/>
      <c r="F220" s="17"/>
      <c r="G220" s="17"/>
      <c r="H220" s="17"/>
      <c r="I220" s="17"/>
      <c r="J220" s="17"/>
    </row>
    <row r="266" spans="1:1" x14ac:dyDescent="0.3">
      <c r="A266" s="19" t="s">
        <v>107</v>
      </c>
    </row>
  </sheetData>
  <mergeCells count="399">
    <mergeCell ref="A57:B57"/>
    <mergeCell ref="C57:D57"/>
    <mergeCell ref="E57:G57"/>
    <mergeCell ref="H57:J57"/>
    <mergeCell ref="A159:B159"/>
    <mergeCell ref="D159:E159"/>
    <mergeCell ref="D161:E161"/>
    <mergeCell ref="D59:E59"/>
    <mergeCell ref="F59:G68"/>
    <mergeCell ref="H59:J68"/>
    <mergeCell ref="A60:B60"/>
    <mergeCell ref="D60:E60"/>
    <mergeCell ref="A61:B61"/>
    <mergeCell ref="D61:E61"/>
    <mergeCell ref="A62:B62"/>
    <mergeCell ref="D62:E62"/>
    <mergeCell ref="A63:B63"/>
    <mergeCell ref="D63:E63"/>
    <mergeCell ref="A64:B64"/>
    <mergeCell ref="A65:B65"/>
    <mergeCell ref="D65:E65"/>
    <mergeCell ref="A66:B66"/>
    <mergeCell ref="D66:E66"/>
    <mergeCell ref="A67:B67"/>
    <mergeCell ref="D67:E67"/>
    <mergeCell ref="A68:B68"/>
    <mergeCell ref="D68:E68"/>
    <mergeCell ref="A72:B72"/>
    <mergeCell ref="A156:B156"/>
    <mergeCell ref="D156:E156"/>
    <mergeCell ref="A153:B153"/>
    <mergeCell ref="D153:E153"/>
    <mergeCell ref="A154:B154"/>
    <mergeCell ref="D154:E154"/>
    <mergeCell ref="A149:B149"/>
    <mergeCell ref="D149:E149"/>
    <mergeCell ref="A150:B150"/>
    <mergeCell ref="D150:E150"/>
    <mergeCell ref="A94:F94"/>
    <mergeCell ref="A101:B101"/>
    <mergeCell ref="A109:B109"/>
    <mergeCell ref="D109:E109"/>
    <mergeCell ref="A102:J102"/>
    <mergeCell ref="A103:J103"/>
    <mergeCell ref="D104:E104"/>
    <mergeCell ref="I104:J104"/>
    <mergeCell ref="A107:J107"/>
    <mergeCell ref="A106:J106"/>
    <mergeCell ref="D171:E171"/>
    <mergeCell ref="D172:E172"/>
    <mergeCell ref="D169:E169"/>
    <mergeCell ref="D170:E170"/>
    <mergeCell ref="D175:E175"/>
    <mergeCell ref="D176:E176"/>
    <mergeCell ref="D173:E173"/>
    <mergeCell ref="D174:E174"/>
    <mergeCell ref="D155:E155"/>
    <mergeCell ref="A10:E10"/>
    <mergeCell ref="F10:J10"/>
    <mergeCell ref="A5:E5"/>
    <mergeCell ref="F5:J5"/>
    <mergeCell ref="A6:E6"/>
    <mergeCell ref="F6:J6"/>
    <mergeCell ref="A7:E7"/>
    <mergeCell ref="F7:J7"/>
    <mergeCell ref="A14:B14"/>
    <mergeCell ref="I14:J14"/>
    <mergeCell ref="A1:J1"/>
    <mergeCell ref="A2:J2"/>
    <mergeCell ref="A3:E3"/>
    <mergeCell ref="F3:J3"/>
    <mergeCell ref="A4:E4"/>
    <mergeCell ref="F4:I4"/>
    <mergeCell ref="A8:E8"/>
    <mergeCell ref="F8:J8"/>
    <mergeCell ref="A9:E9"/>
    <mergeCell ref="F9:J9"/>
    <mergeCell ref="B16:E16"/>
    <mergeCell ref="G16:J16"/>
    <mergeCell ref="A11:E11"/>
    <mergeCell ref="F11:J11"/>
    <mergeCell ref="A12:E12"/>
    <mergeCell ref="F12:J12"/>
    <mergeCell ref="A13:B13"/>
    <mergeCell ref="C13:J13"/>
    <mergeCell ref="A20:E20"/>
    <mergeCell ref="F20:J20"/>
    <mergeCell ref="B15:E15"/>
    <mergeCell ref="G15:J15"/>
    <mergeCell ref="A21:E21"/>
    <mergeCell ref="F21:I21"/>
    <mergeCell ref="A22:E22"/>
    <mergeCell ref="F22:J22"/>
    <mergeCell ref="A17:B17"/>
    <mergeCell ref="C17:E17"/>
    <mergeCell ref="F17:G17"/>
    <mergeCell ref="H17:J17"/>
    <mergeCell ref="A18:E19"/>
    <mergeCell ref="F18:J19"/>
    <mergeCell ref="A23:E23"/>
    <mergeCell ref="F23:I23"/>
    <mergeCell ref="A24:E24"/>
    <mergeCell ref="F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32:J32"/>
    <mergeCell ref="A33:E33"/>
    <mergeCell ref="F33:I33"/>
    <mergeCell ref="A34:E34"/>
    <mergeCell ref="F34:J34"/>
    <mergeCell ref="A35:J35"/>
    <mergeCell ref="A28:J28"/>
    <mergeCell ref="A29:J29"/>
    <mergeCell ref="A30:B30"/>
    <mergeCell ref="A31:B31"/>
    <mergeCell ref="C31:J31"/>
    <mergeCell ref="C30:J30"/>
    <mergeCell ref="A39:E39"/>
    <mergeCell ref="F39:J39"/>
    <mergeCell ref="A40:E40"/>
    <mergeCell ref="F40:J40"/>
    <mergeCell ref="A41:E41"/>
    <mergeCell ref="F41:J41"/>
    <mergeCell ref="A36:E36"/>
    <mergeCell ref="F36:J36"/>
    <mergeCell ref="A37:E37"/>
    <mergeCell ref="F37:J37"/>
    <mergeCell ref="A38:E38"/>
    <mergeCell ref="F38:J38"/>
    <mergeCell ref="A45:B45"/>
    <mergeCell ref="C45:F45"/>
    <mergeCell ref="A46:B46"/>
    <mergeCell ref="C46:F46"/>
    <mergeCell ref="H46:J46"/>
    <mergeCell ref="A42:J42"/>
    <mergeCell ref="A43:B43"/>
    <mergeCell ref="C43:F43"/>
    <mergeCell ref="H43:J43"/>
    <mergeCell ref="A44:B44"/>
    <mergeCell ref="C44:F44"/>
    <mergeCell ref="H44:J44"/>
    <mergeCell ref="H45:J45"/>
    <mergeCell ref="A50:B50"/>
    <mergeCell ref="A51:C51"/>
    <mergeCell ref="D51:J51"/>
    <mergeCell ref="A52:J52"/>
    <mergeCell ref="A47:C47"/>
    <mergeCell ref="D47:E47"/>
    <mergeCell ref="F47:G47"/>
    <mergeCell ref="H47:J47"/>
    <mergeCell ref="A48:J48"/>
    <mergeCell ref="A49:C49"/>
    <mergeCell ref="D49:E49"/>
    <mergeCell ref="F49:H49"/>
    <mergeCell ref="I49:J49"/>
    <mergeCell ref="H50:J50"/>
    <mergeCell ref="C50:G50"/>
    <mergeCell ref="A53:J53"/>
    <mergeCell ref="A89:F89"/>
    <mergeCell ref="G89:J89"/>
    <mergeCell ref="A90:F90"/>
    <mergeCell ref="G90:J90"/>
    <mergeCell ref="A91:F91"/>
    <mergeCell ref="G91:J91"/>
    <mergeCell ref="A88:F88"/>
    <mergeCell ref="G88:J88"/>
    <mergeCell ref="A84:J84"/>
    <mergeCell ref="A85:J85"/>
    <mergeCell ref="A86:B86"/>
    <mergeCell ref="C86:J86"/>
    <mergeCell ref="A87:J87"/>
    <mergeCell ref="A54:B54"/>
    <mergeCell ref="C54:J54"/>
    <mergeCell ref="E55:F55"/>
    <mergeCell ref="I55:J55"/>
    <mergeCell ref="A56:B56"/>
    <mergeCell ref="C56:J56"/>
    <mergeCell ref="A58:B58"/>
    <mergeCell ref="D58:E58"/>
    <mergeCell ref="H58:J58"/>
    <mergeCell ref="A59:B59"/>
    <mergeCell ref="G94:J94"/>
    <mergeCell ref="A95:B95"/>
    <mergeCell ref="G95:J95"/>
    <mergeCell ref="A92:F92"/>
    <mergeCell ref="G92:J92"/>
    <mergeCell ref="A93:F93"/>
    <mergeCell ref="G93:J93"/>
    <mergeCell ref="D95:F95"/>
    <mergeCell ref="A98:B98"/>
    <mergeCell ref="G98:J98"/>
    <mergeCell ref="G101:J101"/>
    <mergeCell ref="A96:B96"/>
    <mergeCell ref="G96:J96"/>
    <mergeCell ref="A97:B97"/>
    <mergeCell ref="G97:J97"/>
    <mergeCell ref="A99:B99"/>
    <mergeCell ref="G99:J99"/>
    <mergeCell ref="A100:B100"/>
    <mergeCell ref="G100:J100"/>
    <mergeCell ref="D96:F96"/>
    <mergeCell ref="D97:F97"/>
    <mergeCell ref="D98:F98"/>
    <mergeCell ref="D99:F99"/>
    <mergeCell ref="D100:F100"/>
    <mergeCell ref="D101:F101"/>
    <mergeCell ref="A108:J108"/>
    <mergeCell ref="A105:J105"/>
    <mergeCell ref="I109:J116"/>
    <mergeCell ref="A112:B112"/>
    <mergeCell ref="D112:E112"/>
    <mergeCell ref="A113:B113"/>
    <mergeCell ref="D113:E113"/>
    <mergeCell ref="A110:B110"/>
    <mergeCell ref="D110:E110"/>
    <mergeCell ref="A111:B111"/>
    <mergeCell ref="D111:E111"/>
    <mergeCell ref="A116:B116"/>
    <mergeCell ref="D116:E116"/>
    <mergeCell ref="A114:B114"/>
    <mergeCell ref="D114:E114"/>
    <mergeCell ref="A115:B115"/>
    <mergeCell ref="A213:J213"/>
    <mergeCell ref="A197:J197"/>
    <mergeCell ref="D198:E198"/>
    <mergeCell ref="I198:J205"/>
    <mergeCell ref="D115:E115"/>
    <mergeCell ref="D120:E120"/>
    <mergeCell ref="A121:B121"/>
    <mergeCell ref="D121:E121"/>
    <mergeCell ref="A118:B118"/>
    <mergeCell ref="D118:E118"/>
    <mergeCell ref="A119:B119"/>
    <mergeCell ref="D119:E119"/>
    <mergeCell ref="I118:J125"/>
    <mergeCell ref="A124:B124"/>
    <mergeCell ref="D124:E124"/>
    <mergeCell ref="A125:B125"/>
    <mergeCell ref="D125:E125"/>
    <mergeCell ref="A122:B122"/>
    <mergeCell ref="D122:E122"/>
    <mergeCell ref="A123:B123"/>
    <mergeCell ref="D123:E123"/>
    <mergeCell ref="A146:J146"/>
    <mergeCell ref="A147:J147"/>
    <mergeCell ref="A148:J148"/>
    <mergeCell ref="D184:E184"/>
    <mergeCell ref="D181:E181"/>
    <mergeCell ref="I149:J156"/>
    <mergeCell ref="A155:B155"/>
    <mergeCell ref="A214:J217"/>
    <mergeCell ref="A206:J206"/>
    <mergeCell ref="A207:J207"/>
    <mergeCell ref="A208:J208"/>
    <mergeCell ref="A209:J209"/>
    <mergeCell ref="A210:J210"/>
    <mergeCell ref="A211:J211"/>
    <mergeCell ref="A186:J186"/>
    <mergeCell ref="A187:J187"/>
    <mergeCell ref="A188:J188"/>
    <mergeCell ref="D189:E189"/>
    <mergeCell ref="I189:J196"/>
    <mergeCell ref="D190:E190"/>
    <mergeCell ref="D191:E191"/>
    <mergeCell ref="D192:E192"/>
    <mergeCell ref="D193:E193"/>
    <mergeCell ref="D194:E194"/>
    <mergeCell ref="D195:E195"/>
    <mergeCell ref="D196:E196"/>
    <mergeCell ref="A212:J212"/>
    <mergeCell ref="A144:B144"/>
    <mergeCell ref="D144:E144"/>
    <mergeCell ref="A145:B145"/>
    <mergeCell ref="D145:E145"/>
    <mergeCell ref="D185:E185"/>
    <mergeCell ref="A151:B151"/>
    <mergeCell ref="D151:E151"/>
    <mergeCell ref="A152:B152"/>
    <mergeCell ref="D152:E152"/>
    <mergeCell ref="D162:E162"/>
    <mergeCell ref="A165:B165"/>
    <mergeCell ref="D165:E165"/>
    <mergeCell ref="A162:B162"/>
    <mergeCell ref="D182:E182"/>
    <mergeCell ref="A166:J166"/>
    <mergeCell ref="A167:J167"/>
    <mergeCell ref="A168:J168"/>
    <mergeCell ref="A177:J177"/>
    <mergeCell ref="I178:J185"/>
    <mergeCell ref="D179:E179"/>
    <mergeCell ref="D180:E180"/>
    <mergeCell ref="I169:J176"/>
    <mergeCell ref="D178:E178"/>
    <mergeCell ref="D183:E183"/>
    <mergeCell ref="A126:J126"/>
    <mergeCell ref="A127:J127"/>
    <mergeCell ref="A128:J128"/>
    <mergeCell ref="A129:B129"/>
    <mergeCell ref="D129:E129"/>
    <mergeCell ref="A130:B130"/>
    <mergeCell ref="D130:E130"/>
    <mergeCell ref="A131:B131"/>
    <mergeCell ref="D131:E131"/>
    <mergeCell ref="A133:B133"/>
    <mergeCell ref="D133:E133"/>
    <mergeCell ref="I129:J136"/>
    <mergeCell ref="D200:E200"/>
    <mergeCell ref="D201:E201"/>
    <mergeCell ref="D202:E202"/>
    <mergeCell ref="D203:E203"/>
    <mergeCell ref="A160:B160"/>
    <mergeCell ref="D160:E160"/>
    <mergeCell ref="A134:B134"/>
    <mergeCell ref="D134:E134"/>
    <mergeCell ref="A135:B135"/>
    <mergeCell ref="D135:E135"/>
    <mergeCell ref="A136:B136"/>
    <mergeCell ref="D136:E136"/>
    <mergeCell ref="A158:B158"/>
    <mergeCell ref="D158:E158"/>
    <mergeCell ref="A157:J157"/>
    <mergeCell ref="I158:J165"/>
    <mergeCell ref="A163:B163"/>
    <mergeCell ref="D163:E163"/>
    <mergeCell ref="A164:B164"/>
    <mergeCell ref="D164:E164"/>
    <mergeCell ref="A161:B161"/>
    <mergeCell ref="D204:E204"/>
    <mergeCell ref="D205:E205"/>
    <mergeCell ref="C14:G14"/>
    <mergeCell ref="A117:J117"/>
    <mergeCell ref="D199:E199"/>
    <mergeCell ref="A120:B120"/>
    <mergeCell ref="A137:J137"/>
    <mergeCell ref="A138:B138"/>
    <mergeCell ref="D138:E138"/>
    <mergeCell ref="I138:J145"/>
    <mergeCell ref="A139:B139"/>
    <mergeCell ref="D139:E139"/>
    <mergeCell ref="A140:B140"/>
    <mergeCell ref="D140:E140"/>
    <mergeCell ref="A141:B141"/>
    <mergeCell ref="D141:E141"/>
    <mergeCell ref="A142:B142"/>
    <mergeCell ref="D142:E142"/>
    <mergeCell ref="A143:B143"/>
    <mergeCell ref="D143:E143"/>
    <mergeCell ref="D64:E64"/>
    <mergeCell ref="F58:G58"/>
    <mergeCell ref="A132:B132"/>
    <mergeCell ref="D132:E132"/>
    <mergeCell ref="A69:B69"/>
    <mergeCell ref="C69:J69"/>
    <mergeCell ref="E70:F70"/>
    <mergeCell ref="I70:J70"/>
    <mergeCell ref="A71:B71"/>
    <mergeCell ref="C71:J71"/>
    <mergeCell ref="A73:B73"/>
    <mergeCell ref="D73:E73"/>
    <mergeCell ref="F73:G73"/>
    <mergeCell ref="H73:J73"/>
    <mergeCell ref="C72:D72"/>
    <mergeCell ref="E72:G72"/>
    <mergeCell ref="H72:J72"/>
    <mergeCell ref="A74:B74"/>
    <mergeCell ref="D74:E74"/>
    <mergeCell ref="F74:G83"/>
    <mergeCell ref="H74:J83"/>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D82:E82"/>
    <mergeCell ref="A83:B83"/>
    <mergeCell ref="D83:E83"/>
  </mergeCells>
  <hyperlinks>
    <hyperlink ref="C31" r:id="rId1"/>
  </hyperlinks>
  <printOptions horizontalCentered="1"/>
  <pageMargins left="0.43307086614173201" right="0.43307086614173201" top="0.78740157480314998" bottom="0.78740157480314998" header="0.196850393700787" footer="0.196850393700787"/>
  <pageSetup paperSize="9" fitToHeight="0" orientation="portrait" r:id="rId2"/>
  <headerFooter>
    <oddHeader>&amp;C&amp;G</oddHeader>
    <oddFooter>&amp;L&amp;"Times New Roman,Bold"Ref No: &amp;F&amp;C&amp;G&amp;R&amp;P</oddFooter>
  </headerFooter>
  <rowBreaks count="2" manualBreakCount="2">
    <brk id="217" max="16383" man="1"/>
    <brk id="26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C3" sqref="C3"/>
    </sheetView>
  </sheetViews>
  <sheetFormatPr defaultRowHeight="14.5" x14ac:dyDescent="0.35"/>
  <cols>
    <col min="1" max="1" width="10.453125" bestFit="1" customWidth="1"/>
  </cols>
  <sheetData>
    <row r="1" spans="1:3" x14ac:dyDescent="0.35">
      <c r="A1" s="39">
        <v>43901</v>
      </c>
      <c r="B1" t="s">
        <v>196</v>
      </c>
      <c r="C1" t="s">
        <v>197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2" workbookViewId="0">
      <selection activeCell="C6" sqref="C6:C7"/>
    </sheetView>
  </sheetViews>
  <sheetFormatPr defaultRowHeight="14.5" x14ac:dyDescent="0.35"/>
  <cols>
    <col min="1" max="1" width="9.1796875" style="21"/>
    <col min="2" max="2" width="11.7265625" style="21" customWidth="1"/>
    <col min="3" max="257" width="9.1796875" style="21"/>
    <col min="258" max="258" width="11.7265625" style="21" customWidth="1"/>
    <col min="259" max="513" width="9.1796875" style="21"/>
    <col min="514" max="514" width="11.7265625" style="21" customWidth="1"/>
    <col min="515" max="769" width="9.1796875" style="21"/>
    <col min="770" max="770" width="11.7265625" style="21" customWidth="1"/>
    <col min="771" max="1025" width="9.1796875" style="21"/>
    <col min="1026" max="1026" width="11.7265625" style="21" customWidth="1"/>
    <col min="1027" max="1281" width="9.1796875" style="21"/>
    <col min="1282" max="1282" width="11.7265625" style="21" customWidth="1"/>
    <col min="1283" max="1537" width="9.1796875" style="21"/>
    <col min="1538" max="1538" width="11.7265625" style="21" customWidth="1"/>
    <col min="1539" max="1793" width="9.1796875" style="21"/>
    <col min="1794" max="1794" width="11.7265625" style="21" customWidth="1"/>
    <col min="1795" max="2049" width="9.1796875" style="21"/>
    <col min="2050" max="2050" width="11.7265625" style="21" customWidth="1"/>
    <col min="2051" max="2305" width="9.1796875" style="21"/>
    <col min="2306" max="2306" width="11.7265625" style="21" customWidth="1"/>
    <col min="2307" max="2561" width="9.1796875" style="21"/>
    <col min="2562" max="2562" width="11.7265625" style="21" customWidth="1"/>
    <col min="2563" max="2817" width="9.1796875" style="21"/>
    <col min="2818" max="2818" width="11.7265625" style="21" customWidth="1"/>
    <col min="2819" max="3073" width="9.1796875" style="21"/>
    <col min="3074" max="3074" width="11.7265625" style="21" customWidth="1"/>
    <col min="3075" max="3329" width="9.1796875" style="21"/>
    <col min="3330" max="3330" width="11.7265625" style="21" customWidth="1"/>
    <col min="3331" max="3585" width="9.1796875" style="21"/>
    <col min="3586" max="3586" width="11.7265625" style="21" customWidth="1"/>
    <col min="3587" max="3841" width="9.1796875" style="21"/>
    <col min="3842" max="3842" width="11.7265625" style="21" customWidth="1"/>
    <col min="3843" max="4097" width="9.1796875" style="21"/>
    <col min="4098" max="4098" width="11.7265625" style="21" customWidth="1"/>
    <col min="4099" max="4353" width="9.1796875" style="21"/>
    <col min="4354" max="4354" width="11.7265625" style="21" customWidth="1"/>
    <col min="4355" max="4609" width="9.1796875" style="21"/>
    <col min="4610" max="4610" width="11.7265625" style="21" customWidth="1"/>
    <col min="4611" max="4865" width="9.1796875" style="21"/>
    <col min="4866" max="4866" width="11.7265625" style="21" customWidth="1"/>
    <col min="4867" max="5121" width="9.1796875" style="21"/>
    <col min="5122" max="5122" width="11.7265625" style="21" customWidth="1"/>
    <col min="5123" max="5377" width="9.1796875" style="21"/>
    <col min="5378" max="5378" width="11.7265625" style="21" customWidth="1"/>
    <col min="5379" max="5633" width="9.1796875" style="21"/>
    <col min="5634" max="5634" width="11.7265625" style="21" customWidth="1"/>
    <col min="5635" max="5889" width="9.1796875" style="21"/>
    <col min="5890" max="5890" width="11.7265625" style="21" customWidth="1"/>
    <col min="5891" max="6145" width="9.1796875" style="21"/>
    <col min="6146" max="6146" width="11.7265625" style="21" customWidth="1"/>
    <col min="6147" max="6401" width="9.1796875" style="21"/>
    <col min="6402" max="6402" width="11.7265625" style="21" customWidth="1"/>
    <col min="6403" max="6657" width="9.1796875" style="21"/>
    <col min="6658" max="6658" width="11.7265625" style="21" customWidth="1"/>
    <col min="6659" max="6913" width="9.1796875" style="21"/>
    <col min="6914" max="6914" width="11.7265625" style="21" customWidth="1"/>
    <col min="6915" max="7169" width="9.1796875" style="21"/>
    <col min="7170" max="7170" width="11.7265625" style="21" customWidth="1"/>
    <col min="7171" max="7425" width="9.1796875" style="21"/>
    <col min="7426" max="7426" width="11.7265625" style="21" customWidth="1"/>
    <col min="7427" max="7681" width="9.1796875" style="21"/>
    <col min="7682" max="7682" width="11.7265625" style="21" customWidth="1"/>
    <col min="7683" max="7937" width="9.1796875" style="21"/>
    <col min="7938" max="7938" width="11.7265625" style="21" customWidth="1"/>
    <col min="7939" max="8193" width="9.1796875" style="21"/>
    <col min="8194" max="8194" width="11.7265625" style="21" customWidth="1"/>
    <col min="8195" max="8449" width="9.1796875" style="21"/>
    <col min="8450" max="8450" width="11.7265625" style="21" customWidth="1"/>
    <col min="8451" max="8705" width="9.1796875" style="21"/>
    <col min="8706" max="8706" width="11.7265625" style="21" customWidth="1"/>
    <col min="8707" max="8961" width="9.1796875" style="21"/>
    <col min="8962" max="8962" width="11.7265625" style="21" customWidth="1"/>
    <col min="8963" max="9217" width="9.1796875" style="21"/>
    <col min="9218" max="9218" width="11.7265625" style="21" customWidth="1"/>
    <col min="9219" max="9473" width="9.1796875" style="21"/>
    <col min="9474" max="9474" width="11.7265625" style="21" customWidth="1"/>
    <col min="9475" max="9729" width="9.1796875" style="21"/>
    <col min="9730" max="9730" width="11.7265625" style="21" customWidth="1"/>
    <col min="9731" max="9985" width="9.1796875" style="21"/>
    <col min="9986" max="9986" width="11.7265625" style="21" customWidth="1"/>
    <col min="9987" max="10241" width="9.1796875" style="21"/>
    <col min="10242" max="10242" width="11.7265625" style="21" customWidth="1"/>
    <col min="10243" max="10497" width="9.1796875" style="21"/>
    <col min="10498" max="10498" width="11.7265625" style="21" customWidth="1"/>
    <col min="10499" max="10753" width="9.1796875" style="21"/>
    <col min="10754" max="10754" width="11.7265625" style="21" customWidth="1"/>
    <col min="10755" max="11009" width="9.1796875" style="21"/>
    <col min="11010" max="11010" width="11.7265625" style="21" customWidth="1"/>
    <col min="11011" max="11265" width="9.1796875" style="21"/>
    <col min="11266" max="11266" width="11.7265625" style="21" customWidth="1"/>
    <col min="11267" max="11521" width="9.1796875" style="21"/>
    <col min="11522" max="11522" width="11.7265625" style="21" customWidth="1"/>
    <col min="11523" max="11777" width="9.1796875" style="21"/>
    <col min="11778" max="11778" width="11.7265625" style="21" customWidth="1"/>
    <col min="11779" max="12033" width="9.1796875" style="21"/>
    <col min="12034" max="12034" width="11.7265625" style="21" customWidth="1"/>
    <col min="12035" max="12289" width="9.1796875" style="21"/>
    <col min="12290" max="12290" width="11.7265625" style="21" customWidth="1"/>
    <col min="12291" max="12545" width="9.1796875" style="21"/>
    <col min="12546" max="12546" width="11.7265625" style="21" customWidth="1"/>
    <col min="12547" max="12801" width="9.1796875" style="21"/>
    <col min="12802" max="12802" width="11.7265625" style="21" customWidth="1"/>
    <col min="12803" max="13057" width="9.1796875" style="21"/>
    <col min="13058" max="13058" width="11.7265625" style="21" customWidth="1"/>
    <col min="13059" max="13313" width="9.1796875" style="21"/>
    <col min="13314" max="13314" width="11.7265625" style="21" customWidth="1"/>
    <col min="13315" max="13569" width="9.1796875" style="21"/>
    <col min="13570" max="13570" width="11.7265625" style="21" customWidth="1"/>
    <col min="13571" max="13825" width="9.1796875" style="21"/>
    <col min="13826" max="13826" width="11.7265625" style="21" customWidth="1"/>
    <col min="13827" max="14081" width="9.1796875" style="21"/>
    <col min="14082" max="14082" width="11.7265625" style="21" customWidth="1"/>
    <col min="14083" max="14337" width="9.1796875" style="21"/>
    <col min="14338" max="14338" width="11.7265625" style="21" customWidth="1"/>
    <col min="14339" max="14593" width="9.1796875" style="21"/>
    <col min="14594" max="14594" width="11.7265625" style="21" customWidth="1"/>
    <col min="14595" max="14849" width="9.1796875" style="21"/>
    <col min="14850" max="14850" width="11.7265625" style="21" customWidth="1"/>
    <col min="14851" max="15105" width="9.1796875" style="21"/>
    <col min="15106" max="15106" width="11.7265625" style="21" customWidth="1"/>
    <col min="15107" max="15361" width="9.1796875" style="21"/>
    <col min="15362" max="15362" width="11.7265625" style="21" customWidth="1"/>
    <col min="15363" max="15617" width="9.1796875" style="21"/>
    <col min="15618" max="15618" width="11.7265625" style="21" customWidth="1"/>
    <col min="15619" max="15873" width="9.1796875" style="21"/>
    <col min="15874" max="15874" width="11.7265625" style="21" customWidth="1"/>
    <col min="15875" max="16129" width="9.1796875" style="21"/>
    <col min="16130" max="16130" width="11.7265625" style="21" customWidth="1"/>
    <col min="16131" max="16384" width="9.1796875" style="21"/>
  </cols>
  <sheetData>
    <row r="2" spans="1:15" x14ac:dyDescent="0.35">
      <c r="A2" s="21" t="s">
        <v>108</v>
      </c>
      <c r="B2" s="22" t="s">
        <v>109</v>
      </c>
      <c r="C2" s="22">
        <v>7</v>
      </c>
    </row>
    <row r="3" spans="1:15" x14ac:dyDescent="0.35">
      <c r="B3" s="21" t="s">
        <v>110</v>
      </c>
      <c r="C3" s="21" t="s">
        <v>111</v>
      </c>
    </row>
    <row r="4" spans="1:15" x14ac:dyDescent="0.35">
      <c r="A4" s="21" t="s">
        <v>112</v>
      </c>
      <c r="B4" s="23">
        <v>10</v>
      </c>
      <c r="C4" s="23">
        <v>10</v>
      </c>
      <c r="E4" s="21">
        <f>(100/B4)*C4</f>
        <v>100</v>
      </c>
    </row>
    <row r="5" spans="1:15" x14ac:dyDescent="0.35">
      <c r="A5" s="21" t="s">
        <v>113</v>
      </c>
      <c r="B5" s="21" t="s">
        <v>114</v>
      </c>
      <c r="C5" s="21" t="s">
        <v>115</v>
      </c>
      <c r="E5" s="21">
        <f>(100/B6)*C6</f>
        <v>100</v>
      </c>
      <c r="I5" s="23" t="s">
        <v>116</v>
      </c>
      <c r="J5" s="23" t="s">
        <v>117</v>
      </c>
      <c r="K5" s="23" t="s">
        <v>118</v>
      </c>
      <c r="L5" s="23" t="s">
        <v>74</v>
      </c>
      <c r="M5" s="23" t="s">
        <v>75</v>
      </c>
      <c r="N5" s="23" t="s">
        <v>119</v>
      </c>
      <c r="O5" s="23" t="s">
        <v>76</v>
      </c>
    </row>
    <row r="6" spans="1:15" x14ac:dyDescent="0.35">
      <c r="B6" s="23">
        <f>C2+1</f>
        <v>8</v>
      </c>
      <c r="C6" s="23">
        <v>8</v>
      </c>
      <c r="E6" s="21">
        <f>(100/B8)*C8</f>
        <v>42.857142857142861</v>
      </c>
      <c r="F6" s="24" t="s">
        <v>120</v>
      </c>
      <c r="I6" s="24">
        <f>C4</f>
        <v>10</v>
      </c>
      <c r="J6" s="24">
        <f>40/B6*C6</f>
        <v>40</v>
      </c>
      <c r="K6" s="24">
        <f>15/B8*C8</f>
        <v>6.4285714285714288</v>
      </c>
      <c r="L6" s="24">
        <f>10/B10*C10</f>
        <v>0</v>
      </c>
      <c r="M6" s="24">
        <f>10/B12*C12</f>
        <v>0</v>
      </c>
      <c r="N6" s="24">
        <f>5/B14*C14</f>
        <v>0</v>
      </c>
      <c r="O6" s="24">
        <f>5/B16*C16</f>
        <v>0</v>
      </c>
    </row>
    <row r="7" spans="1:15" x14ac:dyDescent="0.35">
      <c r="A7" s="21" t="s">
        <v>121</v>
      </c>
      <c r="B7" s="21" t="s">
        <v>122</v>
      </c>
      <c r="C7" s="21" t="s">
        <v>123</v>
      </c>
      <c r="E7" s="21">
        <f>(100/B10)*C10</f>
        <v>0</v>
      </c>
      <c r="F7" s="23" t="s">
        <v>124</v>
      </c>
      <c r="G7" s="23"/>
      <c r="H7" s="23"/>
      <c r="I7" s="23">
        <f>I6+20</f>
        <v>30</v>
      </c>
      <c r="J7" s="23">
        <f>30/B6*C6</f>
        <v>30</v>
      </c>
      <c r="K7" s="23">
        <f>15/B8*C8</f>
        <v>6.4285714285714288</v>
      </c>
      <c r="L7" s="23">
        <f>10/B10*C10</f>
        <v>0</v>
      </c>
      <c r="M7" s="23">
        <f>5/B12*C12</f>
        <v>0</v>
      </c>
      <c r="N7" s="23">
        <f>5/B14*C14</f>
        <v>0</v>
      </c>
      <c r="O7" s="23">
        <f>5/B16*C16</f>
        <v>0</v>
      </c>
    </row>
    <row r="8" spans="1:15" x14ac:dyDescent="0.35">
      <c r="B8" s="23">
        <f>C2</f>
        <v>7</v>
      </c>
      <c r="C8" s="23">
        <v>3</v>
      </c>
      <c r="E8" s="21">
        <f>(100/B12)*C12</f>
        <v>0</v>
      </c>
    </row>
    <row r="9" spans="1:15" x14ac:dyDescent="0.35">
      <c r="A9" s="21" t="s">
        <v>125</v>
      </c>
      <c r="B9" s="21" t="s">
        <v>122</v>
      </c>
      <c r="C9" s="21" t="s">
        <v>123</v>
      </c>
      <c r="E9" s="21">
        <f>(100/B14)*C14</f>
        <v>0</v>
      </c>
    </row>
    <row r="10" spans="1:15" x14ac:dyDescent="0.35">
      <c r="B10" s="23">
        <f>C2</f>
        <v>7</v>
      </c>
      <c r="C10" s="23">
        <v>0</v>
      </c>
      <c r="E10" s="21">
        <f>(100/B16)*C16</f>
        <v>0</v>
      </c>
    </row>
    <row r="11" spans="1:15" x14ac:dyDescent="0.35">
      <c r="A11" s="21" t="s">
        <v>75</v>
      </c>
      <c r="B11" s="21" t="s">
        <v>122</v>
      </c>
      <c r="C11" s="21" t="s">
        <v>123</v>
      </c>
    </row>
    <row r="12" spans="1:15" x14ac:dyDescent="0.35">
      <c r="B12" s="23">
        <f>C2</f>
        <v>7</v>
      </c>
      <c r="C12" s="23">
        <v>0</v>
      </c>
      <c r="F12" s="23"/>
      <c r="G12" s="23" t="s">
        <v>120</v>
      </c>
      <c r="H12" s="23" t="s">
        <v>126</v>
      </c>
      <c r="L12" s="21" t="s">
        <v>127</v>
      </c>
    </row>
    <row r="13" spans="1:15" ht="29" x14ac:dyDescent="0.35">
      <c r="A13" s="25" t="s">
        <v>119</v>
      </c>
      <c r="B13" s="21" t="s">
        <v>122</v>
      </c>
      <c r="C13" s="21" t="s">
        <v>123</v>
      </c>
      <c r="F13" s="23" t="s">
        <v>72</v>
      </c>
      <c r="G13" s="23">
        <f>I6</f>
        <v>10</v>
      </c>
      <c r="H13" s="23">
        <f>I7</f>
        <v>30</v>
      </c>
      <c r="L13" s="21" t="s">
        <v>127</v>
      </c>
    </row>
    <row r="14" spans="1:15" x14ac:dyDescent="0.35">
      <c r="B14" s="23">
        <f>C2</f>
        <v>7</v>
      </c>
      <c r="C14" s="23">
        <v>0</v>
      </c>
      <c r="F14" s="23" t="s">
        <v>73</v>
      </c>
      <c r="G14" s="23">
        <f>J6</f>
        <v>40</v>
      </c>
      <c r="H14" s="23">
        <f>J7</f>
        <v>30</v>
      </c>
    </row>
    <row r="15" spans="1:15" x14ac:dyDescent="0.35">
      <c r="A15" s="21" t="s">
        <v>76</v>
      </c>
      <c r="B15" s="21" t="s">
        <v>122</v>
      </c>
      <c r="C15" s="21" t="s">
        <v>123</v>
      </c>
      <c r="F15" s="23" t="s">
        <v>118</v>
      </c>
      <c r="G15" s="23">
        <f>K6</f>
        <v>6.4285714285714288</v>
      </c>
      <c r="H15" s="23">
        <f>K7</f>
        <v>6.4285714285714288</v>
      </c>
    </row>
    <row r="16" spans="1:15" x14ac:dyDescent="0.35">
      <c r="B16" s="23">
        <f>C2</f>
        <v>7</v>
      </c>
      <c r="C16" s="23">
        <v>0</v>
      </c>
      <c r="F16" s="23" t="s">
        <v>74</v>
      </c>
      <c r="G16" s="23">
        <f>L6</f>
        <v>0</v>
      </c>
      <c r="H16" s="23">
        <f>L7</f>
        <v>0</v>
      </c>
    </row>
    <row r="17" spans="5:8" x14ac:dyDescent="0.35">
      <c r="F17" s="23" t="s">
        <v>75</v>
      </c>
      <c r="G17" s="23">
        <f>M6</f>
        <v>0</v>
      </c>
      <c r="H17" s="23">
        <f>M7</f>
        <v>0</v>
      </c>
    </row>
    <row r="18" spans="5:8" ht="29" x14ac:dyDescent="0.35">
      <c r="F18" s="26" t="s">
        <v>119</v>
      </c>
      <c r="G18" s="23">
        <f>N6</f>
        <v>0</v>
      </c>
      <c r="H18" s="23">
        <f>N7</f>
        <v>0</v>
      </c>
    </row>
    <row r="19" spans="5:8" x14ac:dyDescent="0.35">
      <c r="F19" s="23" t="s">
        <v>76</v>
      </c>
      <c r="G19" s="23">
        <f>O6</f>
        <v>0</v>
      </c>
      <c r="H19" s="23">
        <f>O7</f>
        <v>0</v>
      </c>
    </row>
    <row r="20" spans="5:8" x14ac:dyDescent="0.35">
      <c r="F20" s="23" t="s">
        <v>128</v>
      </c>
      <c r="G20" s="23">
        <f>G13+G14+G15+G16+G17+G18+G19</f>
        <v>56.428571428571431</v>
      </c>
      <c r="H20" s="23">
        <f>H13+H14+H15+H16+H17+H18+H19</f>
        <v>66.428571428571431</v>
      </c>
    </row>
    <row r="21" spans="5:8" x14ac:dyDescent="0.35">
      <c r="E21" s="2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B19" sqref="B19"/>
    </sheetView>
  </sheetViews>
  <sheetFormatPr defaultRowHeight="14.5" x14ac:dyDescent="0.35"/>
  <cols>
    <col min="1" max="1" width="9.1796875" style="21"/>
    <col min="2" max="2" width="11.7265625" style="21" customWidth="1"/>
    <col min="3" max="257" width="9.1796875" style="21"/>
    <col min="258" max="258" width="11.7265625" style="21" customWidth="1"/>
    <col min="259" max="513" width="9.1796875" style="21"/>
    <col min="514" max="514" width="11.7265625" style="21" customWidth="1"/>
    <col min="515" max="769" width="9.1796875" style="21"/>
    <col min="770" max="770" width="11.7265625" style="21" customWidth="1"/>
    <col min="771" max="1025" width="9.1796875" style="21"/>
    <col min="1026" max="1026" width="11.7265625" style="21" customWidth="1"/>
    <col min="1027" max="1281" width="9.1796875" style="21"/>
    <col min="1282" max="1282" width="11.7265625" style="21" customWidth="1"/>
    <col min="1283" max="1537" width="9.1796875" style="21"/>
    <col min="1538" max="1538" width="11.7265625" style="21" customWidth="1"/>
    <col min="1539" max="1793" width="9.1796875" style="21"/>
    <col min="1794" max="1794" width="11.7265625" style="21" customWidth="1"/>
    <col min="1795" max="2049" width="9.1796875" style="21"/>
    <col min="2050" max="2050" width="11.7265625" style="21" customWidth="1"/>
    <col min="2051" max="2305" width="9.1796875" style="21"/>
    <col min="2306" max="2306" width="11.7265625" style="21" customWidth="1"/>
    <col min="2307" max="2561" width="9.1796875" style="21"/>
    <col min="2562" max="2562" width="11.7265625" style="21" customWidth="1"/>
    <col min="2563" max="2817" width="9.1796875" style="21"/>
    <col min="2818" max="2818" width="11.7265625" style="21" customWidth="1"/>
    <col min="2819" max="3073" width="9.1796875" style="21"/>
    <col min="3074" max="3074" width="11.7265625" style="21" customWidth="1"/>
    <col min="3075" max="3329" width="9.1796875" style="21"/>
    <col min="3330" max="3330" width="11.7265625" style="21" customWidth="1"/>
    <col min="3331" max="3585" width="9.1796875" style="21"/>
    <col min="3586" max="3586" width="11.7265625" style="21" customWidth="1"/>
    <col min="3587" max="3841" width="9.1796875" style="21"/>
    <col min="3842" max="3842" width="11.7265625" style="21" customWidth="1"/>
    <col min="3843" max="4097" width="9.1796875" style="21"/>
    <col min="4098" max="4098" width="11.7265625" style="21" customWidth="1"/>
    <col min="4099" max="4353" width="9.1796875" style="21"/>
    <col min="4354" max="4354" width="11.7265625" style="21" customWidth="1"/>
    <col min="4355" max="4609" width="9.1796875" style="21"/>
    <col min="4610" max="4610" width="11.7265625" style="21" customWidth="1"/>
    <col min="4611" max="4865" width="9.1796875" style="21"/>
    <col min="4866" max="4866" width="11.7265625" style="21" customWidth="1"/>
    <col min="4867" max="5121" width="9.1796875" style="21"/>
    <col min="5122" max="5122" width="11.7265625" style="21" customWidth="1"/>
    <col min="5123" max="5377" width="9.1796875" style="21"/>
    <col min="5378" max="5378" width="11.7265625" style="21" customWidth="1"/>
    <col min="5379" max="5633" width="9.1796875" style="21"/>
    <col min="5634" max="5634" width="11.7265625" style="21" customWidth="1"/>
    <col min="5635" max="5889" width="9.1796875" style="21"/>
    <col min="5890" max="5890" width="11.7265625" style="21" customWidth="1"/>
    <col min="5891" max="6145" width="9.1796875" style="21"/>
    <col min="6146" max="6146" width="11.7265625" style="21" customWidth="1"/>
    <col min="6147" max="6401" width="9.1796875" style="21"/>
    <col min="6402" max="6402" width="11.7265625" style="21" customWidth="1"/>
    <col min="6403" max="6657" width="9.1796875" style="21"/>
    <col min="6658" max="6658" width="11.7265625" style="21" customWidth="1"/>
    <col min="6659" max="6913" width="9.1796875" style="21"/>
    <col min="6914" max="6914" width="11.7265625" style="21" customWidth="1"/>
    <col min="6915" max="7169" width="9.1796875" style="21"/>
    <col min="7170" max="7170" width="11.7265625" style="21" customWidth="1"/>
    <col min="7171" max="7425" width="9.1796875" style="21"/>
    <col min="7426" max="7426" width="11.7265625" style="21" customWidth="1"/>
    <col min="7427" max="7681" width="9.1796875" style="21"/>
    <col min="7682" max="7682" width="11.7265625" style="21" customWidth="1"/>
    <col min="7683" max="7937" width="9.1796875" style="21"/>
    <col min="7938" max="7938" width="11.7265625" style="21" customWidth="1"/>
    <col min="7939" max="8193" width="9.1796875" style="21"/>
    <col min="8194" max="8194" width="11.7265625" style="21" customWidth="1"/>
    <col min="8195" max="8449" width="9.1796875" style="21"/>
    <col min="8450" max="8450" width="11.7265625" style="21" customWidth="1"/>
    <col min="8451" max="8705" width="9.1796875" style="21"/>
    <col min="8706" max="8706" width="11.7265625" style="21" customWidth="1"/>
    <col min="8707" max="8961" width="9.1796875" style="21"/>
    <col min="8962" max="8962" width="11.7265625" style="21" customWidth="1"/>
    <col min="8963" max="9217" width="9.1796875" style="21"/>
    <col min="9218" max="9218" width="11.7265625" style="21" customWidth="1"/>
    <col min="9219" max="9473" width="9.1796875" style="21"/>
    <col min="9474" max="9474" width="11.7265625" style="21" customWidth="1"/>
    <col min="9475" max="9729" width="9.1796875" style="21"/>
    <col min="9730" max="9730" width="11.7265625" style="21" customWidth="1"/>
    <col min="9731" max="9985" width="9.1796875" style="21"/>
    <col min="9986" max="9986" width="11.7265625" style="21" customWidth="1"/>
    <col min="9987" max="10241" width="9.1796875" style="21"/>
    <col min="10242" max="10242" width="11.7265625" style="21" customWidth="1"/>
    <col min="10243" max="10497" width="9.1796875" style="21"/>
    <col min="10498" max="10498" width="11.7265625" style="21" customWidth="1"/>
    <col min="10499" max="10753" width="9.1796875" style="21"/>
    <col min="10754" max="10754" width="11.7265625" style="21" customWidth="1"/>
    <col min="10755" max="11009" width="9.1796875" style="21"/>
    <col min="11010" max="11010" width="11.7265625" style="21" customWidth="1"/>
    <col min="11011" max="11265" width="9.1796875" style="21"/>
    <col min="11266" max="11266" width="11.7265625" style="21" customWidth="1"/>
    <col min="11267" max="11521" width="9.1796875" style="21"/>
    <col min="11522" max="11522" width="11.7265625" style="21" customWidth="1"/>
    <col min="11523" max="11777" width="9.1796875" style="21"/>
    <col min="11778" max="11778" width="11.7265625" style="21" customWidth="1"/>
    <col min="11779" max="12033" width="9.1796875" style="21"/>
    <col min="12034" max="12034" width="11.7265625" style="21" customWidth="1"/>
    <col min="12035" max="12289" width="9.1796875" style="21"/>
    <col min="12290" max="12290" width="11.7265625" style="21" customWidth="1"/>
    <col min="12291" max="12545" width="9.1796875" style="21"/>
    <col min="12546" max="12546" width="11.7265625" style="21" customWidth="1"/>
    <col min="12547" max="12801" width="9.1796875" style="21"/>
    <col min="12802" max="12802" width="11.7265625" style="21" customWidth="1"/>
    <col min="12803" max="13057" width="9.1796875" style="21"/>
    <col min="13058" max="13058" width="11.7265625" style="21" customWidth="1"/>
    <col min="13059" max="13313" width="9.1796875" style="21"/>
    <col min="13314" max="13314" width="11.7265625" style="21" customWidth="1"/>
    <col min="13315" max="13569" width="9.1796875" style="21"/>
    <col min="13570" max="13570" width="11.7265625" style="21" customWidth="1"/>
    <col min="13571" max="13825" width="9.1796875" style="21"/>
    <col min="13826" max="13826" width="11.7265625" style="21" customWidth="1"/>
    <col min="13827" max="14081" width="9.1796875" style="21"/>
    <col min="14082" max="14082" width="11.7265625" style="21" customWidth="1"/>
    <col min="14083" max="14337" width="9.1796875" style="21"/>
    <col min="14338" max="14338" width="11.7265625" style="21" customWidth="1"/>
    <col min="14339" max="14593" width="9.1796875" style="21"/>
    <col min="14594" max="14594" width="11.7265625" style="21" customWidth="1"/>
    <col min="14595" max="14849" width="9.1796875" style="21"/>
    <col min="14850" max="14850" width="11.7265625" style="21" customWidth="1"/>
    <col min="14851" max="15105" width="9.1796875" style="21"/>
    <col min="15106" max="15106" width="11.7265625" style="21" customWidth="1"/>
    <col min="15107" max="15361" width="9.1796875" style="21"/>
    <col min="15362" max="15362" width="11.7265625" style="21" customWidth="1"/>
    <col min="15363" max="15617" width="9.1796875" style="21"/>
    <col min="15618" max="15618" width="11.7265625" style="21" customWidth="1"/>
    <col min="15619" max="15873" width="9.1796875" style="21"/>
    <col min="15874" max="15874" width="11.7265625" style="21" customWidth="1"/>
    <col min="15875" max="16129" width="9.1796875" style="21"/>
    <col min="16130" max="16130" width="11.7265625" style="21" customWidth="1"/>
    <col min="16131" max="16384" width="9.1796875" style="21"/>
  </cols>
  <sheetData>
    <row r="2" spans="1:15" x14ac:dyDescent="0.35">
      <c r="A2" s="21" t="s">
        <v>108</v>
      </c>
      <c r="B2" s="22" t="s">
        <v>109</v>
      </c>
      <c r="C2" s="22">
        <v>7</v>
      </c>
    </row>
    <row r="3" spans="1:15" x14ac:dyDescent="0.35">
      <c r="B3" s="21" t="s">
        <v>110</v>
      </c>
      <c r="C3" s="21" t="s">
        <v>111</v>
      </c>
    </row>
    <row r="4" spans="1:15" x14ac:dyDescent="0.35">
      <c r="A4" s="21" t="s">
        <v>112</v>
      </c>
      <c r="B4" s="23">
        <v>10</v>
      </c>
      <c r="C4" s="23">
        <v>10</v>
      </c>
      <c r="E4" s="21">
        <f>(100/B4)*C4</f>
        <v>100</v>
      </c>
    </row>
    <row r="5" spans="1:15" x14ac:dyDescent="0.35">
      <c r="A5" s="21" t="s">
        <v>113</v>
      </c>
      <c r="B5" s="21" t="s">
        <v>114</v>
      </c>
      <c r="C5" s="21" t="s">
        <v>115</v>
      </c>
      <c r="E5" s="21">
        <f>(100/B6)*C6</f>
        <v>100</v>
      </c>
      <c r="I5" s="23" t="s">
        <v>116</v>
      </c>
      <c r="J5" s="23" t="s">
        <v>117</v>
      </c>
      <c r="K5" s="23" t="s">
        <v>118</v>
      </c>
      <c r="L5" s="23" t="s">
        <v>74</v>
      </c>
      <c r="M5" s="23" t="s">
        <v>75</v>
      </c>
      <c r="N5" s="23" t="s">
        <v>119</v>
      </c>
      <c r="O5" s="23" t="s">
        <v>76</v>
      </c>
    </row>
    <row r="6" spans="1:15" x14ac:dyDescent="0.35">
      <c r="B6" s="23">
        <f>C2+1</f>
        <v>8</v>
      </c>
      <c r="C6" s="23">
        <v>8</v>
      </c>
      <c r="E6" s="21">
        <f>(100/B8)*C8</f>
        <v>100</v>
      </c>
      <c r="F6" s="24" t="s">
        <v>120</v>
      </c>
      <c r="I6" s="24">
        <f>C4</f>
        <v>10</v>
      </c>
      <c r="J6" s="24">
        <f>40/B6*C6</f>
        <v>40</v>
      </c>
      <c r="K6" s="24">
        <f>15/B8*C8</f>
        <v>15</v>
      </c>
      <c r="L6" s="24">
        <f>10/B10*C10</f>
        <v>10</v>
      </c>
      <c r="M6" s="24">
        <f>10/B12*C12</f>
        <v>0.7142857142857143</v>
      </c>
      <c r="N6" s="24">
        <f>5/B14*C14</f>
        <v>0</v>
      </c>
      <c r="O6" s="24">
        <f>5/B16*C16</f>
        <v>0</v>
      </c>
    </row>
    <row r="7" spans="1:15" x14ac:dyDescent="0.35">
      <c r="A7" s="21" t="s">
        <v>121</v>
      </c>
      <c r="B7" s="21" t="s">
        <v>122</v>
      </c>
      <c r="C7" s="33" t="s">
        <v>123</v>
      </c>
      <c r="E7" s="21">
        <f>(100/B10)*C10</f>
        <v>100</v>
      </c>
      <c r="F7" s="23" t="s">
        <v>124</v>
      </c>
      <c r="G7" s="23"/>
      <c r="H7" s="23"/>
      <c r="I7" s="23">
        <f>I6+20</f>
        <v>30</v>
      </c>
      <c r="J7" s="23">
        <f>30/B6*C6</f>
        <v>30</v>
      </c>
      <c r="K7" s="23">
        <f>15/B8*C8</f>
        <v>15</v>
      </c>
      <c r="L7" s="23">
        <f>10/B10*C10</f>
        <v>10</v>
      </c>
      <c r="M7" s="23">
        <f>5/B12*C12</f>
        <v>0.35714285714285715</v>
      </c>
      <c r="N7" s="23">
        <f>5/B14*C14</f>
        <v>0</v>
      </c>
      <c r="O7" s="23">
        <f>5/B16*C16</f>
        <v>0</v>
      </c>
    </row>
    <row r="8" spans="1:15" x14ac:dyDescent="0.35">
      <c r="B8" s="23">
        <f>C2</f>
        <v>7</v>
      </c>
      <c r="C8" s="23">
        <v>7</v>
      </c>
      <c r="E8" s="21">
        <f>(100/B12)*C12</f>
        <v>7.1428571428571432</v>
      </c>
    </row>
    <row r="9" spans="1:15" x14ac:dyDescent="0.35">
      <c r="A9" s="21" t="s">
        <v>125</v>
      </c>
      <c r="B9" s="21" t="s">
        <v>122</v>
      </c>
      <c r="C9" s="21" t="s">
        <v>123</v>
      </c>
      <c r="E9" s="21">
        <f>(100/B14)*C14</f>
        <v>0</v>
      </c>
    </row>
    <row r="10" spans="1:15" x14ac:dyDescent="0.35">
      <c r="B10" s="23">
        <f>C2</f>
        <v>7</v>
      </c>
      <c r="C10" s="23">
        <v>7</v>
      </c>
      <c r="E10" s="21">
        <f>(100/B16)*C16</f>
        <v>0</v>
      </c>
    </row>
    <row r="11" spans="1:15" x14ac:dyDescent="0.35">
      <c r="A11" s="21" t="s">
        <v>75</v>
      </c>
      <c r="B11" s="21" t="s">
        <v>122</v>
      </c>
      <c r="C11" s="21" t="s">
        <v>123</v>
      </c>
    </row>
    <row r="12" spans="1:15" x14ac:dyDescent="0.35">
      <c r="B12" s="23">
        <f>C2</f>
        <v>7</v>
      </c>
      <c r="C12" s="23">
        <v>0.5</v>
      </c>
      <c r="F12" s="23"/>
      <c r="G12" s="23" t="s">
        <v>120</v>
      </c>
      <c r="H12" s="23" t="s">
        <v>126</v>
      </c>
      <c r="L12" s="21" t="s">
        <v>127</v>
      </c>
    </row>
    <row r="13" spans="1:15" ht="29" x14ac:dyDescent="0.35">
      <c r="A13" s="25" t="s">
        <v>119</v>
      </c>
      <c r="B13" s="21" t="s">
        <v>122</v>
      </c>
      <c r="C13" s="21" t="s">
        <v>123</v>
      </c>
      <c r="F13" s="23" t="s">
        <v>72</v>
      </c>
      <c r="G13" s="23">
        <f>I6</f>
        <v>10</v>
      </c>
      <c r="H13" s="23">
        <f>I7</f>
        <v>30</v>
      </c>
      <c r="L13" s="21" t="s">
        <v>127</v>
      </c>
    </row>
    <row r="14" spans="1:15" x14ac:dyDescent="0.35">
      <c r="B14" s="23">
        <f>C2</f>
        <v>7</v>
      </c>
      <c r="C14" s="23">
        <v>0</v>
      </c>
      <c r="F14" s="23" t="s">
        <v>73</v>
      </c>
      <c r="G14" s="23">
        <f>J6</f>
        <v>40</v>
      </c>
      <c r="H14" s="23">
        <f>J7</f>
        <v>30</v>
      </c>
    </row>
    <row r="15" spans="1:15" x14ac:dyDescent="0.35">
      <c r="A15" s="21" t="s">
        <v>76</v>
      </c>
      <c r="B15" s="21" t="s">
        <v>122</v>
      </c>
      <c r="C15" s="21" t="s">
        <v>123</v>
      </c>
      <c r="F15" s="23" t="s">
        <v>118</v>
      </c>
      <c r="G15" s="23">
        <f>K6</f>
        <v>15</v>
      </c>
      <c r="H15" s="23">
        <f>K7</f>
        <v>15</v>
      </c>
    </row>
    <row r="16" spans="1:15" x14ac:dyDescent="0.35">
      <c r="B16" s="23">
        <f>C2</f>
        <v>7</v>
      </c>
      <c r="C16" s="23">
        <v>0</v>
      </c>
      <c r="F16" s="23" t="s">
        <v>74</v>
      </c>
      <c r="G16" s="23">
        <f>L6</f>
        <v>10</v>
      </c>
      <c r="H16" s="23">
        <f>L7</f>
        <v>10</v>
      </c>
    </row>
    <row r="17" spans="5:8" x14ac:dyDescent="0.35">
      <c r="F17" s="23" t="s">
        <v>75</v>
      </c>
      <c r="G17" s="23">
        <f>M6</f>
        <v>0.7142857142857143</v>
      </c>
      <c r="H17" s="23">
        <f>M7</f>
        <v>0.35714285714285715</v>
      </c>
    </row>
    <row r="18" spans="5:8" ht="29" x14ac:dyDescent="0.35">
      <c r="F18" s="26" t="s">
        <v>119</v>
      </c>
      <c r="G18" s="23">
        <f>N6</f>
        <v>0</v>
      </c>
      <c r="H18" s="23">
        <f>N7</f>
        <v>0</v>
      </c>
    </row>
    <row r="19" spans="5:8" x14ac:dyDescent="0.35">
      <c r="F19" s="23" t="s">
        <v>76</v>
      </c>
      <c r="G19" s="23">
        <f>O6</f>
        <v>0</v>
      </c>
      <c r="H19" s="23">
        <f>O7</f>
        <v>0</v>
      </c>
    </row>
    <row r="20" spans="5:8" x14ac:dyDescent="0.35">
      <c r="F20" s="23" t="s">
        <v>128</v>
      </c>
      <c r="G20" s="23">
        <f>G13+G14+G15+G16+G17+G18+G19</f>
        <v>75.714285714285708</v>
      </c>
      <c r="H20" s="23">
        <f>H13+H14+H15+H16+H17+H18+H19</f>
        <v>85.357142857142861</v>
      </c>
    </row>
    <row r="21" spans="5:8" x14ac:dyDescent="0.35">
      <c r="E21"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4" sqref="C4:D8"/>
    </sheetView>
  </sheetViews>
  <sheetFormatPr defaultRowHeight="14.5" x14ac:dyDescent="0.35"/>
  <cols>
    <col min="1" max="1" width="9.1796875" style="21"/>
    <col min="2" max="2" width="11.7265625" style="21" customWidth="1"/>
    <col min="3" max="257" width="9.1796875" style="21"/>
    <col min="258" max="258" width="11.7265625" style="21" customWidth="1"/>
    <col min="259" max="513" width="9.1796875" style="21"/>
    <col min="514" max="514" width="11.7265625" style="21" customWidth="1"/>
    <col min="515" max="769" width="9.1796875" style="21"/>
    <col min="770" max="770" width="11.7265625" style="21" customWidth="1"/>
    <col min="771" max="1025" width="9.1796875" style="21"/>
    <col min="1026" max="1026" width="11.7265625" style="21" customWidth="1"/>
    <col min="1027" max="1281" width="9.1796875" style="21"/>
    <col min="1282" max="1282" width="11.7265625" style="21" customWidth="1"/>
    <col min="1283" max="1537" width="9.1796875" style="21"/>
    <col min="1538" max="1538" width="11.7265625" style="21" customWidth="1"/>
    <col min="1539" max="1793" width="9.1796875" style="21"/>
    <col min="1794" max="1794" width="11.7265625" style="21" customWidth="1"/>
    <col min="1795" max="2049" width="9.1796875" style="21"/>
    <col min="2050" max="2050" width="11.7265625" style="21" customWidth="1"/>
    <col min="2051" max="2305" width="9.1796875" style="21"/>
    <col min="2306" max="2306" width="11.7265625" style="21" customWidth="1"/>
    <col min="2307" max="2561" width="9.1796875" style="21"/>
    <col min="2562" max="2562" width="11.7265625" style="21" customWidth="1"/>
    <col min="2563" max="2817" width="9.1796875" style="21"/>
    <col min="2818" max="2818" width="11.7265625" style="21" customWidth="1"/>
    <col min="2819" max="3073" width="9.1796875" style="21"/>
    <col min="3074" max="3074" width="11.7265625" style="21" customWidth="1"/>
    <col min="3075" max="3329" width="9.1796875" style="21"/>
    <col min="3330" max="3330" width="11.7265625" style="21" customWidth="1"/>
    <col min="3331" max="3585" width="9.1796875" style="21"/>
    <col min="3586" max="3586" width="11.7265625" style="21" customWidth="1"/>
    <col min="3587" max="3841" width="9.1796875" style="21"/>
    <col min="3842" max="3842" width="11.7265625" style="21" customWidth="1"/>
    <col min="3843" max="4097" width="9.1796875" style="21"/>
    <col min="4098" max="4098" width="11.7265625" style="21" customWidth="1"/>
    <col min="4099" max="4353" width="9.1796875" style="21"/>
    <col min="4354" max="4354" width="11.7265625" style="21" customWidth="1"/>
    <col min="4355" max="4609" width="9.1796875" style="21"/>
    <col min="4610" max="4610" width="11.7265625" style="21" customWidth="1"/>
    <col min="4611" max="4865" width="9.1796875" style="21"/>
    <col min="4866" max="4866" width="11.7265625" style="21" customWidth="1"/>
    <col min="4867" max="5121" width="9.1796875" style="21"/>
    <col min="5122" max="5122" width="11.7265625" style="21" customWidth="1"/>
    <col min="5123" max="5377" width="9.1796875" style="21"/>
    <col min="5378" max="5378" width="11.7265625" style="21" customWidth="1"/>
    <col min="5379" max="5633" width="9.1796875" style="21"/>
    <col min="5634" max="5634" width="11.7265625" style="21" customWidth="1"/>
    <col min="5635" max="5889" width="9.1796875" style="21"/>
    <col min="5890" max="5890" width="11.7265625" style="21" customWidth="1"/>
    <col min="5891" max="6145" width="9.1796875" style="21"/>
    <col min="6146" max="6146" width="11.7265625" style="21" customWidth="1"/>
    <col min="6147" max="6401" width="9.1796875" style="21"/>
    <col min="6402" max="6402" width="11.7265625" style="21" customWidth="1"/>
    <col min="6403" max="6657" width="9.1796875" style="21"/>
    <col min="6658" max="6658" width="11.7265625" style="21" customWidth="1"/>
    <col min="6659" max="6913" width="9.1796875" style="21"/>
    <col min="6914" max="6914" width="11.7265625" style="21" customWidth="1"/>
    <col min="6915" max="7169" width="9.1796875" style="21"/>
    <col min="7170" max="7170" width="11.7265625" style="21" customWidth="1"/>
    <col min="7171" max="7425" width="9.1796875" style="21"/>
    <col min="7426" max="7426" width="11.7265625" style="21" customWidth="1"/>
    <col min="7427" max="7681" width="9.1796875" style="21"/>
    <col min="7682" max="7682" width="11.7265625" style="21" customWidth="1"/>
    <col min="7683" max="7937" width="9.1796875" style="21"/>
    <col min="7938" max="7938" width="11.7265625" style="21" customWidth="1"/>
    <col min="7939" max="8193" width="9.1796875" style="21"/>
    <col min="8194" max="8194" width="11.7265625" style="21" customWidth="1"/>
    <col min="8195" max="8449" width="9.1796875" style="21"/>
    <col min="8450" max="8450" width="11.7265625" style="21" customWidth="1"/>
    <col min="8451" max="8705" width="9.1796875" style="21"/>
    <col min="8706" max="8706" width="11.7265625" style="21" customWidth="1"/>
    <col min="8707" max="8961" width="9.1796875" style="21"/>
    <col min="8962" max="8962" width="11.7265625" style="21" customWidth="1"/>
    <col min="8963" max="9217" width="9.1796875" style="21"/>
    <col min="9218" max="9218" width="11.7265625" style="21" customWidth="1"/>
    <col min="9219" max="9473" width="9.1796875" style="21"/>
    <col min="9474" max="9474" width="11.7265625" style="21" customWidth="1"/>
    <col min="9475" max="9729" width="9.1796875" style="21"/>
    <col min="9730" max="9730" width="11.7265625" style="21" customWidth="1"/>
    <col min="9731" max="9985" width="9.1796875" style="21"/>
    <col min="9986" max="9986" width="11.7265625" style="21" customWidth="1"/>
    <col min="9987" max="10241" width="9.1796875" style="21"/>
    <col min="10242" max="10242" width="11.7265625" style="21" customWidth="1"/>
    <col min="10243" max="10497" width="9.1796875" style="21"/>
    <col min="10498" max="10498" width="11.7265625" style="21" customWidth="1"/>
    <col min="10499" max="10753" width="9.1796875" style="21"/>
    <col min="10754" max="10754" width="11.7265625" style="21" customWidth="1"/>
    <col min="10755" max="11009" width="9.1796875" style="21"/>
    <col min="11010" max="11010" width="11.7265625" style="21" customWidth="1"/>
    <col min="11011" max="11265" width="9.1796875" style="21"/>
    <col min="11266" max="11266" width="11.7265625" style="21" customWidth="1"/>
    <col min="11267" max="11521" width="9.1796875" style="21"/>
    <col min="11522" max="11522" width="11.7265625" style="21" customWidth="1"/>
    <col min="11523" max="11777" width="9.1796875" style="21"/>
    <col min="11778" max="11778" width="11.7265625" style="21" customWidth="1"/>
    <col min="11779" max="12033" width="9.1796875" style="21"/>
    <col min="12034" max="12034" width="11.7265625" style="21" customWidth="1"/>
    <col min="12035" max="12289" width="9.1796875" style="21"/>
    <col min="12290" max="12290" width="11.7265625" style="21" customWidth="1"/>
    <col min="12291" max="12545" width="9.1796875" style="21"/>
    <col min="12546" max="12546" width="11.7265625" style="21" customWidth="1"/>
    <col min="12547" max="12801" width="9.1796875" style="21"/>
    <col min="12802" max="12802" width="11.7265625" style="21" customWidth="1"/>
    <col min="12803" max="13057" width="9.1796875" style="21"/>
    <col min="13058" max="13058" width="11.7265625" style="21" customWidth="1"/>
    <col min="13059" max="13313" width="9.1796875" style="21"/>
    <col min="13314" max="13314" width="11.7265625" style="21" customWidth="1"/>
    <col min="13315" max="13569" width="9.1796875" style="21"/>
    <col min="13570" max="13570" width="11.7265625" style="21" customWidth="1"/>
    <col min="13571" max="13825" width="9.1796875" style="21"/>
    <col min="13826" max="13826" width="11.7265625" style="21" customWidth="1"/>
    <col min="13827" max="14081" width="9.1796875" style="21"/>
    <col min="14082" max="14082" width="11.7265625" style="21" customWidth="1"/>
    <col min="14083" max="14337" width="9.1796875" style="21"/>
    <col min="14338" max="14338" width="11.7265625" style="21" customWidth="1"/>
    <col min="14339" max="14593" width="9.1796875" style="21"/>
    <col min="14594" max="14594" width="11.7265625" style="21" customWidth="1"/>
    <col min="14595" max="14849" width="9.1796875" style="21"/>
    <col min="14850" max="14850" width="11.7265625" style="21" customWidth="1"/>
    <col min="14851" max="15105" width="9.1796875" style="21"/>
    <col min="15106" max="15106" width="11.7265625" style="21" customWidth="1"/>
    <col min="15107" max="15361" width="9.1796875" style="21"/>
    <col min="15362" max="15362" width="11.7265625" style="21" customWidth="1"/>
    <col min="15363" max="15617" width="9.1796875" style="21"/>
    <col min="15618" max="15618" width="11.7265625" style="21" customWidth="1"/>
    <col min="15619" max="15873" width="9.1796875" style="21"/>
    <col min="15874" max="15874" width="11.7265625" style="21" customWidth="1"/>
    <col min="15875" max="16129" width="9.1796875" style="21"/>
    <col min="16130" max="16130" width="11.7265625" style="21" customWidth="1"/>
    <col min="16131" max="16384" width="9.1796875" style="21"/>
  </cols>
  <sheetData>
    <row r="2" spans="1:15" x14ac:dyDescent="0.35">
      <c r="A2" s="21" t="s">
        <v>108</v>
      </c>
      <c r="B2" s="22" t="s">
        <v>109</v>
      </c>
      <c r="C2" s="22">
        <v>6</v>
      </c>
    </row>
    <row r="3" spans="1:15" x14ac:dyDescent="0.35">
      <c r="B3" s="21" t="s">
        <v>110</v>
      </c>
      <c r="C3" s="21" t="s">
        <v>111</v>
      </c>
    </row>
    <row r="4" spans="1:15" x14ac:dyDescent="0.35">
      <c r="A4" s="21" t="s">
        <v>112</v>
      </c>
      <c r="B4" s="23">
        <v>10</v>
      </c>
      <c r="C4" s="23">
        <v>10</v>
      </c>
      <c r="E4" s="21">
        <f>(100/B4)*C4</f>
        <v>100</v>
      </c>
    </row>
    <row r="5" spans="1:15" x14ac:dyDescent="0.35">
      <c r="A5" s="21" t="s">
        <v>113</v>
      </c>
      <c r="B5" s="21" t="s">
        <v>114</v>
      </c>
      <c r="C5" s="21" t="s">
        <v>115</v>
      </c>
      <c r="E5" s="21">
        <f>(100/B6)*C6</f>
        <v>100</v>
      </c>
      <c r="I5" s="23" t="s">
        <v>116</v>
      </c>
      <c r="J5" s="23" t="s">
        <v>117</v>
      </c>
      <c r="K5" s="23" t="s">
        <v>118</v>
      </c>
      <c r="L5" s="23" t="s">
        <v>74</v>
      </c>
      <c r="M5" s="23" t="s">
        <v>75</v>
      </c>
      <c r="N5" s="23" t="s">
        <v>119</v>
      </c>
      <c r="O5" s="23" t="s">
        <v>76</v>
      </c>
    </row>
    <row r="6" spans="1:15" x14ac:dyDescent="0.35">
      <c r="B6" s="23">
        <f>C2+1</f>
        <v>7</v>
      </c>
      <c r="C6" s="23">
        <v>7</v>
      </c>
      <c r="E6" s="21">
        <f>(100/B8)*C8</f>
        <v>16.666666666666668</v>
      </c>
      <c r="F6" s="24" t="s">
        <v>120</v>
      </c>
      <c r="I6" s="24">
        <f>C4</f>
        <v>10</v>
      </c>
      <c r="J6" s="24">
        <f>40/B6*C6</f>
        <v>40</v>
      </c>
      <c r="K6" s="24">
        <f>15/B8*C8</f>
        <v>2.5</v>
      </c>
      <c r="L6" s="24">
        <f>10/B10*C10</f>
        <v>0</v>
      </c>
      <c r="M6" s="24">
        <f>10/B12*C12</f>
        <v>0</v>
      </c>
      <c r="N6" s="24">
        <f>5/B14*C14</f>
        <v>0</v>
      </c>
      <c r="O6" s="24">
        <f>5/B16*C16</f>
        <v>0</v>
      </c>
    </row>
    <row r="7" spans="1:15" x14ac:dyDescent="0.35">
      <c r="A7" s="21" t="s">
        <v>121</v>
      </c>
      <c r="B7" s="21" t="s">
        <v>122</v>
      </c>
      <c r="C7" s="21" t="s">
        <v>123</v>
      </c>
      <c r="E7" s="21">
        <f>(100/B10)*C10</f>
        <v>0</v>
      </c>
      <c r="F7" s="23" t="s">
        <v>124</v>
      </c>
      <c r="G7" s="23"/>
      <c r="H7" s="23"/>
      <c r="I7" s="23">
        <f>I6+20</f>
        <v>30</v>
      </c>
      <c r="J7" s="23">
        <f>30/B6*C6</f>
        <v>30</v>
      </c>
      <c r="K7" s="23">
        <f>15/B8*C8</f>
        <v>2.5</v>
      </c>
      <c r="L7" s="23">
        <f>10/B10*C10</f>
        <v>0</v>
      </c>
      <c r="M7" s="23">
        <f>5/B12*C12</f>
        <v>0</v>
      </c>
      <c r="N7" s="23">
        <f>5/B14*C14</f>
        <v>0</v>
      </c>
      <c r="O7" s="23">
        <f>5/B16*C16</f>
        <v>0</v>
      </c>
    </row>
    <row r="8" spans="1:15" x14ac:dyDescent="0.35">
      <c r="B8" s="23">
        <f>C2</f>
        <v>6</v>
      </c>
      <c r="C8" s="23">
        <v>1</v>
      </c>
      <c r="E8" s="21">
        <f>(100/B12)*C12</f>
        <v>0</v>
      </c>
    </row>
    <row r="9" spans="1:15" x14ac:dyDescent="0.35">
      <c r="A9" s="21" t="s">
        <v>125</v>
      </c>
      <c r="B9" s="21" t="s">
        <v>122</v>
      </c>
      <c r="C9" s="21" t="s">
        <v>123</v>
      </c>
      <c r="E9" s="21">
        <f>(100/B14)*C14</f>
        <v>0</v>
      </c>
    </row>
    <row r="10" spans="1:15" x14ac:dyDescent="0.35">
      <c r="B10" s="23">
        <f>C2</f>
        <v>6</v>
      </c>
      <c r="C10" s="23">
        <v>0</v>
      </c>
      <c r="E10" s="21">
        <f>(100/B16)*C16</f>
        <v>0</v>
      </c>
    </row>
    <row r="11" spans="1:15" x14ac:dyDescent="0.35">
      <c r="A11" s="21" t="s">
        <v>75</v>
      </c>
      <c r="B11" s="21" t="s">
        <v>122</v>
      </c>
      <c r="C11" s="21" t="s">
        <v>123</v>
      </c>
    </row>
    <row r="12" spans="1:15" x14ac:dyDescent="0.35">
      <c r="B12" s="23">
        <f>C2</f>
        <v>6</v>
      </c>
      <c r="C12" s="23">
        <v>0</v>
      </c>
      <c r="F12" s="23"/>
      <c r="G12" s="23" t="s">
        <v>120</v>
      </c>
      <c r="H12" s="23" t="s">
        <v>126</v>
      </c>
      <c r="L12" s="21" t="s">
        <v>127</v>
      </c>
    </row>
    <row r="13" spans="1:15" ht="29" x14ac:dyDescent="0.35">
      <c r="A13" s="25" t="s">
        <v>119</v>
      </c>
      <c r="B13" s="21" t="s">
        <v>122</v>
      </c>
      <c r="C13" s="21" t="s">
        <v>123</v>
      </c>
      <c r="F13" s="23" t="s">
        <v>72</v>
      </c>
      <c r="G13" s="23">
        <f>I6</f>
        <v>10</v>
      </c>
      <c r="H13" s="23">
        <f>I7</f>
        <v>30</v>
      </c>
      <c r="L13" s="21" t="s">
        <v>127</v>
      </c>
    </row>
    <row r="14" spans="1:15" x14ac:dyDescent="0.35">
      <c r="B14" s="23">
        <f>C2</f>
        <v>6</v>
      </c>
      <c r="C14" s="23">
        <v>0</v>
      </c>
      <c r="F14" s="23" t="s">
        <v>73</v>
      </c>
      <c r="G14" s="23">
        <f>J6</f>
        <v>40</v>
      </c>
      <c r="H14" s="23">
        <f>J7</f>
        <v>30</v>
      </c>
    </row>
    <row r="15" spans="1:15" x14ac:dyDescent="0.35">
      <c r="A15" s="21" t="s">
        <v>76</v>
      </c>
      <c r="B15" s="21" t="s">
        <v>122</v>
      </c>
      <c r="C15" s="21" t="s">
        <v>123</v>
      </c>
      <c r="F15" s="23" t="s">
        <v>118</v>
      </c>
      <c r="G15" s="23">
        <f>K6</f>
        <v>2.5</v>
      </c>
      <c r="H15" s="23">
        <f>K7</f>
        <v>2.5</v>
      </c>
    </row>
    <row r="16" spans="1:15" x14ac:dyDescent="0.35">
      <c r="B16" s="23">
        <f>C2</f>
        <v>6</v>
      </c>
      <c r="C16" s="23">
        <v>0</v>
      </c>
      <c r="F16" s="23" t="s">
        <v>74</v>
      </c>
      <c r="G16" s="23">
        <f>L6</f>
        <v>0</v>
      </c>
      <c r="H16" s="23">
        <f>L7</f>
        <v>0</v>
      </c>
    </row>
    <row r="17" spans="5:8" x14ac:dyDescent="0.35">
      <c r="F17" s="23" t="s">
        <v>75</v>
      </c>
      <c r="G17" s="23">
        <f>M6</f>
        <v>0</v>
      </c>
      <c r="H17" s="23">
        <f>M7</f>
        <v>0</v>
      </c>
    </row>
    <row r="18" spans="5:8" ht="29" x14ac:dyDescent="0.35">
      <c r="F18" s="26" t="s">
        <v>119</v>
      </c>
      <c r="G18" s="23">
        <f>N6</f>
        <v>0</v>
      </c>
      <c r="H18" s="23">
        <f>N7</f>
        <v>0</v>
      </c>
    </row>
    <row r="19" spans="5:8" x14ac:dyDescent="0.35">
      <c r="F19" s="23" t="s">
        <v>76</v>
      </c>
      <c r="G19" s="23">
        <f>O6</f>
        <v>0</v>
      </c>
      <c r="H19" s="23">
        <f>O7</f>
        <v>0</v>
      </c>
    </row>
    <row r="20" spans="5:8" x14ac:dyDescent="0.35">
      <c r="F20" s="23" t="s">
        <v>128</v>
      </c>
      <c r="G20" s="23">
        <f>G13+G14+G15+G16+G17+G18+G19</f>
        <v>52.5</v>
      </c>
      <c r="H20" s="23">
        <f>H13+H14+H15+H16+H17+H18+H19</f>
        <v>62.5</v>
      </c>
    </row>
    <row r="21" spans="5:8" x14ac:dyDescent="0.35">
      <c r="E21" s="2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6" sqref="C6:D10"/>
    </sheetView>
  </sheetViews>
  <sheetFormatPr defaultRowHeight="14.5" x14ac:dyDescent="0.35"/>
  <cols>
    <col min="1" max="1" width="9.1796875" style="21"/>
    <col min="2" max="2" width="11.7265625" style="21" customWidth="1"/>
    <col min="3" max="257" width="9.1796875" style="21"/>
    <col min="258" max="258" width="11.7265625" style="21" customWidth="1"/>
    <col min="259" max="513" width="9.1796875" style="21"/>
    <col min="514" max="514" width="11.7265625" style="21" customWidth="1"/>
    <col min="515" max="769" width="9.1796875" style="21"/>
    <col min="770" max="770" width="11.7265625" style="21" customWidth="1"/>
    <col min="771" max="1025" width="9.1796875" style="21"/>
    <col min="1026" max="1026" width="11.7265625" style="21" customWidth="1"/>
    <col min="1027" max="1281" width="9.1796875" style="21"/>
    <col min="1282" max="1282" width="11.7265625" style="21" customWidth="1"/>
    <col min="1283" max="1537" width="9.1796875" style="21"/>
    <col min="1538" max="1538" width="11.7265625" style="21" customWidth="1"/>
    <col min="1539" max="1793" width="9.1796875" style="21"/>
    <col min="1794" max="1794" width="11.7265625" style="21" customWidth="1"/>
    <col min="1795" max="2049" width="9.1796875" style="21"/>
    <col min="2050" max="2050" width="11.7265625" style="21" customWidth="1"/>
    <col min="2051" max="2305" width="9.1796875" style="21"/>
    <col min="2306" max="2306" width="11.7265625" style="21" customWidth="1"/>
    <col min="2307" max="2561" width="9.1796875" style="21"/>
    <col min="2562" max="2562" width="11.7265625" style="21" customWidth="1"/>
    <col min="2563" max="2817" width="9.1796875" style="21"/>
    <col min="2818" max="2818" width="11.7265625" style="21" customWidth="1"/>
    <col min="2819" max="3073" width="9.1796875" style="21"/>
    <col min="3074" max="3074" width="11.7265625" style="21" customWidth="1"/>
    <col min="3075" max="3329" width="9.1796875" style="21"/>
    <col min="3330" max="3330" width="11.7265625" style="21" customWidth="1"/>
    <col min="3331" max="3585" width="9.1796875" style="21"/>
    <col min="3586" max="3586" width="11.7265625" style="21" customWidth="1"/>
    <col min="3587" max="3841" width="9.1796875" style="21"/>
    <col min="3842" max="3842" width="11.7265625" style="21" customWidth="1"/>
    <col min="3843" max="4097" width="9.1796875" style="21"/>
    <col min="4098" max="4098" width="11.7265625" style="21" customWidth="1"/>
    <col min="4099" max="4353" width="9.1796875" style="21"/>
    <col min="4354" max="4354" width="11.7265625" style="21" customWidth="1"/>
    <col min="4355" max="4609" width="9.1796875" style="21"/>
    <col min="4610" max="4610" width="11.7265625" style="21" customWidth="1"/>
    <col min="4611" max="4865" width="9.1796875" style="21"/>
    <col min="4866" max="4866" width="11.7265625" style="21" customWidth="1"/>
    <col min="4867" max="5121" width="9.1796875" style="21"/>
    <col min="5122" max="5122" width="11.7265625" style="21" customWidth="1"/>
    <col min="5123" max="5377" width="9.1796875" style="21"/>
    <col min="5378" max="5378" width="11.7265625" style="21" customWidth="1"/>
    <col min="5379" max="5633" width="9.1796875" style="21"/>
    <col min="5634" max="5634" width="11.7265625" style="21" customWidth="1"/>
    <col min="5635" max="5889" width="9.1796875" style="21"/>
    <col min="5890" max="5890" width="11.7265625" style="21" customWidth="1"/>
    <col min="5891" max="6145" width="9.1796875" style="21"/>
    <col min="6146" max="6146" width="11.7265625" style="21" customWidth="1"/>
    <col min="6147" max="6401" width="9.1796875" style="21"/>
    <col min="6402" max="6402" width="11.7265625" style="21" customWidth="1"/>
    <col min="6403" max="6657" width="9.1796875" style="21"/>
    <col min="6658" max="6658" width="11.7265625" style="21" customWidth="1"/>
    <col min="6659" max="6913" width="9.1796875" style="21"/>
    <col min="6914" max="6914" width="11.7265625" style="21" customWidth="1"/>
    <col min="6915" max="7169" width="9.1796875" style="21"/>
    <col min="7170" max="7170" width="11.7265625" style="21" customWidth="1"/>
    <col min="7171" max="7425" width="9.1796875" style="21"/>
    <col min="7426" max="7426" width="11.7265625" style="21" customWidth="1"/>
    <col min="7427" max="7681" width="9.1796875" style="21"/>
    <col min="7682" max="7682" width="11.7265625" style="21" customWidth="1"/>
    <col min="7683" max="7937" width="9.1796875" style="21"/>
    <col min="7938" max="7938" width="11.7265625" style="21" customWidth="1"/>
    <col min="7939" max="8193" width="9.1796875" style="21"/>
    <col min="8194" max="8194" width="11.7265625" style="21" customWidth="1"/>
    <col min="8195" max="8449" width="9.1796875" style="21"/>
    <col min="8450" max="8450" width="11.7265625" style="21" customWidth="1"/>
    <col min="8451" max="8705" width="9.1796875" style="21"/>
    <col min="8706" max="8706" width="11.7265625" style="21" customWidth="1"/>
    <col min="8707" max="8961" width="9.1796875" style="21"/>
    <col min="8962" max="8962" width="11.7265625" style="21" customWidth="1"/>
    <col min="8963" max="9217" width="9.1796875" style="21"/>
    <col min="9218" max="9218" width="11.7265625" style="21" customWidth="1"/>
    <col min="9219" max="9473" width="9.1796875" style="21"/>
    <col min="9474" max="9474" width="11.7265625" style="21" customWidth="1"/>
    <col min="9475" max="9729" width="9.1796875" style="21"/>
    <col min="9730" max="9730" width="11.7265625" style="21" customWidth="1"/>
    <col min="9731" max="9985" width="9.1796875" style="21"/>
    <col min="9986" max="9986" width="11.7265625" style="21" customWidth="1"/>
    <col min="9987" max="10241" width="9.1796875" style="21"/>
    <col min="10242" max="10242" width="11.7265625" style="21" customWidth="1"/>
    <col min="10243" max="10497" width="9.1796875" style="21"/>
    <col min="10498" max="10498" width="11.7265625" style="21" customWidth="1"/>
    <col min="10499" max="10753" width="9.1796875" style="21"/>
    <col min="10754" max="10754" width="11.7265625" style="21" customWidth="1"/>
    <col min="10755" max="11009" width="9.1796875" style="21"/>
    <col min="11010" max="11010" width="11.7265625" style="21" customWidth="1"/>
    <col min="11011" max="11265" width="9.1796875" style="21"/>
    <col min="11266" max="11266" width="11.7265625" style="21" customWidth="1"/>
    <col min="11267" max="11521" width="9.1796875" style="21"/>
    <col min="11522" max="11522" width="11.7265625" style="21" customWidth="1"/>
    <col min="11523" max="11777" width="9.1796875" style="21"/>
    <col min="11778" max="11778" width="11.7265625" style="21" customWidth="1"/>
    <col min="11779" max="12033" width="9.1796875" style="21"/>
    <col min="12034" max="12034" width="11.7265625" style="21" customWidth="1"/>
    <col min="12035" max="12289" width="9.1796875" style="21"/>
    <col min="12290" max="12290" width="11.7265625" style="21" customWidth="1"/>
    <col min="12291" max="12545" width="9.1796875" style="21"/>
    <col min="12546" max="12546" width="11.7265625" style="21" customWidth="1"/>
    <col min="12547" max="12801" width="9.1796875" style="21"/>
    <col min="12802" max="12802" width="11.7265625" style="21" customWidth="1"/>
    <col min="12803" max="13057" width="9.1796875" style="21"/>
    <col min="13058" max="13058" width="11.7265625" style="21" customWidth="1"/>
    <col min="13059" max="13313" width="9.1796875" style="21"/>
    <col min="13314" max="13314" width="11.7265625" style="21" customWidth="1"/>
    <col min="13315" max="13569" width="9.1796875" style="21"/>
    <col min="13570" max="13570" width="11.7265625" style="21" customWidth="1"/>
    <col min="13571" max="13825" width="9.1796875" style="21"/>
    <col min="13826" max="13826" width="11.7265625" style="21" customWidth="1"/>
    <col min="13827" max="14081" width="9.1796875" style="21"/>
    <col min="14082" max="14082" width="11.7265625" style="21" customWidth="1"/>
    <col min="14083" max="14337" width="9.1796875" style="21"/>
    <col min="14338" max="14338" width="11.7265625" style="21" customWidth="1"/>
    <col min="14339" max="14593" width="9.1796875" style="21"/>
    <col min="14594" max="14594" width="11.7265625" style="21" customWidth="1"/>
    <col min="14595" max="14849" width="9.1796875" style="21"/>
    <col min="14850" max="14850" width="11.7265625" style="21" customWidth="1"/>
    <col min="14851" max="15105" width="9.1796875" style="21"/>
    <col min="15106" max="15106" width="11.7265625" style="21" customWidth="1"/>
    <col min="15107" max="15361" width="9.1796875" style="21"/>
    <col min="15362" max="15362" width="11.7265625" style="21" customWidth="1"/>
    <col min="15363" max="15617" width="9.1796875" style="21"/>
    <col min="15618" max="15618" width="11.7265625" style="21" customWidth="1"/>
    <col min="15619" max="15873" width="9.1796875" style="21"/>
    <col min="15874" max="15874" width="11.7265625" style="21" customWidth="1"/>
    <col min="15875" max="16129" width="9.1796875" style="21"/>
    <col min="16130" max="16130" width="11.7265625" style="21" customWidth="1"/>
    <col min="16131" max="16384" width="9.1796875" style="21"/>
  </cols>
  <sheetData>
    <row r="2" spans="1:15" x14ac:dyDescent="0.35">
      <c r="A2" s="21" t="s">
        <v>108</v>
      </c>
      <c r="B2" s="22" t="s">
        <v>109</v>
      </c>
      <c r="C2" s="22">
        <v>7</v>
      </c>
    </row>
    <row r="3" spans="1:15" x14ac:dyDescent="0.35">
      <c r="B3" s="21" t="s">
        <v>110</v>
      </c>
      <c r="C3" s="21" t="s">
        <v>111</v>
      </c>
    </row>
    <row r="4" spans="1:15" x14ac:dyDescent="0.35">
      <c r="A4" s="21" t="s">
        <v>112</v>
      </c>
      <c r="B4" s="23">
        <v>10</v>
      </c>
      <c r="C4" s="23">
        <v>10</v>
      </c>
      <c r="E4" s="21">
        <f>(100/B4)*C4</f>
        <v>100</v>
      </c>
    </row>
    <row r="5" spans="1:15" x14ac:dyDescent="0.35">
      <c r="A5" s="21" t="s">
        <v>113</v>
      </c>
      <c r="B5" s="21" t="s">
        <v>114</v>
      </c>
      <c r="C5" s="21" t="s">
        <v>115</v>
      </c>
      <c r="E5" s="21">
        <f>(100/B6)*C6</f>
        <v>100</v>
      </c>
      <c r="I5" s="23" t="s">
        <v>116</v>
      </c>
      <c r="J5" s="23" t="s">
        <v>117</v>
      </c>
      <c r="K5" s="23" t="s">
        <v>118</v>
      </c>
      <c r="L5" s="23" t="s">
        <v>74</v>
      </c>
      <c r="M5" s="23" t="s">
        <v>75</v>
      </c>
      <c r="N5" s="23" t="s">
        <v>119</v>
      </c>
      <c r="O5" s="23" t="s">
        <v>76</v>
      </c>
    </row>
    <row r="6" spans="1:15" x14ac:dyDescent="0.35">
      <c r="B6" s="23">
        <f>C2+1</f>
        <v>8</v>
      </c>
      <c r="C6" s="23">
        <v>8</v>
      </c>
      <c r="E6" s="21">
        <f>(100/B8)*C8</f>
        <v>100</v>
      </c>
      <c r="F6" s="24" t="s">
        <v>120</v>
      </c>
      <c r="I6" s="24">
        <f>C4</f>
        <v>10</v>
      </c>
      <c r="J6" s="24">
        <f>40/B6*C6</f>
        <v>40</v>
      </c>
      <c r="K6" s="24">
        <f>15/B8*C8</f>
        <v>15</v>
      </c>
      <c r="L6" s="24">
        <f>10/B10*C10</f>
        <v>5.7142857142857144</v>
      </c>
      <c r="M6" s="24">
        <f>10/B12*C12</f>
        <v>0</v>
      </c>
      <c r="N6" s="24">
        <f>5/B14*C14</f>
        <v>0</v>
      </c>
      <c r="O6" s="24">
        <f>5/B16*C16</f>
        <v>0</v>
      </c>
    </row>
    <row r="7" spans="1:15" x14ac:dyDescent="0.35">
      <c r="A7" s="21" t="s">
        <v>121</v>
      </c>
      <c r="B7" s="21" t="s">
        <v>122</v>
      </c>
      <c r="C7" s="33" t="s">
        <v>123</v>
      </c>
      <c r="E7" s="21">
        <f>(100/B10)*C10</f>
        <v>57.142857142857146</v>
      </c>
      <c r="F7" s="23" t="s">
        <v>124</v>
      </c>
      <c r="G7" s="23"/>
      <c r="H7" s="23"/>
      <c r="I7" s="23">
        <f>I6+20</f>
        <v>30</v>
      </c>
      <c r="J7" s="23">
        <f>30/B6*C6</f>
        <v>30</v>
      </c>
      <c r="K7" s="23">
        <f>15/B8*C8</f>
        <v>15</v>
      </c>
      <c r="L7" s="23">
        <f>10/B10*C10</f>
        <v>5.7142857142857144</v>
      </c>
      <c r="M7" s="23">
        <f>5/B12*C12</f>
        <v>0</v>
      </c>
      <c r="N7" s="23">
        <f>5/B14*C14</f>
        <v>0</v>
      </c>
      <c r="O7" s="23">
        <f>5/B16*C16</f>
        <v>0</v>
      </c>
    </row>
    <row r="8" spans="1:15" x14ac:dyDescent="0.35">
      <c r="B8" s="23">
        <f>C2</f>
        <v>7</v>
      </c>
      <c r="C8" s="23">
        <v>7</v>
      </c>
      <c r="E8" s="21">
        <f>(100/B12)*C12</f>
        <v>0</v>
      </c>
    </row>
    <row r="9" spans="1:15" x14ac:dyDescent="0.35">
      <c r="A9" s="21" t="s">
        <v>125</v>
      </c>
      <c r="B9" s="21" t="s">
        <v>122</v>
      </c>
      <c r="C9" s="21" t="s">
        <v>123</v>
      </c>
      <c r="E9" s="21">
        <f>(100/B14)*C14</f>
        <v>0</v>
      </c>
    </row>
    <row r="10" spans="1:15" x14ac:dyDescent="0.35">
      <c r="B10" s="23">
        <f>C2</f>
        <v>7</v>
      </c>
      <c r="C10" s="23">
        <v>4</v>
      </c>
      <c r="E10" s="21">
        <f>(100/B16)*C16</f>
        <v>0</v>
      </c>
    </row>
    <row r="11" spans="1:15" x14ac:dyDescent="0.35">
      <c r="A11" s="21" t="s">
        <v>75</v>
      </c>
      <c r="B11" s="21" t="s">
        <v>122</v>
      </c>
      <c r="C11" s="21" t="s">
        <v>123</v>
      </c>
    </row>
    <row r="12" spans="1:15" x14ac:dyDescent="0.35">
      <c r="B12" s="23">
        <f>C2</f>
        <v>7</v>
      </c>
      <c r="C12" s="23">
        <v>0</v>
      </c>
      <c r="F12" s="23"/>
      <c r="G12" s="23" t="s">
        <v>120</v>
      </c>
      <c r="H12" s="23" t="s">
        <v>126</v>
      </c>
      <c r="L12" s="21" t="s">
        <v>127</v>
      </c>
    </row>
    <row r="13" spans="1:15" ht="29" x14ac:dyDescent="0.35">
      <c r="A13" s="25" t="s">
        <v>119</v>
      </c>
      <c r="B13" s="21" t="s">
        <v>122</v>
      </c>
      <c r="C13" s="21" t="s">
        <v>123</v>
      </c>
      <c r="F13" s="23" t="s">
        <v>72</v>
      </c>
      <c r="G13" s="23">
        <f>I6</f>
        <v>10</v>
      </c>
      <c r="H13" s="23">
        <f>I7</f>
        <v>30</v>
      </c>
      <c r="L13" s="21" t="s">
        <v>127</v>
      </c>
    </row>
    <row r="14" spans="1:15" x14ac:dyDescent="0.35">
      <c r="B14" s="23">
        <f>C2</f>
        <v>7</v>
      </c>
      <c r="C14" s="23">
        <v>0</v>
      </c>
      <c r="F14" s="23" t="s">
        <v>73</v>
      </c>
      <c r="G14" s="23">
        <f>J6</f>
        <v>40</v>
      </c>
      <c r="H14" s="23">
        <f>J7</f>
        <v>30</v>
      </c>
    </row>
    <row r="15" spans="1:15" x14ac:dyDescent="0.35">
      <c r="A15" s="21" t="s">
        <v>76</v>
      </c>
      <c r="B15" s="21" t="s">
        <v>122</v>
      </c>
      <c r="C15" s="21" t="s">
        <v>123</v>
      </c>
      <c r="F15" s="23" t="s">
        <v>118</v>
      </c>
      <c r="G15" s="23">
        <f>K6</f>
        <v>15</v>
      </c>
      <c r="H15" s="23">
        <f>K7</f>
        <v>15</v>
      </c>
    </row>
    <row r="16" spans="1:15" x14ac:dyDescent="0.35">
      <c r="B16" s="23">
        <f>C2</f>
        <v>7</v>
      </c>
      <c r="C16" s="23">
        <v>0</v>
      </c>
      <c r="F16" s="23" t="s">
        <v>74</v>
      </c>
      <c r="G16" s="23">
        <f>L6</f>
        <v>5.7142857142857144</v>
      </c>
      <c r="H16" s="23">
        <f>L7</f>
        <v>5.7142857142857144</v>
      </c>
    </row>
    <row r="17" spans="5:8" x14ac:dyDescent="0.35">
      <c r="F17" s="23" t="s">
        <v>75</v>
      </c>
      <c r="G17" s="23">
        <f>M6</f>
        <v>0</v>
      </c>
      <c r="H17" s="23">
        <f>M7</f>
        <v>0</v>
      </c>
    </row>
    <row r="18" spans="5:8" ht="29" x14ac:dyDescent="0.35">
      <c r="F18" s="26" t="s">
        <v>119</v>
      </c>
      <c r="G18" s="23">
        <f>N6</f>
        <v>0</v>
      </c>
      <c r="H18" s="23">
        <f>N7</f>
        <v>0</v>
      </c>
    </row>
    <row r="19" spans="5:8" x14ac:dyDescent="0.35">
      <c r="F19" s="23" t="s">
        <v>76</v>
      </c>
      <c r="G19" s="23">
        <f>O6</f>
        <v>0</v>
      </c>
      <c r="H19" s="23">
        <f>O7</f>
        <v>0</v>
      </c>
    </row>
    <row r="20" spans="5:8" x14ac:dyDescent="0.35">
      <c r="F20" s="23" t="s">
        <v>128</v>
      </c>
      <c r="G20" s="23">
        <f>G13+G14+G15+G16+G17+G18+G19</f>
        <v>70.714285714285708</v>
      </c>
      <c r="H20" s="23">
        <f>H13+H14+H15+H16+H17+H18+H19</f>
        <v>80.714285714285708</v>
      </c>
    </row>
    <row r="21" spans="5:8" x14ac:dyDescent="0.35">
      <c r="E21" s="2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9" sqref="C9"/>
    </sheetView>
  </sheetViews>
  <sheetFormatPr defaultRowHeight="14.5" x14ac:dyDescent="0.35"/>
  <cols>
    <col min="1" max="1" width="9.1796875" style="21"/>
    <col min="2" max="2" width="11.7265625" style="21" customWidth="1"/>
    <col min="3" max="257" width="9.1796875" style="21"/>
    <col min="258" max="258" width="11.7265625" style="21" customWidth="1"/>
    <col min="259" max="513" width="9.1796875" style="21"/>
    <col min="514" max="514" width="11.7265625" style="21" customWidth="1"/>
    <col min="515" max="769" width="9.1796875" style="21"/>
    <col min="770" max="770" width="11.7265625" style="21" customWidth="1"/>
    <col min="771" max="1025" width="9.1796875" style="21"/>
    <col min="1026" max="1026" width="11.7265625" style="21" customWidth="1"/>
    <col min="1027" max="1281" width="9.1796875" style="21"/>
    <col min="1282" max="1282" width="11.7265625" style="21" customWidth="1"/>
    <col min="1283" max="1537" width="9.1796875" style="21"/>
    <col min="1538" max="1538" width="11.7265625" style="21" customWidth="1"/>
    <col min="1539" max="1793" width="9.1796875" style="21"/>
    <col min="1794" max="1794" width="11.7265625" style="21" customWidth="1"/>
    <col min="1795" max="2049" width="9.1796875" style="21"/>
    <col min="2050" max="2050" width="11.7265625" style="21" customWidth="1"/>
    <col min="2051" max="2305" width="9.1796875" style="21"/>
    <col min="2306" max="2306" width="11.7265625" style="21" customWidth="1"/>
    <col min="2307" max="2561" width="9.1796875" style="21"/>
    <col min="2562" max="2562" width="11.7265625" style="21" customWidth="1"/>
    <col min="2563" max="2817" width="9.1796875" style="21"/>
    <col min="2818" max="2818" width="11.7265625" style="21" customWidth="1"/>
    <col min="2819" max="3073" width="9.1796875" style="21"/>
    <col min="3074" max="3074" width="11.7265625" style="21" customWidth="1"/>
    <col min="3075" max="3329" width="9.1796875" style="21"/>
    <col min="3330" max="3330" width="11.7265625" style="21" customWidth="1"/>
    <col min="3331" max="3585" width="9.1796875" style="21"/>
    <col min="3586" max="3586" width="11.7265625" style="21" customWidth="1"/>
    <col min="3587" max="3841" width="9.1796875" style="21"/>
    <col min="3842" max="3842" width="11.7265625" style="21" customWidth="1"/>
    <col min="3843" max="4097" width="9.1796875" style="21"/>
    <col min="4098" max="4098" width="11.7265625" style="21" customWidth="1"/>
    <col min="4099" max="4353" width="9.1796875" style="21"/>
    <col min="4354" max="4354" width="11.7265625" style="21" customWidth="1"/>
    <col min="4355" max="4609" width="9.1796875" style="21"/>
    <col min="4610" max="4610" width="11.7265625" style="21" customWidth="1"/>
    <col min="4611" max="4865" width="9.1796875" style="21"/>
    <col min="4866" max="4866" width="11.7265625" style="21" customWidth="1"/>
    <col min="4867" max="5121" width="9.1796875" style="21"/>
    <col min="5122" max="5122" width="11.7265625" style="21" customWidth="1"/>
    <col min="5123" max="5377" width="9.1796875" style="21"/>
    <col min="5378" max="5378" width="11.7265625" style="21" customWidth="1"/>
    <col min="5379" max="5633" width="9.1796875" style="21"/>
    <col min="5634" max="5634" width="11.7265625" style="21" customWidth="1"/>
    <col min="5635" max="5889" width="9.1796875" style="21"/>
    <col min="5890" max="5890" width="11.7265625" style="21" customWidth="1"/>
    <col min="5891" max="6145" width="9.1796875" style="21"/>
    <col min="6146" max="6146" width="11.7265625" style="21" customWidth="1"/>
    <col min="6147" max="6401" width="9.1796875" style="21"/>
    <col min="6402" max="6402" width="11.7265625" style="21" customWidth="1"/>
    <col min="6403" max="6657" width="9.1796875" style="21"/>
    <col min="6658" max="6658" width="11.7265625" style="21" customWidth="1"/>
    <col min="6659" max="6913" width="9.1796875" style="21"/>
    <col min="6914" max="6914" width="11.7265625" style="21" customWidth="1"/>
    <col min="6915" max="7169" width="9.1796875" style="21"/>
    <col min="7170" max="7170" width="11.7265625" style="21" customWidth="1"/>
    <col min="7171" max="7425" width="9.1796875" style="21"/>
    <col min="7426" max="7426" width="11.7265625" style="21" customWidth="1"/>
    <col min="7427" max="7681" width="9.1796875" style="21"/>
    <col min="7682" max="7682" width="11.7265625" style="21" customWidth="1"/>
    <col min="7683" max="7937" width="9.1796875" style="21"/>
    <col min="7938" max="7938" width="11.7265625" style="21" customWidth="1"/>
    <col min="7939" max="8193" width="9.1796875" style="21"/>
    <col min="8194" max="8194" width="11.7265625" style="21" customWidth="1"/>
    <col min="8195" max="8449" width="9.1796875" style="21"/>
    <col min="8450" max="8450" width="11.7265625" style="21" customWidth="1"/>
    <col min="8451" max="8705" width="9.1796875" style="21"/>
    <col min="8706" max="8706" width="11.7265625" style="21" customWidth="1"/>
    <col min="8707" max="8961" width="9.1796875" style="21"/>
    <col min="8962" max="8962" width="11.7265625" style="21" customWidth="1"/>
    <col min="8963" max="9217" width="9.1796875" style="21"/>
    <col min="9218" max="9218" width="11.7265625" style="21" customWidth="1"/>
    <col min="9219" max="9473" width="9.1796875" style="21"/>
    <col min="9474" max="9474" width="11.7265625" style="21" customWidth="1"/>
    <col min="9475" max="9729" width="9.1796875" style="21"/>
    <col min="9730" max="9730" width="11.7265625" style="21" customWidth="1"/>
    <col min="9731" max="9985" width="9.1796875" style="21"/>
    <col min="9986" max="9986" width="11.7265625" style="21" customWidth="1"/>
    <col min="9987" max="10241" width="9.1796875" style="21"/>
    <col min="10242" max="10242" width="11.7265625" style="21" customWidth="1"/>
    <col min="10243" max="10497" width="9.1796875" style="21"/>
    <col min="10498" max="10498" width="11.7265625" style="21" customWidth="1"/>
    <col min="10499" max="10753" width="9.1796875" style="21"/>
    <col min="10754" max="10754" width="11.7265625" style="21" customWidth="1"/>
    <col min="10755" max="11009" width="9.1796875" style="21"/>
    <col min="11010" max="11010" width="11.7265625" style="21" customWidth="1"/>
    <col min="11011" max="11265" width="9.1796875" style="21"/>
    <col min="11266" max="11266" width="11.7265625" style="21" customWidth="1"/>
    <col min="11267" max="11521" width="9.1796875" style="21"/>
    <col min="11522" max="11522" width="11.7265625" style="21" customWidth="1"/>
    <col min="11523" max="11777" width="9.1796875" style="21"/>
    <col min="11778" max="11778" width="11.7265625" style="21" customWidth="1"/>
    <col min="11779" max="12033" width="9.1796875" style="21"/>
    <col min="12034" max="12034" width="11.7265625" style="21" customWidth="1"/>
    <col min="12035" max="12289" width="9.1796875" style="21"/>
    <col min="12290" max="12290" width="11.7265625" style="21" customWidth="1"/>
    <col min="12291" max="12545" width="9.1796875" style="21"/>
    <col min="12546" max="12546" width="11.7265625" style="21" customWidth="1"/>
    <col min="12547" max="12801" width="9.1796875" style="21"/>
    <col min="12802" max="12802" width="11.7265625" style="21" customWidth="1"/>
    <col min="12803" max="13057" width="9.1796875" style="21"/>
    <col min="13058" max="13058" width="11.7265625" style="21" customWidth="1"/>
    <col min="13059" max="13313" width="9.1796875" style="21"/>
    <col min="13314" max="13314" width="11.7265625" style="21" customWidth="1"/>
    <col min="13315" max="13569" width="9.1796875" style="21"/>
    <col min="13570" max="13570" width="11.7265625" style="21" customWidth="1"/>
    <col min="13571" max="13825" width="9.1796875" style="21"/>
    <col min="13826" max="13826" width="11.7265625" style="21" customWidth="1"/>
    <col min="13827" max="14081" width="9.1796875" style="21"/>
    <col min="14082" max="14082" width="11.7265625" style="21" customWidth="1"/>
    <col min="14083" max="14337" width="9.1796875" style="21"/>
    <col min="14338" max="14338" width="11.7265625" style="21" customWidth="1"/>
    <col min="14339" max="14593" width="9.1796875" style="21"/>
    <col min="14594" max="14594" width="11.7265625" style="21" customWidth="1"/>
    <col min="14595" max="14849" width="9.1796875" style="21"/>
    <col min="14850" max="14850" width="11.7265625" style="21" customWidth="1"/>
    <col min="14851" max="15105" width="9.1796875" style="21"/>
    <col min="15106" max="15106" width="11.7265625" style="21" customWidth="1"/>
    <col min="15107" max="15361" width="9.1796875" style="21"/>
    <col min="15362" max="15362" width="11.7265625" style="21" customWidth="1"/>
    <col min="15363" max="15617" width="9.1796875" style="21"/>
    <col min="15618" max="15618" width="11.7265625" style="21" customWidth="1"/>
    <col min="15619" max="15873" width="9.1796875" style="21"/>
    <col min="15874" max="15874" width="11.7265625" style="21" customWidth="1"/>
    <col min="15875" max="16129" width="9.1796875" style="21"/>
    <col min="16130" max="16130" width="11.7265625" style="21" customWidth="1"/>
    <col min="16131" max="16384" width="9.1796875" style="21"/>
  </cols>
  <sheetData>
    <row r="2" spans="1:15" x14ac:dyDescent="0.35">
      <c r="A2" s="21" t="s">
        <v>108</v>
      </c>
      <c r="B2" s="22" t="s">
        <v>109</v>
      </c>
      <c r="C2" s="22">
        <v>7</v>
      </c>
    </row>
    <row r="3" spans="1:15" x14ac:dyDescent="0.35">
      <c r="B3" s="21" t="s">
        <v>110</v>
      </c>
      <c r="C3" s="21" t="s">
        <v>111</v>
      </c>
    </row>
    <row r="4" spans="1:15" x14ac:dyDescent="0.35">
      <c r="A4" s="21" t="s">
        <v>112</v>
      </c>
      <c r="B4" s="23">
        <v>10</v>
      </c>
      <c r="C4" s="23">
        <v>10</v>
      </c>
      <c r="E4" s="21">
        <f>(100/B4)*C4</f>
        <v>100</v>
      </c>
    </row>
    <row r="5" spans="1:15" x14ac:dyDescent="0.35">
      <c r="A5" s="21" t="s">
        <v>113</v>
      </c>
      <c r="B5" s="21" t="s">
        <v>114</v>
      </c>
      <c r="C5" s="21" t="s">
        <v>115</v>
      </c>
      <c r="E5" s="21">
        <f>(100/B6)*C6</f>
        <v>100</v>
      </c>
      <c r="I5" s="23" t="s">
        <v>116</v>
      </c>
      <c r="J5" s="23" t="s">
        <v>117</v>
      </c>
      <c r="K5" s="23" t="s">
        <v>118</v>
      </c>
      <c r="L5" s="23" t="s">
        <v>74</v>
      </c>
      <c r="M5" s="23" t="s">
        <v>75</v>
      </c>
      <c r="N5" s="23" t="s">
        <v>119</v>
      </c>
      <c r="O5" s="23" t="s">
        <v>76</v>
      </c>
    </row>
    <row r="6" spans="1:15" x14ac:dyDescent="0.35">
      <c r="B6" s="23">
        <f>C2+1</f>
        <v>8</v>
      </c>
      <c r="C6" s="23">
        <v>8</v>
      </c>
      <c r="E6" s="21">
        <f>(100/B8)*C8</f>
        <v>100</v>
      </c>
      <c r="F6" s="24" t="s">
        <v>120</v>
      </c>
      <c r="I6" s="24">
        <f>C4</f>
        <v>10</v>
      </c>
      <c r="J6" s="24">
        <f>40/B6*C6</f>
        <v>40</v>
      </c>
      <c r="K6" s="24">
        <f>15/B8*C8</f>
        <v>15</v>
      </c>
      <c r="L6" s="24">
        <f>10/B10*C10</f>
        <v>0</v>
      </c>
      <c r="M6" s="24">
        <f>10/B12*C12</f>
        <v>0</v>
      </c>
      <c r="N6" s="24">
        <f>5/B14*C14</f>
        <v>0</v>
      </c>
      <c r="O6" s="24">
        <f>5/B16*C16</f>
        <v>0</v>
      </c>
    </row>
    <row r="7" spans="1:15" x14ac:dyDescent="0.35">
      <c r="A7" s="21" t="s">
        <v>121</v>
      </c>
      <c r="B7" s="21" t="s">
        <v>122</v>
      </c>
      <c r="C7" s="21" t="s">
        <v>123</v>
      </c>
      <c r="E7" s="21">
        <f>(100/B10)*C10</f>
        <v>0</v>
      </c>
      <c r="F7" s="23" t="s">
        <v>124</v>
      </c>
      <c r="G7" s="23"/>
      <c r="H7" s="23"/>
      <c r="I7" s="23">
        <f>I6+20</f>
        <v>30</v>
      </c>
      <c r="J7" s="23">
        <f>30/B6*C6</f>
        <v>30</v>
      </c>
      <c r="K7" s="23">
        <f>15/B8*C8</f>
        <v>15</v>
      </c>
      <c r="L7" s="23">
        <f>10/B10*C10</f>
        <v>0</v>
      </c>
      <c r="M7" s="23">
        <f>5/B12*C12</f>
        <v>0</v>
      </c>
      <c r="N7" s="23">
        <f>5/B14*C14</f>
        <v>0</v>
      </c>
      <c r="O7" s="23">
        <f>5/B16*C16</f>
        <v>0</v>
      </c>
    </row>
    <row r="8" spans="1:15" x14ac:dyDescent="0.35">
      <c r="B8" s="23">
        <f>C2</f>
        <v>7</v>
      </c>
      <c r="C8" s="23">
        <v>7</v>
      </c>
      <c r="E8" s="21">
        <f>(100/B12)*C12</f>
        <v>0</v>
      </c>
    </row>
    <row r="9" spans="1:15" x14ac:dyDescent="0.35">
      <c r="A9" s="21" t="s">
        <v>125</v>
      </c>
      <c r="B9" s="21" t="s">
        <v>122</v>
      </c>
      <c r="C9" s="21" t="s">
        <v>123</v>
      </c>
      <c r="E9" s="21">
        <f>(100/B14)*C14</f>
        <v>0</v>
      </c>
    </row>
    <row r="10" spans="1:15" x14ac:dyDescent="0.35">
      <c r="B10" s="23">
        <f>C2</f>
        <v>7</v>
      </c>
      <c r="C10" s="23">
        <v>0</v>
      </c>
      <c r="E10" s="21">
        <f>(100/B16)*C16</f>
        <v>0</v>
      </c>
    </row>
    <row r="11" spans="1:15" x14ac:dyDescent="0.35">
      <c r="A11" s="21" t="s">
        <v>75</v>
      </c>
      <c r="B11" s="21" t="s">
        <v>122</v>
      </c>
      <c r="C11" s="21" t="s">
        <v>123</v>
      </c>
    </row>
    <row r="12" spans="1:15" x14ac:dyDescent="0.35">
      <c r="B12" s="23">
        <f>C2</f>
        <v>7</v>
      </c>
      <c r="C12" s="23">
        <v>0</v>
      </c>
      <c r="F12" s="23"/>
      <c r="G12" s="23" t="s">
        <v>120</v>
      </c>
      <c r="H12" s="23" t="s">
        <v>126</v>
      </c>
      <c r="L12" s="21" t="s">
        <v>127</v>
      </c>
    </row>
    <row r="13" spans="1:15" ht="29" x14ac:dyDescent="0.35">
      <c r="A13" s="25" t="s">
        <v>119</v>
      </c>
      <c r="B13" s="21" t="s">
        <v>122</v>
      </c>
      <c r="C13" s="21" t="s">
        <v>123</v>
      </c>
      <c r="F13" s="23" t="s">
        <v>72</v>
      </c>
      <c r="G13" s="23">
        <f>I6</f>
        <v>10</v>
      </c>
      <c r="H13" s="23">
        <f>I7</f>
        <v>30</v>
      </c>
      <c r="L13" s="21" t="s">
        <v>127</v>
      </c>
    </row>
    <row r="14" spans="1:15" x14ac:dyDescent="0.35">
      <c r="B14" s="23">
        <f>C2</f>
        <v>7</v>
      </c>
      <c r="C14" s="23">
        <v>0</v>
      </c>
      <c r="F14" s="23" t="s">
        <v>73</v>
      </c>
      <c r="G14" s="23">
        <f>J6</f>
        <v>40</v>
      </c>
      <c r="H14" s="23">
        <f>J7</f>
        <v>30</v>
      </c>
    </row>
    <row r="15" spans="1:15" x14ac:dyDescent="0.35">
      <c r="A15" s="21" t="s">
        <v>76</v>
      </c>
      <c r="B15" s="21" t="s">
        <v>122</v>
      </c>
      <c r="C15" s="21" t="s">
        <v>123</v>
      </c>
      <c r="F15" s="23" t="s">
        <v>118</v>
      </c>
      <c r="G15" s="23">
        <f>K6</f>
        <v>15</v>
      </c>
      <c r="H15" s="23">
        <f>K7</f>
        <v>15</v>
      </c>
    </row>
    <row r="16" spans="1:15" x14ac:dyDescent="0.35">
      <c r="B16" s="23">
        <f>C2</f>
        <v>7</v>
      </c>
      <c r="C16" s="23">
        <v>0</v>
      </c>
      <c r="F16" s="23" t="s">
        <v>74</v>
      </c>
      <c r="G16" s="23">
        <f>L6</f>
        <v>0</v>
      </c>
      <c r="H16" s="23">
        <f>L7</f>
        <v>0</v>
      </c>
    </row>
    <row r="17" spans="5:8" x14ac:dyDescent="0.35">
      <c r="F17" s="23" t="s">
        <v>75</v>
      </c>
      <c r="G17" s="23">
        <f>M6</f>
        <v>0</v>
      </c>
      <c r="H17" s="23">
        <f>M7</f>
        <v>0</v>
      </c>
    </row>
    <row r="18" spans="5:8" ht="29" x14ac:dyDescent="0.35">
      <c r="F18" s="26" t="s">
        <v>119</v>
      </c>
      <c r="G18" s="23">
        <f>N6</f>
        <v>0</v>
      </c>
      <c r="H18" s="23">
        <f>N7</f>
        <v>0</v>
      </c>
    </row>
    <row r="19" spans="5:8" x14ac:dyDescent="0.35">
      <c r="F19" s="23" t="s">
        <v>76</v>
      </c>
      <c r="G19" s="23">
        <f>O6</f>
        <v>0</v>
      </c>
      <c r="H19" s="23">
        <f>O7</f>
        <v>0</v>
      </c>
    </row>
    <row r="20" spans="5:8" x14ac:dyDescent="0.35">
      <c r="F20" s="23" t="s">
        <v>128</v>
      </c>
      <c r="G20" s="23">
        <f>G13+G14+G15+G16+G17+G18+G19</f>
        <v>65</v>
      </c>
      <c r="H20" s="23">
        <f>H13+H14+H15+H16+H17+H18+H19</f>
        <v>75</v>
      </c>
    </row>
    <row r="21" spans="5:8" x14ac:dyDescent="0.35">
      <c r="E21" s="2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C16" sqref="C16"/>
    </sheetView>
  </sheetViews>
  <sheetFormatPr defaultRowHeight="14.5" x14ac:dyDescent="0.35"/>
  <cols>
    <col min="2" max="2" width="12.26953125" customWidth="1"/>
  </cols>
  <sheetData>
    <row r="2" spans="1:12" x14ac:dyDescent="0.35">
      <c r="B2" s="28" t="s">
        <v>129</v>
      </c>
      <c r="C2" s="241"/>
      <c r="D2" s="241"/>
    </row>
    <row r="3" spans="1:12" x14ac:dyDescent="0.35">
      <c r="D3" s="29"/>
      <c r="E3" s="29"/>
      <c r="F3" s="29"/>
      <c r="G3" s="29"/>
      <c r="H3" s="29"/>
      <c r="I3" s="29"/>
    </row>
    <row r="4" spans="1:12" x14ac:dyDescent="0.35">
      <c r="A4" s="28" t="s">
        <v>130</v>
      </c>
      <c r="B4" s="30" t="s">
        <v>131</v>
      </c>
      <c r="C4" s="242" t="s">
        <v>132</v>
      </c>
      <c r="D4" s="242"/>
      <c r="E4" s="242"/>
      <c r="F4" s="31"/>
      <c r="G4" s="242" t="s">
        <v>133</v>
      </c>
      <c r="H4" s="242"/>
      <c r="I4" s="242"/>
      <c r="J4" s="242" t="s">
        <v>134</v>
      </c>
      <c r="K4" s="242"/>
      <c r="L4" s="242"/>
    </row>
    <row r="5" spans="1:12" x14ac:dyDescent="0.35">
      <c r="A5" s="28">
        <v>1</v>
      </c>
      <c r="B5" s="30"/>
      <c r="C5" s="30" t="s">
        <v>135</v>
      </c>
      <c r="D5" s="30" t="s">
        <v>136</v>
      </c>
      <c r="E5" s="30" t="s">
        <v>88</v>
      </c>
      <c r="F5" s="30"/>
      <c r="G5" s="30" t="s">
        <v>135</v>
      </c>
      <c r="H5" s="30" t="s">
        <v>136</v>
      </c>
      <c r="I5" s="30" t="s">
        <v>88</v>
      </c>
      <c r="J5" s="30" t="s">
        <v>135</v>
      </c>
      <c r="K5" s="30" t="s">
        <v>136</v>
      </c>
      <c r="L5" s="30" t="s">
        <v>88</v>
      </c>
    </row>
    <row r="6" spans="1:12" x14ac:dyDescent="0.35">
      <c r="B6" s="32" t="s">
        <v>137</v>
      </c>
      <c r="C6" s="32"/>
      <c r="D6" s="32"/>
      <c r="E6" s="32">
        <f>C6*D6</f>
        <v>0</v>
      </c>
      <c r="F6" s="32" t="s">
        <v>138</v>
      </c>
      <c r="G6" s="32"/>
      <c r="H6" s="32"/>
      <c r="I6" s="32">
        <f>G6*H6</f>
        <v>0</v>
      </c>
      <c r="J6" s="32"/>
      <c r="K6" s="32"/>
      <c r="L6" s="32">
        <f>J6*K6</f>
        <v>0</v>
      </c>
    </row>
    <row r="7" spans="1:12" x14ac:dyDescent="0.35">
      <c r="B7" s="32"/>
      <c r="C7" s="32"/>
      <c r="D7" s="32"/>
      <c r="E7" s="32">
        <f t="shared" ref="E7:E33" si="0">C7*D7</f>
        <v>0</v>
      </c>
      <c r="F7" s="32" t="s">
        <v>139</v>
      </c>
      <c r="G7" s="32"/>
      <c r="H7" s="32"/>
      <c r="I7" s="32">
        <f t="shared" ref="I7:I29" si="1">G7*H7</f>
        <v>0</v>
      </c>
      <c r="J7" s="32"/>
      <c r="K7" s="32"/>
      <c r="L7" s="32">
        <f t="shared" ref="L7:L29" si="2">J7*K7</f>
        <v>0</v>
      </c>
    </row>
    <row r="8" spans="1:12" x14ac:dyDescent="0.35">
      <c r="B8" s="32"/>
      <c r="C8" s="32"/>
      <c r="D8" s="32"/>
      <c r="E8" s="32">
        <f t="shared" si="0"/>
        <v>0</v>
      </c>
      <c r="F8" s="32"/>
      <c r="G8" s="32"/>
      <c r="H8" s="32"/>
      <c r="I8" s="32">
        <f t="shared" si="1"/>
        <v>0</v>
      </c>
      <c r="J8" s="32"/>
      <c r="K8" s="32"/>
      <c r="L8" s="32">
        <f t="shared" si="2"/>
        <v>0</v>
      </c>
    </row>
    <row r="9" spans="1:12" x14ac:dyDescent="0.35">
      <c r="B9" s="32" t="s">
        <v>140</v>
      </c>
      <c r="C9" s="32"/>
      <c r="D9" s="32"/>
      <c r="E9" s="32">
        <f t="shared" si="0"/>
        <v>0</v>
      </c>
      <c r="F9" s="32" t="s">
        <v>138</v>
      </c>
      <c r="G9" s="32"/>
      <c r="H9" s="32"/>
      <c r="I9" s="32">
        <f t="shared" si="1"/>
        <v>0</v>
      </c>
      <c r="J9" s="32"/>
      <c r="K9" s="32"/>
      <c r="L9" s="32">
        <f t="shared" si="2"/>
        <v>0</v>
      </c>
    </row>
    <row r="10" spans="1:12" x14ac:dyDescent="0.35">
      <c r="B10" s="32"/>
      <c r="C10" s="32"/>
      <c r="D10" s="32"/>
      <c r="E10" s="32">
        <f t="shared" si="0"/>
        <v>0</v>
      </c>
      <c r="F10" s="32" t="s">
        <v>139</v>
      </c>
      <c r="G10" s="32"/>
      <c r="H10" s="32"/>
      <c r="I10" s="32">
        <f t="shared" si="1"/>
        <v>0</v>
      </c>
      <c r="J10" s="32"/>
      <c r="K10" s="32"/>
      <c r="L10" s="32">
        <f t="shared" si="2"/>
        <v>0</v>
      </c>
    </row>
    <row r="11" spans="1:12" x14ac:dyDescent="0.35">
      <c r="B11" s="32"/>
      <c r="C11" s="32"/>
      <c r="D11" s="32"/>
      <c r="E11" s="32">
        <f t="shared" si="0"/>
        <v>0</v>
      </c>
      <c r="F11" s="32"/>
      <c r="G11" s="32"/>
      <c r="H11" s="32"/>
      <c r="I11" s="32">
        <f t="shared" si="1"/>
        <v>0</v>
      </c>
      <c r="J11" s="32"/>
      <c r="K11" s="32"/>
      <c r="L11" s="32">
        <f t="shared" si="2"/>
        <v>0</v>
      </c>
    </row>
    <row r="12" spans="1:12" x14ac:dyDescent="0.35">
      <c r="B12" s="32"/>
      <c r="C12" s="32"/>
      <c r="D12" s="32"/>
      <c r="E12" s="32">
        <f t="shared" si="0"/>
        <v>0</v>
      </c>
      <c r="F12" s="32"/>
      <c r="G12" s="32"/>
      <c r="H12" s="32"/>
      <c r="I12" s="32">
        <f t="shared" si="1"/>
        <v>0</v>
      </c>
      <c r="J12" s="32"/>
      <c r="K12" s="32"/>
      <c r="L12" s="32">
        <f t="shared" si="2"/>
        <v>0</v>
      </c>
    </row>
    <row r="13" spans="1:12" x14ac:dyDescent="0.35">
      <c r="B13" s="32" t="s">
        <v>141</v>
      </c>
      <c r="C13" s="32"/>
      <c r="D13" s="32"/>
      <c r="E13" s="32">
        <f t="shared" si="0"/>
        <v>0</v>
      </c>
      <c r="F13" s="32" t="s">
        <v>138</v>
      </c>
      <c r="G13" s="32"/>
      <c r="H13" s="32"/>
      <c r="I13" s="32">
        <f t="shared" si="1"/>
        <v>0</v>
      </c>
      <c r="J13" s="32"/>
      <c r="K13" s="32"/>
      <c r="L13" s="32">
        <f t="shared" si="2"/>
        <v>0</v>
      </c>
    </row>
    <row r="14" spans="1:12" x14ac:dyDescent="0.35">
      <c r="B14" s="32"/>
      <c r="C14" s="32"/>
      <c r="D14" s="32"/>
      <c r="E14" s="32">
        <f t="shared" si="0"/>
        <v>0</v>
      </c>
      <c r="F14" s="32" t="s">
        <v>139</v>
      </c>
      <c r="G14" s="32"/>
      <c r="H14" s="32"/>
      <c r="I14" s="32">
        <f t="shared" si="1"/>
        <v>0</v>
      </c>
      <c r="J14" s="32"/>
      <c r="K14" s="32"/>
      <c r="L14" s="32">
        <f t="shared" si="2"/>
        <v>0</v>
      </c>
    </row>
    <row r="15" spans="1:12" x14ac:dyDescent="0.35">
      <c r="B15" s="32"/>
      <c r="C15" s="32"/>
      <c r="D15" s="32"/>
      <c r="E15" s="32">
        <f t="shared" si="0"/>
        <v>0</v>
      </c>
      <c r="F15" s="32"/>
      <c r="G15" s="32"/>
      <c r="H15" s="32"/>
      <c r="I15" s="32">
        <f t="shared" si="1"/>
        <v>0</v>
      </c>
      <c r="J15" s="32"/>
      <c r="K15" s="32"/>
      <c r="L15" s="32">
        <f t="shared" si="2"/>
        <v>0</v>
      </c>
    </row>
    <row r="16" spans="1:12" x14ac:dyDescent="0.35">
      <c r="B16" s="32"/>
      <c r="C16" s="32"/>
      <c r="D16" s="32"/>
      <c r="E16" s="32">
        <f t="shared" si="0"/>
        <v>0</v>
      </c>
      <c r="F16" s="32"/>
      <c r="G16" s="32"/>
      <c r="H16" s="32"/>
      <c r="I16" s="32">
        <f t="shared" si="1"/>
        <v>0</v>
      </c>
      <c r="J16" s="32"/>
      <c r="K16" s="32"/>
      <c r="L16" s="32">
        <f t="shared" si="2"/>
        <v>0</v>
      </c>
    </row>
    <row r="17" spans="2:12" x14ac:dyDescent="0.35">
      <c r="B17" s="32" t="s">
        <v>142</v>
      </c>
      <c r="C17" s="32"/>
      <c r="D17" s="32"/>
      <c r="E17" s="32">
        <f t="shared" si="0"/>
        <v>0</v>
      </c>
      <c r="F17" s="32" t="s">
        <v>138</v>
      </c>
      <c r="G17" s="32"/>
      <c r="H17" s="32"/>
      <c r="I17" s="32">
        <f t="shared" si="1"/>
        <v>0</v>
      </c>
      <c r="J17" s="32"/>
      <c r="K17" s="32"/>
      <c r="L17" s="32">
        <f t="shared" si="2"/>
        <v>0</v>
      </c>
    </row>
    <row r="18" spans="2:12" x14ac:dyDescent="0.35">
      <c r="B18" s="32"/>
      <c r="C18" s="32"/>
      <c r="D18" s="32"/>
      <c r="E18" s="32">
        <f t="shared" si="0"/>
        <v>0</v>
      </c>
      <c r="F18" s="32" t="s">
        <v>139</v>
      </c>
      <c r="G18" s="32"/>
      <c r="H18" s="32"/>
      <c r="I18" s="32">
        <f t="shared" si="1"/>
        <v>0</v>
      </c>
      <c r="J18" s="32"/>
      <c r="K18" s="32"/>
      <c r="L18" s="32">
        <f t="shared" si="2"/>
        <v>0</v>
      </c>
    </row>
    <row r="19" spans="2:12" x14ac:dyDescent="0.35">
      <c r="B19" s="32"/>
      <c r="C19" s="32"/>
      <c r="D19" s="32"/>
      <c r="E19" s="32">
        <f t="shared" si="0"/>
        <v>0</v>
      </c>
      <c r="F19" s="32"/>
      <c r="G19" s="32"/>
      <c r="H19" s="32"/>
      <c r="I19" s="32">
        <f t="shared" si="1"/>
        <v>0</v>
      </c>
      <c r="J19" s="32"/>
      <c r="K19" s="32"/>
      <c r="L19" s="32">
        <f t="shared" si="2"/>
        <v>0</v>
      </c>
    </row>
    <row r="20" spans="2:12" x14ac:dyDescent="0.35">
      <c r="B20" s="32" t="s">
        <v>142</v>
      </c>
      <c r="C20" s="32"/>
      <c r="D20" s="32"/>
      <c r="E20" s="32">
        <f t="shared" si="0"/>
        <v>0</v>
      </c>
      <c r="F20" s="32" t="s">
        <v>138</v>
      </c>
      <c r="G20" s="32"/>
      <c r="H20" s="32"/>
      <c r="I20" s="32">
        <f t="shared" si="1"/>
        <v>0</v>
      </c>
      <c r="J20" s="32"/>
      <c r="K20" s="32"/>
      <c r="L20" s="32">
        <f t="shared" si="2"/>
        <v>0</v>
      </c>
    </row>
    <row r="21" spans="2:12" x14ac:dyDescent="0.35">
      <c r="B21" s="32"/>
      <c r="C21" s="32"/>
      <c r="D21" s="32"/>
      <c r="E21" s="32">
        <f t="shared" si="0"/>
        <v>0</v>
      </c>
      <c r="F21" s="32" t="s">
        <v>139</v>
      </c>
      <c r="G21" s="32"/>
      <c r="H21" s="32"/>
      <c r="I21" s="32">
        <f t="shared" si="1"/>
        <v>0</v>
      </c>
      <c r="J21" s="32"/>
      <c r="K21" s="32"/>
      <c r="L21" s="32">
        <f t="shared" si="2"/>
        <v>0</v>
      </c>
    </row>
    <row r="22" spans="2:12" x14ac:dyDescent="0.35">
      <c r="B22" s="32"/>
      <c r="C22" s="32"/>
      <c r="D22" s="32"/>
      <c r="E22" s="32">
        <f t="shared" si="0"/>
        <v>0</v>
      </c>
      <c r="F22" s="32"/>
      <c r="G22" s="32"/>
      <c r="H22" s="32"/>
      <c r="I22" s="32">
        <f t="shared" si="1"/>
        <v>0</v>
      </c>
      <c r="J22" s="32"/>
      <c r="K22" s="32"/>
      <c r="L22" s="32">
        <f t="shared" si="2"/>
        <v>0</v>
      </c>
    </row>
    <row r="23" spans="2:12" x14ac:dyDescent="0.35">
      <c r="B23" s="32" t="s">
        <v>143</v>
      </c>
      <c r="C23" s="32"/>
      <c r="D23" s="32"/>
      <c r="E23" s="32">
        <f t="shared" si="0"/>
        <v>0</v>
      </c>
      <c r="F23" s="32" t="s">
        <v>144</v>
      </c>
      <c r="G23" s="32"/>
      <c r="H23" s="32"/>
      <c r="I23" s="32">
        <f t="shared" si="1"/>
        <v>0</v>
      </c>
      <c r="J23" s="32"/>
      <c r="K23" s="32"/>
      <c r="L23" s="32">
        <f t="shared" si="2"/>
        <v>0</v>
      </c>
    </row>
    <row r="24" spans="2:12" x14ac:dyDescent="0.35">
      <c r="B24" s="32" t="s">
        <v>145</v>
      </c>
      <c r="C24" s="32"/>
      <c r="D24" s="32"/>
      <c r="E24" s="32">
        <f t="shared" si="0"/>
        <v>0</v>
      </c>
      <c r="F24" s="32" t="s">
        <v>144</v>
      </c>
      <c r="G24" s="32"/>
      <c r="H24" s="32"/>
      <c r="I24" s="32">
        <f t="shared" si="1"/>
        <v>0</v>
      </c>
      <c r="J24" s="32"/>
      <c r="K24" s="32"/>
      <c r="L24" s="32">
        <f t="shared" si="2"/>
        <v>0</v>
      </c>
    </row>
    <row r="25" spans="2:12" x14ac:dyDescent="0.35">
      <c r="B25" s="32" t="s">
        <v>146</v>
      </c>
      <c r="C25" s="32"/>
      <c r="D25" s="32"/>
      <c r="E25" s="32">
        <f t="shared" si="0"/>
        <v>0</v>
      </c>
      <c r="F25" s="32" t="s">
        <v>144</v>
      </c>
      <c r="G25" s="32"/>
      <c r="H25" s="32"/>
      <c r="I25" s="32">
        <f t="shared" si="1"/>
        <v>0</v>
      </c>
      <c r="J25" s="32"/>
      <c r="K25" s="32"/>
      <c r="L25" s="32">
        <f t="shared" si="2"/>
        <v>0</v>
      </c>
    </row>
    <row r="26" spans="2:12" x14ac:dyDescent="0.35">
      <c r="B26" s="32"/>
      <c r="C26" s="32"/>
      <c r="D26" s="32"/>
      <c r="E26" s="32">
        <f t="shared" si="0"/>
        <v>0</v>
      </c>
      <c r="F26" s="32"/>
      <c r="G26" s="32"/>
      <c r="H26" s="32"/>
      <c r="I26" s="32">
        <f t="shared" si="1"/>
        <v>0</v>
      </c>
      <c r="J26" s="32"/>
      <c r="K26" s="32"/>
      <c r="L26" s="32">
        <f t="shared" si="2"/>
        <v>0</v>
      </c>
    </row>
    <row r="27" spans="2:12" x14ac:dyDescent="0.35">
      <c r="B27" s="32" t="s">
        <v>147</v>
      </c>
      <c r="C27" s="32"/>
      <c r="D27" s="32"/>
      <c r="E27" s="32">
        <f t="shared" si="0"/>
        <v>0</v>
      </c>
      <c r="F27" s="32"/>
      <c r="G27" s="32"/>
      <c r="H27" s="32"/>
      <c r="I27" s="32">
        <f t="shared" si="1"/>
        <v>0</v>
      </c>
      <c r="J27" s="32"/>
      <c r="K27" s="32"/>
      <c r="L27" s="32">
        <f t="shared" si="2"/>
        <v>0</v>
      </c>
    </row>
    <row r="28" spans="2:12" x14ac:dyDescent="0.35">
      <c r="B28" s="32" t="s">
        <v>148</v>
      </c>
      <c r="C28" s="32"/>
      <c r="D28" s="32"/>
      <c r="E28" s="32">
        <f t="shared" si="0"/>
        <v>0</v>
      </c>
      <c r="F28" s="32"/>
      <c r="G28" s="32"/>
      <c r="H28" s="32"/>
      <c r="I28" s="32">
        <f t="shared" si="1"/>
        <v>0</v>
      </c>
      <c r="J28" s="32"/>
      <c r="K28" s="32"/>
      <c r="L28" s="32">
        <f t="shared" si="2"/>
        <v>0</v>
      </c>
    </row>
    <row r="29" spans="2:12" x14ac:dyDescent="0.35">
      <c r="B29" s="32" t="s">
        <v>149</v>
      </c>
      <c r="C29" s="32"/>
      <c r="D29" s="32"/>
      <c r="E29" s="32">
        <f t="shared" si="0"/>
        <v>0</v>
      </c>
      <c r="F29" s="32"/>
      <c r="G29" s="32"/>
      <c r="H29" s="32"/>
      <c r="I29" s="32">
        <f t="shared" si="1"/>
        <v>0</v>
      </c>
      <c r="J29" s="32"/>
      <c r="K29" s="32"/>
      <c r="L29" s="32">
        <f t="shared" si="2"/>
        <v>0</v>
      </c>
    </row>
    <row r="30" spans="2:12" x14ac:dyDescent="0.35">
      <c r="B30" s="32" t="s">
        <v>150</v>
      </c>
      <c r="C30" s="32"/>
      <c r="D30" s="32"/>
      <c r="E30" s="32">
        <f t="shared" si="0"/>
        <v>0</v>
      </c>
      <c r="F30" s="32"/>
      <c r="G30" s="32"/>
      <c r="H30" s="32"/>
      <c r="I30" s="32">
        <f>G30*H30</f>
        <v>0</v>
      </c>
      <c r="J30" s="32"/>
      <c r="K30" s="32"/>
      <c r="L30" s="32">
        <f>J30*K30</f>
        <v>0</v>
      </c>
    </row>
    <row r="31" spans="2:12" x14ac:dyDescent="0.35">
      <c r="B31" s="32"/>
      <c r="C31" s="32"/>
      <c r="D31" s="32"/>
      <c r="E31" s="32">
        <f t="shared" si="0"/>
        <v>0</v>
      </c>
      <c r="F31" s="32"/>
      <c r="G31" s="32"/>
      <c r="H31" s="32"/>
      <c r="I31" s="32">
        <f>G31*H31</f>
        <v>0</v>
      </c>
      <c r="J31" s="32"/>
      <c r="K31" s="32"/>
      <c r="L31" s="32">
        <f>J31*K31</f>
        <v>0</v>
      </c>
    </row>
    <row r="32" spans="2:12" x14ac:dyDescent="0.35">
      <c r="B32" s="32"/>
      <c r="C32" s="32"/>
      <c r="D32" s="32"/>
      <c r="E32" s="32">
        <f t="shared" si="0"/>
        <v>0</v>
      </c>
      <c r="F32" s="32"/>
      <c r="G32" s="32"/>
      <c r="H32" s="32"/>
      <c r="I32" s="32">
        <f>G32*H32</f>
        <v>0</v>
      </c>
      <c r="J32" s="32"/>
      <c r="K32" s="32"/>
      <c r="L32" s="32">
        <f>J32*K32</f>
        <v>0</v>
      </c>
    </row>
    <row r="33" spans="2:12" x14ac:dyDescent="0.35">
      <c r="B33" s="32"/>
      <c r="C33" s="32"/>
      <c r="D33" s="32"/>
      <c r="E33" s="32">
        <f t="shared" si="0"/>
        <v>0</v>
      </c>
      <c r="F33" s="32"/>
      <c r="G33" s="32"/>
      <c r="H33" s="32"/>
      <c r="I33" s="32">
        <f>G33*H33</f>
        <v>0</v>
      </c>
      <c r="J33" s="32"/>
      <c r="K33" s="32"/>
      <c r="L33" s="32">
        <f>J33*K33</f>
        <v>0</v>
      </c>
    </row>
    <row r="34" spans="2:12" x14ac:dyDescent="0.35">
      <c r="B34" s="32" t="s">
        <v>89</v>
      </c>
      <c r="C34" s="32"/>
      <c r="D34" s="32">
        <f>E34*10.764</f>
        <v>0</v>
      </c>
      <c r="E34" s="32">
        <f>SUM(E6:E33)</f>
        <v>0</v>
      </c>
      <c r="F34" s="32"/>
      <c r="G34" s="32"/>
      <c r="H34" s="32">
        <f>I34*10.764</f>
        <v>0</v>
      </c>
      <c r="I34" s="32">
        <f>SUM(I6:I33)</f>
        <v>0</v>
      </c>
      <c r="J34" s="32"/>
      <c r="K34" s="32">
        <f>L34*10.764</f>
        <v>0</v>
      </c>
      <c r="L34" s="32">
        <f>SUM(L6:L33)</f>
        <v>0</v>
      </c>
    </row>
    <row r="36" spans="2:12" x14ac:dyDescent="0.35">
      <c r="D36">
        <f>D34+H34</f>
        <v>0</v>
      </c>
      <c r="E36">
        <f>E34+I34</f>
        <v>0</v>
      </c>
    </row>
  </sheetData>
  <mergeCells count="4">
    <mergeCell ref="C2:D2"/>
    <mergeCell ref="C4:E4"/>
    <mergeCell ref="G4:I4"/>
    <mergeCell ref="J4:L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B13" sqref="B13"/>
    </sheetView>
  </sheetViews>
  <sheetFormatPr defaultRowHeight="14.5" x14ac:dyDescent="0.35"/>
  <cols>
    <col min="2" max="2" width="23.54296875" customWidth="1"/>
    <col min="3" max="3" width="26.453125" customWidth="1"/>
    <col min="4" max="4" width="15.81640625" customWidth="1"/>
    <col min="5" max="5" width="18" customWidth="1"/>
    <col min="6" max="6" width="15.7265625" customWidth="1"/>
    <col min="7" max="7" width="18" customWidth="1"/>
    <col min="8" max="8" width="17.81640625" customWidth="1"/>
  </cols>
  <sheetData>
    <row r="1" spans="1:9" x14ac:dyDescent="0.35">
      <c r="A1" s="40"/>
      <c r="B1" s="40"/>
      <c r="C1" s="40"/>
      <c r="D1" s="40"/>
      <c r="E1" s="40"/>
      <c r="F1" s="40"/>
      <c r="G1" s="40"/>
      <c r="H1" s="40"/>
    </row>
    <row r="2" spans="1:9" x14ac:dyDescent="0.35">
      <c r="A2" s="41"/>
      <c r="B2" s="41"/>
      <c r="C2" s="41"/>
      <c r="D2" s="41"/>
      <c r="E2" s="41"/>
      <c r="F2" s="41"/>
      <c r="G2" s="41"/>
      <c r="H2" s="41"/>
    </row>
    <row r="3" spans="1:9" x14ac:dyDescent="0.35">
      <c r="A3" s="41"/>
      <c r="B3" s="243" t="s">
        <v>199</v>
      </c>
      <c r="C3" s="243"/>
      <c r="D3" s="243"/>
      <c r="E3" s="243"/>
      <c r="F3" s="243"/>
      <c r="G3" s="243"/>
      <c r="H3" s="243"/>
    </row>
    <row r="4" spans="1:9" ht="29" x14ac:dyDescent="0.35">
      <c r="A4" s="41"/>
      <c r="B4" s="42" t="s">
        <v>200</v>
      </c>
      <c r="C4" s="42" t="s">
        <v>201</v>
      </c>
      <c r="D4" s="42" t="s">
        <v>130</v>
      </c>
      <c r="E4" s="42" t="s">
        <v>202</v>
      </c>
      <c r="F4" s="42" t="s">
        <v>203</v>
      </c>
      <c r="G4" s="42" t="s">
        <v>204</v>
      </c>
      <c r="H4" s="42" t="s">
        <v>205</v>
      </c>
    </row>
    <row r="5" spans="1:9" x14ac:dyDescent="0.35">
      <c r="A5" s="41"/>
      <c r="B5" s="44" t="s">
        <v>208</v>
      </c>
      <c r="C5" s="45" t="s">
        <v>190</v>
      </c>
      <c r="D5" s="44" t="s">
        <v>171</v>
      </c>
      <c r="E5" s="44">
        <v>186</v>
      </c>
      <c r="F5" s="46">
        <f>E5*1.45</f>
        <v>269.7</v>
      </c>
      <c r="G5" s="46">
        <f>H5/F5</f>
        <v>3010.7526881720432</v>
      </c>
      <c r="H5" s="47">
        <v>812000</v>
      </c>
    </row>
    <row r="6" spans="1:9" x14ac:dyDescent="0.35">
      <c r="A6" s="41"/>
      <c r="B6" s="44" t="s">
        <v>208</v>
      </c>
      <c r="C6" s="45" t="s">
        <v>190</v>
      </c>
      <c r="D6" s="44" t="s">
        <v>171</v>
      </c>
      <c r="E6" s="44">
        <v>276</v>
      </c>
      <c r="F6" s="46">
        <f t="shared" ref="F6:F9" si="0">E6*1.45</f>
        <v>400.2</v>
      </c>
      <c r="G6" s="46">
        <f t="shared" ref="G6:G9" si="1">H6/F6</f>
        <v>3008.495752123938</v>
      </c>
      <c r="H6" s="47">
        <v>1204000</v>
      </c>
    </row>
    <row r="7" spans="1:9" x14ac:dyDescent="0.35">
      <c r="A7" s="41"/>
      <c r="B7" s="44" t="s">
        <v>208</v>
      </c>
      <c r="C7" s="45" t="s">
        <v>190</v>
      </c>
      <c r="D7" s="44" t="s">
        <v>165</v>
      </c>
      <c r="E7" s="44">
        <v>235</v>
      </c>
      <c r="F7" s="46">
        <f t="shared" si="0"/>
        <v>340.75</v>
      </c>
      <c r="G7" s="46">
        <f t="shared" si="1"/>
        <v>3008.070432868672</v>
      </c>
      <c r="H7" s="47">
        <v>1025000</v>
      </c>
    </row>
    <row r="8" spans="1:9" x14ac:dyDescent="0.35">
      <c r="A8" s="41"/>
      <c r="B8" s="44" t="s">
        <v>208</v>
      </c>
      <c r="C8" s="45" t="s">
        <v>190</v>
      </c>
      <c r="D8" s="44" t="s">
        <v>209</v>
      </c>
      <c r="E8" s="44">
        <v>373</v>
      </c>
      <c r="F8" s="46">
        <f t="shared" si="0"/>
        <v>540.85</v>
      </c>
      <c r="G8" s="46">
        <f t="shared" si="1"/>
        <v>3008.2277895904595</v>
      </c>
      <c r="H8" s="47">
        <v>1627000</v>
      </c>
    </row>
    <row r="9" spans="1:9" x14ac:dyDescent="0.35">
      <c r="A9" s="41"/>
      <c r="B9" s="44" t="s">
        <v>208</v>
      </c>
      <c r="C9" s="45" t="s">
        <v>190</v>
      </c>
      <c r="D9" s="44" t="s">
        <v>166</v>
      </c>
      <c r="E9" s="44">
        <v>404</v>
      </c>
      <c r="F9" s="46">
        <f t="shared" si="0"/>
        <v>585.79999999999995</v>
      </c>
      <c r="G9" s="46">
        <f t="shared" si="1"/>
        <v>3009.5595766473202</v>
      </c>
      <c r="H9" s="47">
        <v>1763000</v>
      </c>
    </row>
    <row r="10" spans="1:9" x14ac:dyDescent="0.35">
      <c r="A10" s="41"/>
      <c r="B10" s="48" t="s">
        <v>206</v>
      </c>
      <c r="C10" s="44"/>
      <c r="D10" s="44"/>
      <c r="E10" s="44"/>
      <c r="F10" s="44"/>
      <c r="G10" s="49">
        <f>AVERAGE(G5:G9)</f>
        <v>3009.0212478804865</v>
      </c>
      <c r="H10" s="44"/>
    </row>
    <row r="11" spans="1:9" x14ac:dyDescent="0.35">
      <c r="A11" s="40"/>
      <c r="B11" s="48" t="s">
        <v>207</v>
      </c>
      <c r="C11" s="44"/>
      <c r="D11" s="44"/>
      <c r="E11" s="44"/>
      <c r="F11" s="50"/>
      <c r="G11" s="48">
        <v>3000</v>
      </c>
      <c r="H11" s="48"/>
      <c r="I11" s="43"/>
    </row>
    <row r="12" spans="1:9" x14ac:dyDescent="0.35">
      <c r="B12" s="40"/>
      <c r="C12" s="40"/>
      <c r="D12" s="40"/>
      <c r="E12" s="40"/>
    </row>
    <row r="13" spans="1:9" x14ac:dyDescent="0.35">
      <c r="B13" s="40"/>
      <c r="C13" s="40"/>
      <c r="D13" s="40"/>
      <c r="E13" s="40"/>
    </row>
    <row r="14" spans="1:9" x14ac:dyDescent="0.35">
      <c r="B14" s="40"/>
      <c r="C14" s="40"/>
      <c r="D14" s="40"/>
      <c r="E14" s="40"/>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Report (2)</vt:lpstr>
      <vt:lpstr>Note</vt:lpstr>
      <vt:lpstr>C% E1,</vt:lpstr>
      <vt:lpstr>C% E2, </vt:lpstr>
      <vt:lpstr>C% (3)E3</vt:lpstr>
      <vt:lpstr>C% E4</vt:lpstr>
      <vt:lpstr>C%  E5 (2)</vt:lpstr>
      <vt:lpstr>Flat detail</vt:lpstr>
      <vt:lpstr>VALUATION</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2025-08-07T12:56:22Z</cp:lastPrinted>
  <dcterms:created xsi:type="dcterms:W3CDTF">2019-07-16T09:29:46Z</dcterms:created>
  <dcterms:modified xsi:type="dcterms:W3CDTF">2025-08-07T12:57:36Z</dcterms:modified>
</cp:coreProperties>
</file>