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Kunal\Aug 25\RBL\Old\"/>
    </mc:Choice>
  </mc:AlternateContent>
  <xr:revisionPtr revIDLastSave="0" documentId="13_ncr:1_{251A024B-B12E-4517-A586-3032732057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Sheet1!$A$1:$F$498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4" i="1" l="1"/>
  <c r="B498" i="1"/>
  <c r="G60" i="1"/>
  <c r="C54" i="1"/>
  <c r="I60" i="1"/>
  <c r="C57" i="1" l="1"/>
  <c r="C55" i="1"/>
  <c r="I46" i="1"/>
  <c r="G54" i="1" l="1"/>
  <c r="B354" i="1" l="1"/>
  <c r="J58" i="1"/>
  <c r="I58" i="1"/>
  <c r="I57" i="1"/>
  <c r="F156" i="1"/>
  <c r="C323" i="1"/>
  <c r="F323" i="1" s="1"/>
  <c r="C322" i="1"/>
  <c r="F322" i="1" s="1"/>
  <c r="C321" i="1"/>
  <c r="F321" i="1" s="1"/>
  <c r="C320" i="1"/>
  <c r="F320" i="1" s="1"/>
  <c r="C319" i="1"/>
  <c r="F319" i="1" s="1"/>
  <c r="C318" i="1"/>
  <c r="F318" i="1" s="1"/>
  <c r="C317" i="1"/>
  <c r="F317" i="1" s="1"/>
  <c r="A316" i="1"/>
  <c r="A317" i="1" s="1"/>
  <c r="A318" i="1" s="1"/>
  <c r="A319" i="1" s="1"/>
  <c r="A320" i="1" s="1"/>
  <c r="A321" i="1" s="1"/>
  <c r="A322" i="1" s="1"/>
  <c r="A323" i="1" s="1"/>
  <c r="C262" i="1"/>
  <c r="F262" i="1" s="1"/>
  <c r="C261" i="1"/>
  <c r="D261" i="1" s="1"/>
  <c r="C260" i="1"/>
  <c r="D260" i="1" s="1"/>
  <c r="D259" i="1"/>
  <c r="C259" i="1"/>
  <c r="F259" i="1" s="1"/>
  <c r="C256" i="1"/>
  <c r="F256" i="1" s="1"/>
  <c r="C255" i="1"/>
  <c r="D255" i="1" s="1"/>
  <c r="A255" i="1"/>
  <c r="A256" i="1" s="1"/>
  <c r="A257" i="1" s="1"/>
  <c r="A258" i="1" s="1"/>
  <c r="A259" i="1" s="1"/>
  <c r="A260" i="1" s="1"/>
  <c r="A261" i="1" s="1"/>
  <c r="A262" i="1" s="1"/>
  <c r="C254" i="1"/>
  <c r="D254" i="1" s="1"/>
  <c r="G223" i="1"/>
  <c r="C313" i="1"/>
  <c r="F313" i="1" s="1"/>
  <c r="C312" i="1"/>
  <c r="C311" i="1"/>
  <c r="C310" i="1"/>
  <c r="C309" i="1"/>
  <c r="C308" i="1"/>
  <c r="C307" i="1"/>
  <c r="C303" i="1"/>
  <c r="C302" i="1"/>
  <c r="C301" i="1"/>
  <c r="C300" i="1"/>
  <c r="C299" i="1"/>
  <c r="C298" i="1"/>
  <c r="C297" i="1"/>
  <c r="C296" i="1"/>
  <c r="C295" i="1"/>
  <c r="C293" i="1"/>
  <c r="C292" i="1"/>
  <c r="C291" i="1"/>
  <c r="C290" i="1"/>
  <c r="C289" i="1"/>
  <c r="C288" i="1"/>
  <c r="C287" i="1"/>
  <c r="C286" i="1"/>
  <c r="C285" i="1"/>
  <c r="C283" i="1"/>
  <c r="C282" i="1"/>
  <c r="C281" i="1"/>
  <c r="C280" i="1"/>
  <c r="C279" i="1"/>
  <c r="C278" i="1"/>
  <c r="C277" i="1"/>
  <c r="C276" i="1"/>
  <c r="C275" i="1"/>
  <c r="C273" i="1"/>
  <c r="C272" i="1"/>
  <c r="C271" i="1"/>
  <c r="C270" i="1"/>
  <c r="C269" i="1"/>
  <c r="C268" i="1"/>
  <c r="C267" i="1"/>
  <c r="C266" i="1"/>
  <c r="C265" i="1"/>
  <c r="F254" i="1" l="1"/>
  <c r="F260" i="1"/>
  <c r="B163" i="1"/>
  <c r="F255" i="1"/>
  <c r="F261" i="1"/>
  <c r="C163" i="1"/>
  <c r="D256" i="1"/>
  <c r="D262" i="1"/>
  <c r="D318" i="1"/>
  <c r="D320" i="1"/>
  <c r="D322" i="1"/>
  <c r="D317" i="1"/>
  <c r="D319" i="1"/>
  <c r="D321" i="1"/>
  <c r="D323" i="1"/>
  <c r="D313" i="1"/>
  <c r="F266" i="1"/>
  <c r="F265" i="1"/>
  <c r="F312" i="1"/>
  <c r="F311" i="1"/>
  <c r="F310" i="1"/>
  <c r="F309" i="1"/>
  <c r="F308" i="1"/>
  <c r="F307" i="1"/>
  <c r="A306" i="1"/>
  <c r="A307" i="1" s="1"/>
  <c r="A308" i="1" s="1"/>
  <c r="A309" i="1" s="1"/>
  <c r="A310" i="1" s="1"/>
  <c r="A311" i="1" s="1"/>
  <c r="A312" i="1" s="1"/>
  <c r="A313" i="1" s="1"/>
  <c r="F303" i="1"/>
  <c r="F302" i="1"/>
  <c r="F301" i="1"/>
  <c r="F300" i="1"/>
  <c r="F299" i="1"/>
  <c r="F298" i="1"/>
  <c r="F297" i="1"/>
  <c r="F296" i="1"/>
  <c r="A296" i="1"/>
  <c r="A297" i="1" s="1"/>
  <c r="A298" i="1" s="1"/>
  <c r="A299" i="1" s="1"/>
  <c r="A300" i="1" s="1"/>
  <c r="A301" i="1" s="1"/>
  <c r="A302" i="1" s="1"/>
  <c r="A303" i="1" s="1"/>
  <c r="F295" i="1"/>
  <c r="F293" i="1"/>
  <c r="F292" i="1"/>
  <c r="D292" i="1"/>
  <c r="F291" i="1"/>
  <c r="F290" i="1"/>
  <c r="D290" i="1"/>
  <c r="F289" i="1"/>
  <c r="F288" i="1"/>
  <c r="D288" i="1"/>
  <c r="F287" i="1"/>
  <c r="A287" i="1"/>
  <c r="A288" i="1" s="1"/>
  <c r="A289" i="1" s="1"/>
  <c r="A290" i="1" s="1"/>
  <c r="A291" i="1" s="1"/>
  <c r="A292" i="1" s="1"/>
  <c r="A293" i="1" s="1"/>
  <c r="F286" i="1"/>
  <c r="D286" i="1"/>
  <c r="A286" i="1"/>
  <c r="F285" i="1"/>
  <c r="F283" i="1"/>
  <c r="D283" i="1"/>
  <c r="F282" i="1"/>
  <c r="F281" i="1"/>
  <c r="D281" i="1"/>
  <c r="F280" i="1"/>
  <c r="F279" i="1"/>
  <c r="D279" i="1"/>
  <c r="F278" i="1"/>
  <c r="F277" i="1"/>
  <c r="D277" i="1"/>
  <c r="F276" i="1"/>
  <c r="A276" i="1"/>
  <c r="A277" i="1" s="1"/>
  <c r="A278" i="1" s="1"/>
  <c r="A279" i="1" s="1"/>
  <c r="A280" i="1" s="1"/>
  <c r="A281" i="1" s="1"/>
  <c r="A282" i="1" s="1"/>
  <c r="A283" i="1" s="1"/>
  <c r="F275" i="1"/>
  <c r="H275" i="1" s="1"/>
  <c r="D275" i="1"/>
  <c r="F273" i="1"/>
  <c r="F272" i="1"/>
  <c r="F271" i="1"/>
  <c r="H270" i="1" s="1"/>
  <c r="F270" i="1"/>
  <c r="F269" i="1"/>
  <c r="F268" i="1"/>
  <c r="F267" i="1"/>
  <c r="A266" i="1"/>
  <c r="A267" i="1" s="1"/>
  <c r="A268" i="1" s="1"/>
  <c r="A269" i="1" s="1"/>
  <c r="A270" i="1" s="1"/>
  <c r="A271" i="1" s="1"/>
  <c r="A272" i="1" s="1"/>
  <c r="A273" i="1" s="1"/>
  <c r="C251" i="1"/>
  <c r="F251" i="1" s="1"/>
  <c r="C250" i="1"/>
  <c r="F250" i="1" s="1"/>
  <c r="C249" i="1"/>
  <c r="F249" i="1" s="1"/>
  <c r="C246" i="1"/>
  <c r="F246" i="1" s="1"/>
  <c r="C245" i="1"/>
  <c r="F245" i="1" s="1"/>
  <c r="A245" i="1"/>
  <c r="A246" i="1" s="1"/>
  <c r="A247" i="1" s="1"/>
  <c r="A248" i="1" s="1"/>
  <c r="A249" i="1" s="1"/>
  <c r="A250" i="1" s="1"/>
  <c r="A251" i="1" s="1"/>
  <c r="A252" i="1" s="1"/>
  <c r="C244" i="1"/>
  <c r="F244" i="1" s="1"/>
  <c r="C242" i="1"/>
  <c r="F242" i="1" s="1"/>
  <c r="C241" i="1"/>
  <c r="F241" i="1" s="1"/>
  <c r="C240" i="1"/>
  <c r="F240" i="1" s="1"/>
  <c r="C239" i="1"/>
  <c r="F239" i="1" s="1"/>
  <c r="C238" i="1"/>
  <c r="F238" i="1" s="1"/>
  <c r="C237" i="1"/>
  <c r="F237" i="1" s="1"/>
  <c r="C236" i="1"/>
  <c r="F236" i="1" s="1"/>
  <c r="C235" i="1"/>
  <c r="F235" i="1" s="1"/>
  <c r="A235" i="1"/>
  <c r="A236" i="1" s="1"/>
  <c r="A237" i="1" s="1"/>
  <c r="A238" i="1" s="1"/>
  <c r="A239" i="1" s="1"/>
  <c r="A240" i="1" s="1"/>
  <c r="A241" i="1" s="1"/>
  <c r="A242" i="1" s="1"/>
  <c r="C234" i="1"/>
  <c r="F234" i="1" s="1"/>
  <c r="C232" i="1"/>
  <c r="F232" i="1" s="1"/>
  <c r="C231" i="1"/>
  <c r="F231" i="1" s="1"/>
  <c r="C230" i="1"/>
  <c r="F230" i="1" s="1"/>
  <c r="C229" i="1"/>
  <c r="F229" i="1" s="1"/>
  <c r="C228" i="1"/>
  <c r="F228" i="1" s="1"/>
  <c r="C227" i="1"/>
  <c r="F227" i="1" s="1"/>
  <c r="C226" i="1"/>
  <c r="F226" i="1" s="1"/>
  <c r="C225" i="1"/>
  <c r="F225" i="1" s="1"/>
  <c r="A225" i="1"/>
  <c r="A226" i="1" s="1"/>
  <c r="A227" i="1" s="1"/>
  <c r="A228" i="1" s="1"/>
  <c r="A229" i="1" s="1"/>
  <c r="A230" i="1" s="1"/>
  <c r="A231" i="1" s="1"/>
  <c r="A232" i="1" s="1"/>
  <c r="C224" i="1"/>
  <c r="D224" i="1" s="1"/>
  <c r="C222" i="1"/>
  <c r="D222" i="1" s="1"/>
  <c r="C221" i="1"/>
  <c r="F221" i="1" s="1"/>
  <c r="C220" i="1"/>
  <c r="F220" i="1" s="1"/>
  <c r="C219" i="1"/>
  <c r="F219" i="1" s="1"/>
  <c r="C218" i="1"/>
  <c r="F218" i="1" s="1"/>
  <c r="C217" i="1"/>
  <c r="F217" i="1" s="1"/>
  <c r="C216" i="1"/>
  <c r="F216" i="1" s="1"/>
  <c r="C215" i="1"/>
  <c r="F215" i="1" s="1"/>
  <c r="A215" i="1"/>
  <c r="A216" i="1" s="1"/>
  <c r="A217" i="1" s="1"/>
  <c r="A218" i="1" s="1"/>
  <c r="A219" i="1" s="1"/>
  <c r="A220" i="1" s="1"/>
  <c r="A221" i="1" s="1"/>
  <c r="A222" i="1" s="1"/>
  <c r="C214" i="1"/>
  <c r="F214" i="1" s="1"/>
  <c r="C212" i="1"/>
  <c r="D212" i="1" s="1"/>
  <c r="C211" i="1"/>
  <c r="C210" i="1"/>
  <c r="F210" i="1" s="1"/>
  <c r="C209" i="1"/>
  <c r="C208" i="1"/>
  <c r="C207" i="1"/>
  <c r="C206" i="1"/>
  <c r="C205" i="1"/>
  <c r="C204" i="1"/>
  <c r="F204" i="1" s="1"/>
  <c r="D211" i="1"/>
  <c r="C196" i="1"/>
  <c r="D196" i="1" s="1"/>
  <c r="C195" i="1"/>
  <c r="D195" i="1" s="1"/>
  <c r="C194" i="1"/>
  <c r="D194" i="1" s="1"/>
  <c r="C193" i="1"/>
  <c r="F193" i="1" s="1"/>
  <c r="C192" i="1"/>
  <c r="D192" i="1" s="1"/>
  <c r="C191" i="1"/>
  <c r="D191" i="1" s="1"/>
  <c r="C190" i="1"/>
  <c r="F190" i="1" s="1"/>
  <c r="C189" i="1"/>
  <c r="F189" i="1" s="1"/>
  <c r="C188" i="1"/>
  <c r="F188" i="1" s="1"/>
  <c r="C187" i="1"/>
  <c r="C186" i="1"/>
  <c r="D186" i="1" s="1"/>
  <c r="C185" i="1"/>
  <c r="D185" i="1" s="1"/>
  <c r="C184" i="1"/>
  <c r="D184" i="1" s="1"/>
  <c r="C183" i="1"/>
  <c r="D183" i="1" s="1"/>
  <c r="C182" i="1"/>
  <c r="F182" i="1" s="1"/>
  <c r="C181" i="1"/>
  <c r="C180" i="1"/>
  <c r="C179" i="1"/>
  <c r="C178" i="1"/>
  <c r="C177" i="1"/>
  <c r="C176" i="1"/>
  <c r="G183" i="1"/>
  <c r="G179" i="1"/>
  <c r="G177" i="1"/>
  <c r="G176" i="1"/>
  <c r="F187" i="1"/>
  <c r="F194" i="1"/>
  <c r="F186" i="1" l="1"/>
  <c r="F212" i="1"/>
  <c r="B159" i="1"/>
  <c r="C159" i="1"/>
  <c r="C162" i="1"/>
  <c r="C164" i="1" s="1"/>
  <c r="B162" i="1"/>
  <c r="B164" i="1" s="1"/>
  <c r="E163" i="1"/>
  <c r="D218" i="1"/>
  <c r="D193" i="1"/>
  <c r="F222" i="1"/>
  <c r="D230" i="1"/>
  <c r="D214" i="1"/>
  <c r="D226" i="1"/>
  <c r="D232" i="1"/>
  <c r="F195" i="1"/>
  <c r="F224" i="1"/>
  <c r="H224" i="1" s="1"/>
  <c r="I264" i="1" s="1"/>
  <c r="D228" i="1"/>
  <c r="D188" i="1"/>
  <c r="F196" i="1"/>
  <c r="D216" i="1"/>
  <c r="D220" i="1"/>
  <c r="D265" i="1"/>
  <c r="D266" i="1"/>
  <c r="D268" i="1"/>
  <c r="D270" i="1"/>
  <c r="D272" i="1"/>
  <c r="D307" i="1"/>
  <c r="D309" i="1"/>
  <c r="D311" i="1"/>
  <c r="D296" i="1"/>
  <c r="D298" i="1"/>
  <c r="D300" i="1"/>
  <c r="D302" i="1"/>
  <c r="D285" i="1"/>
  <c r="D287" i="1"/>
  <c r="D289" i="1"/>
  <c r="D291" i="1"/>
  <c r="D293" i="1"/>
  <c r="D276" i="1"/>
  <c r="D278" i="1"/>
  <c r="D280" i="1"/>
  <c r="D282" i="1"/>
  <c r="D267" i="1"/>
  <c r="D269" i="1"/>
  <c r="D271" i="1"/>
  <c r="D273" i="1"/>
  <c r="D308" i="1"/>
  <c r="D310" i="1"/>
  <c r="D312" i="1"/>
  <c r="D295" i="1"/>
  <c r="D297" i="1"/>
  <c r="D299" i="1"/>
  <c r="D301" i="1"/>
  <c r="D303" i="1"/>
  <c r="D245" i="1"/>
  <c r="D249" i="1"/>
  <c r="D251" i="1"/>
  <c r="D244" i="1"/>
  <c r="D246" i="1"/>
  <c r="D250" i="1"/>
  <c r="D235" i="1"/>
  <c r="D237" i="1"/>
  <c r="D239" i="1"/>
  <c r="D241" i="1"/>
  <c r="D234" i="1"/>
  <c r="D236" i="1"/>
  <c r="D238" i="1"/>
  <c r="D240" i="1"/>
  <c r="D242" i="1"/>
  <c r="D225" i="1"/>
  <c r="D227" i="1"/>
  <c r="D229" i="1"/>
  <c r="D231" i="1"/>
  <c r="D215" i="1"/>
  <c r="D217" i="1"/>
  <c r="D219" i="1"/>
  <c r="D221" i="1"/>
  <c r="F211" i="1"/>
  <c r="D210" i="1"/>
  <c r="D182" i="1"/>
  <c r="F192" i="1"/>
  <c r="F191" i="1"/>
  <c r="D190" i="1"/>
  <c r="D189" i="1"/>
  <c r="D187" i="1"/>
  <c r="F185" i="1"/>
  <c r="F184" i="1"/>
  <c r="F183" i="1"/>
  <c r="C60" i="1"/>
  <c r="C51" i="1"/>
  <c r="C50" i="1"/>
  <c r="C47" i="1"/>
  <c r="C49" i="1"/>
  <c r="C48" i="1"/>
  <c r="C165" i="1" l="1"/>
  <c r="B165" i="1"/>
  <c r="F117" i="1"/>
  <c r="E117" i="1"/>
  <c r="D117" i="1"/>
  <c r="C117" i="1"/>
  <c r="B117" i="1"/>
  <c r="A117" i="1"/>
  <c r="A139" i="1" l="1"/>
  <c r="H149" i="1"/>
  <c r="H148" i="1"/>
  <c r="H136" i="1"/>
  <c r="H135" i="1"/>
  <c r="F140" i="1"/>
  <c r="H151" i="1" l="1"/>
  <c r="H145" i="1"/>
  <c r="D148" i="1"/>
  <c r="D147" i="1"/>
  <c r="D151" i="1"/>
  <c r="D145" i="1"/>
  <c r="H144" i="1"/>
  <c r="D150" i="1"/>
  <c r="D144" i="1"/>
  <c r="D149" i="1"/>
  <c r="D146" i="1"/>
  <c r="H150" i="1" l="1"/>
  <c r="C143" i="1"/>
  <c r="H146" i="1"/>
  <c r="H147" i="1" s="1"/>
  <c r="E143" i="1" l="1"/>
  <c r="G139" i="1" s="1"/>
  <c r="B141" i="1" s="1"/>
  <c r="D143" i="1"/>
  <c r="B82" i="1"/>
  <c r="B18" i="1"/>
  <c r="A126" i="1" l="1"/>
  <c r="B131" i="2" l="1"/>
  <c r="C36" i="1" l="1"/>
  <c r="A353" i="1" l="1"/>
  <c r="A354" i="1" s="1"/>
  <c r="A355" i="1" s="1"/>
  <c r="A356" i="1" s="1"/>
  <c r="A357" i="1" s="1"/>
  <c r="A205" i="1"/>
  <c r="A206" i="1" s="1"/>
  <c r="A207" i="1" s="1"/>
  <c r="A208" i="1" s="1"/>
  <c r="A209" i="1" s="1"/>
  <c r="A210" i="1" s="1"/>
  <c r="A211" i="1" s="1"/>
  <c r="A212" i="1" s="1"/>
  <c r="A358" i="1" l="1"/>
  <c r="A359" i="1" s="1"/>
  <c r="A177" i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F176" i="1"/>
  <c r="A363" i="1" l="1"/>
  <c r="A360" i="1"/>
  <c r="C63" i="1"/>
  <c r="B13" i="1" l="1"/>
  <c r="F209" i="1" l="1"/>
  <c r="F208" i="1"/>
  <c r="F207" i="1"/>
  <c r="D206" i="1"/>
  <c r="D205" i="1"/>
  <c r="D181" i="1"/>
  <c r="D180" i="1"/>
  <c r="D179" i="1"/>
  <c r="D178" i="1"/>
  <c r="D177" i="1"/>
  <c r="D209" i="1" l="1"/>
  <c r="F205" i="1"/>
  <c r="D208" i="1"/>
  <c r="F206" i="1"/>
  <c r="D207" i="1"/>
  <c r="F178" i="1"/>
  <c r="F180" i="1"/>
  <c r="F181" i="1"/>
  <c r="F179" i="1"/>
  <c r="F177" i="1"/>
  <c r="E159" i="1" l="1"/>
  <c r="B124" i="2"/>
  <c r="M67" i="1" l="1"/>
  <c r="E162" i="1" l="1"/>
  <c r="E164" i="1" s="1"/>
  <c r="E165" i="1" s="1"/>
  <c r="D204" i="1" l="1"/>
  <c r="D176" i="1"/>
  <c r="K116" i="2" l="1"/>
  <c r="K115" i="2"/>
  <c r="K114" i="2"/>
  <c r="K113" i="2"/>
  <c r="D107" i="2"/>
  <c r="F106" i="2"/>
  <c r="E116" i="2" l="1"/>
  <c r="E115" i="2"/>
  <c r="K109" i="2"/>
  <c r="E111" i="2"/>
  <c r="E114" i="2"/>
  <c r="E113" i="2"/>
  <c r="K108" i="2"/>
  <c r="E112" i="2"/>
  <c r="E118" i="2"/>
  <c r="K111" i="2"/>
  <c r="K112" i="2" s="1"/>
  <c r="K117" i="2" s="1"/>
  <c r="K118" i="2" s="1"/>
  <c r="D110" i="2" s="1"/>
  <c r="E117" i="2"/>
  <c r="K110" i="2"/>
  <c r="D109" i="2" s="1"/>
  <c r="H109" i="2" l="1"/>
  <c r="F109" i="2"/>
  <c r="J105" i="2" s="1"/>
  <c r="E110" i="2"/>
  <c r="E109" i="2"/>
  <c r="F127" i="1"/>
  <c r="H131" i="1" l="1"/>
  <c r="H138" i="1"/>
  <c r="C130" i="1" s="1"/>
  <c r="H132" i="1"/>
  <c r="D137" i="1"/>
  <c r="D131" i="1"/>
  <c r="D136" i="1"/>
  <c r="D135" i="1"/>
  <c r="D133" i="1"/>
  <c r="D134" i="1"/>
  <c r="D132" i="1"/>
  <c r="D138" i="1"/>
  <c r="E130" i="1" l="1"/>
  <c r="H137" i="1"/>
  <c r="H133" i="1"/>
  <c r="H134" i="1" l="1"/>
  <c r="E152" i="1" l="1"/>
  <c r="D130" i="1"/>
  <c r="C38" i="1" l="1"/>
  <c r="G126" i="1"/>
  <c r="B1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SACHIN</author>
    <author>Sachin</author>
  </authors>
  <commentList>
    <comment ref="D9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Title certifcate lawyer name</t>
        </r>
      </text>
    </comment>
    <comment ref="C12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Builder"s recent project names 
take from builder documents
</t>
        </r>
      </text>
    </comment>
    <comment ref="C12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Approved by authority name
Positive or negavtive points
Surrounding buildings or mall etc or less distance from stn</t>
        </r>
      </text>
    </comment>
  </commentList>
</comments>
</file>

<file path=xl/sharedStrings.xml><?xml version="1.0" encoding="utf-8"?>
<sst xmlns="http://schemas.openxmlformats.org/spreadsheetml/2006/main" count="670" uniqueCount="390">
  <si>
    <t>PROJECT TECHNICAL REPORT</t>
  </si>
  <si>
    <t>RBL BRANCH NAME</t>
  </si>
  <si>
    <t>TDR FSI</t>
  </si>
  <si>
    <t>QUALITY, SPECS</t>
  </si>
  <si>
    <t>Construction details:</t>
  </si>
  <si>
    <t>Basement</t>
  </si>
  <si>
    <t>Ground</t>
  </si>
  <si>
    <t>Podium</t>
  </si>
  <si>
    <t>Floors</t>
  </si>
  <si>
    <t xml:space="preserve">Stage of construction: </t>
  </si>
  <si>
    <t>All work Completed. OC Received.</t>
  </si>
  <si>
    <t>Type of Work</t>
  </si>
  <si>
    <t>Project Progress %</t>
  </si>
  <si>
    <t>Slab/Floor</t>
  </si>
  <si>
    <t>Complition %</t>
  </si>
  <si>
    <t>Progress %</t>
  </si>
  <si>
    <t>Piling Work in process</t>
  </si>
  <si>
    <t>Excavation</t>
  </si>
  <si>
    <t>Excavation in process</t>
  </si>
  <si>
    <t>Plinth</t>
  </si>
  <si>
    <t>Excavation Completed</t>
  </si>
  <si>
    <t>RCC (Including podiums)</t>
  </si>
  <si>
    <t>Footing in Process</t>
  </si>
  <si>
    <t>Brickwork</t>
  </si>
  <si>
    <t>Footing Completed</t>
  </si>
  <si>
    <t>Internal Plaster</t>
  </si>
  <si>
    <t>Basement 1</t>
  </si>
  <si>
    <t>Ext. Plaster &amp; Plumbing</t>
  </si>
  <si>
    <t>Basement 2</t>
  </si>
  <si>
    <t>Flooring &amp; Fitting</t>
  </si>
  <si>
    <t>Basement 3</t>
  </si>
  <si>
    <t>Painting &amp; Wooden</t>
  </si>
  <si>
    <t>Basement 4</t>
  </si>
  <si>
    <t>Building Common Amenities</t>
  </si>
  <si>
    <t>Plinth in process</t>
  </si>
  <si>
    <t>Possession</t>
  </si>
  <si>
    <t>Plinth completed</t>
  </si>
  <si>
    <t>Completion %</t>
  </si>
  <si>
    <t>Plaster</t>
  </si>
  <si>
    <t>Electrical &amp; Plumbing</t>
  </si>
  <si>
    <t>Finishing</t>
  </si>
  <si>
    <t>Disbursement %</t>
  </si>
  <si>
    <t>Brickwork &amp; Internal Plaster</t>
  </si>
  <si>
    <t>External Plaster &amp; Plumbing</t>
  </si>
  <si>
    <t>g +7</t>
  </si>
  <si>
    <t>BUILDING/TOWERWISE UNIT - AREA DETAILS</t>
  </si>
  <si>
    <t>Building &amp; Wing</t>
  </si>
  <si>
    <t>No. of Units</t>
  </si>
  <si>
    <t>Total Carpet Area</t>
  </si>
  <si>
    <t>Total Saleable Area</t>
  </si>
  <si>
    <t>Total</t>
  </si>
  <si>
    <t>Building details Floor Wise</t>
  </si>
  <si>
    <t xml:space="preserve">Details of Flats in Building   </t>
  </si>
  <si>
    <t>Description</t>
  </si>
  <si>
    <t>Gross Carpet area</t>
  </si>
  <si>
    <t>Attached Terrace area</t>
  </si>
  <si>
    <t>Builtup Area</t>
  </si>
  <si>
    <t>Saleable area
Loading:</t>
  </si>
  <si>
    <t xml:space="preserve">Details of Commercial in Building   </t>
  </si>
  <si>
    <t>VALUE PARAMETERS</t>
  </si>
  <si>
    <t>Remarks:</t>
  </si>
  <si>
    <t>Photographs Of Property :</t>
  </si>
  <si>
    <t>Layout Of Property :</t>
  </si>
  <si>
    <t xml:space="preserve">Google Map : </t>
  </si>
  <si>
    <t>Name of Engineer Visited the property</t>
  </si>
  <si>
    <t xml:space="preserve">Authorized Signatory
Name &amp; Seal of the agency
                                               </t>
  </si>
  <si>
    <r>
      <t xml:space="preserve">Shop No.
</t>
    </r>
    <r>
      <rPr>
        <b/>
        <sz val="9"/>
        <color rgb="FF000000"/>
        <rFont val="Garamond"/>
        <family val="1"/>
      </rPr>
      <t>(Approved Plan)</t>
    </r>
  </si>
  <si>
    <t>Project Name</t>
  </si>
  <si>
    <t>Valuer Details</t>
  </si>
  <si>
    <t xml:space="preserve">Name Of Valuer </t>
  </si>
  <si>
    <t>Official Email Id</t>
  </si>
  <si>
    <t>Rvo Name Of Which Valuer Is Member</t>
  </si>
  <si>
    <t>Address Of Valution Agency</t>
  </si>
  <si>
    <t>Contact Person Name  &amp; Number</t>
  </si>
  <si>
    <t>Name Of Valuation Agency/Firm</t>
  </si>
  <si>
    <t>Apf Technical Report Assignment Details</t>
  </si>
  <si>
    <t>Builder Company/Entity Details - Seller Of The Project</t>
  </si>
  <si>
    <t>Name Of Entity Formed For Current Project</t>
  </si>
  <si>
    <t>Project Address Details</t>
  </si>
  <si>
    <t>Date of Assignment</t>
  </si>
  <si>
    <t>Date of Visit</t>
  </si>
  <si>
    <t>Date of Valuation</t>
  </si>
  <si>
    <t>Street Name &amp;/No.</t>
  </si>
  <si>
    <t>State</t>
  </si>
  <si>
    <t>Pincode</t>
  </si>
  <si>
    <t>Nearest Rbl Bank Location</t>
  </si>
  <si>
    <t>Landmark</t>
  </si>
  <si>
    <t>District</t>
  </si>
  <si>
    <t>Country</t>
  </si>
  <si>
    <t>Lat, Long</t>
  </si>
  <si>
    <t>Distance From Rbl Bank Location (Kms.)</t>
  </si>
  <si>
    <t>Assigned By</t>
  </si>
  <si>
    <t>Property Visited By (Name)</t>
  </si>
  <si>
    <t>Report Prepared By (Name)</t>
  </si>
  <si>
    <t>North</t>
  </si>
  <si>
    <t>South</t>
  </si>
  <si>
    <t>East</t>
  </si>
  <si>
    <t>West</t>
  </si>
  <si>
    <t>As Per Ownership Docs</t>
  </si>
  <si>
    <t>As Per Site Investigation</t>
  </si>
  <si>
    <t>Project Boundaries Verification</t>
  </si>
  <si>
    <t>General Details</t>
  </si>
  <si>
    <t>Municipal Limit</t>
  </si>
  <si>
    <t>Municipal Authority (Name)</t>
  </si>
  <si>
    <t>Approach Road To Project</t>
  </si>
  <si>
    <t>Location Type*</t>
  </si>
  <si>
    <t>Quality Of Construction*</t>
  </si>
  <si>
    <t>Overall % Completion Of Project</t>
  </si>
  <si>
    <t>Project Falling In Caution Area</t>
  </si>
  <si>
    <t>Reason For Caution</t>
  </si>
  <si>
    <t>Project Architect Name</t>
  </si>
  <si>
    <t>Square Meter</t>
  </si>
  <si>
    <t>Project Area Details ( As Per Approved Plan )</t>
  </si>
  <si>
    <t>Area Type</t>
  </si>
  <si>
    <t>Total Plot Area</t>
  </si>
  <si>
    <t>Total Built Up Area</t>
  </si>
  <si>
    <t>Area Under Road</t>
  </si>
  <si>
    <t>Area Under R.G./Garden</t>
  </si>
  <si>
    <t>FSI / FAR Details</t>
  </si>
  <si>
    <t>Plot FSI / FAR</t>
  </si>
  <si>
    <t>Premium FSI / FAR</t>
  </si>
  <si>
    <t>Fungible FSI</t>
  </si>
  <si>
    <t>Addl .FSI Under any Other Regulation(1)</t>
  </si>
  <si>
    <t>Addl .FSI Under any Other Regulation(2)</t>
  </si>
  <si>
    <t>Total FSI/FAR</t>
  </si>
  <si>
    <t>Overall Remarks on Project Area &amp; FSI /FAR</t>
  </si>
  <si>
    <t>Total No. Of Units/Tenaments</t>
  </si>
  <si>
    <t>Total No. Of Parking</t>
  </si>
  <si>
    <t>Residential /Commercial Ratio</t>
  </si>
  <si>
    <t>Surrounding External Amenities</t>
  </si>
  <si>
    <t>Nearestr Bus Stop</t>
  </si>
  <si>
    <t>Nearest Bank</t>
  </si>
  <si>
    <t>Nearest Hospital</t>
  </si>
  <si>
    <t>Name Of The Premises/Description</t>
  </si>
  <si>
    <t>Approx. Distance From Property (In Kms)</t>
  </si>
  <si>
    <t>Nearest Multiplex / Mall/ Market</t>
  </si>
  <si>
    <t>Nearest School/ College</t>
  </si>
  <si>
    <t>Internal Project Specs - Comment On Availability &amp; Quality</t>
  </si>
  <si>
    <t>Structural Elements &amp; Wall Thickness</t>
  </si>
  <si>
    <t>Plaster &amp; Painting</t>
  </si>
  <si>
    <t>Electrification</t>
  </si>
  <si>
    <t>Plumbing &amp; Bath Fittings</t>
  </si>
  <si>
    <t>Door, Windows</t>
  </si>
  <si>
    <t>Availability (Y/N)</t>
  </si>
  <si>
    <t>Potable Water Connection</t>
  </si>
  <si>
    <t>Sewerage System</t>
  </si>
  <si>
    <t>Lift</t>
  </si>
  <si>
    <t>Power Backup</t>
  </si>
  <si>
    <t>Parking</t>
  </si>
  <si>
    <t>Clubhouse</t>
  </si>
  <si>
    <t>Gym</t>
  </si>
  <si>
    <t>Swimming Pool</t>
  </si>
  <si>
    <t>Garden</t>
  </si>
  <si>
    <t>Community Hall</t>
  </si>
  <si>
    <t>Any Additional Amenities, To Above, Pls Specify</t>
  </si>
  <si>
    <t>Technical Documents Details</t>
  </si>
  <si>
    <t>Document Name</t>
  </si>
  <si>
    <t>Approved Layout Plan</t>
  </si>
  <si>
    <t>Approved Floor Plan</t>
  </si>
  <si>
    <t>Construction  / Building Permission / Commencement Certificate</t>
  </si>
  <si>
    <t>Non Agricultural Permission / Land Conversion / Diversion</t>
  </si>
  <si>
    <t>Building Completion / Occupation Permission / Use Permission</t>
  </si>
  <si>
    <t>Location Sketch/ Certificate</t>
  </si>
  <si>
    <t>Authority Allotment Letter</t>
  </si>
  <si>
    <t>Ownership Doc 1</t>
  </si>
  <si>
    <t>Ownership Doc 2</t>
  </si>
  <si>
    <t>Remarks On Documents Verified</t>
  </si>
  <si>
    <t>Approving Authority Name</t>
  </si>
  <si>
    <t>Applicability &amp; Availability</t>
  </si>
  <si>
    <t>Approving Authority</t>
  </si>
  <si>
    <t>Details Of Approval</t>
  </si>
  <si>
    <t>Rera Details ( If Applicable)</t>
  </si>
  <si>
    <t>Rera Applicable</t>
  </si>
  <si>
    <t>Rera Registration No</t>
  </si>
  <si>
    <t>Project Start Date As Per Rera</t>
  </si>
  <si>
    <t>If Any Litigation Record On Project As Per Rera</t>
  </si>
  <si>
    <t>If Applicable, Rera Registration Status</t>
  </si>
  <si>
    <t>Project Completion Date As Per Rera</t>
  </si>
  <si>
    <t xml:space="preserve">Litigation Details As Per Rera Website </t>
  </si>
  <si>
    <t>Critical Parameters</t>
  </si>
  <si>
    <t>Flood Prone Area</t>
  </si>
  <si>
    <t>Coastal Regulatory Zone</t>
  </si>
  <si>
    <t>Falling In Present Or Proposed Road Widening</t>
  </si>
  <si>
    <t>Property Near High/Low Tension (Ht)/(Lt) Lines ?</t>
  </si>
  <si>
    <t>Presence Of Nallah/ Lake / Water Body Nearby</t>
  </si>
  <si>
    <t>Unit Deviation</t>
  </si>
  <si>
    <t>Seismic Zone</t>
  </si>
  <si>
    <t>Zoning As Per Development Plan</t>
  </si>
  <si>
    <t>Falling In Reservation As Per Development Plan</t>
  </si>
  <si>
    <t>Property Within 30 Mtrs From Railway Boundary ?</t>
  </si>
  <si>
    <t>Fsi Deviation</t>
  </si>
  <si>
    <t>Vertical Deviation</t>
  </si>
  <si>
    <t>Habitation In ( % ) Within 1 Kms Around Project</t>
  </si>
  <si>
    <t>Remarks In Case Project Affected By Any Of Critical Parameter</t>
  </si>
  <si>
    <t>Technical Deviations Observed In Project</t>
  </si>
  <si>
    <t>Demolition Risk</t>
  </si>
  <si>
    <t>Detail Of Deviation, If Any</t>
  </si>
  <si>
    <t>Total Phases</t>
  </si>
  <si>
    <t>Total No. Of Buildings</t>
  </si>
  <si>
    <t>Total No. Of Wings</t>
  </si>
  <si>
    <t>Total No. Of Approved Units (A)</t>
  </si>
  <si>
    <t>Total No. Of Unapproved Units (B)</t>
  </si>
  <si>
    <t>Total No. Of (A+B) Units</t>
  </si>
  <si>
    <t>Is The Project Technically Acceptable ?</t>
  </si>
  <si>
    <t>Is The Project Marketable ?</t>
  </si>
  <si>
    <t>Comment On Builder Group Involved In Project Development</t>
  </si>
  <si>
    <t>Overall Comments On Project Acceptability &amp; Marketablity</t>
  </si>
  <si>
    <t>FOUNDATION WIP</t>
  </si>
  <si>
    <t>PLINTH WIP</t>
  </si>
  <si>
    <t>YET TO START</t>
  </si>
  <si>
    <t>Sr.No.</t>
  </si>
  <si>
    <t>Base Rate Psf Rs.</t>
  </si>
  <si>
    <t>Floor Rise
(If Applicable)</t>
  </si>
  <si>
    <t>In Rs. Psf
(If Applicable)</t>
  </si>
  <si>
    <t>In Lumpsum Basis
(If Applicable)</t>
  </si>
  <si>
    <t>Applicable From Floor No.</t>
  </si>
  <si>
    <t>Applicable To Floor No.</t>
  </si>
  <si>
    <t>Applicable To Building /W ing</t>
  </si>
  <si>
    <t xml:space="preserve">Floor Rise 1 </t>
  </si>
  <si>
    <t>Floor Rise 2</t>
  </si>
  <si>
    <t>Floor Rise 3</t>
  </si>
  <si>
    <t>Floor Rise 4</t>
  </si>
  <si>
    <t>Plc Charges
(If Applicable)</t>
  </si>
  <si>
    <t>Details Of Plc/View</t>
  </si>
  <si>
    <t>List Of Unit Nos - Plc Applicable</t>
  </si>
  <si>
    <t>PLC Type 1</t>
  </si>
  <si>
    <t>PLC Type 2</t>
  </si>
  <si>
    <t>PLC Type 3</t>
  </si>
  <si>
    <t>Amenities Details</t>
  </si>
  <si>
    <t>Details Of Amenity Cost - Optional/Compulsory To Buyer, No Of Years, Etc</t>
  </si>
  <si>
    <t>Remarks, If Any</t>
  </si>
  <si>
    <t>Electricity &amp; Water Con.</t>
  </si>
  <si>
    <t>Infra</t>
  </si>
  <si>
    <t>Development</t>
  </si>
  <si>
    <t>Maintenance</t>
  </si>
  <si>
    <t>Any Other Amenity 1</t>
  </si>
  <si>
    <t>Any Other Amenity 2</t>
  </si>
  <si>
    <t>Any Other Amenity 3</t>
  </si>
  <si>
    <t>Maharashtra</t>
  </si>
  <si>
    <t>India</t>
  </si>
  <si>
    <t>500m</t>
  </si>
  <si>
    <t>Yes</t>
  </si>
  <si>
    <t>V.S Jadon &amp; Co.Valuers LLP</t>
  </si>
  <si>
    <t>Mr. Vishwajeet Singh Jadon</t>
  </si>
  <si>
    <t>vsjc.apf@gmail.com</t>
  </si>
  <si>
    <t>Mr. Sachin Sawant - 9820058999</t>
  </si>
  <si>
    <t>NA</t>
  </si>
  <si>
    <t>Taluka</t>
  </si>
  <si>
    <t>City</t>
  </si>
  <si>
    <t>Village</t>
  </si>
  <si>
    <t>As Per Layout Plan</t>
  </si>
  <si>
    <t>Same</t>
  </si>
  <si>
    <t>Location Link</t>
  </si>
  <si>
    <t>Good</t>
  </si>
  <si>
    <t>No</t>
  </si>
  <si>
    <t>Fire Noc &amp; Plans</t>
  </si>
  <si>
    <t>Environmental Clearance</t>
  </si>
  <si>
    <t>Coastal Regulatory Zonex ( Crz ) Noc</t>
  </si>
  <si>
    <t>Registered</t>
  </si>
  <si>
    <t>Zone III</t>
  </si>
  <si>
    <t>Not Appicable</t>
  </si>
  <si>
    <t>Approved no of Floors</t>
  </si>
  <si>
    <t>Proposed no of Floors</t>
  </si>
  <si>
    <t>Commercial Area Details : Shops</t>
  </si>
  <si>
    <t>2nd Floor</t>
  </si>
  <si>
    <t>Grand Total</t>
  </si>
  <si>
    <t>Residential Area Details : Flats</t>
  </si>
  <si>
    <r>
      <t xml:space="preserve">Flat No.
</t>
    </r>
    <r>
      <rPr>
        <b/>
        <sz val="9"/>
        <color rgb="FF000000"/>
        <rFont val="Garamond"/>
        <family val="1"/>
      </rPr>
      <t>(Approved Plan)</t>
    </r>
  </si>
  <si>
    <t>Building /Wing - Name /No</t>
  </si>
  <si>
    <t xml:space="preserve">Base Rate Considered On Area - 
Carpet/ Bua/ Saleale </t>
  </si>
  <si>
    <t>Saleable Area</t>
  </si>
  <si>
    <t>We have considered rate by verifying it from market inquire.</t>
  </si>
  <si>
    <t>Car parking is subjected to authentic documentation.</t>
  </si>
  <si>
    <t>Recommended rate should be considered as all inclusive rate if other charges are not mentioned. (Excluding GST &amp; other government Taxes)</t>
  </si>
  <si>
    <t>Documents received on:</t>
  </si>
  <si>
    <t>Yes &amp; 0.15m</t>
  </si>
  <si>
    <t>Excavation in Process</t>
  </si>
  <si>
    <t>Foundation in Process</t>
  </si>
  <si>
    <t xml:space="preserve">Labours &amp; Materials were found on site at the time of visit. </t>
  </si>
  <si>
    <t>Saleable area Loading :</t>
  </si>
  <si>
    <t>Office No. 1031, Wing J, Akshar Business Park, Plot No. 03 Sector 25, Near APMC Market, Vashi, Navi Mumbai, Maharashtra 400703 TEL: 022-46090378/79/80</t>
  </si>
  <si>
    <t>Project Location details</t>
  </si>
  <si>
    <t>Locality</t>
  </si>
  <si>
    <t>As the project is redevelopement project but rehab statement or rehab flats is not mentioned approved layout plan &amp; floor plan</t>
  </si>
  <si>
    <t>Res+Comm=total</t>
  </si>
  <si>
    <t>total/res : total:com</t>
  </si>
  <si>
    <t>Airoli</t>
  </si>
  <si>
    <t>Mr. Abhishek Manjrekar</t>
  </si>
  <si>
    <t>L&amp;T Avenue Realty LLP</t>
  </si>
  <si>
    <t>Ghatkopar</t>
  </si>
  <si>
    <t>19.0724006,72.911223</t>
  </si>
  <si>
    <t>https://maps.app.goo.gl/k9qperW1ccCg4jvH8</t>
  </si>
  <si>
    <t>Kamraj Nagar</t>
  </si>
  <si>
    <t>Ghatkopar East</t>
  </si>
  <si>
    <t>Eastern Express Highway</t>
  </si>
  <si>
    <t>Kurla</t>
  </si>
  <si>
    <t>Mumbai</t>
  </si>
  <si>
    <t>Solstice</t>
  </si>
  <si>
    <t>RBL Bank Ltd - Ghatkopar East, Mumbai Branch</t>
  </si>
  <si>
    <t>2.2Km</t>
  </si>
  <si>
    <t>Rising City Project</t>
  </si>
  <si>
    <t>SRA project being  developed by Neelam Realtoe</t>
  </si>
  <si>
    <t>Rajput House</t>
  </si>
  <si>
    <t>Slum Rehabilitation Authority (SRA)</t>
  </si>
  <si>
    <t>Net Plot Area</t>
  </si>
  <si>
    <t>*</t>
  </si>
  <si>
    <t>Building No 13 Wing C &amp; D</t>
  </si>
  <si>
    <t>Centrona Nova A &amp; B Buidling No. 13 Wing C &amp; D</t>
  </si>
  <si>
    <t>12.00M. Wide Road/Buidling No. 01 &amp; 02</t>
  </si>
  <si>
    <t>18.30M. Wide Road</t>
  </si>
  <si>
    <t>Sale Building No. 12(Wing A &amp; B ) &amp; 13 (Wing A &amp; B)/9.00 M. Internal Road</t>
  </si>
  <si>
    <t>Slum/Building</t>
  </si>
  <si>
    <t>Slum/Kamraj Nagar Road</t>
  </si>
  <si>
    <t>Under Construction Road/Slum</t>
  </si>
  <si>
    <t>Ar. Vishwas Satodia</t>
  </si>
  <si>
    <t>Residential Built Up Area For Building No. 13</t>
  </si>
  <si>
    <t>Commercial Built Up AreaFor Building No. 13</t>
  </si>
  <si>
    <t>Total Built Up Area For Building No. 13</t>
  </si>
  <si>
    <t>Area Under Reservation of Fuel Station, Garden, Fire station, Municipal Office, RTO Office, Bus Facilities</t>
  </si>
  <si>
    <t>-</t>
  </si>
  <si>
    <t>Car = 358</t>
  </si>
  <si>
    <t>Rto Kamraj Nagar</t>
  </si>
  <si>
    <t>79m</t>
  </si>
  <si>
    <t>The Maharashtra State Co-Op.Bank Ltd</t>
  </si>
  <si>
    <t>750m</t>
  </si>
  <si>
    <t>PVG Vidya Bhawan School</t>
  </si>
  <si>
    <t>850m</t>
  </si>
  <si>
    <t>Dr.Chauhan's Sanjeevani Hospital</t>
  </si>
  <si>
    <t>R Odeon Mall</t>
  </si>
  <si>
    <t>1.7Km</t>
  </si>
  <si>
    <t>Kids Playground, Box Cricket, Indoor Games, Reflexology Path, Jogging Track, Senior Citizen Area, Salon/Spa, Creche, Swing Plaza, etc.</t>
  </si>
  <si>
    <t>Applicable and Received</t>
  </si>
  <si>
    <t>SRA</t>
  </si>
  <si>
    <t>SRA/ENG/3838/N/STGL/AP
Date : 13/07/2023</t>
  </si>
  <si>
    <t>Valid Upto: This C.C. is re-endorsed as per approved amended plans dated 13/07/2023 of sale building No. 3</t>
  </si>
  <si>
    <t>Not Applicable</t>
  </si>
  <si>
    <t>SEIAA</t>
  </si>
  <si>
    <t>SEIAA-EC-0000001455
Date : 20/04/2019
Valid For : CTS No. 194(Pt)
Plot Area: 70554.42 Sq. Mt.
Total Builtup Area : 421012.11 Sq. Mt.</t>
  </si>
  <si>
    <t>R. K. Jha &amp; Associates
(Adv. High Court &amp; Legel Consultants)</t>
  </si>
  <si>
    <t>Provide Fire NOC</t>
  </si>
  <si>
    <t>Centrona Nova A = P51800005456
Centrona Nova B = P51800004566</t>
  </si>
  <si>
    <t>Nova A = 11/08/2017,
Nova B = 09/08/2017</t>
  </si>
  <si>
    <t>Nova A &amp; B = 30/06/2027</t>
  </si>
  <si>
    <t>https://www.india-sales-office.com/Projects/LnT-Realty/LnT-77Crossroads-Mumbai/?keyword=l%26t%20centrona%20ghatkopar&amp;matchtype=p&amp;adposition=&amp;device=c&amp;gad_source=1&amp;gclid=CjwKCAiAtt2tBhBDEiwALZuhAEPdB4RQPpNDhkLuG1YxDP12F4C4j8iK3Y3QjUk0QkTtNFNxAsAoYhoCNnoQAvD_BwE</t>
  </si>
  <si>
    <t>Building No. 13 Wing C &amp; D = 3B + Gr + 1st to 26th Floor</t>
  </si>
  <si>
    <t>Building No. 13 Wing D = 3B + Gr + 1st to 26th Floor</t>
  </si>
  <si>
    <t>Building No. 13</t>
  </si>
  <si>
    <t>Shop</t>
  </si>
  <si>
    <t>Ground Floor For Commercial, Entrance Lobby, Society Office, 
Fitness Centre, Creche, Salon, Spa, Meter Room.</t>
  </si>
  <si>
    <t>Lower Basement Floor For Parking</t>
  </si>
  <si>
    <t>Middle Basement Floor For Parking</t>
  </si>
  <si>
    <t>Upper Basement Floor For Parking</t>
  </si>
  <si>
    <t>1st Floor For Residential</t>
  </si>
  <si>
    <t>2BHK</t>
  </si>
  <si>
    <t>1BHK</t>
  </si>
  <si>
    <t>2nd Floor For Residential</t>
  </si>
  <si>
    <t>3rd, 4th, 6th, 7th, 10th to 12th, 14th, 16th, 18th to 20th, 23rd, 24th &amp; 26th Floor</t>
  </si>
  <si>
    <t>5th, 9th, 13th, 17th, 21st &amp; 25th Floor</t>
  </si>
  <si>
    <t>8th &amp; 15th Floor (Part Refuge Area)</t>
  </si>
  <si>
    <t>Refuge Area</t>
  </si>
  <si>
    <t>22nd Floor (Part Refuge Area)</t>
  </si>
  <si>
    <t>Flats = 454, 
Shops = 21</t>
  </si>
  <si>
    <t>95:05</t>
  </si>
  <si>
    <t>Old CTS No.</t>
  </si>
  <si>
    <t>194(PT), New CTS No. 194A(PT) &amp; 194B(PT), Redevelopment Of ''Sant Namdeo Co-Opreative Housing Society &amp; Juni Ramabai Co-Operative Housing Society"</t>
  </si>
  <si>
    <t>We considered Gross carpet area = Net carpet + Balcony</t>
  </si>
  <si>
    <t>On Site, we meet Mr. Manan (CRM) - 7666646404.</t>
  </si>
  <si>
    <t>Project Name is approved by SRA. Surrounded by Solstice, Sheetalnath Tower. School, Bus Stop, Hospital, Eastern Express Highway are within 800m from project.</t>
  </si>
  <si>
    <t>Building No. 13 Wing C &amp; D = 3B + Gr + 1st to 27th Floor</t>
  </si>
  <si>
    <t>Building Name</t>
  </si>
  <si>
    <t>Refrence</t>
  </si>
  <si>
    <t>As per approved plan</t>
  </si>
  <si>
    <t>As per RERA</t>
  </si>
  <si>
    <t xml:space="preserve">Centrona Nova A (Orchid C)
Centrona Nova B (Orchid D) </t>
  </si>
  <si>
    <t>Centrona Nova A (Buidling No. 13 Wing C)
Centrona Nova B (Buidling No. 13 Wing D )</t>
  </si>
  <si>
    <t>Crescent Bay, Avinya Enclave, Elixir Reserve, Emerald Isle, West Square, L&amp;T Bussiness Park, etc.</t>
  </si>
  <si>
    <t>Wing C + Wing D</t>
  </si>
  <si>
    <t>Buidling No. 13 Wing C &amp; D</t>
  </si>
  <si>
    <t>Society Formation Charges</t>
  </si>
  <si>
    <t>MCGM
MFB</t>
  </si>
  <si>
    <t>FB/HRC/R VI/10
Date : 20/09/2017
Valid For : Building No. 13 Wing C &amp; D = 3B + Gr + 1st to 27th Floor</t>
  </si>
  <si>
    <t xml:space="preserve">Wing C </t>
  </si>
  <si>
    <t xml:space="preserve">Wing D </t>
  </si>
  <si>
    <t>Wing C  + Wing D</t>
  </si>
  <si>
    <t>Wing C</t>
  </si>
  <si>
    <t>Wing D</t>
  </si>
  <si>
    <t>Kunal Kadam</t>
  </si>
  <si>
    <t>Construction work same as last visit dtd 19/12/2024, But work is in process (Very Slow Speed).</t>
  </si>
  <si>
    <t>Mr. Akash Kadam</t>
  </si>
  <si>
    <t>Centrona Nova A &amp; B 
(Buidling No. 13 Wing C &amp;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</si>
</sst>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0000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Book Antiqua"/>
      <family val="1"/>
    </font>
    <font>
      <sz val="9"/>
      <color rgb="FF000000"/>
      <name val="Garamond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Garamond"/>
      <family val="1"/>
    </font>
    <font>
      <b/>
      <sz val="9"/>
      <color theme="1"/>
      <name val="Garamond"/>
      <family val="1"/>
    </font>
    <font>
      <b/>
      <sz val="9"/>
      <color indexed="8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rgb="FF000000"/>
      <name val="Garamond"/>
      <family val="1"/>
    </font>
    <font>
      <b/>
      <sz val="11"/>
      <color rgb="FF000000"/>
      <name val="Garamond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sz val="11"/>
      <color indexed="8"/>
      <name val="Garamond"/>
      <family val="1"/>
    </font>
    <font>
      <b/>
      <sz val="11"/>
      <color indexed="8"/>
      <name val="Garamond"/>
      <family val="1"/>
    </font>
    <font>
      <sz val="11"/>
      <name val="Garamond"/>
      <family val="1"/>
    </font>
    <font>
      <b/>
      <sz val="9"/>
      <name val="Garamond"/>
      <family val="1"/>
    </font>
    <font>
      <b/>
      <sz val="11"/>
      <name val="Garamond"/>
      <family val="1"/>
    </font>
    <font>
      <sz val="9"/>
      <name val="Garamond"/>
      <family val="1"/>
    </font>
    <font>
      <sz val="10"/>
      <name val="Garamond"/>
      <family val="1"/>
    </font>
    <font>
      <sz val="11"/>
      <name val="Calibri"/>
      <family val="2"/>
      <scheme val="minor"/>
    </font>
    <font>
      <b/>
      <sz val="10"/>
      <name val="Garamond"/>
      <family val="1"/>
    </font>
    <font>
      <sz val="10"/>
      <name val="Times New Roman"/>
      <family val="1"/>
    </font>
    <font>
      <b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0" fontId="1" fillId="0" borderId="0"/>
    <xf numFmtId="0" fontId="14" fillId="0" borderId="0"/>
    <xf numFmtId="0" fontId="2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10">
    <xf numFmtId="0" fontId="0" fillId="0" borderId="0" xfId="0"/>
    <xf numFmtId="0" fontId="6" fillId="0" borderId="0" xfId="0" applyFont="1"/>
    <xf numFmtId="0" fontId="6" fillId="0" borderId="13" xfId="2" applyFont="1" applyBorder="1" applyProtection="1">
      <protection hidden="1"/>
    </xf>
    <xf numFmtId="0" fontId="6" fillId="0" borderId="14" xfId="2" applyFont="1" applyBorder="1" applyProtection="1">
      <protection hidden="1"/>
    </xf>
    <xf numFmtId="0" fontId="6" fillId="0" borderId="0" xfId="2" applyFont="1" applyProtection="1">
      <protection hidden="1"/>
    </xf>
    <xf numFmtId="0" fontId="6" fillId="0" borderId="1" xfId="2" applyFont="1" applyBorder="1" applyProtection="1">
      <protection hidden="1"/>
    </xf>
    <xf numFmtId="0" fontId="7" fillId="0" borderId="0" xfId="0" applyFont="1" applyProtection="1">
      <protection hidden="1"/>
    </xf>
    <xf numFmtId="0" fontId="6" fillId="0" borderId="1" xfId="2" applyFont="1" applyBorder="1"/>
    <xf numFmtId="0" fontId="7" fillId="0" borderId="1" xfId="0" applyFont="1" applyBorder="1" applyProtection="1">
      <protection hidden="1"/>
    </xf>
    <xf numFmtId="1" fontId="6" fillId="0" borderId="1" xfId="0" applyNumberFormat="1" applyFont="1" applyBorder="1"/>
    <xf numFmtId="1" fontId="6" fillId="0" borderId="1" xfId="0" applyNumberFormat="1" applyFont="1" applyBorder="1" applyAlignment="1">
      <alignment horizontal="right"/>
    </xf>
    <xf numFmtId="0" fontId="7" fillId="0" borderId="18" xfId="0" applyFont="1" applyBorder="1" applyProtection="1">
      <protection hidden="1"/>
    </xf>
    <xf numFmtId="1" fontId="6" fillId="0" borderId="17" xfId="0" applyNumberFormat="1" applyFont="1" applyBorder="1"/>
    <xf numFmtId="0" fontId="9" fillId="0" borderId="13" xfId="2" applyFont="1" applyBorder="1" applyProtection="1">
      <protection hidden="1"/>
    </xf>
    <xf numFmtId="0" fontId="9" fillId="0" borderId="14" xfId="2" applyFont="1" applyBorder="1" applyProtection="1">
      <protection hidden="1"/>
    </xf>
    <xf numFmtId="0" fontId="9" fillId="0" borderId="4" xfId="2" applyFont="1" applyBorder="1" applyAlignment="1" applyProtection="1">
      <alignment horizontal="center" vertical="top"/>
      <protection locked="0"/>
    </xf>
    <xf numFmtId="0" fontId="9" fillId="0" borderId="5" xfId="2" applyFont="1" applyBorder="1" applyAlignment="1" applyProtection="1">
      <alignment horizontal="center" vertical="top"/>
      <protection locked="0"/>
    </xf>
    <xf numFmtId="0" fontId="9" fillId="0" borderId="0" xfId="2" applyFont="1" applyProtection="1">
      <protection hidden="1"/>
    </xf>
    <xf numFmtId="0" fontId="9" fillId="0" borderId="1" xfId="2" applyFont="1" applyBorder="1" applyProtection="1">
      <protection hidden="1"/>
    </xf>
    <xf numFmtId="0" fontId="9" fillId="0" borderId="5" xfId="2" applyFont="1" applyBorder="1" applyAlignment="1" applyProtection="1">
      <alignment horizontal="center" vertical="top" wrapText="1"/>
      <protection locked="0"/>
    </xf>
    <xf numFmtId="0" fontId="10" fillId="0" borderId="0" xfId="0" applyFont="1" applyProtection="1">
      <protection hidden="1"/>
    </xf>
    <xf numFmtId="0" fontId="9" fillId="0" borderId="1" xfId="2" applyFont="1" applyBorder="1"/>
    <xf numFmtId="0" fontId="9" fillId="0" borderId="5" xfId="2" applyFont="1" applyBorder="1" applyAlignment="1" applyProtection="1">
      <alignment horizontal="center" wrapText="1"/>
      <protection locked="0"/>
    </xf>
    <xf numFmtId="9" fontId="9" fillId="3" borderId="5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Protection="1">
      <protection hidden="1"/>
    </xf>
    <xf numFmtId="1" fontId="9" fillId="0" borderId="5" xfId="2" applyNumberFormat="1" applyFont="1" applyBorder="1" applyAlignment="1" applyProtection="1">
      <alignment horizontal="center" wrapText="1"/>
      <protection locked="0"/>
    </xf>
    <xf numFmtId="1" fontId="11" fillId="0" borderId="1" xfId="0" applyNumberFormat="1" applyFont="1" applyBorder="1"/>
    <xf numFmtId="1" fontId="11" fillId="0" borderId="1" xfId="0" applyNumberFormat="1" applyFont="1" applyBorder="1" applyAlignment="1">
      <alignment horizontal="right"/>
    </xf>
    <xf numFmtId="0" fontId="9" fillId="0" borderId="16" xfId="2" applyFont="1" applyBorder="1" applyAlignment="1" applyProtection="1">
      <alignment horizontal="center" wrapText="1"/>
      <protection locked="0"/>
    </xf>
    <xf numFmtId="9" fontId="9" fillId="3" borderId="16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18" xfId="0" applyFont="1" applyBorder="1" applyProtection="1">
      <protection hidden="1"/>
    </xf>
    <xf numFmtId="1" fontId="11" fillId="0" borderId="17" xfId="0" applyNumberFormat="1" applyFont="1" applyBorder="1"/>
    <xf numFmtId="0" fontId="9" fillId="0" borderId="8" xfId="2" applyFont="1" applyBorder="1" applyAlignment="1" applyProtection="1">
      <alignment vertical="top"/>
      <protection locked="0"/>
    </xf>
    <xf numFmtId="0" fontId="9" fillId="0" borderId="3" xfId="2" applyFont="1" applyBorder="1" applyAlignment="1" applyProtection="1">
      <alignment vertical="top"/>
      <protection locked="0"/>
    </xf>
    <xf numFmtId="0" fontId="9" fillId="0" borderId="2" xfId="2" applyFont="1" applyBorder="1" applyAlignment="1" applyProtection="1">
      <alignment vertical="top"/>
      <protection locked="0"/>
    </xf>
    <xf numFmtId="0" fontId="9" fillId="0" borderId="0" xfId="0" applyFont="1" applyAlignment="1">
      <alignment horizontal="center" vertical="center"/>
    </xf>
    <xf numFmtId="0" fontId="13" fillId="0" borderId="0" xfId="3" applyFont="1"/>
    <xf numFmtId="0" fontId="9" fillId="0" borderId="0" xfId="2" applyFont="1"/>
    <xf numFmtId="0" fontId="9" fillId="0" borderId="0" xfId="2" applyFont="1" applyAlignment="1">
      <alignment horizontal="center" vertical="center"/>
    </xf>
    <xf numFmtId="1" fontId="9" fillId="0" borderId="0" xfId="2" applyNumberFormat="1" applyFont="1" applyAlignment="1">
      <alignment horizontal="center" vertical="center"/>
    </xf>
    <xf numFmtId="1" fontId="12" fillId="0" borderId="0" xfId="0" applyNumberFormat="1" applyFont="1" applyAlignment="1" applyProtection="1">
      <alignment vertical="center" wrapText="1"/>
      <protection locked="0"/>
    </xf>
    <xf numFmtId="0" fontId="12" fillId="0" borderId="0" xfId="2" applyFont="1" applyAlignment="1" applyProtection="1">
      <alignment vertical="top"/>
      <protection locked="0"/>
    </xf>
    <xf numFmtId="1" fontId="12" fillId="0" borderId="0" xfId="2" applyNumberFormat="1" applyFont="1" applyAlignment="1" applyProtection="1">
      <alignment vertical="center" wrapText="1"/>
      <protection locked="0"/>
    </xf>
    <xf numFmtId="0" fontId="15" fillId="0" borderId="0" xfId="0" applyFont="1"/>
    <xf numFmtId="0" fontId="5" fillId="2" borderId="5" xfId="1" applyFont="1" applyFill="1" applyBorder="1" applyAlignment="1" applyProtection="1">
      <alignment vertical="center" wrapText="1"/>
      <protection locked="0"/>
    </xf>
    <xf numFmtId="0" fontId="2" fillId="4" borderId="5" xfId="0" applyFont="1" applyFill="1" applyBorder="1" applyAlignment="1">
      <alignment horizontal="left" vertical="top" wrapText="1"/>
    </xf>
    <xf numFmtId="0" fontId="2" fillId="4" borderId="5" xfId="1" applyFont="1" applyFill="1" applyBorder="1" applyAlignment="1">
      <alignment vertical="center" wrapText="1"/>
    </xf>
    <xf numFmtId="1" fontId="1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0" fontId="21" fillId="4" borderId="5" xfId="0" applyFont="1" applyFill="1" applyBorder="1" applyAlignment="1">
      <alignment horizontal="left" vertical="top" wrapText="1"/>
    </xf>
    <xf numFmtId="0" fontId="22" fillId="4" borderId="5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hidden="1"/>
    </xf>
    <xf numFmtId="1" fontId="6" fillId="0" borderId="0" xfId="0" applyNumberFormat="1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" fontId="19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2" borderId="5" xfId="1" applyNumberFormat="1" applyFont="1" applyFill="1" applyBorder="1" applyAlignment="1" applyProtection="1">
      <alignment vertical="center" wrapText="1"/>
      <protection locked="0"/>
    </xf>
    <xf numFmtId="0" fontId="2" fillId="4" borderId="5" xfId="0" applyFont="1" applyFill="1" applyBorder="1" applyAlignment="1">
      <alignment horizontal="left" vertical="center" wrapText="1"/>
    </xf>
    <xf numFmtId="0" fontId="3" fillId="4" borderId="11" xfId="2" applyFont="1" applyFill="1" applyBorder="1" applyAlignment="1" applyProtection="1">
      <alignment horizontal="center" vertical="center"/>
      <protection locked="0"/>
    </xf>
    <xf numFmtId="0" fontId="3" fillId="4" borderId="12" xfId="2" applyFont="1" applyFill="1" applyBorder="1" applyAlignment="1" applyProtection="1">
      <alignment horizontal="center" vertical="center"/>
      <protection locked="0"/>
    </xf>
    <xf numFmtId="0" fontId="3" fillId="4" borderId="5" xfId="2" applyFont="1" applyFill="1" applyBorder="1" applyAlignment="1" applyProtection="1">
      <alignment horizontal="center" vertical="center"/>
      <protection locked="0"/>
    </xf>
    <xf numFmtId="0" fontId="3" fillId="4" borderId="6" xfId="2" applyFont="1" applyFill="1" applyBorder="1" applyAlignment="1" applyProtection="1">
      <alignment horizontal="center" vertical="center"/>
      <protection locked="0"/>
    </xf>
    <xf numFmtId="0" fontId="3" fillId="4" borderId="4" xfId="2" applyFont="1" applyFill="1" applyBorder="1" applyAlignment="1" applyProtection="1">
      <alignment horizontal="left" vertical="top" wrapText="1"/>
      <protection locked="0"/>
    </xf>
    <xf numFmtId="0" fontId="3" fillId="4" borderId="5" xfId="0" applyFont="1" applyFill="1" applyBorder="1" applyAlignment="1">
      <alignment horizontal="center"/>
    </xf>
    <xf numFmtId="0" fontId="3" fillId="4" borderId="5" xfId="2" applyFont="1" applyFill="1" applyBorder="1" applyAlignment="1" applyProtection="1">
      <alignment horizontal="center" vertical="top" wrapText="1"/>
      <protection locked="0"/>
    </xf>
    <xf numFmtId="9" fontId="3" fillId="4" borderId="5" xfId="0" applyNumberFormat="1" applyFont="1" applyFill="1" applyBorder="1" applyAlignment="1">
      <alignment horizontal="center" vertical="center"/>
    </xf>
    <xf numFmtId="0" fontId="3" fillId="4" borderId="5" xfId="2" applyFont="1" applyFill="1" applyBorder="1" applyAlignment="1" applyProtection="1">
      <alignment horizontal="center" wrapText="1"/>
      <protection locked="0"/>
    </xf>
    <xf numFmtId="9" fontId="3" fillId="4" borderId="5" xfId="2" applyNumberFormat="1" applyFont="1" applyFill="1" applyBorder="1" applyAlignment="1" applyProtection="1">
      <alignment horizontal="center" vertical="center" wrapText="1"/>
      <protection hidden="1"/>
    </xf>
    <xf numFmtId="1" fontId="3" fillId="4" borderId="5" xfId="2" applyNumberFormat="1" applyFont="1" applyFill="1" applyBorder="1" applyAlignment="1" applyProtection="1">
      <alignment horizontal="center" wrapText="1"/>
      <protection locked="0"/>
    </xf>
    <xf numFmtId="1" fontId="27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27" fillId="0" borderId="5" xfId="0" applyNumberFormat="1" applyFont="1" applyBorder="1" applyAlignment="1" applyProtection="1">
      <alignment horizontal="center" vertical="center" wrapText="1"/>
      <protection locked="0"/>
    </xf>
    <xf numFmtId="1" fontId="28" fillId="4" borderId="15" xfId="0" applyNumberFormat="1" applyFont="1" applyFill="1" applyBorder="1" applyAlignment="1" applyProtection="1">
      <alignment horizontal="center" vertical="center" wrapText="1"/>
      <protection locked="0"/>
    </xf>
    <xf numFmtId="1" fontId="28" fillId="0" borderId="16" xfId="0" applyNumberFormat="1" applyFont="1" applyBorder="1" applyAlignment="1" applyProtection="1">
      <alignment horizontal="center" vertical="center" wrapText="1"/>
      <protection locked="0"/>
    </xf>
    <xf numFmtId="0" fontId="21" fillId="4" borderId="5" xfId="0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0" fillId="4" borderId="5" xfId="0" applyFont="1" applyFill="1" applyBorder="1" applyAlignment="1">
      <alignment horizontal="left" vertical="top" wrapText="1"/>
    </xf>
    <xf numFmtId="0" fontId="30" fillId="4" borderId="5" xfId="0" applyFont="1" applyFill="1" applyBorder="1" applyAlignment="1">
      <alignment horizontal="center" vertical="center" wrapText="1"/>
    </xf>
    <xf numFmtId="1" fontId="3" fillId="4" borderId="5" xfId="2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3" fillId="0" borderId="0" xfId="0" applyFont="1"/>
    <xf numFmtId="0" fontId="31" fillId="4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29" fillId="0" borderId="5" xfId="0" applyFont="1" applyBorder="1" applyAlignment="1">
      <alignment horizontal="center" vertical="center"/>
    </xf>
    <xf numFmtId="1" fontId="28" fillId="0" borderId="5" xfId="0" applyNumberFormat="1" applyFont="1" applyBorder="1" applyAlignment="1" applyProtection="1">
      <alignment horizontal="center" vertical="center" wrapText="1"/>
      <protection locked="0"/>
    </xf>
    <xf numFmtId="1" fontId="19" fillId="0" borderId="5" xfId="2" applyNumberFormat="1" applyFont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 vertical="top" wrapText="1"/>
    </xf>
    <xf numFmtId="0" fontId="26" fillId="4" borderId="4" xfId="0" applyFont="1" applyFill="1" applyBorder="1" applyAlignment="1">
      <alignment horizontal="left" vertical="top"/>
    </xf>
    <xf numFmtId="0" fontId="3" fillId="4" borderId="15" xfId="2" applyFont="1" applyFill="1" applyBorder="1" applyAlignment="1" applyProtection="1">
      <alignment horizontal="left" vertical="top" wrapText="1"/>
      <protection locked="0"/>
    </xf>
    <xf numFmtId="9" fontId="3" fillId="4" borderId="16" xfId="0" applyNumberFormat="1" applyFont="1" applyFill="1" applyBorder="1" applyAlignment="1">
      <alignment horizontal="center" vertical="center"/>
    </xf>
    <xf numFmtId="0" fontId="3" fillId="4" borderId="16" xfId="2" applyFont="1" applyFill="1" applyBorder="1" applyAlignment="1" applyProtection="1">
      <alignment horizontal="center" wrapText="1"/>
      <protection locked="0"/>
    </xf>
    <xf numFmtId="9" fontId="3" fillId="4" borderId="16" xfId="2" applyNumberFormat="1" applyFont="1" applyFill="1" applyBorder="1" applyAlignment="1" applyProtection="1">
      <alignment horizontal="center" vertical="center" wrapText="1"/>
      <protection hidden="1"/>
    </xf>
    <xf numFmtId="1" fontId="28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1" fillId="4" borderId="6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1" fontId="27" fillId="0" borderId="5" xfId="2" applyNumberFormat="1" applyFont="1" applyBorder="1" applyAlignment="1" applyProtection="1">
      <alignment horizontal="center" vertical="center" wrapText="1"/>
      <protection locked="0"/>
    </xf>
    <xf numFmtId="1" fontId="3" fillId="0" borderId="5" xfId="2" applyNumberFormat="1" applyFont="1" applyBorder="1" applyAlignment="1">
      <alignment horizontal="center" vertical="center"/>
    </xf>
    <xf numFmtId="14" fontId="32" fillId="2" borderId="5" xfId="1" applyNumberFormat="1" applyFont="1" applyFill="1" applyBorder="1" applyAlignment="1" applyProtection="1">
      <alignment horizontal="left" vertical="center" wrapText="1"/>
      <protection locked="0"/>
    </xf>
    <xf numFmtId="14" fontId="32" fillId="2" borderId="5" xfId="1" applyNumberFormat="1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64" fontId="0" fillId="0" borderId="0" xfId="0" applyNumberFormat="1"/>
    <xf numFmtId="0" fontId="29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left" vertical="top"/>
    </xf>
    <xf numFmtId="0" fontId="20" fillId="0" borderId="0" xfId="4" applyFill="1" applyBorder="1"/>
    <xf numFmtId="1" fontId="13" fillId="0" borderId="0" xfId="2" applyNumberFormat="1" applyFont="1" applyAlignment="1" applyProtection="1">
      <alignment vertical="center" wrapText="1"/>
      <protection locked="0"/>
    </xf>
    <xf numFmtId="1" fontId="13" fillId="0" borderId="25" xfId="2" applyNumberFormat="1" applyFont="1" applyBorder="1" applyAlignment="1" applyProtection="1">
      <alignment vertical="center" wrapText="1"/>
      <protection locked="0"/>
    </xf>
    <xf numFmtId="9" fontId="30" fillId="0" borderId="7" xfId="2" applyNumberFormat="1" applyFont="1" applyBorder="1" applyAlignment="1" applyProtection="1">
      <alignment horizontal="center" vertical="center" wrapText="1"/>
      <protection locked="0"/>
    </xf>
    <xf numFmtId="9" fontId="31" fillId="0" borderId="7" xfId="5" applyFont="1" applyFill="1" applyBorder="1" applyAlignment="1" applyProtection="1">
      <alignment horizontal="center" vertical="top" wrapText="1"/>
      <protection locked="0"/>
    </xf>
    <xf numFmtId="165" fontId="0" fillId="0" borderId="0" xfId="0" applyNumberFormat="1"/>
    <xf numFmtId="2" fontId="0" fillId="0" borderId="0" xfId="0" applyNumberFormat="1"/>
    <xf numFmtId="0" fontId="36" fillId="4" borderId="5" xfId="0" applyFont="1" applyFill="1" applyBorder="1" applyAlignment="1">
      <alignment horizontal="center" vertical="center" wrapText="1"/>
    </xf>
    <xf numFmtId="14" fontId="5" fillId="2" borderId="5" xfId="1" applyNumberFormat="1" applyFont="1" applyFill="1" applyBorder="1" applyAlignment="1" applyProtection="1">
      <alignment horizontal="left" vertical="center" wrapText="1"/>
      <protection locked="0"/>
    </xf>
    <xf numFmtId="0" fontId="18" fillId="4" borderId="4" xfId="0" applyFont="1" applyFill="1" applyBorder="1" applyAlignment="1">
      <alignment horizontal="center" vertical="center" wrapText="1"/>
    </xf>
    <xf numFmtId="1" fontId="19" fillId="0" borderId="35" xfId="2" applyNumberFormat="1" applyFont="1" applyBorder="1" applyAlignment="1" applyProtection="1">
      <alignment horizontal="center" vertical="center" wrapText="1"/>
      <protection locked="0"/>
    </xf>
    <xf numFmtId="1" fontId="13" fillId="0" borderId="5" xfId="2" applyNumberFormat="1" applyFont="1" applyBorder="1" applyAlignment="1" applyProtection="1">
      <alignment vertical="center" wrapText="1"/>
      <protection locked="0"/>
    </xf>
    <xf numFmtId="0" fontId="21" fillId="4" borderId="5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1" fontId="27" fillId="0" borderId="27" xfId="2" applyNumberFormat="1" applyFont="1" applyBorder="1" applyAlignment="1" applyProtection="1">
      <alignment horizontal="center" vertical="center" wrapText="1"/>
      <protection locked="0"/>
    </xf>
    <xf numFmtId="1" fontId="27" fillId="0" borderId="28" xfId="2" applyNumberFormat="1" applyFont="1" applyBorder="1" applyAlignment="1" applyProtection="1">
      <alignment horizontal="center" vertical="center" wrapText="1"/>
      <protection locked="0"/>
    </xf>
    <xf numFmtId="1" fontId="27" fillId="0" borderId="29" xfId="2" applyNumberFormat="1" applyFont="1" applyBorder="1" applyAlignment="1" applyProtection="1">
      <alignment horizontal="center" vertical="center" wrapText="1"/>
      <protection locked="0"/>
    </xf>
    <xf numFmtId="1" fontId="27" fillId="0" borderId="30" xfId="2" applyNumberFormat="1" applyFont="1" applyBorder="1" applyAlignment="1" applyProtection="1">
      <alignment horizontal="center" vertical="center" wrapText="1"/>
      <protection locked="0"/>
    </xf>
    <xf numFmtId="1" fontId="27" fillId="0" borderId="31" xfId="2" applyNumberFormat="1" applyFont="1" applyBorder="1" applyAlignment="1" applyProtection="1">
      <alignment horizontal="center" vertical="center" wrapText="1"/>
      <protection locked="0"/>
    </xf>
    <xf numFmtId="1" fontId="27" fillId="0" borderId="32" xfId="2" applyNumberFormat="1" applyFont="1" applyBorder="1" applyAlignment="1" applyProtection="1">
      <alignment horizontal="center" vertical="center" wrapText="1"/>
      <protection locked="0"/>
    </xf>
    <xf numFmtId="1" fontId="28" fillId="0" borderId="5" xfId="2" applyNumberFormat="1" applyFont="1" applyBorder="1" applyAlignment="1" applyProtection="1">
      <alignment horizontal="center" vertical="center" wrapText="1"/>
      <protection locked="0"/>
    </xf>
    <xf numFmtId="0" fontId="9" fillId="0" borderId="0" xfId="2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5" fillId="3" borderId="5" xfId="0" applyFont="1" applyFill="1" applyBorder="1" applyAlignment="1">
      <alignment horizontal="left" vertical="top" wrapText="1"/>
    </xf>
    <xf numFmtId="0" fontId="29" fillId="0" borderId="5" xfId="0" applyFont="1" applyBorder="1" applyAlignment="1">
      <alignment horizontal="center" vertical="top"/>
    </xf>
    <xf numFmtId="2" fontId="29" fillId="0" borderId="5" xfId="0" applyNumberFormat="1" applyFont="1" applyBorder="1" applyAlignment="1">
      <alignment horizontal="center" vertical="top"/>
    </xf>
    <xf numFmtId="0" fontId="29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1" fontId="29" fillId="0" borderId="5" xfId="0" applyNumberFormat="1" applyFont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0" fontId="2" fillId="0" borderId="0" xfId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" fontId="19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19" fillId="5" borderId="5" xfId="0" applyNumberFormat="1" applyFont="1" applyFill="1" applyBorder="1" applyAlignment="1" applyProtection="1">
      <alignment horizontal="center" vertical="center" wrapText="1"/>
      <protection locked="0"/>
    </xf>
    <xf numFmtId="1" fontId="19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9" fillId="3" borderId="5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4" borderId="5" xfId="1" applyFont="1" applyFill="1" applyBorder="1" applyAlignment="1">
      <alignment horizontal="left" vertical="center" wrapText="1"/>
    </xf>
    <xf numFmtId="0" fontId="2" fillId="4" borderId="5" xfId="1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9" fontId="25" fillId="3" borderId="5" xfId="0" applyNumberFormat="1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0" fillId="0" borderId="5" xfId="4" applyBorder="1" applyAlignment="1">
      <alignment horizontal="left" vertical="center"/>
    </xf>
    <xf numFmtId="0" fontId="17" fillId="6" borderId="5" xfId="0" applyFont="1" applyFill="1" applyBorder="1" applyAlignment="1">
      <alignment horizontal="center" vertical="center"/>
    </xf>
    <xf numFmtId="0" fontId="37" fillId="0" borderId="5" xfId="0" applyFont="1" applyBorder="1" applyAlignment="1">
      <alignment horizontal="left" vertical="top"/>
    </xf>
    <xf numFmtId="0" fontId="2" fillId="5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left" vertical="top" wrapText="1"/>
    </xf>
    <xf numFmtId="0" fontId="22" fillId="3" borderId="5" xfId="0" applyFont="1" applyFill="1" applyBorder="1" applyAlignment="1">
      <alignment horizontal="center" vertical="top" wrapText="1"/>
    </xf>
    <xf numFmtId="0" fontId="22" fillId="3" borderId="6" xfId="0" applyFont="1" applyFill="1" applyBorder="1" applyAlignment="1">
      <alignment horizontal="center" vertical="top" wrapText="1"/>
    </xf>
    <xf numFmtId="0" fontId="20" fillId="4" borderId="5" xfId="4" applyFill="1" applyBorder="1" applyAlignment="1">
      <alignment horizontal="left" vertical="center" wrapText="1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0" fontId="19" fillId="4" borderId="5" xfId="2" applyFont="1" applyFill="1" applyBorder="1" applyAlignment="1" applyProtection="1">
      <alignment horizontal="center" vertical="center"/>
      <protection locked="0"/>
    </xf>
    <xf numFmtId="1" fontId="19" fillId="0" borderId="7" xfId="2" applyNumberFormat="1" applyFont="1" applyBorder="1" applyAlignment="1" applyProtection="1">
      <alignment horizontal="center" vertical="center" wrapText="1"/>
      <protection locked="0"/>
    </xf>
    <xf numFmtId="1" fontId="19" fillId="0" borderId="5" xfId="2" applyNumberFormat="1" applyFont="1" applyBorder="1" applyAlignment="1" applyProtection="1">
      <alignment horizontal="center" vertical="center" wrapText="1"/>
      <protection locked="0"/>
    </xf>
    <xf numFmtId="1" fontId="19" fillId="0" borderId="30" xfId="2" applyNumberFormat="1" applyFont="1" applyBorder="1" applyAlignment="1" applyProtection="1">
      <alignment horizontal="center" vertical="center" wrapText="1"/>
      <protection locked="0"/>
    </xf>
    <xf numFmtId="1" fontId="19" fillId="0" borderId="8" xfId="2" applyNumberFormat="1" applyFont="1" applyBorder="1" applyAlignment="1" applyProtection="1">
      <alignment horizontal="center" vertical="center" wrapText="1"/>
      <protection locked="0"/>
    </xf>
    <xf numFmtId="1" fontId="12" fillId="0" borderId="0" xfId="0" applyNumberFormat="1" applyFont="1" applyAlignment="1" applyProtection="1">
      <alignment horizontal="center" vertical="top" wrapText="1"/>
      <protection locked="0"/>
    </xf>
    <xf numFmtId="1" fontId="19" fillId="5" borderId="10" xfId="0" applyNumberFormat="1" applyFont="1" applyFill="1" applyBorder="1" applyAlignment="1" applyProtection="1">
      <alignment horizontal="center" vertical="center" wrapText="1"/>
      <protection locked="0"/>
    </xf>
    <xf numFmtId="1" fontId="19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19" fillId="5" borderId="1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0" xfId="0" applyNumberFormat="1" applyFont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1" fontId="12" fillId="0" borderId="0" xfId="2" applyNumberFormat="1" applyFont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vertical="center" wrapText="1"/>
    </xf>
    <xf numFmtId="0" fontId="19" fillId="0" borderId="9" xfId="2" applyFont="1" applyBorder="1" applyAlignment="1" applyProtection="1">
      <alignment horizontal="center" vertical="top"/>
      <protection locked="0"/>
    </xf>
    <xf numFmtId="0" fontId="18" fillId="5" borderId="10" xfId="0" applyFont="1" applyFill="1" applyBorder="1" applyAlignment="1">
      <alignment horizontal="center"/>
    </xf>
    <xf numFmtId="0" fontId="18" fillId="5" borderId="11" xfId="0" applyFont="1" applyFill="1" applyBorder="1" applyAlignment="1">
      <alignment horizontal="center"/>
    </xf>
    <xf numFmtId="0" fontId="18" fillId="5" borderId="1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28" fillId="4" borderId="5" xfId="2" applyFont="1" applyFill="1" applyBorder="1" applyAlignment="1" applyProtection="1">
      <alignment horizontal="center" vertical="center"/>
      <protection locked="0"/>
    </xf>
    <xf numFmtId="0" fontId="28" fillId="4" borderId="7" xfId="2" applyFont="1" applyFill="1" applyBorder="1" applyAlignment="1" applyProtection="1">
      <alignment horizontal="center" vertical="center"/>
      <protection locked="0"/>
    </xf>
    <xf numFmtId="1" fontId="27" fillId="0" borderId="8" xfId="2" applyNumberFormat="1" applyFont="1" applyBorder="1" applyAlignment="1" applyProtection="1">
      <alignment horizontal="center" vertical="center" wrapText="1"/>
      <protection locked="0"/>
    </xf>
    <xf numFmtId="1" fontId="27" fillId="0" borderId="3" xfId="2" applyNumberFormat="1" applyFont="1" applyBorder="1" applyAlignment="1" applyProtection="1">
      <alignment horizontal="center" vertical="center" wrapText="1"/>
      <protection locked="0"/>
    </xf>
    <xf numFmtId="1" fontId="27" fillId="0" borderId="26" xfId="2" applyNumberFormat="1" applyFont="1" applyBorder="1" applyAlignment="1" applyProtection="1">
      <alignment horizontal="center" vertical="center" wrapText="1"/>
      <protection locked="0"/>
    </xf>
    <xf numFmtId="0" fontId="16" fillId="5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31" fillId="4" borderId="10" xfId="2" applyFont="1" applyFill="1" applyBorder="1" applyAlignment="1" applyProtection="1">
      <alignment horizontal="left" vertical="top" wrapText="1"/>
      <protection locked="0"/>
    </xf>
    <xf numFmtId="0" fontId="31" fillId="4" borderId="11" xfId="2" applyFont="1" applyFill="1" applyBorder="1" applyAlignment="1" applyProtection="1">
      <alignment horizontal="left" vertical="top" wrapText="1"/>
      <protection locked="0"/>
    </xf>
    <xf numFmtId="0" fontId="31" fillId="4" borderId="4" xfId="2" applyFont="1" applyFill="1" applyBorder="1" applyAlignment="1" applyProtection="1">
      <alignment horizontal="left" vertical="top" wrapText="1"/>
      <protection locked="0"/>
    </xf>
    <xf numFmtId="0" fontId="31" fillId="4" borderId="5" xfId="2" applyFont="1" applyFill="1" applyBorder="1" applyAlignment="1" applyProtection="1">
      <alignment horizontal="left" vertical="top" wrapText="1"/>
      <protection locked="0"/>
    </xf>
    <xf numFmtId="0" fontId="18" fillId="5" borderId="7" xfId="0" applyFont="1" applyFill="1" applyBorder="1" applyAlignment="1">
      <alignment horizontal="left"/>
    </xf>
    <xf numFmtId="0" fontId="35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wrapText="1"/>
    </xf>
    <xf numFmtId="1" fontId="26" fillId="0" borderId="33" xfId="0" applyNumberFormat="1" applyFont="1" applyBorder="1" applyAlignment="1" applyProtection="1">
      <alignment horizontal="center" vertical="center"/>
      <protection locked="0"/>
    </xf>
    <xf numFmtId="1" fontId="26" fillId="0" borderId="34" xfId="0" applyNumberFormat="1" applyFont="1" applyBorder="1" applyAlignment="1" applyProtection="1">
      <alignment horizontal="center" vertical="center"/>
      <protection locked="0"/>
    </xf>
    <xf numFmtId="1" fontId="19" fillId="7" borderId="10" xfId="0" applyNumberFormat="1" applyFont="1" applyFill="1" applyBorder="1" applyAlignment="1" applyProtection="1">
      <alignment horizontal="center" vertical="center" wrapText="1"/>
      <protection locked="0"/>
    </xf>
    <xf numFmtId="1" fontId="19" fillId="7" borderId="11" xfId="0" applyNumberFormat="1" applyFont="1" applyFill="1" applyBorder="1" applyAlignment="1" applyProtection="1">
      <alignment horizontal="center" vertical="center" wrapText="1"/>
      <protection locked="0"/>
    </xf>
    <xf numFmtId="1" fontId="19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18" fillId="4" borderId="5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3" fillId="4" borderId="5" xfId="2" applyNumberFormat="1" applyFont="1" applyFill="1" applyBorder="1" applyAlignment="1" applyProtection="1">
      <alignment horizontal="center" vertical="center" wrapText="1"/>
      <protection hidden="1"/>
    </xf>
    <xf numFmtId="9" fontId="3" fillId="4" borderId="6" xfId="2" applyNumberFormat="1" applyFont="1" applyFill="1" applyBorder="1" applyAlignment="1" applyProtection="1">
      <alignment horizontal="center" vertical="center" wrapText="1"/>
      <protection hidden="1"/>
    </xf>
    <xf numFmtId="9" fontId="3" fillId="4" borderId="16" xfId="2" applyNumberFormat="1" applyFont="1" applyFill="1" applyBorder="1" applyAlignment="1" applyProtection="1">
      <alignment horizontal="center" vertical="center" wrapText="1"/>
      <protection hidden="1"/>
    </xf>
    <xf numFmtId="9" fontId="3" fillId="4" borderId="24" xfId="2" applyNumberFormat="1" applyFont="1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9" fontId="34" fillId="0" borderId="11" xfId="0" applyNumberFormat="1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/>
    </xf>
    <xf numFmtId="0" fontId="21" fillId="4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2" fillId="3" borderId="5" xfId="0" applyFont="1" applyFill="1" applyBorder="1" applyAlignment="1">
      <alignment horizontal="center" vertical="top" wrapText="1"/>
    </xf>
    <xf numFmtId="164" fontId="29" fillId="0" borderId="5" xfId="0" applyNumberFormat="1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 wrapText="1"/>
    </xf>
    <xf numFmtId="0" fontId="25" fillId="0" borderId="6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9" fillId="0" borderId="9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33" fillId="0" borderId="5" xfId="1" applyFont="1" applyBorder="1" applyAlignment="1" applyProtection="1">
      <alignment horizontal="center" vertical="top"/>
      <protection locked="0"/>
    </xf>
    <xf numFmtId="0" fontId="26" fillId="4" borderId="5" xfId="2" applyFont="1" applyFill="1" applyBorder="1" applyAlignment="1" applyProtection="1">
      <alignment horizontal="left" vertical="top" wrapText="1"/>
      <protection locked="0"/>
    </xf>
    <xf numFmtId="0" fontId="26" fillId="4" borderId="6" xfId="2" applyFont="1" applyFill="1" applyBorder="1" applyAlignment="1" applyProtection="1">
      <alignment horizontal="left" vertical="top" wrapText="1"/>
      <protection locked="0"/>
    </xf>
    <xf numFmtId="0" fontId="3" fillId="4" borderId="5" xfId="2" applyFont="1" applyFill="1" applyBorder="1" applyAlignment="1" applyProtection="1">
      <alignment horizontal="center" vertical="center" wrapText="1"/>
      <protection locked="0"/>
    </xf>
    <xf numFmtId="0" fontId="3" fillId="4" borderId="6" xfId="2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Border="1" applyAlignment="1">
      <alignment horizontal="center" vertical="top" wrapText="1"/>
    </xf>
    <xf numFmtId="0" fontId="2" fillId="8" borderId="9" xfId="0" applyFont="1" applyFill="1" applyBorder="1" applyAlignment="1">
      <alignment horizontal="center" vertical="top" wrapText="1"/>
    </xf>
    <xf numFmtId="1" fontId="26" fillId="0" borderId="5" xfId="0" applyNumberFormat="1" applyFont="1" applyBorder="1" applyAlignment="1" applyProtection="1">
      <alignment horizontal="center" vertical="center"/>
      <protection locked="0"/>
    </xf>
    <xf numFmtId="0" fontId="26" fillId="0" borderId="5" xfId="0" applyFont="1" applyBorder="1" applyAlignment="1" applyProtection="1">
      <alignment horizontal="center" vertical="center"/>
      <protection locked="0"/>
    </xf>
    <xf numFmtId="1" fontId="26" fillId="0" borderId="5" xfId="0" applyNumberFormat="1" applyFont="1" applyBorder="1" applyAlignment="1" applyProtection="1">
      <alignment horizontal="center" vertical="center" wrapText="1"/>
      <protection locked="0"/>
    </xf>
    <xf numFmtId="0" fontId="26" fillId="0" borderId="6" xfId="0" applyFont="1" applyBorder="1" applyAlignment="1" applyProtection="1">
      <alignment horizontal="center" vertical="center" wrapText="1"/>
      <protection locked="0"/>
    </xf>
    <xf numFmtId="1" fontId="8" fillId="0" borderId="0" xfId="0" applyNumberFormat="1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19" fillId="5" borderId="7" xfId="2" applyFont="1" applyFill="1" applyBorder="1" applyAlignment="1" applyProtection="1">
      <alignment horizontal="center" vertical="center"/>
      <protection locked="0"/>
    </xf>
    <xf numFmtId="0" fontId="18" fillId="4" borderId="5" xfId="0" applyFont="1" applyFill="1" applyBorder="1" applyAlignment="1" applyProtection="1">
      <alignment horizontal="center" vertical="center" wrapText="1"/>
      <protection locked="0"/>
    </xf>
    <xf numFmtId="0" fontId="18" fillId="4" borderId="6" xfId="0" applyFont="1" applyFill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19" xfId="2" applyFont="1" applyBorder="1" applyAlignment="1" applyProtection="1">
      <alignment horizontal="left" vertical="top" wrapText="1"/>
      <protection locked="0"/>
    </xf>
    <xf numFmtId="0" fontId="8" fillId="0" borderId="20" xfId="2" applyFont="1" applyBorder="1" applyAlignment="1" applyProtection="1">
      <alignment horizontal="left" vertical="top" wrapText="1"/>
      <protection locked="0"/>
    </xf>
    <xf numFmtId="0" fontId="8" fillId="0" borderId="21" xfId="2" applyFont="1" applyBorder="1" applyAlignment="1" applyProtection="1">
      <alignment horizontal="left" vertical="top" wrapText="1"/>
      <protection locked="0"/>
    </xf>
    <xf numFmtId="0" fontId="8" fillId="0" borderId="22" xfId="2" applyFont="1" applyBorder="1" applyAlignment="1" applyProtection="1">
      <alignment horizontal="left" vertical="top" wrapText="1"/>
      <protection locked="0"/>
    </xf>
    <xf numFmtId="0" fontId="8" fillId="0" borderId="23" xfId="2" applyFont="1" applyBorder="1" applyAlignment="1" applyProtection="1">
      <alignment horizontal="left" vertical="top" wrapText="1"/>
      <protection locked="0"/>
    </xf>
    <xf numFmtId="0" fontId="8" fillId="0" borderId="4" xfId="2" applyFont="1" applyBorder="1" applyAlignment="1" applyProtection="1">
      <alignment horizontal="left" vertical="top"/>
      <protection locked="0"/>
    </xf>
    <xf numFmtId="0" fontId="8" fillId="0" borderId="5" xfId="2" applyFont="1" applyBorder="1" applyAlignment="1" applyProtection="1">
      <alignment horizontal="left" vertical="top"/>
      <protection locked="0"/>
    </xf>
    <xf numFmtId="0" fontId="8" fillId="0" borderId="5" xfId="2" applyFont="1" applyBorder="1" applyAlignment="1" applyProtection="1">
      <alignment horizontal="left" vertical="top" wrapText="1"/>
      <protection locked="0"/>
    </xf>
    <xf numFmtId="0" fontId="8" fillId="0" borderId="6" xfId="2" applyFont="1" applyBorder="1" applyAlignment="1" applyProtection="1">
      <alignment horizontal="left" vertical="top" wrapText="1"/>
      <protection locked="0"/>
    </xf>
    <xf numFmtId="0" fontId="9" fillId="0" borderId="4" xfId="2" applyFont="1" applyBorder="1" applyAlignment="1" applyProtection="1">
      <alignment horizontal="center" vertical="top" wrapText="1"/>
      <protection locked="0"/>
    </xf>
    <xf numFmtId="0" fontId="9" fillId="0" borderId="5" xfId="2" applyFont="1" applyBorder="1" applyAlignment="1" applyProtection="1">
      <alignment horizontal="center" vertical="top" wrapText="1"/>
      <protection locked="0"/>
    </xf>
    <xf numFmtId="0" fontId="9" fillId="0" borderId="6" xfId="2" applyFont="1" applyBorder="1" applyAlignment="1" applyProtection="1">
      <alignment horizontal="center" vertical="top" wrapText="1"/>
      <protection locked="0"/>
    </xf>
    <xf numFmtId="0" fontId="9" fillId="0" borderId="15" xfId="2" applyFont="1" applyBorder="1" applyAlignment="1" applyProtection="1">
      <alignment horizontal="center" vertical="top" wrapText="1"/>
      <protection locked="0"/>
    </xf>
    <xf numFmtId="0" fontId="9" fillId="0" borderId="16" xfId="2" applyFont="1" applyBorder="1" applyAlignment="1" applyProtection="1">
      <alignment horizontal="center" vertical="top" wrapText="1"/>
      <protection locked="0"/>
    </xf>
    <xf numFmtId="9" fontId="9" fillId="3" borderId="5" xfId="2" applyNumberFormat="1" applyFont="1" applyFill="1" applyBorder="1" applyAlignment="1" applyProtection="1">
      <alignment horizontal="center" vertical="center" wrapText="1"/>
      <protection hidden="1"/>
    </xf>
    <xf numFmtId="9" fontId="9" fillId="3" borderId="16" xfId="2" applyNumberFormat="1" applyFont="1" applyFill="1" applyBorder="1" applyAlignment="1" applyProtection="1">
      <alignment horizontal="center" vertical="center" wrapText="1"/>
      <protection hidden="1"/>
    </xf>
    <xf numFmtId="9" fontId="9" fillId="3" borderId="6" xfId="2" applyNumberFormat="1" applyFont="1" applyFill="1" applyBorder="1" applyAlignment="1" applyProtection="1">
      <alignment horizontal="center" vertical="center" wrapText="1"/>
      <protection hidden="1"/>
    </xf>
    <xf numFmtId="9" fontId="9" fillId="3" borderId="24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2" applyFont="1" applyBorder="1" applyAlignment="1" applyProtection="1">
      <alignment horizontal="center" vertical="top"/>
      <protection locked="0"/>
    </xf>
    <xf numFmtId="0" fontId="9" fillId="0" borderId="5" xfId="2" applyFont="1" applyBorder="1" applyAlignment="1" applyProtection="1">
      <alignment horizontal="center" vertical="top"/>
      <protection locked="0"/>
    </xf>
    <xf numFmtId="0" fontId="37" fillId="0" borderId="5" xfId="0" applyFont="1" applyBorder="1" applyAlignment="1">
      <alignment horizontal="left" vertical="top" wrapText="1"/>
    </xf>
  </cellXfs>
  <cellStyles count="6">
    <cellStyle name="Excel Built-in Normal" xfId="3" xr:uid="{00000000-0005-0000-0000-000000000000}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101245</xdr:colOff>
      <xdr:row>10</xdr:row>
      <xdr:rowOff>180509</xdr:rowOff>
    </xdr:from>
    <xdr:to>
      <xdr:col>11</xdr:col>
      <xdr:colOff>311693</xdr:colOff>
      <xdr:row>17</xdr:row>
      <xdr:rowOff>444788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3768" y="2518464"/>
          <a:ext cx="4531334" cy="177961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256442</xdr:colOff>
      <xdr:row>18</xdr:row>
      <xdr:rowOff>0</xdr:rowOff>
    </xdr:from>
    <xdr:to>
      <xdr:col>12</xdr:col>
      <xdr:colOff>464610</xdr:colOff>
      <xdr:row>21</xdr:row>
      <xdr:rowOff>18857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5634" y="4388827"/>
          <a:ext cx="5190476" cy="154285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284284</xdr:colOff>
      <xdr:row>26</xdr:row>
      <xdr:rowOff>90121</xdr:rowOff>
    </xdr:from>
    <xdr:to>
      <xdr:col>10</xdr:col>
      <xdr:colOff>53099</xdr:colOff>
      <xdr:row>29</xdr:row>
      <xdr:rowOff>642346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61434" y="7443421"/>
          <a:ext cx="2769190" cy="18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295275</xdr:colOff>
      <xdr:row>60</xdr:row>
      <xdr:rowOff>104775</xdr:rowOff>
    </xdr:from>
    <xdr:to>
      <xdr:col>9</xdr:col>
      <xdr:colOff>7998</xdr:colOff>
      <xdr:row>67</xdr:row>
      <xdr:rowOff>266475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5200" y="16268700"/>
          <a:ext cx="2713098" cy="180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0</xdr:col>
      <xdr:colOff>493563</xdr:colOff>
      <xdr:row>410</xdr:row>
      <xdr:rowOff>138546</xdr:rowOff>
    </xdr:from>
    <xdr:to>
      <xdr:col>5</xdr:col>
      <xdr:colOff>856812</xdr:colOff>
      <xdr:row>453</xdr:row>
      <xdr:rowOff>109614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/>
      </xdr:nvGrpSpPr>
      <xdr:grpSpPr>
        <a:xfrm>
          <a:off x="493563" y="90511746"/>
          <a:ext cx="5811549" cy="7834908"/>
          <a:chOff x="376237" y="238481"/>
          <a:chExt cx="6120000" cy="8323113"/>
        </a:xfrm>
      </xdr:grpSpPr>
      <xdr:grpSp>
        <xdr:nvGrpSpPr>
          <xdr:cNvPr id="44" name="Group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GrpSpPr/>
        </xdr:nvGrpSpPr>
        <xdr:grpSpPr>
          <a:xfrm>
            <a:off x="376237" y="238481"/>
            <a:ext cx="6120000" cy="4495357"/>
            <a:chOff x="376237" y="238481"/>
            <a:chExt cx="6120000" cy="4495357"/>
          </a:xfrm>
        </xdr:grpSpPr>
        <xdr:pic>
          <xdr:nvPicPr>
            <xdr:cNvPr id="46" name="Picture 45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376237" y="300037"/>
              <a:ext cx="6120000" cy="443380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47" name="Rectangle 46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/>
          </xdr:nvSpPr>
          <xdr:spPr>
            <a:xfrm rot="19340248">
              <a:off x="4983481" y="640081"/>
              <a:ext cx="601980" cy="1066800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/>
            </a:p>
          </xdr:txBody>
        </xdr:sp>
        <xdr:sp macro="" textlink="">
          <xdr:nvSpPr>
            <xdr:cNvPr id="48" name="TextBox 3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 txBox="1"/>
          </xdr:nvSpPr>
          <xdr:spPr>
            <a:xfrm>
              <a:off x="5284471" y="300037"/>
              <a:ext cx="795411" cy="52322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>
                  <a:solidFill>
                    <a:srgbClr val="FF0000"/>
                  </a:solidFill>
                </a:rPr>
                <a:t>Nova </a:t>
              </a:r>
            </a:p>
            <a:p>
              <a:r>
                <a:rPr lang="en-US" sz="1400">
                  <a:solidFill>
                    <a:srgbClr val="FF0000"/>
                  </a:solidFill>
                </a:rPr>
                <a:t>WING C </a:t>
              </a:r>
              <a:endParaRPr lang="en-IN" sz="14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49" name="TextBox 4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5686400" y="823257"/>
              <a:ext cx="809837" cy="52322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>
                  <a:solidFill>
                    <a:srgbClr val="FF0000"/>
                  </a:solidFill>
                </a:rPr>
                <a:t>Nova </a:t>
              </a:r>
            </a:p>
            <a:p>
              <a:r>
                <a:rPr lang="en-US" sz="1400">
                  <a:solidFill>
                    <a:srgbClr val="FF0000"/>
                  </a:solidFill>
                </a:rPr>
                <a:t>WING D </a:t>
              </a:r>
              <a:endParaRPr lang="en-IN" sz="14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50" name="Rectangle 49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 rot="19926137">
              <a:off x="4168984" y="1737359"/>
              <a:ext cx="1102603" cy="449580"/>
            </a:xfrm>
            <a:prstGeom prst="rect">
              <a:avLst/>
            </a:prstGeom>
            <a:noFill/>
            <a:ln w="12700">
              <a:solidFill>
                <a:srgbClr val="00206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/>
            </a:p>
          </xdr:txBody>
        </xdr:sp>
        <xdr:sp macro="" textlink="">
          <xdr:nvSpPr>
            <xdr:cNvPr id="51" name="Rectangle 50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 rot="19479566">
              <a:off x="3727478" y="863887"/>
              <a:ext cx="983860" cy="441959"/>
            </a:xfrm>
            <a:prstGeom prst="rect">
              <a:avLst/>
            </a:prstGeom>
            <a:noFill/>
            <a:ln w="12700">
              <a:solidFill>
                <a:srgbClr val="00206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/>
            </a:p>
          </xdr:txBody>
        </xdr:sp>
        <xdr:sp macro="" textlink="">
          <xdr:nvSpPr>
            <xdr:cNvPr id="52" name="TextBox 7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3151952" y="238481"/>
              <a:ext cx="1300356" cy="64633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/>
                <a:t>Zest </a:t>
              </a:r>
            </a:p>
            <a:p>
              <a:pPr algn="ctr"/>
              <a:r>
                <a:rPr lang="en-US"/>
                <a:t>Wing A &amp; B </a:t>
              </a:r>
            </a:p>
          </xdr:txBody>
        </xdr:sp>
        <xdr:sp macro="" textlink="">
          <xdr:nvSpPr>
            <xdr:cNvPr id="53" name="TextBox 8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SpPr txBox="1"/>
          </xdr:nvSpPr>
          <xdr:spPr>
            <a:xfrm>
              <a:off x="4449911" y="2111985"/>
              <a:ext cx="1300356" cy="64633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/>
                <a:t>Zen </a:t>
              </a:r>
            </a:p>
            <a:p>
              <a:pPr algn="ctr"/>
              <a:r>
                <a:rPr lang="en-US"/>
                <a:t>Wing A &amp; B </a:t>
              </a:r>
            </a:p>
          </xdr:txBody>
        </xdr:sp>
      </xdr:grpSp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916237" y="4871594"/>
            <a:ext cx="5040000" cy="3690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  <xdr:twoCellAnchor>
    <xdr:from>
      <xdr:col>0</xdr:col>
      <xdr:colOff>883220</xdr:colOff>
      <xdr:row>457</xdr:row>
      <xdr:rowOff>8659</xdr:rowOff>
    </xdr:from>
    <xdr:to>
      <xdr:col>5</xdr:col>
      <xdr:colOff>406970</xdr:colOff>
      <xdr:row>495</xdr:row>
      <xdr:rowOff>181841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pSpPr/>
      </xdr:nvGrpSpPr>
      <xdr:grpSpPr>
        <a:xfrm>
          <a:off x="883220" y="98977219"/>
          <a:ext cx="4972050" cy="7122622"/>
          <a:chOff x="663299" y="187138"/>
          <a:chExt cx="5400000" cy="7654586"/>
        </a:xfrm>
      </xdr:grpSpPr>
      <xdr:pic>
        <xdr:nvPicPr>
          <xdr:cNvPr id="63" name="Picture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843299" y="187138"/>
            <a:ext cx="5040000" cy="391621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grpSp>
        <xdr:nvGrpSpPr>
          <xdr:cNvPr id="64" name="Group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GrpSpPr/>
        </xdr:nvGrpSpPr>
        <xdr:grpSpPr>
          <a:xfrm>
            <a:off x="663299" y="4241724"/>
            <a:ext cx="5400000" cy="3600000"/>
            <a:chOff x="663299" y="4510663"/>
            <a:chExt cx="5760000" cy="3753514"/>
          </a:xfrm>
        </xdr:grpSpPr>
        <xdr:pic>
          <xdr:nvPicPr>
            <xdr:cNvPr id="65" name="Picture 64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screen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663299" y="4510663"/>
              <a:ext cx="5760000" cy="375351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66" name="Rectangle 65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SpPr/>
          </xdr:nvSpPr>
          <xdr:spPr>
            <a:xfrm rot="19734641">
              <a:off x="2445033" y="5375107"/>
              <a:ext cx="2124816" cy="1450886"/>
            </a:xfrm>
            <a:prstGeom prst="rect">
              <a:avLst/>
            </a:prstGeom>
            <a:noFill/>
            <a:ln w="57150">
              <a:solidFill>
                <a:srgbClr val="FFFF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IN"/>
            </a:p>
          </xdr:txBody>
        </xdr:sp>
      </xdr:grpSp>
    </xdr:grpSp>
    <xdr:clientData/>
  </xdr:twoCellAnchor>
  <xdr:twoCellAnchor>
    <xdr:from>
      <xdr:col>8</xdr:col>
      <xdr:colOff>782955</xdr:colOff>
      <xdr:row>366</xdr:row>
      <xdr:rowOff>36195</xdr:rowOff>
    </xdr:from>
    <xdr:to>
      <xdr:col>16</xdr:col>
      <xdr:colOff>252834</xdr:colOff>
      <xdr:row>405</xdr:row>
      <xdr:rowOff>37345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8730615" y="82362675"/>
          <a:ext cx="5352519" cy="7133470"/>
          <a:chOff x="676275" y="83781900"/>
          <a:chExt cx="5190594" cy="7430650"/>
        </a:xfrm>
      </xdr:grpSpPr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984640" y="86379903"/>
            <a:ext cx="4480000" cy="252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651869" y="89052550"/>
            <a:ext cx="1215000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76275" y="89052550"/>
            <a:ext cx="3840000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984640" y="83781900"/>
            <a:ext cx="4480000" cy="2520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  <xdr:twoCellAnchor>
    <xdr:from>
      <xdr:col>0</xdr:col>
      <xdr:colOff>373380</xdr:colOff>
      <xdr:row>365</xdr:row>
      <xdr:rowOff>30480</xdr:rowOff>
    </xdr:from>
    <xdr:to>
      <xdr:col>5</xdr:col>
      <xdr:colOff>913455</xdr:colOff>
      <xdr:row>405</xdr:row>
      <xdr:rowOff>177654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BFA04B75-1344-87A7-ACBD-CD4F5379950C}"/>
            </a:ext>
          </a:extLst>
        </xdr:cNvPr>
        <xdr:cNvGrpSpPr/>
      </xdr:nvGrpSpPr>
      <xdr:grpSpPr>
        <a:xfrm>
          <a:off x="373380" y="82174080"/>
          <a:ext cx="5988375" cy="7462374"/>
          <a:chOff x="135330" y="295407"/>
          <a:chExt cx="5988375" cy="7462374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447846C5-2768-E750-693E-A3D4AE2670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9517" y="3312000"/>
            <a:ext cx="4480000" cy="252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DC486D6F-1C05-6BD7-AE85-9B198980C94F}"/>
              </a:ext>
            </a:extLst>
          </xdr:cNvPr>
          <xdr:cNvGrpSpPr/>
        </xdr:nvGrpSpPr>
        <xdr:grpSpPr>
          <a:xfrm>
            <a:off x="135330" y="295407"/>
            <a:ext cx="5988375" cy="2890812"/>
            <a:chOff x="135330" y="295407"/>
            <a:chExt cx="5988375" cy="2890812"/>
          </a:xfrm>
        </xdr:grpSpPr>
        <xdr:pic>
          <xdr:nvPicPr>
            <xdr:cNvPr id="13" name="Picture 12">
              <a:extLst>
                <a:ext uri="{FF2B5EF4-FFF2-40B4-BE49-F238E27FC236}">
                  <a16:creationId xmlns:a16="http://schemas.microsoft.com/office/drawing/2014/main" id="{589F0ED2-C4C7-75D0-4E78-52DB2358780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176037" y="295407"/>
              <a:ext cx="1947668" cy="288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23" name="Picture 22">
              <a:extLst>
                <a:ext uri="{FF2B5EF4-FFF2-40B4-BE49-F238E27FC236}">
                  <a16:creationId xmlns:a16="http://schemas.microsoft.com/office/drawing/2014/main" id="{86B71181-5C81-FD84-B555-347829A0A94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35330" y="306219"/>
              <a:ext cx="3840000" cy="288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451C5475-99B2-2196-695B-ACC8BABAAE1B}"/>
              </a:ext>
            </a:extLst>
          </xdr:cNvPr>
          <xdr:cNvGrpSpPr/>
        </xdr:nvGrpSpPr>
        <xdr:grpSpPr>
          <a:xfrm>
            <a:off x="959655" y="5957781"/>
            <a:ext cx="4339724" cy="1800000"/>
            <a:chOff x="915606" y="6135890"/>
            <a:chExt cx="4339724" cy="1800000"/>
          </a:xfrm>
        </xdr:grpSpPr>
        <xdr:pic>
          <xdr:nvPicPr>
            <xdr:cNvPr id="11" name="Picture 10">
              <a:extLst>
                <a:ext uri="{FF2B5EF4-FFF2-40B4-BE49-F238E27FC236}">
                  <a16:creationId xmlns:a16="http://schemas.microsoft.com/office/drawing/2014/main" id="{E31E0023-8F36-A3CB-DAAA-6BC43003BB2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15606" y="6135890"/>
              <a:ext cx="1012500" cy="180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2" name="Picture 11">
              <a:extLst>
                <a:ext uri="{FF2B5EF4-FFF2-40B4-BE49-F238E27FC236}">
                  <a16:creationId xmlns:a16="http://schemas.microsoft.com/office/drawing/2014/main" id="{CA056119-3F35-F1AC-7DCD-BA8D82217E8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055330" y="6135890"/>
              <a:ext cx="3200000" cy="180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omments" Target="../comments1.xml"/><Relationship Id="rId2" Type="http://schemas.openxmlformats.org/officeDocument/2006/relationships/hyperlink" Target="https://maps.app.goo.gl/k9qperW1ccCg4jvH8" TargetMode="External"/><Relationship Id="rId1" Type="http://schemas.openxmlformats.org/officeDocument/2006/relationships/hyperlink" Target="mailto:vsjc.apf@gmail.com" TargetMode="External"/><Relationship Id="rId6" Type="http://schemas.openxmlformats.org/officeDocument/2006/relationships/vmlDrawing" Target="../drawings/vmlDrawing2.v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8"/>
  <sheetViews>
    <sheetView tabSelected="1" view="pageBreakPreview" topLeftCell="A353" zoomScaleNormal="100" zoomScaleSheetLayoutView="100" zoomScalePageLayoutView="130" workbookViewId="0">
      <selection activeCell="H356" sqref="H356"/>
    </sheetView>
  </sheetViews>
  <sheetFormatPr defaultRowHeight="14.4" x14ac:dyDescent="0.3"/>
  <cols>
    <col min="1" max="1" width="18.33203125" style="51" customWidth="1"/>
    <col min="2" max="2" width="16.33203125" customWidth="1"/>
    <col min="3" max="3" width="13.109375" style="92" customWidth="1"/>
    <col min="4" max="4" width="17.33203125" customWidth="1"/>
    <col min="5" max="5" width="14.33203125" customWidth="1"/>
    <col min="6" max="6" width="18.6640625" customWidth="1"/>
    <col min="9" max="9" width="23.5546875" customWidth="1"/>
  </cols>
  <sheetData>
    <row r="1" spans="1:12" x14ac:dyDescent="0.3">
      <c r="A1" s="186" t="s">
        <v>0</v>
      </c>
      <c r="B1" s="186"/>
      <c r="C1" s="186"/>
      <c r="D1" s="186"/>
      <c r="E1" s="186"/>
      <c r="F1" s="186"/>
    </row>
    <row r="2" spans="1:12" ht="31.5" customHeight="1" x14ac:dyDescent="0.3">
      <c r="A2" s="57" t="s">
        <v>67</v>
      </c>
      <c r="B2" s="309" t="s">
        <v>389</v>
      </c>
      <c r="C2" s="187"/>
      <c r="D2" s="187"/>
      <c r="E2" s="56" t="s">
        <v>1</v>
      </c>
      <c r="F2" s="94" t="s">
        <v>286</v>
      </c>
      <c r="I2" t="s">
        <v>306</v>
      </c>
    </row>
    <row r="3" spans="1:12" x14ac:dyDescent="0.3">
      <c r="A3" s="188" t="s">
        <v>68</v>
      </c>
      <c r="B3" s="188"/>
      <c r="C3" s="188"/>
      <c r="D3" s="188"/>
      <c r="E3" s="188"/>
      <c r="F3" s="188"/>
    </row>
    <row r="4" spans="1:12" ht="15" customHeight="1" x14ac:dyDescent="0.3">
      <c r="A4" s="189" t="s">
        <v>74</v>
      </c>
      <c r="B4" s="189"/>
      <c r="C4" s="177" t="s">
        <v>242</v>
      </c>
      <c r="D4" s="177"/>
      <c r="E4" s="177"/>
      <c r="F4" s="177"/>
    </row>
    <row r="5" spans="1:12" ht="15" customHeight="1" x14ac:dyDescent="0.3">
      <c r="A5" s="178" t="s">
        <v>69</v>
      </c>
      <c r="B5" s="178"/>
      <c r="C5" s="177" t="s">
        <v>243</v>
      </c>
      <c r="D5" s="177"/>
      <c r="E5" s="177"/>
      <c r="F5" s="177"/>
    </row>
    <row r="6" spans="1:12" ht="15" customHeight="1" x14ac:dyDescent="0.3">
      <c r="A6" s="178" t="s">
        <v>70</v>
      </c>
      <c r="B6" s="178"/>
      <c r="C6" s="192" t="s">
        <v>244</v>
      </c>
      <c r="D6" s="192"/>
      <c r="E6" s="192"/>
      <c r="F6" s="192"/>
    </row>
    <row r="7" spans="1:12" ht="15" customHeight="1" x14ac:dyDescent="0.3">
      <c r="A7" s="178" t="s">
        <v>73</v>
      </c>
      <c r="B7" s="178"/>
      <c r="C7" s="177" t="s">
        <v>245</v>
      </c>
      <c r="D7" s="177"/>
      <c r="E7" s="177"/>
      <c r="F7" s="177"/>
    </row>
    <row r="8" spans="1:12" ht="15" customHeight="1" x14ac:dyDescent="0.3">
      <c r="A8" s="178" t="s">
        <v>71</v>
      </c>
      <c r="B8" s="178"/>
      <c r="C8" s="177"/>
      <c r="D8" s="177"/>
      <c r="E8" s="177"/>
      <c r="F8" s="177"/>
    </row>
    <row r="9" spans="1:12" ht="33" customHeight="1" x14ac:dyDescent="0.3">
      <c r="A9" s="178" t="s">
        <v>72</v>
      </c>
      <c r="B9" s="178"/>
      <c r="C9" s="177" t="s">
        <v>280</v>
      </c>
      <c r="D9" s="177"/>
      <c r="E9" s="177"/>
      <c r="F9" s="177"/>
    </row>
    <row r="10" spans="1:12" x14ac:dyDescent="0.3">
      <c r="A10" s="188" t="s">
        <v>75</v>
      </c>
      <c r="B10" s="188"/>
      <c r="C10" s="188"/>
      <c r="D10" s="188"/>
      <c r="E10" s="188"/>
      <c r="F10" s="188"/>
    </row>
    <row r="11" spans="1:12" ht="24" x14ac:dyDescent="0.3">
      <c r="A11" s="46" t="s">
        <v>79</v>
      </c>
      <c r="B11" s="116">
        <v>45874</v>
      </c>
      <c r="C11" s="46" t="s">
        <v>91</v>
      </c>
      <c r="D11" s="44" t="s">
        <v>287</v>
      </c>
      <c r="E11" s="46" t="s">
        <v>274</v>
      </c>
      <c r="F11" s="117">
        <v>45318</v>
      </c>
      <c r="I11" s="83"/>
      <c r="J11" s="83"/>
      <c r="K11" s="83"/>
      <c r="L11" s="83"/>
    </row>
    <row r="12" spans="1:12" x14ac:dyDescent="0.3">
      <c r="A12" s="46" t="s">
        <v>80</v>
      </c>
      <c r="B12" s="133">
        <v>45876</v>
      </c>
      <c r="C12" s="189" t="s">
        <v>92</v>
      </c>
      <c r="D12" s="189"/>
      <c r="E12" s="193" t="s">
        <v>388</v>
      </c>
      <c r="F12" s="193"/>
      <c r="I12" s="162"/>
      <c r="J12" s="162"/>
      <c r="K12" s="83"/>
      <c r="L12" s="83"/>
    </row>
    <row r="13" spans="1:12" x14ac:dyDescent="0.3">
      <c r="A13" s="46" t="s">
        <v>81</v>
      </c>
      <c r="B13" s="65" t="str">
        <f ca="1">TEXT(TODAY(),"DD/MM/YYYY")</f>
        <v>11/08/2025</v>
      </c>
      <c r="C13" s="189" t="s">
        <v>93</v>
      </c>
      <c r="D13" s="189"/>
      <c r="E13" s="193" t="s">
        <v>386</v>
      </c>
      <c r="F13" s="193"/>
      <c r="I13" s="162"/>
      <c r="J13" s="162"/>
      <c r="K13" s="83"/>
      <c r="L13" s="83"/>
    </row>
    <row r="14" spans="1:12" x14ac:dyDescent="0.3">
      <c r="A14" s="167" t="s">
        <v>76</v>
      </c>
      <c r="B14" s="167"/>
      <c r="C14" s="167"/>
      <c r="D14" s="167"/>
      <c r="E14" s="167"/>
      <c r="F14" s="167"/>
    </row>
    <row r="15" spans="1:12" ht="20.25" customHeight="1" x14ac:dyDescent="0.3">
      <c r="A15" s="148" t="s">
        <v>77</v>
      </c>
      <c r="B15" s="148"/>
      <c r="C15" s="159" t="s">
        <v>288</v>
      </c>
      <c r="D15" s="159"/>
      <c r="E15" s="159"/>
      <c r="F15" s="159"/>
    </row>
    <row r="16" spans="1:12" x14ac:dyDescent="0.3">
      <c r="A16" s="167" t="s">
        <v>78</v>
      </c>
      <c r="B16" s="167"/>
      <c r="C16" s="167"/>
      <c r="D16" s="167"/>
      <c r="E16" s="167"/>
      <c r="F16" s="167"/>
    </row>
    <row r="17" spans="1:10" x14ac:dyDescent="0.3">
      <c r="A17" s="66" t="s">
        <v>67</v>
      </c>
      <c r="B17" s="172" t="s">
        <v>307</v>
      </c>
      <c r="C17" s="172"/>
      <c r="D17" s="172"/>
      <c r="E17" s="172"/>
      <c r="F17" s="172"/>
    </row>
    <row r="18" spans="1:10" ht="62.25" customHeight="1" x14ac:dyDescent="0.3">
      <c r="A18" s="66" t="s">
        <v>281</v>
      </c>
      <c r="B18" s="173" t="str">
        <f>CONCATENATE((IF(OR(B2="",B2="NA"),"",B2)),", ",(IF(OR(A19="",A19="NA"),"",A19)),".",(IF(OR(B19="",B19="NA"),"",B19)),", near ",(IF(OR(E21="",E21="NA"),"",E21)),", ",(IF(OR(B20="",B20="NA"),"",B20)),", ",(IF(OR(B21="",B21="NA"),"",B21)),", ",(IF(OR(E19="",E19="NA"),"",E19)),", ",(IF(OR(E20="",E20="NA"),"",E20)),", ",(IF(OR(B22="",B22="NA"),"",B22)),", ",(IF(OR(E22="",E22="NA"),"",E22))," - ",(IF(OR(B24="",B24="NA"),"",B24)),".")</f>
        <v>Centrona Nova A &amp; B 
(Buidling No. 13 Wing C &amp; D), Old CTS No..194(PT), New CTS No. 194A(PT) &amp; 194B(PT), Redevelopment Of ''Sant Namdeo Co-Opreative Housing Society &amp; Juni Ramabai Co-Operative Housing Society", near Solstice, Eastern Express Highway, Ghatkopar, Kamraj Nagar, Ghatkopar East, Kurla, Mumbai - 400077.</v>
      </c>
      <c r="C18" s="173"/>
      <c r="D18" s="173"/>
      <c r="E18" s="173"/>
      <c r="F18" s="173"/>
      <c r="J18" s="53"/>
    </row>
    <row r="19" spans="1:10" ht="76.5" customHeight="1" x14ac:dyDescent="0.3">
      <c r="A19" s="66" t="s">
        <v>363</v>
      </c>
      <c r="B19" s="173" t="s">
        <v>364</v>
      </c>
      <c r="C19" s="173"/>
      <c r="D19" s="66" t="s">
        <v>282</v>
      </c>
      <c r="E19" s="172" t="s">
        <v>292</v>
      </c>
      <c r="F19" s="172"/>
      <c r="J19" s="53"/>
    </row>
    <row r="20" spans="1:10" ht="28.5" customHeight="1" x14ac:dyDescent="0.3">
      <c r="A20" s="66" t="s">
        <v>82</v>
      </c>
      <c r="B20" s="172" t="s">
        <v>294</v>
      </c>
      <c r="C20" s="172"/>
      <c r="D20" s="66" t="s">
        <v>248</v>
      </c>
      <c r="E20" s="172" t="s">
        <v>293</v>
      </c>
      <c r="F20" s="172"/>
      <c r="J20" s="53"/>
    </row>
    <row r="21" spans="1:10" x14ac:dyDescent="0.3">
      <c r="A21" s="66" t="s">
        <v>249</v>
      </c>
      <c r="B21" s="172" t="s">
        <v>289</v>
      </c>
      <c r="C21" s="172"/>
      <c r="D21" s="66" t="s">
        <v>86</v>
      </c>
      <c r="E21" s="173" t="s">
        <v>297</v>
      </c>
      <c r="F21" s="172"/>
      <c r="J21" s="53"/>
    </row>
    <row r="22" spans="1:10" x14ac:dyDescent="0.3">
      <c r="A22" s="66" t="s">
        <v>247</v>
      </c>
      <c r="B22" s="172" t="s">
        <v>295</v>
      </c>
      <c r="C22" s="172"/>
      <c r="D22" s="66" t="s">
        <v>87</v>
      </c>
      <c r="E22" s="172" t="s">
        <v>296</v>
      </c>
      <c r="F22" s="172"/>
      <c r="J22" s="53"/>
    </row>
    <row r="23" spans="1:10" x14ac:dyDescent="0.3">
      <c r="A23" s="66" t="s">
        <v>83</v>
      </c>
      <c r="B23" s="172" t="s">
        <v>238</v>
      </c>
      <c r="C23" s="172"/>
      <c r="D23" s="66" t="s">
        <v>88</v>
      </c>
      <c r="E23" s="172" t="s">
        <v>239</v>
      </c>
      <c r="F23" s="172"/>
      <c r="J23" s="53"/>
    </row>
    <row r="24" spans="1:10" x14ac:dyDescent="0.3">
      <c r="A24" s="66" t="s">
        <v>84</v>
      </c>
      <c r="B24" s="172">
        <v>400077</v>
      </c>
      <c r="C24" s="172"/>
      <c r="D24" s="66" t="s">
        <v>89</v>
      </c>
      <c r="E24" s="172" t="s">
        <v>290</v>
      </c>
      <c r="F24" s="172"/>
      <c r="J24" s="53"/>
    </row>
    <row r="25" spans="1:10" x14ac:dyDescent="0.3">
      <c r="A25" s="66" t="s">
        <v>252</v>
      </c>
      <c r="B25" s="185" t="s">
        <v>291</v>
      </c>
      <c r="C25" s="172"/>
      <c r="D25" s="172"/>
      <c r="E25" s="172"/>
      <c r="F25" s="172"/>
      <c r="J25" s="53"/>
    </row>
    <row r="26" spans="1:10" ht="24.6" thickBot="1" x14ac:dyDescent="0.35">
      <c r="A26" s="98" t="s">
        <v>85</v>
      </c>
      <c r="B26" s="179" t="s">
        <v>298</v>
      </c>
      <c r="C26" s="179"/>
      <c r="D26" s="98" t="s">
        <v>90</v>
      </c>
      <c r="E26" s="180" t="s">
        <v>299</v>
      </c>
      <c r="F26" s="180"/>
      <c r="J26" s="53"/>
    </row>
    <row r="27" spans="1:10" x14ac:dyDescent="0.3">
      <c r="A27" s="168" t="s">
        <v>100</v>
      </c>
      <c r="B27" s="169"/>
      <c r="C27" s="169"/>
      <c r="D27" s="169"/>
      <c r="E27" s="169"/>
      <c r="F27" s="170"/>
    </row>
    <row r="28" spans="1:10" x14ac:dyDescent="0.3">
      <c r="A28" s="155"/>
      <c r="B28" s="182"/>
      <c r="C28" s="48" t="s">
        <v>94</v>
      </c>
      <c r="D28" s="48" t="s">
        <v>95</v>
      </c>
      <c r="E28" s="48" t="s">
        <v>96</v>
      </c>
      <c r="F28" s="99" t="s">
        <v>97</v>
      </c>
    </row>
    <row r="29" spans="1:10" ht="68.25" customHeight="1" x14ac:dyDescent="0.3">
      <c r="A29" s="155" t="s">
        <v>98</v>
      </c>
      <c r="B29" s="182"/>
      <c r="C29" s="118" t="s">
        <v>294</v>
      </c>
      <c r="D29" s="118" t="s">
        <v>300</v>
      </c>
      <c r="E29" s="118" t="s">
        <v>301</v>
      </c>
      <c r="F29" s="119" t="s">
        <v>302</v>
      </c>
      <c r="G29" s="147"/>
      <c r="H29" s="147"/>
    </row>
    <row r="30" spans="1:10" ht="84.75" customHeight="1" x14ac:dyDescent="0.3">
      <c r="A30" s="155" t="s">
        <v>250</v>
      </c>
      <c r="B30" s="182"/>
      <c r="C30" s="118" t="s">
        <v>294</v>
      </c>
      <c r="D30" s="118" t="s">
        <v>308</v>
      </c>
      <c r="E30" s="118" t="s">
        <v>309</v>
      </c>
      <c r="F30" s="119" t="s">
        <v>310</v>
      </c>
      <c r="G30" s="147"/>
      <c r="H30" s="147"/>
    </row>
    <row r="31" spans="1:10" ht="59.25" customHeight="1" thickBot="1" x14ac:dyDescent="0.35">
      <c r="A31" s="183" t="s">
        <v>99</v>
      </c>
      <c r="B31" s="184"/>
      <c r="C31" s="120" t="s">
        <v>294</v>
      </c>
      <c r="D31" s="120" t="s">
        <v>311</v>
      </c>
      <c r="E31" s="120" t="s">
        <v>312</v>
      </c>
      <c r="F31" s="121" t="s">
        <v>313</v>
      </c>
      <c r="G31" s="147"/>
      <c r="H31" s="147"/>
    </row>
    <row r="32" spans="1:10" x14ac:dyDescent="0.3">
      <c r="A32" s="171" t="s">
        <v>101</v>
      </c>
      <c r="B32" s="171"/>
      <c r="C32" s="171"/>
      <c r="D32" s="171"/>
      <c r="E32" s="171"/>
      <c r="F32" s="171"/>
      <c r="G32" s="147"/>
      <c r="H32" s="147"/>
    </row>
    <row r="33" spans="1:9" x14ac:dyDescent="0.3">
      <c r="A33" s="148" t="s">
        <v>102</v>
      </c>
      <c r="B33" s="148"/>
      <c r="C33" s="149" t="s">
        <v>303</v>
      </c>
      <c r="D33" s="149"/>
      <c r="E33" s="149"/>
      <c r="F33" s="149"/>
      <c r="G33" s="163" t="s">
        <v>251</v>
      </c>
      <c r="H33" s="163"/>
    </row>
    <row r="34" spans="1:9" ht="15" customHeight="1" x14ac:dyDescent="0.3">
      <c r="A34" s="148" t="s">
        <v>103</v>
      </c>
      <c r="B34" s="148"/>
      <c r="C34" s="149" t="s">
        <v>303</v>
      </c>
      <c r="D34" s="149"/>
      <c r="E34" s="149"/>
      <c r="F34" s="149"/>
      <c r="G34" s="163"/>
      <c r="H34" s="163"/>
    </row>
    <row r="35" spans="1:9" ht="15" customHeight="1" x14ac:dyDescent="0.3">
      <c r="A35" s="148" t="s">
        <v>104</v>
      </c>
      <c r="B35" s="148"/>
      <c r="C35" s="149" t="s">
        <v>294</v>
      </c>
      <c r="D35" s="149"/>
      <c r="E35" s="149"/>
      <c r="F35" s="149"/>
      <c r="G35" s="147"/>
      <c r="H35" s="147"/>
    </row>
    <row r="36" spans="1:9" x14ac:dyDescent="0.3">
      <c r="A36" s="148" t="s">
        <v>105</v>
      </c>
      <c r="B36" s="148"/>
      <c r="C36" s="149" t="str">
        <f>IF(AND(E22="Mumbai"),"Developed","Developing")</f>
        <v>Developed</v>
      </c>
      <c r="D36" s="149"/>
      <c r="E36" s="149"/>
      <c r="F36" s="149"/>
      <c r="G36" s="147"/>
      <c r="H36" s="147"/>
    </row>
    <row r="37" spans="1:9" ht="15" customHeight="1" x14ac:dyDescent="0.3">
      <c r="A37" s="148" t="s">
        <v>106</v>
      </c>
      <c r="B37" s="148"/>
      <c r="C37" s="149" t="s">
        <v>253</v>
      </c>
      <c r="D37" s="149"/>
      <c r="E37" s="149"/>
      <c r="F37" s="149"/>
      <c r="G37" s="147"/>
      <c r="H37" s="147"/>
    </row>
    <row r="38" spans="1:9" x14ac:dyDescent="0.3">
      <c r="A38" s="148" t="s">
        <v>107</v>
      </c>
      <c r="B38" s="148"/>
      <c r="C38" s="181">
        <f ca="1">E152</f>
        <v>0.35</v>
      </c>
      <c r="D38" s="149"/>
      <c r="E38" s="149"/>
      <c r="F38" s="149"/>
      <c r="G38" s="147"/>
      <c r="H38" s="147"/>
    </row>
    <row r="39" spans="1:9" ht="15" customHeight="1" x14ac:dyDescent="0.3">
      <c r="A39" s="148" t="s">
        <v>108</v>
      </c>
      <c r="B39" s="148"/>
      <c r="C39" s="149" t="s">
        <v>254</v>
      </c>
      <c r="D39" s="149"/>
      <c r="E39" s="149"/>
      <c r="F39" s="149"/>
      <c r="G39" s="147"/>
      <c r="H39" s="147"/>
    </row>
    <row r="40" spans="1:9" x14ac:dyDescent="0.3">
      <c r="A40" s="148" t="s">
        <v>109</v>
      </c>
      <c r="B40" s="148"/>
      <c r="C40" s="149" t="s">
        <v>254</v>
      </c>
      <c r="D40" s="149"/>
      <c r="E40" s="149"/>
      <c r="F40" s="149"/>
      <c r="G40" s="147"/>
      <c r="H40" s="147"/>
    </row>
    <row r="41" spans="1:9" x14ac:dyDescent="0.3">
      <c r="A41" s="148" t="s">
        <v>110</v>
      </c>
      <c r="B41" s="148"/>
      <c r="C41" s="149" t="s">
        <v>314</v>
      </c>
      <c r="D41" s="149"/>
      <c r="E41" s="149"/>
      <c r="F41" s="149"/>
      <c r="G41" s="147"/>
      <c r="H41" s="147"/>
    </row>
    <row r="42" spans="1:9" x14ac:dyDescent="0.3">
      <c r="A42" s="167" t="s">
        <v>112</v>
      </c>
      <c r="B42" s="167"/>
      <c r="C42" s="167"/>
      <c r="D42" s="167"/>
      <c r="E42" s="167"/>
      <c r="F42" s="167"/>
      <c r="G42" s="147"/>
      <c r="H42" s="147"/>
    </row>
    <row r="43" spans="1:9" x14ac:dyDescent="0.3">
      <c r="A43" s="148" t="s">
        <v>113</v>
      </c>
      <c r="B43" s="148"/>
      <c r="C43" s="148" t="s">
        <v>111</v>
      </c>
      <c r="D43" s="148"/>
      <c r="E43" s="148"/>
      <c r="F43" s="148"/>
      <c r="G43" s="147"/>
      <c r="H43" s="147"/>
    </row>
    <row r="44" spans="1:9" x14ac:dyDescent="0.3">
      <c r="A44" s="148" t="s">
        <v>114</v>
      </c>
      <c r="B44" s="148"/>
      <c r="C44" s="160">
        <v>71153</v>
      </c>
      <c r="D44" s="160"/>
      <c r="E44" s="160"/>
      <c r="F44" s="160"/>
      <c r="G44" s="147"/>
      <c r="H44" s="147"/>
    </row>
    <row r="45" spans="1:9" x14ac:dyDescent="0.3">
      <c r="A45" s="148" t="s">
        <v>304</v>
      </c>
      <c r="B45" s="148"/>
      <c r="C45" s="151">
        <v>67728.06</v>
      </c>
      <c r="D45" s="151"/>
      <c r="E45" s="151"/>
      <c r="F45" s="151"/>
      <c r="G45" s="147"/>
      <c r="H45" s="147"/>
    </row>
    <row r="46" spans="1:9" x14ac:dyDescent="0.3">
      <c r="A46" s="148" t="s">
        <v>115</v>
      </c>
      <c r="B46" s="148"/>
      <c r="C46" s="160">
        <v>216849</v>
      </c>
      <c r="D46" s="160"/>
      <c r="E46" s="160"/>
      <c r="F46" s="160"/>
      <c r="G46" s="147"/>
      <c r="H46" s="147"/>
      <c r="I46">
        <f>216849/67728.06</f>
        <v>3.2017600976611469</v>
      </c>
    </row>
    <row r="47" spans="1:9" x14ac:dyDescent="0.3">
      <c r="A47" s="161" t="s">
        <v>317</v>
      </c>
      <c r="B47" s="161"/>
      <c r="C47" s="151">
        <f>50429.68</f>
        <v>50429.68</v>
      </c>
      <c r="D47" s="151"/>
      <c r="E47" s="151"/>
      <c r="F47" s="151"/>
      <c r="G47" s="147"/>
      <c r="H47" s="147"/>
    </row>
    <row r="48" spans="1:9" x14ac:dyDescent="0.3">
      <c r="A48" s="161" t="s">
        <v>315</v>
      </c>
      <c r="B48" s="161"/>
      <c r="C48" s="151">
        <f>48816.01</f>
        <v>48816.01</v>
      </c>
      <c r="D48" s="151"/>
      <c r="E48" s="151"/>
      <c r="F48" s="151"/>
      <c r="G48" s="147"/>
      <c r="H48" s="147"/>
    </row>
    <row r="49" spans="1:10" x14ac:dyDescent="0.3">
      <c r="A49" s="161" t="s">
        <v>316</v>
      </c>
      <c r="B49" s="161"/>
      <c r="C49" s="151">
        <f>967.59+42.14+42.14+445.34+25.66+88.31</f>
        <v>1611.18</v>
      </c>
      <c r="D49" s="151"/>
      <c r="E49" s="151"/>
      <c r="F49" s="151"/>
      <c r="G49" s="147"/>
      <c r="H49" s="147"/>
    </row>
    <row r="50" spans="1:10" x14ac:dyDescent="0.3">
      <c r="A50" s="148" t="s">
        <v>116</v>
      </c>
      <c r="B50" s="148"/>
      <c r="C50" s="150">
        <f>8200</f>
        <v>8200</v>
      </c>
      <c r="D50" s="150"/>
      <c r="E50" s="150"/>
      <c r="F50" s="150"/>
      <c r="G50" s="147"/>
      <c r="H50" s="147"/>
    </row>
    <row r="51" spans="1:10" ht="37.5" customHeight="1" x14ac:dyDescent="0.3">
      <c r="A51" s="148" t="s">
        <v>318</v>
      </c>
      <c r="B51" s="148"/>
      <c r="C51" s="152">
        <f>1500+1950.74+926.77+649.38+1250.86+698.29</f>
        <v>6976.04</v>
      </c>
      <c r="D51" s="152"/>
      <c r="E51" s="152"/>
      <c r="F51" s="152"/>
      <c r="G51" s="147"/>
      <c r="H51" s="147"/>
    </row>
    <row r="52" spans="1:10" x14ac:dyDescent="0.3">
      <c r="A52" s="148" t="s">
        <v>117</v>
      </c>
      <c r="B52" s="148"/>
      <c r="C52" s="150">
        <v>4450.74</v>
      </c>
      <c r="D52" s="150"/>
      <c r="E52" s="150"/>
      <c r="F52" s="150"/>
      <c r="G52" s="147"/>
      <c r="H52" s="147"/>
    </row>
    <row r="53" spans="1:10" x14ac:dyDescent="0.3">
      <c r="A53" s="257" t="s">
        <v>118</v>
      </c>
      <c r="B53" s="257"/>
      <c r="C53" s="257"/>
      <c r="D53" s="257"/>
      <c r="E53" s="257"/>
      <c r="F53" s="257"/>
      <c r="G53" s="147"/>
      <c r="H53" s="147"/>
    </row>
    <row r="54" spans="1:10" x14ac:dyDescent="0.3">
      <c r="A54" s="148" t="s">
        <v>119</v>
      </c>
      <c r="B54" s="148"/>
      <c r="C54" s="254">
        <f>C46/C45</f>
        <v>3.2017600976611469</v>
      </c>
      <c r="D54" s="254"/>
      <c r="E54" s="254"/>
      <c r="F54" s="254"/>
      <c r="G54" s="255">
        <f>194</f>
        <v>194</v>
      </c>
      <c r="H54" s="255"/>
    </row>
    <row r="55" spans="1:10" x14ac:dyDescent="0.3">
      <c r="A55" s="148" t="s">
        <v>120</v>
      </c>
      <c r="B55" s="148"/>
      <c r="C55" s="151">
        <f>((56611.69+1442.62)/165869.49)</f>
        <v>0.34999993066838275</v>
      </c>
      <c r="D55" s="151"/>
      <c r="E55" s="151"/>
      <c r="F55" s="151"/>
      <c r="G55" s="158"/>
      <c r="H55" s="158"/>
    </row>
    <row r="56" spans="1:10" x14ac:dyDescent="0.3">
      <c r="A56" s="148" t="s">
        <v>2</v>
      </c>
      <c r="B56" s="148"/>
      <c r="C56" s="151" t="s">
        <v>319</v>
      </c>
      <c r="D56" s="151"/>
      <c r="E56" s="151"/>
      <c r="F56" s="151"/>
      <c r="G56" s="157"/>
      <c r="H56" s="147"/>
    </row>
    <row r="57" spans="1:10" x14ac:dyDescent="0.3">
      <c r="A57" s="148" t="s">
        <v>121</v>
      </c>
      <c r="B57" s="148"/>
      <c r="C57" s="151">
        <f>(33274.24/95069.27)</f>
        <v>0.3499999526660928</v>
      </c>
      <c r="D57" s="151"/>
      <c r="E57" s="151"/>
      <c r="F57" s="151"/>
      <c r="G57" s="158"/>
      <c r="H57" s="158"/>
      <c r="I57">
        <f>454+21</f>
        <v>475</v>
      </c>
    </row>
    <row r="58" spans="1:10" x14ac:dyDescent="0.3">
      <c r="A58" s="148" t="s">
        <v>122</v>
      </c>
      <c r="B58" s="148"/>
      <c r="C58" s="151" t="s">
        <v>319</v>
      </c>
      <c r="D58" s="151"/>
      <c r="E58" s="151"/>
      <c r="F58" s="151"/>
      <c r="G58" s="147"/>
      <c r="H58" s="147"/>
      <c r="I58" s="131">
        <f>454/475</f>
        <v>0.95578947368421052</v>
      </c>
      <c r="J58" s="130">
        <f>21/475</f>
        <v>4.4210526315789471E-2</v>
      </c>
    </row>
    <row r="59" spans="1:10" ht="21" hidden="1" customHeight="1" x14ac:dyDescent="0.3">
      <c r="A59" s="148" t="s">
        <v>123</v>
      </c>
      <c r="B59" s="148"/>
      <c r="C59" s="151" t="s">
        <v>305</v>
      </c>
      <c r="D59" s="151"/>
      <c r="E59" s="151"/>
      <c r="F59" s="151"/>
      <c r="G59" s="147"/>
      <c r="H59" s="147"/>
    </row>
    <row r="60" spans="1:10" x14ac:dyDescent="0.3">
      <c r="A60" s="148" t="s">
        <v>124</v>
      </c>
      <c r="B60" s="148"/>
      <c r="C60" s="254">
        <f>SUM(C54:F59)</f>
        <v>3.9017599809956223</v>
      </c>
      <c r="D60" s="254"/>
      <c r="E60" s="254"/>
      <c r="F60" s="254"/>
      <c r="G60" s="158">
        <f>C46/C45</f>
        <v>3.2017600976611469</v>
      </c>
      <c r="H60" s="158"/>
      <c r="I60" s="122">
        <f>260938.76/67728.06</f>
        <v>3.8527422755058982</v>
      </c>
    </row>
    <row r="61" spans="1:10" x14ac:dyDescent="0.3">
      <c r="A61" s="148" t="s">
        <v>125</v>
      </c>
      <c r="B61" s="148"/>
      <c r="C61" s="159"/>
      <c r="D61" s="159"/>
      <c r="E61" s="159"/>
      <c r="F61" s="159"/>
      <c r="G61" s="147"/>
      <c r="H61" s="147"/>
    </row>
    <row r="62" spans="1:10" x14ac:dyDescent="0.3">
      <c r="A62" s="253"/>
      <c r="B62" s="253"/>
      <c r="C62" s="253"/>
      <c r="D62" s="253"/>
      <c r="E62" s="253"/>
      <c r="F62" s="253"/>
    </row>
    <row r="63" spans="1:10" x14ac:dyDescent="0.3">
      <c r="A63" s="148" t="s">
        <v>126</v>
      </c>
      <c r="B63" s="148"/>
      <c r="C63" s="265" t="str">
        <f>D117</f>
        <v>Flats = 454, 
Shops = 21</v>
      </c>
      <c r="D63" s="265"/>
      <c r="E63" s="265"/>
      <c r="F63" s="265"/>
      <c r="G63" s="147"/>
      <c r="H63" s="147"/>
      <c r="I63" s="84"/>
      <c r="J63" s="84"/>
    </row>
    <row r="64" spans="1:10" x14ac:dyDescent="0.3">
      <c r="A64" s="148" t="s">
        <v>127</v>
      </c>
      <c r="B64" s="148"/>
      <c r="C64" s="265" t="s">
        <v>320</v>
      </c>
      <c r="D64" s="265"/>
      <c r="E64" s="265"/>
      <c r="F64" s="265"/>
      <c r="G64" s="147"/>
      <c r="H64" s="147"/>
    </row>
    <row r="65" spans="1:13" x14ac:dyDescent="0.3">
      <c r="A65" s="148" t="s">
        <v>128</v>
      </c>
      <c r="B65" s="148"/>
      <c r="C65" s="266" t="s">
        <v>362</v>
      </c>
      <c r="D65" s="266"/>
      <c r="E65" s="266"/>
      <c r="F65" s="266"/>
      <c r="G65" s="262" t="s">
        <v>284</v>
      </c>
      <c r="H65" s="262"/>
      <c r="I65" t="s">
        <v>285</v>
      </c>
    </row>
    <row r="66" spans="1:13" x14ac:dyDescent="0.3">
      <c r="A66" s="167" t="s">
        <v>129</v>
      </c>
      <c r="B66" s="167"/>
      <c r="C66" s="167"/>
      <c r="D66" s="167"/>
      <c r="E66" s="167"/>
      <c r="F66" s="167"/>
      <c r="G66" s="147"/>
      <c r="H66" s="147"/>
    </row>
    <row r="67" spans="1:13" ht="39" customHeight="1" x14ac:dyDescent="0.3">
      <c r="A67" s="90"/>
      <c r="B67" s="48" t="s">
        <v>130</v>
      </c>
      <c r="C67" s="48" t="s">
        <v>131</v>
      </c>
      <c r="D67" s="48" t="s">
        <v>136</v>
      </c>
      <c r="E67" s="48" t="s">
        <v>132</v>
      </c>
      <c r="F67" s="48" t="s">
        <v>135</v>
      </c>
      <c r="G67" s="52"/>
      <c r="H67" s="52"/>
      <c r="I67" s="52"/>
      <c r="J67" s="52"/>
      <c r="K67" s="52"/>
      <c r="L67" s="52"/>
      <c r="M67" s="52" t="str">
        <f t="shared" ref="M67" si="0">PROPER(G67)</f>
        <v/>
      </c>
    </row>
    <row r="68" spans="1:13" ht="75.75" customHeight="1" x14ac:dyDescent="0.3">
      <c r="A68" s="48" t="s">
        <v>133</v>
      </c>
      <c r="B68" s="90" t="s">
        <v>321</v>
      </c>
      <c r="C68" s="118" t="s">
        <v>323</v>
      </c>
      <c r="D68" s="118" t="s">
        <v>325</v>
      </c>
      <c r="E68" s="118" t="s">
        <v>327</v>
      </c>
      <c r="F68" s="90" t="s">
        <v>328</v>
      </c>
      <c r="G68" s="52"/>
    </row>
    <row r="69" spans="1:13" ht="35.25" customHeight="1" x14ac:dyDescent="0.3">
      <c r="A69" s="48" t="s">
        <v>134</v>
      </c>
      <c r="B69" s="90" t="s">
        <v>322</v>
      </c>
      <c r="C69" s="90" t="s">
        <v>324</v>
      </c>
      <c r="D69" s="90" t="s">
        <v>240</v>
      </c>
      <c r="E69" s="90" t="s">
        <v>326</v>
      </c>
      <c r="F69" s="90" t="s">
        <v>329</v>
      </c>
      <c r="G69" s="52"/>
    </row>
    <row r="70" spans="1:13" x14ac:dyDescent="0.3">
      <c r="A70" s="167" t="s">
        <v>137</v>
      </c>
      <c r="B70" s="167"/>
      <c r="C70" s="167"/>
      <c r="D70" s="167"/>
      <c r="E70" s="167"/>
      <c r="F70" s="167"/>
      <c r="G70" s="52"/>
    </row>
    <row r="71" spans="1:13" ht="47.25" customHeight="1" x14ac:dyDescent="0.3">
      <c r="A71" s="90"/>
      <c r="B71" s="48" t="s">
        <v>138</v>
      </c>
      <c r="C71" s="48" t="s">
        <v>139</v>
      </c>
      <c r="D71" s="48" t="s">
        <v>140</v>
      </c>
      <c r="E71" s="48" t="s">
        <v>141</v>
      </c>
      <c r="F71" s="48" t="s">
        <v>142</v>
      </c>
      <c r="G71" s="52"/>
      <c r="H71" s="52"/>
      <c r="I71" s="52"/>
      <c r="J71" s="52"/>
      <c r="K71" s="52"/>
      <c r="L71" s="52"/>
    </row>
    <row r="72" spans="1:13" ht="25.5" customHeight="1" x14ac:dyDescent="0.3">
      <c r="A72" s="48" t="s">
        <v>143</v>
      </c>
      <c r="B72" s="123" t="s">
        <v>275</v>
      </c>
      <c r="C72" s="123" t="s">
        <v>241</v>
      </c>
      <c r="D72" s="123" t="s">
        <v>241</v>
      </c>
      <c r="E72" s="123" t="s">
        <v>241</v>
      </c>
      <c r="F72" s="123" t="s">
        <v>241</v>
      </c>
      <c r="G72" s="52"/>
      <c r="H72" s="52"/>
      <c r="I72" s="52"/>
      <c r="J72" s="52"/>
      <c r="K72" s="52"/>
      <c r="L72" s="52"/>
    </row>
    <row r="73" spans="1:13" ht="42.75" customHeight="1" x14ac:dyDescent="0.3">
      <c r="A73" s="90"/>
      <c r="B73" s="48" t="s">
        <v>144</v>
      </c>
      <c r="C73" s="48" t="s">
        <v>145</v>
      </c>
      <c r="D73" s="48" t="s">
        <v>146</v>
      </c>
      <c r="E73" s="48" t="s">
        <v>147</v>
      </c>
      <c r="F73" s="48" t="s">
        <v>148</v>
      </c>
      <c r="G73" s="52"/>
      <c r="H73" s="52"/>
      <c r="I73" s="52"/>
      <c r="J73" s="52"/>
      <c r="K73" s="52"/>
      <c r="L73" s="52"/>
    </row>
    <row r="74" spans="1:13" x14ac:dyDescent="0.3">
      <c r="A74" s="48" t="s">
        <v>143</v>
      </c>
      <c r="B74" s="123" t="s">
        <v>241</v>
      </c>
      <c r="C74" s="123" t="s">
        <v>241</v>
      </c>
      <c r="D74" s="123" t="s">
        <v>241</v>
      </c>
      <c r="E74" s="123" t="s">
        <v>241</v>
      </c>
      <c r="F74" s="123" t="s">
        <v>241</v>
      </c>
      <c r="G74" s="52"/>
      <c r="H74" s="52"/>
      <c r="I74" s="52"/>
      <c r="J74" s="52"/>
      <c r="K74" s="52"/>
      <c r="L74" s="52"/>
    </row>
    <row r="75" spans="1:13" hidden="1" x14ac:dyDescent="0.3">
      <c r="A75" s="45" t="s">
        <v>3</v>
      </c>
      <c r="B75" s="89"/>
      <c r="C75" s="89"/>
      <c r="D75" s="89"/>
      <c r="E75" s="89"/>
      <c r="F75" s="89"/>
      <c r="G75" s="52"/>
      <c r="H75" s="52"/>
      <c r="I75" s="52"/>
      <c r="J75" s="52"/>
      <c r="K75" s="52"/>
      <c r="L75" s="52"/>
    </row>
    <row r="76" spans="1:13" x14ac:dyDescent="0.3">
      <c r="A76" s="90"/>
      <c r="B76" s="48" t="s">
        <v>149</v>
      </c>
      <c r="C76" s="48" t="s">
        <v>150</v>
      </c>
      <c r="D76" s="48" t="s">
        <v>151</v>
      </c>
      <c r="E76" s="48" t="s">
        <v>152</v>
      </c>
      <c r="F76" s="48" t="s">
        <v>153</v>
      </c>
      <c r="G76" s="52"/>
      <c r="H76" s="52"/>
      <c r="I76" s="52"/>
      <c r="J76" s="52"/>
      <c r="K76" s="52"/>
      <c r="L76" s="52"/>
    </row>
    <row r="77" spans="1:13" x14ac:dyDescent="0.3">
      <c r="A77" s="86" t="s">
        <v>143</v>
      </c>
      <c r="B77" s="123" t="s">
        <v>241</v>
      </c>
      <c r="C77" s="123" t="s">
        <v>241</v>
      </c>
      <c r="D77" s="123" t="s">
        <v>241</v>
      </c>
      <c r="E77" s="123" t="s">
        <v>241</v>
      </c>
      <c r="F77" s="123" t="s">
        <v>241</v>
      </c>
      <c r="G77" s="52"/>
      <c r="H77" s="52"/>
      <c r="I77" s="52"/>
      <c r="J77" s="52"/>
      <c r="K77" s="52"/>
      <c r="L77" s="52"/>
    </row>
    <row r="78" spans="1:13" hidden="1" x14ac:dyDescent="0.3">
      <c r="A78" s="85" t="s">
        <v>3</v>
      </c>
      <c r="B78" s="124"/>
      <c r="C78" s="124"/>
      <c r="D78" s="124"/>
      <c r="E78" s="124"/>
      <c r="F78" s="124"/>
      <c r="G78" s="52"/>
    </row>
    <row r="79" spans="1:13" x14ac:dyDescent="0.3">
      <c r="A79" s="150"/>
      <c r="B79" s="150"/>
      <c r="C79" s="150"/>
      <c r="D79" s="150"/>
      <c r="E79" s="150"/>
      <c r="F79" s="150"/>
      <c r="G79" s="52"/>
    </row>
    <row r="80" spans="1:13" ht="38.25" customHeight="1" thickBot="1" x14ac:dyDescent="0.35">
      <c r="A80" s="100" t="s">
        <v>154</v>
      </c>
      <c r="B80" s="264" t="s">
        <v>330</v>
      </c>
      <c r="C80" s="264"/>
      <c r="D80" s="264"/>
      <c r="E80" s="264"/>
      <c r="F80" s="264"/>
      <c r="G80" s="52"/>
      <c r="H80" s="125" t="s">
        <v>343</v>
      </c>
    </row>
    <row r="81" spans="1:12" x14ac:dyDescent="0.3">
      <c r="A81" s="168" t="s">
        <v>155</v>
      </c>
      <c r="B81" s="169"/>
      <c r="C81" s="169"/>
      <c r="D81" s="169"/>
      <c r="E81" s="169"/>
      <c r="F81" s="170"/>
      <c r="G81" s="52"/>
    </row>
    <row r="82" spans="1:12" ht="24" x14ac:dyDescent="0.3">
      <c r="A82" s="101" t="s">
        <v>167</v>
      </c>
      <c r="B82" s="190" t="str">
        <f>C33</f>
        <v>Slum Rehabilitation Authority (SRA)</v>
      </c>
      <c r="C82" s="190"/>
      <c r="D82" s="190"/>
      <c r="E82" s="190"/>
      <c r="F82" s="191"/>
      <c r="G82" s="52"/>
    </row>
    <row r="83" spans="1:12" ht="31.5" customHeight="1" x14ac:dyDescent="0.3">
      <c r="A83" s="102" t="s">
        <v>156</v>
      </c>
      <c r="B83" s="48" t="s">
        <v>168</v>
      </c>
      <c r="C83" s="48" t="s">
        <v>169</v>
      </c>
      <c r="D83" s="148" t="s">
        <v>170</v>
      </c>
      <c r="E83" s="148"/>
      <c r="F83" s="263"/>
      <c r="G83" s="52"/>
      <c r="H83" s="52"/>
      <c r="I83" s="52"/>
      <c r="J83" s="147"/>
      <c r="K83" s="147"/>
      <c r="L83" s="147"/>
    </row>
    <row r="84" spans="1:12" ht="31.5" customHeight="1" x14ac:dyDescent="0.3">
      <c r="A84" s="102" t="s">
        <v>157</v>
      </c>
      <c r="B84" s="91" t="s">
        <v>331</v>
      </c>
      <c r="C84" s="91" t="s">
        <v>332</v>
      </c>
      <c r="D84" s="153" t="s">
        <v>333</v>
      </c>
      <c r="E84" s="153"/>
      <c r="F84" s="154"/>
      <c r="G84" s="52"/>
    </row>
    <row r="85" spans="1:12" ht="31.5" customHeight="1" x14ac:dyDescent="0.3">
      <c r="A85" s="102" t="s">
        <v>158</v>
      </c>
      <c r="B85" s="91" t="s">
        <v>331</v>
      </c>
      <c r="C85" s="91" t="s">
        <v>332</v>
      </c>
      <c r="D85" s="153" t="s">
        <v>333</v>
      </c>
      <c r="E85" s="153"/>
      <c r="F85" s="154"/>
      <c r="G85" s="52"/>
    </row>
    <row r="86" spans="1:12" ht="29.1" customHeight="1" x14ac:dyDescent="0.3">
      <c r="A86" s="155" t="s">
        <v>159</v>
      </c>
      <c r="B86" s="156" t="s">
        <v>331</v>
      </c>
      <c r="C86" s="156" t="s">
        <v>332</v>
      </c>
      <c r="D86" s="153" t="s">
        <v>333</v>
      </c>
      <c r="E86" s="153"/>
      <c r="F86" s="154"/>
      <c r="G86" s="52"/>
    </row>
    <row r="87" spans="1:12" ht="33.75" customHeight="1" x14ac:dyDescent="0.3">
      <c r="A87" s="155"/>
      <c r="B87" s="156"/>
      <c r="C87" s="156"/>
      <c r="D87" s="153" t="s">
        <v>334</v>
      </c>
      <c r="E87" s="153"/>
      <c r="F87" s="154"/>
      <c r="G87" s="52"/>
    </row>
    <row r="88" spans="1:12" ht="54" customHeight="1" x14ac:dyDescent="0.3">
      <c r="A88" s="102" t="s">
        <v>160</v>
      </c>
      <c r="B88" s="91" t="s">
        <v>335</v>
      </c>
      <c r="C88" s="91" t="s">
        <v>246</v>
      </c>
      <c r="D88" s="156" t="s">
        <v>246</v>
      </c>
      <c r="E88" s="156"/>
      <c r="F88" s="256"/>
      <c r="G88" s="52"/>
    </row>
    <row r="89" spans="1:12" ht="35.4" customHeight="1" x14ac:dyDescent="0.3">
      <c r="A89" s="102" t="s">
        <v>161</v>
      </c>
      <c r="B89" s="91" t="s">
        <v>335</v>
      </c>
      <c r="C89" s="91" t="s">
        <v>246</v>
      </c>
      <c r="D89" s="156" t="s">
        <v>246</v>
      </c>
      <c r="E89" s="156"/>
      <c r="F89" s="256"/>
      <c r="G89" s="52"/>
    </row>
    <row r="90" spans="1:12" ht="29.1" customHeight="1" x14ac:dyDescent="0.3">
      <c r="A90" s="102" t="s">
        <v>162</v>
      </c>
      <c r="B90" s="91" t="s">
        <v>335</v>
      </c>
      <c r="C90" s="91" t="s">
        <v>246</v>
      </c>
      <c r="D90" s="156" t="s">
        <v>246</v>
      </c>
      <c r="E90" s="156"/>
      <c r="F90" s="256"/>
      <c r="G90" s="52"/>
    </row>
    <row r="91" spans="1:12" ht="29.4" customHeight="1" x14ac:dyDescent="0.3">
      <c r="A91" s="102" t="s">
        <v>163</v>
      </c>
      <c r="B91" s="91" t="s">
        <v>335</v>
      </c>
      <c r="C91" s="91" t="s">
        <v>246</v>
      </c>
      <c r="D91" s="156" t="s">
        <v>246</v>
      </c>
      <c r="E91" s="156"/>
      <c r="F91" s="256"/>
      <c r="G91" s="52"/>
    </row>
    <row r="92" spans="1:12" ht="75" customHeight="1" x14ac:dyDescent="0.3">
      <c r="A92" s="102" t="s">
        <v>255</v>
      </c>
      <c r="B92" s="123" t="s">
        <v>331</v>
      </c>
      <c r="C92" s="123" t="s">
        <v>379</v>
      </c>
      <c r="D92" s="260" t="s">
        <v>380</v>
      </c>
      <c r="E92" s="260"/>
      <c r="F92" s="261"/>
      <c r="G92" s="52"/>
    </row>
    <row r="93" spans="1:12" ht="79.5" customHeight="1" x14ac:dyDescent="0.3">
      <c r="A93" s="102" t="s">
        <v>256</v>
      </c>
      <c r="B93" s="91" t="s">
        <v>331</v>
      </c>
      <c r="C93" s="91" t="s">
        <v>336</v>
      </c>
      <c r="D93" s="153" t="s">
        <v>337</v>
      </c>
      <c r="E93" s="153"/>
      <c r="F93" s="154"/>
      <c r="G93" s="52"/>
    </row>
    <row r="94" spans="1:12" ht="40.5" customHeight="1" x14ac:dyDescent="0.3">
      <c r="A94" s="134" t="s">
        <v>257</v>
      </c>
      <c r="B94" s="91" t="s">
        <v>335</v>
      </c>
      <c r="C94" s="91" t="s">
        <v>246</v>
      </c>
      <c r="D94" s="156" t="s">
        <v>246</v>
      </c>
      <c r="E94" s="156"/>
      <c r="F94" s="256"/>
      <c r="G94" s="52"/>
    </row>
    <row r="95" spans="1:12" ht="31.5" customHeight="1" x14ac:dyDescent="0.3">
      <c r="A95" s="102" t="s">
        <v>164</v>
      </c>
      <c r="B95" s="91" t="s">
        <v>331</v>
      </c>
      <c r="C95" s="91" t="s">
        <v>246</v>
      </c>
      <c r="D95" s="153" t="s">
        <v>338</v>
      </c>
      <c r="E95" s="153"/>
      <c r="F95" s="154"/>
      <c r="G95" s="52"/>
    </row>
    <row r="96" spans="1:12" ht="36" hidden="1" customHeight="1" x14ac:dyDescent="0.3">
      <c r="A96" s="102" t="s">
        <v>165</v>
      </c>
      <c r="B96" s="91"/>
      <c r="C96" s="91"/>
      <c r="D96" s="153"/>
      <c r="E96" s="153"/>
      <c r="F96" s="154"/>
      <c r="G96" s="52"/>
    </row>
    <row r="97" spans="1:12" ht="24.6" thickBot="1" x14ac:dyDescent="0.35">
      <c r="A97" s="103" t="s">
        <v>166</v>
      </c>
      <c r="B97" s="251" t="s">
        <v>339</v>
      </c>
      <c r="C97" s="251"/>
      <c r="D97" s="251"/>
      <c r="E97" s="251"/>
      <c r="F97" s="252"/>
      <c r="G97" s="52"/>
    </row>
    <row r="98" spans="1:12" x14ac:dyDescent="0.3">
      <c r="A98" s="171" t="s">
        <v>171</v>
      </c>
      <c r="B98" s="171"/>
      <c r="C98" s="171"/>
      <c r="D98" s="171"/>
      <c r="E98" s="171"/>
      <c r="F98" s="171"/>
      <c r="G98" s="52"/>
      <c r="I98" s="52"/>
    </row>
    <row r="99" spans="1:12" ht="63.75" customHeight="1" x14ac:dyDescent="0.3">
      <c r="A99" s="48" t="s">
        <v>172</v>
      </c>
      <c r="B99" s="95" t="s">
        <v>241</v>
      </c>
      <c r="C99" s="86" t="s">
        <v>176</v>
      </c>
      <c r="D99" s="95" t="s">
        <v>258</v>
      </c>
      <c r="E99" s="93" t="s">
        <v>173</v>
      </c>
      <c r="F99" s="123" t="s">
        <v>340</v>
      </c>
      <c r="G99" s="52"/>
      <c r="J99" s="52"/>
    </row>
    <row r="100" spans="1:12" ht="31.5" customHeight="1" x14ac:dyDescent="0.3">
      <c r="A100" s="45" t="s">
        <v>174</v>
      </c>
      <c r="B100" s="258" t="s">
        <v>341</v>
      </c>
      <c r="C100" s="159"/>
      <c r="D100" s="45" t="s">
        <v>177</v>
      </c>
      <c r="E100" s="259" t="s">
        <v>342</v>
      </c>
      <c r="F100" s="159"/>
      <c r="G100" s="52"/>
      <c r="J100" s="52"/>
    </row>
    <row r="101" spans="1:12" ht="29.4" customHeight="1" x14ac:dyDescent="0.3">
      <c r="A101" s="45" t="s">
        <v>175</v>
      </c>
      <c r="B101" s="150" t="s">
        <v>254</v>
      </c>
      <c r="C101" s="150"/>
      <c r="D101" s="85" t="s">
        <v>178</v>
      </c>
      <c r="E101" s="150" t="s">
        <v>246</v>
      </c>
      <c r="F101" s="150"/>
      <c r="G101" s="52"/>
      <c r="J101" s="52"/>
    </row>
    <row r="102" spans="1:12" x14ac:dyDescent="0.3">
      <c r="A102" s="167" t="s">
        <v>179</v>
      </c>
      <c r="B102" s="167"/>
      <c r="C102" s="167"/>
      <c r="D102" s="167"/>
      <c r="E102" s="167"/>
      <c r="F102" s="167"/>
      <c r="G102" s="52"/>
      <c r="I102" s="52"/>
    </row>
    <row r="103" spans="1:12" x14ac:dyDescent="0.3">
      <c r="A103" s="45" t="s">
        <v>186</v>
      </c>
      <c r="B103" s="267" t="s">
        <v>259</v>
      </c>
      <c r="C103" s="267"/>
      <c r="D103" s="85" t="s">
        <v>180</v>
      </c>
      <c r="E103" s="150" t="s">
        <v>254</v>
      </c>
      <c r="F103" s="150"/>
      <c r="G103" s="52"/>
      <c r="J103" s="52"/>
    </row>
    <row r="104" spans="1:12" ht="24" x14ac:dyDescent="0.3">
      <c r="A104" s="45" t="s">
        <v>187</v>
      </c>
      <c r="B104" s="150" t="s">
        <v>241</v>
      </c>
      <c r="C104" s="150"/>
      <c r="D104" s="85" t="s">
        <v>181</v>
      </c>
      <c r="E104" s="267" t="s">
        <v>260</v>
      </c>
      <c r="F104" s="267"/>
      <c r="G104" s="52"/>
      <c r="J104" s="52"/>
    </row>
    <row r="105" spans="1:12" ht="36" x14ac:dyDescent="0.3">
      <c r="A105" s="45" t="s">
        <v>188</v>
      </c>
      <c r="B105" s="150" t="s">
        <v>254</v>
      </c>
      <c r="C105" s="150"/>
      <c r="D105" s="85" t="s">
        <v>182</v>
      </c>
      <c r="E105" s="150" t="s">
        <v>254</v>
      </c>
      <c r="F105" s="150"/>
      <c r="G105" s="52"/>
      <c r="J105" s="52"/>
    </row>
    <row r="106" spans="1:12" ht="24" customHeight="1" x14ac:dyDescent="0.3">
      <c r="A106" s="45" t="s">
        <v>189</v>
      </c>
      <c r="B106" s="150" t="s">
        <v>254</v>
      </c>
      <c r="C106" s="150"/>
      <c r="D106" s="85" t="s">
        <v>183</v>
      </c>
      <c r="E106" s="150" t="s">
        <v>254</v>
      </c>
      <c r="F106" s="150"/>
      <c r="G106" s="52"/>
      <c r="J106" s="52"/>
    </row>
    <row r="107" spans="1:12" ht="36" x14ac:dyDescent="0.3">
      <c r="A107" s="45" t="s">
        <v>190</v>
      </c>
      <c r="B107" s="150" t="s">
        <v>254</v>
      </c>
      <c r="C107" s="150"/>
      <c r="D107" s="85" t="s">
        <v>184</v>
      </c>
      <c r="E107" s="150" t="s">
        <v>254</v>
      </c>
      <c r="F107" s="150"/>
      <c r="G107" s="52"/>
      <c r="J107" s="52"/>
    </row>
    <row r="108" spans="1:12" x14ac:dyDescent="0.3">
      <c r="A108" s="45" t="s">
        <v>191</v>
      </c>
      <c r="B108" s="150" t="s">
        <v>254</v>
      </c>
      <c r="C108" s="150"/>
      <c r="D108" s="85" t="s">
        <v>185</v>
      </c>
      <c r="E108" s="150" t="s">
        <v>254</v>
      </c>
      <c r="F108" s="150"/>
      <c r="G108" s="52"/>
      <c r="J108" s="52"/>
    </row>
    <row r="109" spans="1:12" x14ac:dyDescent="0.3">
      <c r="A109" s="148" t="s">
        <v>192</v>
      </c>
      <c r="B109" s="148"/>
      <c r="C109" s="174" t="s">
        <v>241</v>
      </c>
      <c r="D109" s="174"/>
      <c r="E109" s="174"/>
      <c r="F109" s="174"/>
      <c r="G109" s="147"/>
      <c r="H109" s="147"/>
    </row>
    <row r="110" spans="1:12" ht="30" customHeight="1" x14ac:dyDescent="0.3">
      <c r="A110" s="148" t="s">
        <v>193</v>
      </c>
      <c r="B110" s="148"/>
      <c r="C110" s="174" t="s">
        <v>254</v>
      </c>
      <c r="D110" s="174"/>
      <c r="E110" s="174"/>
      <c r="F110" s="174"/>
      <c r="G110" s="147"/>
      <c r="H110" s="147"/>
    </row>
    <row r="111" spans="1:12" x14ac:dyDescent="0.3">
      <c r="A111" s="167" t="s">
        <v>194</v>
      </c>
      <c r="B111" s="167"/>
      <c r="C111" s="167"/>
      <c r="D111" s="167"/>
      <c r="E111" s="167"/>
      <c r="F111" s="167"/>
      <c r="G111" s="52"/>
    </row>
    <row r="112" spans="1:12" ht="36" customHeight="1" x14ac:dyDescent="0.3">
      <c r="A112" s="175" t="s">
        <v>196</v>
      </c>
      <c r="B112" s="175"/>
      <c r="C112" s="175"/>
      <c r="D112" s="175"/>
      <c r="E112" s="175" t="s">
        <v>195</v>
      </c>
      <c r="F112" s="175"/>
      <c r="G112" s="52"/>
      <c r="H112" s="52"/>
      <c r="I112" s="52"/>
      <c r="J112" s="52"/>
      <c r="K112" s="52"/>
      <c r="L112" s="52"/>
    </row>
    <row r="113" spans="1:12" x14ac:dyDescent="0.3">
      <c r="A113" s="176" t="s">
        <v>246</v>
      </c>
      <c r="B113" s="176"/>
      <c r="C113" s="176"/>
      <c r="D113" s="176"/>
      <c r="E113" s="150" t="s">
        <v>254</v>
      </c>
      <c r="F113" s="150"/>
    </row>
    <row r="114" spans="1:12" hidden="1" x14ac:dyDescent="0.3">
      <c r="A114" s="176"/>
      <c r="B114" s="176"/>
      <c r="C114" s="176"/>
      <c r="D114" s="176"/>
      <c r="E114" s="176"/>
      <c r="F114" s="176"/>
    </row>
    <row r="115" spans="1:12" x14ac:dyDescent="0.3">
      <c r="A115" s="159"/>
      <c r="B115" s="159"/>
      <c r="C115" s="159"/>
      <c r="D115" s="159"/>
      <c r="E115" s="159"/>
      <c r="F115" s="159"/>
    </row>
    <row r="116" spans="1:12" ht="36" x14ac:dyDescent="0.3">
      <c r="A116" s="48" t="s">
        <v>197</v>
      </c>
      <c r="B116" s="48" t="s">
        <v>198</v>
      </c>
      <c r="C116" s="48" t="s">
        <v>199</v>
      </c>
      <c r="D116" s="48" t="s">
        <v>200</v>
      </c>
      <c r="E116" s="48" t="s">
        <v>201</v>
      </c>
      <c r="F116" s="48" t="s">
        <v>202</v>
      </c>
      <c r="G116" s="52"/>
      <c r="H116" s="52"/>
      <c r="I116" s="52"/>
      <c r="J116" s="52"/>
      <c r="K116" s="52"/>
      <c r="L116" s="52"/>
    </row>
    <row r="117" spans="1:12" ht="45.75" customHeight="1" x14ac:dyDescent="0.3">
      <c r="A117" s="90">
        <f t="shared" ref="A117:F117" si="1">A156</f>
        <v>1</v>
      </c>
      <c r="B117" s="90">
        <f t="shared" si="1"/>
        <v>1</v>
      </c>
      <c r="C117" s="90">
        <f t="shared" si="1"/>
        <v>2</v>
      </c>
      <c r="D117" s="118" t="str">
        <f t="shared" si="1"/>
        <v>Flats = 454, 
Shops = 21</v>
      </c>
      <c r="E117" s="90" t="str">
        <f t="shared" si="1"/>
        <v>-</v>
      </c>
      <c r="F117" s="90">
        <f t="shared" si="1"/>
        <v>475</v>
      </c>
    </row>
    <row r="118" spans="1:12" x14ac:dyDescent="0.3">
      <c r="A118" s="148" t="s">
        <v>261</v>
      </c>
      <c r="B118" s="148"/>
      <c r="C118" s="174" t="s">
        <v>344</v>
      </c>
      <c r="D118" s="174"/>
      <c r="E118" s="174"/>
      <c r="F118" s="174"/>
      <c r="G118" s="147"/>
      <c r="H118" s="147"/>
    </row>
    <row r="119" spans="1:12" ht="15" customHeight="1" x14ac:dyDescent="0.3">
      <c r="A119" s="148" t="s">
        <v>262</v>
      </c>
      <c r="B119" s="148"/>
      <c r="C119" s="174" t="s">
        <v>368</v>
      </c>
      <c r="D119" s="174"/>
      <c r="E119" s="174"/>
      <c r="F119" s="174"/>
      <c r="G119" s="147"/>
      <c r="H119" s="147"/>
    </row>
    <row r="120" spans="1:12" hidden="1" x14ac:dyDescent="0.3">
      <c r="A120" s="148"/>
      <c r="B120" s="148"/>
      <c r="C120" s="174" t="s">
        <v>345</v>
      </c>
      <c r="D120" s="174"/>
      <c r="E120" s="174"/>
      <c r="F120" s="174"/>
      <c r="G120" s="147"/>
      <c r="H120" s="147"/>
    </row>
    <row r="121" spans="1:12" ht="26.25" customHeight="1" x14ac:dyDescent="0.3">
      <c r="A121" s="148" t="s">
        <v>203</v>
      </c>
      <c r="B121" s="148"/>
      <c r="C121" s="174" t="s">
        <v>241</v>
      </c>
      <c r="D121" s="174"/>
      <c r="E121" s="174"/>
      <c r="F121" s="174"/>
      <c r="G121" s="147"/>
      <c r="H121" s="147"/>
    </row>
    <row r="122" spans="1:12" x14ac:dyDescent="0.3">
      <c r="A122" s="148" t="s">
        <v>204</v>
      </c>
      <c r="B122" s="148"/>
      <c r="C122" s="174" t="s">
        <v>241</v>
      </c>
      <c r="D122" s="174"/>
      <c r="E122" s="174"/>
      <c r="F122" s="174"/>
      <c r="G122" s="147"/>
      <c r="H122" s="147"/>
    </row>
    <row r="123" spans="1:12" ht="33" customHeight="1" x14ac:dyDescent="0.3">
      <c r="A123" s="148" t="s">
        <v>205</v>
      </c>
      <c r="B123" s="148"/>
      <c r="C123" s="258" t="s">
        <v>375</v>
      </c>
      <c r="D123" s="258"/>
      <c r="E123" s="258"/>
      <c r="F123" s="258"/>
      <c r="G123" s="147"/>
      <c r="H123" s="147"/>
    </row>
    <row r="124" spans="1:12" ht="51" customHeight="1" x14ac:dyDescent="0.3">
      <c r="A124" s="148" t="s">
        <v>206</v>
      </c>
      <c r="B124" s="148"/>
      <c r="C124" s="272" t="s">
        <v>367</v>
      </c>
      <c r="D124" s="272"/>
      <c r="E124" s="272"/>
      <c r="F124" s="272"/>
      <c r="G124" s="147"/>
      <c r="H124" s="147"/>
    </row>
    <row r="125" spans="1:12" ht="15" thickBot="1" x14ac:dyDescent="0.35">
      <c r="A125" s="273" t="s">
        <v>4</v>
      </c>
      <c r="B125" s="273"/>
      <c r="C125" s="273"/>
      <c r="D125" s="273"/>
      <c r="E125" s="273"/>
      <c r="F125" s="273"/>
      <c r="G125" s="1"/>
      <c r="H125" s="1"/>
    </row>
    <row r="126" spans="1:12" x14ac:dyDescent="0.3">
      <c r="A126" s="221" t="str">
        <f>C119</f>
        <v>Building No. 13 Wing C &amp; D = 3B + Gr + 1st to 27th Floor</v>
      </c>
      <c r="B126" s="222"/>
      <c r="C126" s="67" t="s">
        <v>5</v>
      </c>
      <c r="D126" s="67" t="s">
        <v>6</v>
      </c>
      <c r="E126" s="67" t="s">
        <v>7</v>
      </c>
      <c r="F126" s="68" t="s">
        <v>8</v>
      </c>
      <c r="G126" s="2" t="str">
        <f ca="1">(IF(E130&gt;99%,"All work completed. Please provide OC.",IF(E130&gt;89.8%,"Plinth, RCC, Brick, Plaster, Flooring, Painting work Completed. Finishing work is in process.",IF(E130&lt;94%,(IF(C130=0,"Work not yet Started.",IF(C130=H131,"Excavation Work in process",IF(C130=H132,"Foundation Work in process",IF(C130=H133,"1st Basement Completed",IF(C130=H134,"1st &amp; 2nd Basement Completed",IF(C130=H135,"1st to 3rd Basement Completed",IF(C130=H136,"1st to 4th Basement Completed",IF(C130=H137,"Plinth work is process",IF(C130=H138,"Plinth work completed","0"))))))))))))&amp;(IF(C131=(D127+E127+F127),", RCC Slab",IF(C131&gt;0,", RCC upto "&amp;C131&amp;" Slab",""))&amp;(IF(C132=F127,", Brickwork",IF(C132&gt;0,", Brickwork upto "&amp;C132&amp;" Floor",""))&amp;(IF(C133=F127,", Internal Plaster",IF(C133&gt;0,", Internal Plaster upto "&amp;C133&amp;" Floor",""))&amp;(IF(C134=F127,", External Plaster",IF(C134&gt;0,", External Plaster upto "&amp;C134&amp;" Floor",""))&amp;(IF(C135=F127,", Flooring",IF(C135&gt;0,", Flooring upto "&amp;C135&amp;" Floor",""))&amp;(IF(C136=F127,", Painting",IF(C136&gt;0,", Painting upto "&amp;C136&amp;" Floor",""))&amp;(IF(C137&gt;0,", Finishing upto "&amp;C137&amp;" Floor","")&amp;(IF(C131&gt;0.5," Completed","")))))))))))</f>
        <v>Plinth work completed</v>
      </c>
      <c r="H126" s="3"/>
    </row>
    <row r="127" spans="1:12" x14ac:dyDescent="0.3">
      <c r="A127" s="223"/>
      <c r="B127" s="224"/>
      <c r="C127" s="69">
        <v>3</v>
      </c>
      <c r="D127" s="69">
        <v>1</v>
      </c>
      <c r="E127" s="69">
        <v>0</v>
      </c>
      <c r="F127" s="70">
        <f ca="1">--TRIM(RIGHT(SUBSTITUTE(LEFT(A126,_xlfn.AGGREGATE(16,6,FIND({0,1,2,3,4,5,6,7,8,9},A126,ROW(INDIRECT("1:"&amp;LEN(A126)))),1))," ",REPT(" ",LEN(A126))),LEN(A126)))</f>
        <v>27</v>
      </c>
      <c r="G127" s="4"/>
      <c r="H127" s="5"/>
      <c r="L127" t="s">
        <v>209</v>
      </c>
    </row>
    <row r="128" spans="1:12" x14ac:dyDescent="0.3">
      <c r="A128" s="104" t="s">
        <v>9</v>
      </c>
      <c r="B128" s="268" t="str">
        <f ca="1">G126</f>
        <v>Plinth work completed</v>
      </c>
      <c r="C128" s="268"/>
      <c r="D128" s="268"/>
      <c r="E128" s="268"/>
      <c r="F128" s="269"/>
      <c r="G128" s="4" t="s">
        <v>10</v>
      </c>
      <c r="H128" s="5"/>
      <c r="L128" t="s">
        <v>207</v>
      </c>
    </row>
    <row r="129" spans="1:12" x14ac:dyDescent="0.3">
      <c r="A129" s="71" t="s">
        <v>11</v>
      </c>
      <c r="B129" s="72" t="s">
        <v>12</v>
      </c>
      <c r="C129" s="73" t="s">
        <v>13</v>
      </c>
      <c r="D129" s="73" t="s">
        <v>14</v>
      </c>
      <c r="E129" s="270" t="s">
        <v>37</v>
      </c>
      <c r="F129" s="271"/>
      <c r="G129" s="6"/>
      <c r="H129" s="7"/>
      <c r="L129" t="s">
        <v>208</v>
      </c>
    </row>
    <row r="130" spans="1:12" x14ac:dyDescent="0.3">
      <c r="A130" s="71" t="s">
        <v>19</v>
      </c>
      <c r="B130" s="74">
        <v>0.35</v>
      </c>
      <c r="C130" s="77">
        <f ca="1">H138</f>
        <v>27</v>
      </c>
      <c r="D130" s="76">
        <f ca="1">((100/F127)*C130)/100</f>
        <v>1</v>
      </c>
      <c r="E130" s="238">
        <f ca="1">((((C130/F127)*35)+(35/(F127+E127+D127)*C131)+(5/F127*C132)+(5/F127*C133)+(5/F127*C134)+(5/F127*C135)+(5/F127*C136)+(2.5/F127*C137)+(2.5/F127*C138))/100)</f>
        <v>0.35</v>
      </c>
      <c r="F130" s="239"/>
      <c r="G130" s="6"/>
      <c r="H130" s="8"/>
    </row>
    <row r="131" spans="1:12" ht="28.8" x14ac:dyDescent="0.3">
      <c r="A131" s="71" t="s">
        <v>21</v>
      </c>
      <c r="B131" s="74">
        <v>0.35</v>
      </c>
      <c r="C131" s="87">
        <v>0</v>
      </c>
      <c r="D131" s="76">
        <f ca="1">((100/(D127+E127+F127))*C131)/100</f>
        <v>0</v>
      </c>
      <c r="E131" s="238"/>
      <c r="F131" s="239"/>
      <c r="G131" s="6" t="s">
        <v>276</v>
      </c>
      <c r="H131" s="9">
        <f ca="1">F127/7</f>
        <v>3.8571428571428572</v>
      </c>
    </row>
    <row r="132" spans="1:12" x14ac:dyDescent="0.3">
      <c r="A132" s="71" t="s">
        <v>23</v>
      </c>
      <c r="B132" s="74">
        <v>0.05</v>
      </c>
      <c r="C132" s="75">
        <v>0</v>
      </c>
      <c r="D132" s="76">
        <f ca="1">((100/F127)*C132)/100</f>
        <v>0</v>
      </c>
      <c r="E132" s="238"/>
      <c r="F132" s="239"/>
      <c r="G132" s="6" t="s">
        <v>277</v>
      </c>
      <c r="H132" s="9">
        <f ca="1">(IF(C127&gt;1,(F127/(C127+2)),F127/3.5))</f>
        <v>5.4</v>
      </c>
    </row>
    <row r="133" spans="1:12" x14ac:dyDescent="0.3">
      <c r="A133" s="71" t="s">
        <v>38</v>
      </c>
      <c r="B133" s="74">
        <v>0.05</v>
      </c>
      <c r="C133" s="75">
        <v>0</v>
      </c>
      <c r="D133" s="76">
        <f ca="1">((100/F127)*C133)/100</f>
        <v>0</v>
      </c>
      <c r="E133" s="238"/>
      <c r="F133" s="239"/>
      <c r="G133" s="6" t="s">
        <v>26</v>
      </c>
      <c r="H133" s="9">
        <f ca="1">(IF(C127&gt;1,(F127/(C127+2)+H132),0))</f>
        <v>10.8</v>
      </c>
    </row>
    <row r="134" spans="1:12" x14ac:dyDescent="0.3">
      <c r="A134" s="71" t="s">
        <v>29</v>
      </c>
      <c r="B134" s="74">
        <v>0.05</v>
      </c>
      <c r="C134" s="75">
        <v>0</v>
      </c>
      <c r="D134" s="76">
        <f ca="1">((100/(F127))*C134)/100</f>
        <v>0</v>
      </c>
      <c r="E134" s="238"/>
      <c r="F134" s="239"/>
      <c r="G134" s="6" t="s">
        <v>28</v>
      </c>
      <c r="H134" s="9">
        <f ca="1">(IF(C127&gt;2,(F127/(C127+2)+H133),0))</f>
        <v>16.200000000000003</v>
      </c>
    </row>
    <row r="135" spans="1:12" ht="28.8" x14ac:dyDescent="0.3">
      <c r="A135" s="71" t="s">
        <v>39</v>
      </c>
      <c r="B135" s="74">
        <v>0.05</v>
      </c>
      <c r="C135" s="75">
        <v>0</v>
      </c>
      <c r="D135" s="76">
        <f ca="1">((100/F127)*C135)/100</f>
        <v>0</v>
      </c>
      <c r="E135" s="238"/>
      <c r="F135" s="239"/>
      <c r="G135" s="6" t="s">
        <v>30</v>
      </c>
      <c r="H135" s="10">
        <f>(IF(C127&gt;3,(F127/(C127+2)+H134),0))</f>
        <v>0</v>
      </c>
    </row>
    <row r="136" spans="1:12" x14ac:dyDescent="0.3">
      <c r="A136" s="71" t="s">
        <v>31</v>
      </c>
      <c r="B136" s="74">
        <v>0.05</v>
      </c>
      <c r="C136" s="75">
        <v>0</v>
      </c>
      <c r="D136" s="76">
        <f ca="1">((100/F127)*C136)/100</f>
        <v>0</v>
      </c>
      <c r="E136" s="238"/>
      <c r="F136" s="239"/>
      <c r="G136" s="6" t="s">
        <v>32</v>
      </c>
      <c r="H136" s="9">
        <f>(IF(C127&gt;4,(F127/(C127+2)+H135),0))</f>
        <v>0</v>
      </c>
    </row>
    <row r="137" spans="1:12" x14ac:dyDescent="0.3">
      <c r="A137" s="71" t="s">
        <v>40</v>
      </c>
      <c r="B137" s="74">
        <v>2.5000000000000001E-2</v>
      </c>
      <c r="C137" s="75">
        <v>0</v>
      </c>
      <c r="D137" s="76">
        <f ca="1">((100/(F127))*C137)/100</f>
        <v>0</v>
      </c>
      <c r="E137" s="238"/>
      <c r="F137" s="239"/>
      <c r="G137" s="6" t="s">
        <v>34</v>
      </c>
      <c r="H137" s="9">
        <f>(IF(C127=1,(F127/(C127+3)+H132),IF(C127=0,(F127*2/7+H132),IF(C127&gt;1,0))))</f>
        <v>0</v>
      </c>
    </row>
    <row r="138" spans="1:12" ht="15" thickBot="1" x14ac:dyDescent="0.35">
      <c r="A138" s="105" t="s">
        <v>35</v>
      </c>
      <c r="B138" s="106">
        <v>2.5000000000000001E-2</v>
      </c>
      <c r="C138" s="107">
        <v>0</v>
      </c>
      <c r="D138" s="108">
        <f ca="1">((100/(F127))*C138)/100</f>
        <v>0</v>
      </c>
      <c r="E138" s="240"/>
      <c r="F138" s="241"/>
      <c r="G138" s="11" t="s">
        <v>36</v>
      </c>
      <c r="H138" s="12">
        <f ca="1">F127</f>
        <v>27</v>
      </c>
    </row>
    <row r="139" spans="1:12" ht="15" hidden="1" customHeight="1" x14ac:dyDescent="0.3">
      <c r="A139" s="221" t="str">
        <f>C120</f>
        <v>Building No. 13 Wing D = 3B + Gr + 1st to 26th Floor</v>
      </c>
      <c r="B139" s="222"/>
      <c r="C139" s="67" t="s">
        <v>5</v>
      </c>
      <c r="D139" s="67" t="s">
        <v>6</v>
      </c>
      <c r="E139" s="67" t="s">
        <v>7</v>
      </c>
      <c r="F139" s="68" t="s">
        <v>8</v>
      </c>
      <c r="G139" s="2" t="str">
        <f ca="1">(IF(E143&gt;99%,"All work completed. Please provide OC.",IF(E143&gt;89.8%,"Plinth, RCC, Brick, Plaster, Flooring, Painting work Completed. Finishing work is in process.",IF(E143&lt;94%,(IF(C143=0,"Work not yet Started.",IF(C143=H144,"Excavation Work in process",IF(C143=H145,"Foudation Work in process",IF(C143=H146,"1st Basement Completed",IF(C143=H147,"1st &amp; 2nd Basement Completed",IF(C143=H148,"1st to 3rd Basement Completed",IF(C143=H149,"1st to 4th Basement Completed",IF(C143=H150,"Plinth work is process",IF(C143=H151,"Plinth work completed","0"))))))))))))&amp;(IF(C144=(D140+E140+F140),", RCC Slab",IF(C144&gt;0,", RCC upto "&amp;C144&amp;" Slab",""))&amp;(IF(C145=F140,", Brickwork",IF(C145&gt;0,", Brickwork upto "&amp;C145&amp;" Floor",""))&amp;(IF(C146=F140,", Internal Plaster",IF(C146&gt;0,", Internal Plaster upto "&amp;C146&amp;" Floor",""))&amp;(IF(C147=F140,", External Plaster",IF(C147&gt;0,", External Plaster upto "&amp;C147&amp;" Floor",""))&amp;(IF(C148=F140,", Flooring",IF(C148&gt;0,", Flooring upto "&amp;C148&amp;" Floor",""))&amp;(IF(C149=F140,", Painting",IF(C149&gt;0,", Painting upto "&amp;C149&amp;" Floor",""))&amp;(IF(C150&gt;0,", Finishing upto "&amp;C150&amp;" Floor","")&amp;(IF(C144&gt;0.5," Completed","")))))))))))</f>
        <v>Foudation Work in process</v>
      </c>
      <c r="H139" s="3"/>
    </row>
    <row r="140" spans="1:12" hidden="1" x14ac:dyDescent="0.3">
      <c r="A140" s="223"/>
      <c r="B140" s="224"/>
      <c r="C140" s="69">
        <v>3</v>
      </c>
      <c r="D140" s="69">
        <v>1</v>
      </c>
      <c r="E140" s="69">
        <v>0</v>
      </c>
      <c r="F140" s="70">
        <f ca="1">--TRIM(RIGHT(SUBSTITUTE(LEFT(A139,_xlfn.AGGREGATE(16,6,FIND({0,1,2,3,4,5,6,7,8,9},A139,ROW(INDIRECT("1:"&amp;LEN(A139)))),1))," ",REPT(" ",LEN(A139))),LEN(A139)))</f>
        <v>26</v>
      </c>
      <c r="G140" s="4"/>
      <c r="H140" s="5"/>
      <c r="L140" t="s">
        <v>209</v>
      </c>
    </row>
    <row r="141" spans="1:12" ht="15" hidden="1" customHeight="1" x14ac:dyDescent="0.3">
      <c r="A141" s="104" t="s">
        <v>9</v>
      </c>
      <c r="B141" s="268" t="str">
        <f ca="1">G139</f>
        <v>Foudation Work in process</v>
      </c>
      <c r="C141" s="268"/>
      <c r="D141" s="268"/>
      <c r="E141" s="268"/>
      <c r="F141" s="269"/>
      <c r="G141" s="4" t="s">
        <v>10</v>
      </c>
      <c r="H141" s="5"/>
      <c r="L141" t="s">
        <v>207</v>
      </c>
    </row>
    <row r="142" spans="1:12" hidden="1" x14ac:dyDescent="0.3">
      <c r="A142" s="71" t="s">
        <v>11</v>
      </c>
      <c r="B142" s="72" t="s">
        <v>12</v>
      </c>
      <c r="C142" s="73" t="s">
        <v>13</v>
      </c>
      <c r="D142" s="73" t="s">
        <v>14</v>
      </c>
      <c r="E142" s="270" t="s">
        <v>37</v>
      </c>
      <c r="F142" s="271"/>
      <c r="G142" s="6"/>
      <c r="H142" s="7"/>
      <c r="L142" t="s">
        <v>208</v>
      </c>
    </row>
    <row r="143" spans="1:12" hidden="1" x14ac:dyDescent="0.3">
      <c r="A143" s="71" t="s">
        <v>19</v>
      </c>
      <c r="B143" s="74">
        <v>0.35</v>
      </c>
      <c r="C143" s="77">
        <f ca="1">H145</f>
        <v>5.2</v>
      </c>
      <c r="D143" s="76">
        <f ca="1">((100/F140)*C143)/100</f>
        <v>0.2</v>
      </c>
      <c r="E143" s="238">
        <f ca="1">((((C143/F140)*35)+(35/(F140+E140+D140)*C144)+(5/F140*C145)+(5/F140*C146)+(5/F140*C147)+(5/F140*C148)+(5/F140*C149)+(2.5/F140*C150)+(2.5/F140*C151))/100)</f>
        <v>7.0000000000000007E-2</v>
      </c>
      <c r="F143" s="239"/>
      <c r="G143" s="6"/>
      <c r="H143" s="8"/>
    </row>
    <row r="144" spans="1:12" ht="28.8" hidden="1" x14ac:dyDescent="0.3">
      <c r="A144" s="71" t="s">
        <v>21</v>
      </c>
      <c r="B144" s="74">
        <v>0.35</v>
      </c>
      <c r="C144" s="87">
        <v>0</v>
      </c>
      <c r="D144" s="76">
        <f ca="1">((100/(D140+E140+F140))*C144)/100</f>
        <v>0</v>
      </c>
      <c r="E144" s="238"/>
      <c r="F144" s="239"/>
      <c r="G144" s="6" t="s">
        <v>276</v>
      </c>
      <c r="H144" s="9">
        <f ca="1">F140/7</f>
        <v>3.7142857142857144</v>
      </c>
    </row>
    <row r="145" spans="1:13" hidden="1" x14ac:dyDescent="0.3">
      <c r="A145" s="71" t="s">
        <v>23</v>
      </c>
      <c r="B145" s="74">
        <v>0.05</v>
      </c>
      <c r="C145" s="75">
        <v>0</v>
      </c>
      <c r="D145" s="76">
        <f ca="1">((100/F140)*C145)/100</f>
        <v>0</v>
      </c>
      <c r="E145" s="238"/>
      <c r="F145" s="239"/>
      <c r="G145" s="6" t="s">
        <v>277</v>
      </c>
      <c r="H145" s="9">
        <f ca="1">(IF(C140&gt;1,(F140/(C140+2)),F140/3.5))</f>
        <v>5.2</v>
      </c>
    </row>
    <row r="146" spans="1:13" hidden="1" x14ac:dyDescent="0.3">
      <c r="A146" s="71" t="s">
        <v>38</v>
      </c>
      <c r="B146" s="74">
        <v>0.05</v>
      </c>
      <c r="C146" s="75">
        <v>0</v>
      </c>
      <c r="D146" s="76">
        <f ca="1">((100/F140)*C146)/100</f>
        <v>0</v>
      </c>
      <c r="E146" s="238"/>
      <c r="F146" s="239"/>
      <c r="G146" s="6" t="s">
        <v>26</v>
      </c>
      <c r="H146" s="9">
        <f ca="1">(IF(C140&gt;1,(F140/(C140+2)+H145),0))</f>
        <v>10.4</v>
      </c>
    </row>
    <row r="147" spans="1:13" hidden="1" x14ac:dyDescent="0.3">
      <c r="A147" s="71" t="s">
        <v>29</v>
      </c>
      <c r="B147" s="74">
        <v>0.05</v>
      </c>
      <c r="C147" s="75">
        <v>0</v>
      </c>
      <c r="D147" s="76">
        <f ca="1">((100/(F140))*C147)/100</f>
        <v>0</v>
      </c>
      <c r="E147" s="238"/>
      <c r="F147" s="239"/>
      <c r="G147" s="6" t="s">
        <v>28</v>
      </c>
      <c r="H147" s="9">
        <f ca="1">(IF(C140&gt;2,(F140/(C140+2)+H146),0))</f>
        <v>15.600000000000001</v>
      </c>
    </row>
    <row r="148" spans="1:13" ht="28.8" hidden="1" x14ac:dyDescent="0.3">
      <c r="A148" s="71" t="s">
        <v>39</v>
      </c>
      <c r="B148" s="74">
        <v>0.05</v>
      </c>
      <c r="C148" s="75">
        <v>0</v>
      </c>
      <c r="D148" s="76">
        <f ca="1">((100/F140)*C148)/100</f>
        <v>0</v>
      </c>
      <c r="E148" s="238"/>
      <c r="F148" s="239"/>
      <c r="G148" s="6" t="s">
        <v>30</v>
      </c>
      <c r="H148" s="10">
        <f>(IF(C140&gt;3,(F140/(C140+2)+H147),0))</f>
        <v>0</v>
      </c>
    </row>
    <row r="149" spans="1:13" hidden="1" x14ac:dyDescent="0.3">
      <c r="A149" s="71" t="s">
        <v>31</v>
      </c>
      <c r="B149" s="74">
        <v>0.05</v>
      </c>
      <c r="C149" s="75">
        <v>0</v>
      </c>
      <c r="D149" s="76">
        <f ca="1">((100/F140)*C149)/100</f>
        <v>0</v>
      </c>
      <c r="E149" s="238"/>
      <c r="F149" s="239"/>
      <c r="G149" s="6" t="s">
        <v>32</v>
      </c>
      <c r="H149" s="9">
        <f>(IF(C140&gt;4,(F140/(C140+2)+H148),0))</f>
        <v>0</v>
      </c>
    </row>
    <row r="150" spans="1:13" hidden="1" x14ac:dyDescent="0.3">
      <c r="A150" s="71" t="s">
        <v>40</v>
      </c>
      <c r="B150" s="74">
        <v>2.5000000000000001E-2</v>
      </c>
      <c r="C150" s="75">
        <v>0</v>
      </c>
      <c r="D150" s="76">
        <f ca="1">((100/(F140))*C150)/100</f>
        <v>0</v>
      </c>
      <c r="E150" s="238"/>
      <c r="F150" s="239"/>
      <c r="G150" s="6" t="s">
        <v>34</v>
      </c>
      <c r="H150" s="9">
        <f>(IF(C140=1,(F140/(C140+3)+H145),IF(C140=0,(F140*2/7+H145),IF(C140&gt;1,0))))</f>
        <v>0</v>
      </c>
    </row>
    <row r="151" spans="1:13" ht="15" hidden="1" thickBot="1" x14ac:dyDescent="0.35">
      <c r="A151" s="105" t="s">
        <v>35</v>
      </c>
      <c r="B151" s="106">
        <v>2.5000000000000001E-2</v>
      </c>
      <c r="C151" s="107">
        <v>0</v>
      </c>
      <c r="D151" s="108">
        <f ca="1">((100/(F140))*C151)/100</f>
        <v>0</v>
      </c>
      <c r="E151" s="240"/>
      <c r="F151" s="241"/>
      <c r="G151" s="11" t="s">
        <v>36</v>
      </c>
      <c r="H151" s="12">
        <f ca="1">F140</f>
        <v>26</v>
      </c>
    </row>
    <row r="152" spans="1:13" s="58" customFormat="1" x14ac:dyDescent="0.3">
      <c r="A152" s="242" t="s">
        <v>107</v>
      </c>
      <c r="B152" s="243"/>
      <c r="C152" s="243"/>
      <c r="D152" s="243"/>
      <c r="E152" s="246">
        <f ca="1">AVERAGE(E130,E130)</f>
        <v>0.35</v>
      </c>
      <c r="F152" s="247"/>
    </row>
    <row r="153" spans="1:13" s="58" customFormat="1" ht="15" thickBot="1" x14ac:dyDescent="0.35">
      <c r="A153" s="244"/>
      <c r="B153" s="245"/>
      <c r="C153" s="245"/>
      <c r="D153" s="245"/>
      <c r="E153" s="248"/>
      <c r="F153" s="249"/>
      <c r="G153" s="59"/>
      <c r="H153" s="60"/>
    </row>
    <row r="154" spans="1:13" x14ac:dyDescent="0.3">
      <c r="A154" s="232" t="s">
        <v>45</v>
      </c>
      <c r="B154" s="233"/>
      <c r="C154" s="233"/>
      <c r="D154" s="233"/>
      <c r="E154" s="233"/>
      <c r="F154" s="234"/>
    </row>
    <row r="155" spans="1:13" ht="36" x14ac:dyDescent="0.3">
      <c r="A155" s="102" t="s">
        <v>197</v>
      </c>
      <c r="B155" s="48" t="s">
        <v>198</v>
      </c>
      <c r="C155" s="48" t="s">
        <v>199</v>
      </c>
      <c r="D155" s="48" t="s">
        <v>200</v>
      </c>
      <c r="E155" s="48" t="s">
        <v>201</v>
      </c>
      <c r="F155" s="99" t="s">
        <v>202</v>
      </c>
    </row>
    <row r="156" spans="1:13" ht="49.5" customHeight="1" thickBot="1" x14ac:dyDescent="0.35">
      <c r="A156" s="61">
        <v>1</v>
      </c>
      <c r="B156" s="62">
        <v>1</v>
      </c>
      <c r="C156" s="62">
        <v>2</v>
      </c>
      <c r="D156" s="120" t="s">
        <v>361</v>
      </c>
      <c r="E156" s="62" t="s">
        <v>319</v>
      </c>
      <c r="F156" s="63">
        <f>454+21</f>
        <v>475</v>
      </c>
    </row>
    <row r="157" spans="1:13" s="35" customFormat="1" ht="15.75" customHeight="1" x14ac:dyDescent="0.3">
      <c r="A157" s="200" t="s">
        <v>263</v>
      </c>
      <c r="B157" s="201"/>
      <c r="C157" s="201"/>
      <c r="D157" s="201"/>
      <c r="E157" s="201"/>
      <c r="F157" s="202"/>
      <c r="G157" s="40"/>
      <c r="H157" s="40"/>
      <c r="I157"/>
      <c r="J157"/>
      <c r="K157"/>
      <c r="L157"/>
      <c r="M157"/>
    </row>
    <row r="158" spans="1:13" s="35" customFormat="1" ht="15.75" customHeight="1" x14ac:dyDescent="0.3">
      <c r="A158" s="64" t="s">
        <v>46</v>
      </c>
      <c r="B158" s="47" t="s">
        <v>47</v>
      </c>
      <c r="C158" s="235" t="s">
        <v>48</v>
      </c>
      <c r="D158" s="235"/>
      <c r="E158" s="281" t="s">
        <v>49</v>
      </c>
      <c r="F158" s="282"/>
      <c r="G158" s="199"/>
      <c r="H158" s="199"/>
      <c r="I158" s="208"/>
      <c r="J158" s="208"/>
      <c r="K158" s="208"/>
      <c r="L158" s="208"/>
    </row>
    <row r="159" spans="1:13" s="35" customFormat="1" ht="15.6" x14ac:dyDescent="0.3">
      <c r="A159" s="78" t="s">
        <v>383</v>
      </c>
      <c r="B159" s="79">
        <f>COUNT(C176:C196)</f>
        <v>21</v>
      </c>
      <c r="C159" s="205">
        <f>SUM(C176:C196)</f>
        <v>5240.8839599999992</v>
      </c>
      <c r="D159" s="206"/>
      <c r="E159" s="205">
        <f>SUM(F176:F196)</f>
        <v>8123.3701379999993</v>
      </c>
      <c r="F159" s="206"/>
      <c r="G159" s="203"/>
      <c r="H159" s="204"/>
      <c r="I159" s="208"/>
      <c r="J159" s="208"/>
      <c r="K159" s="208"/>
      <c r="L159" s="208"/>
    </row>
    <row r="160" spans="1:13" s="35" customFormat="1" ht="15.75" customHeight="1" x14ac:dyDescent="0.3">
      <c r="A160" s="164" t="s">
        <v>266</v>
      </c>
      <c r="B160" s="165"/>
      <c r="C160" s="165"/>
      <c r="D160" s="165"/>
      <c r="E160" s="165"/>
      <c r="F160" s="166"/>
      <c r="G160" s="40"/>
      <c r="H160" s="40"/>
    </row>
    <row r="161" spans="1:14" s="35" customFormat="1" ht="15.75" customHeight="1" x14ac:dyDescent="0.3">
      <c r="A161" s="64" t="s">
        <v>46</v>
      </c>
      <c r="B161" s="47" t="s">
        <v>47</v>
      </c>
      <c r="C161" s="235" t="s">
        <v>48</v>
      </c>
      <c r="D161" s="235"/>
      <c r="E161" s="281" t="s">
        <v>49</v>
      </c>
      <c r="F161" s="282"/>
      <c r="G161" s="199"/>
      <c r="H161" s="199"/>
    </row>
    <row r="162" spans="1:14" s="35" customFormat="1" ht="29.25" customHeight="1" x14ac:dyDescent="0.3">
      <c r="A162" s="78" t="s">
        <v>381</v>
      </c>
      <c r="B162" s="79">
        <f>COUNT(C204:C212)+COUNT(C214:C222)+COUNT(C224:C232)*15+COUNT(C234:C242)*6+COUNT(C244:C246,C249:C251)*2+COUNT(C254:C256,C259:C262)</f>
        <v>226</v>
      </c>
      <c r="C162" s="205">
        <f>SUM(C204:C212)+SUM(C214:C222)+SUM(C224:C232)*15+SUM(C234:C242)*6+SUM(C244:C246,C249:C251)*2+SUM(C254:C256,C259:C262)</f>
        <v>121269.05387999999</v>
      </c>
      <c r="D162" s="206"/>
      <c r="E162" s="205">
        <f>SUM(F204:F212)+SUM(F214:F222)+SUM(F224:F232)*15+SUM(F234:F242)*6+SUM(F244:F246,F249:F251)*2+SUM(F254:F256,F259:F262)</f>
        <v>181903.58081999997</v>
      </c>
      <c r="F162" s="206"/>
      <c r="G162" s="203"/>
      <c r="H162" s="203"/>
    </row>
    <row r="163" spans="1:14" s="35" customFormat="1" ht="29.25" customHeight="1" x14ac:dyDescent="0.3">
      <c r="A163" s="78" t="s">
        <v>382</v>
      </c>
      <c r="B163" s="79">
        <f>COUNT(C265:C273)+COUNT(C275:C283)+COUNT(C285:C293)*15+COUNT(C295:C303)*6+COUNT(C307:C313)*2+COUNT(C317:C323)</f>
        <v>228</v>
      </c>
      <c r="C163" s="205">
        <f>SUM(C265:C273)+SUM(C275:C283)+SUM(C285:C293)*15+SUM(C295:C303)*6+SUM(C307:C313)*2+SUM(C317:C323)</f>
        <v>116189.52227999999</v>
      </c>
      <c r="D163" s="206"/>
      <c r="E163" s="205">
        <f>SUM(F265:F273)+SUM(F275:F283)+SUM(F285:F293)*15+SUM(F295:F303)*6+SUM(F307:F313)*2+SUM(F317:F323)</f>
        <v>174284.28342000002</v>
      </c>
      <c r="F163" s="206"/>
      <c r="G163" s="203"/>
      <c r="H163" s="203"/>
    </row>
    <row r="164" spans="1:14" s="35" customFormat="1" ht="15.6" x14ac:dyDescent="0.3">
      <c r="A164" s="109" t="s">
        <v>50</v>
      </c>
      <c r="B164" s="96">
        <f>SUM(B162:B163)</f>
        <v>454</v>
      </c>
      <c r="C164" s="274">
        <f>SUM(C162:D163)</f>
        <v>237458.57616</v>
      </c>
      <c r="D164" s="275"/>
      <c r="E164" s="276">
        <f>SUM(E162:F163)</f>
        <v>356187.86424000002</v>
      </c>
      <c r="F164" s="277"/>
      <c r="G164" s="278"/>
      <c r="H164" s="279"/>
    </row>
    <row r="165" spans="1:14" s="35" customFormat="1" ht="16.2" thickBot="1" x14ac:dyDescent="0.35">
      <c r="A165" s="80" t="s">
        <v>265</v>
      </c>
      <c r="B165" s="81">
        <f>B159+B164</f>
        <v>475</v>
      </c>
      <c r="C165" s="230">
        <f>C159+C164</f>
        <v>242699.46012</v>
      </c>
      <c r="D165" s="231"/>
      <c r="E165" s="230">
        <f>E159+E164</f>
        <v>364311.23437800002</v>
      </c>
      <c r="F165" s="231"/>
      <c r="G165" s="278"/>
      <c r="H165" s="279"/>
    </row>
    <row r="166" spans="1:14" s="36" customFormat="1" ht="15.6" x14ac:dyDescent="0.3">
      <c r="A166" s="280" t="s">
        <v>51</v>
      </c>
      <c r="B166" s="280"/>
      <c r="C166" s="280"/>
      <c r="D166" s="280"/>
      <c r="E166" s="280"/>
      <c r="F166" s="280"/>
      <c r="G166" s="41"/>
      <c r="H166" s="41"/>
    </row>
    <row r="167" spans="1:14" s="37" customFormat="1" ht="15.6" x14ac:dyDescent="0.3">
      <c r="A167" s="194" t="s">
        <v>58</v>
      </c>
      <c r="B167" s="194"/>
      <c r="C167" s="194"/>
      <c r="D167" s="194"/>
      <c r="E167" s="194"/>
      <c r="F167" s="194"/>
      <c r="G167" s="41"/>
      <c r="H167" s="41"/>
    </row>
    <row r="168" spans="1:14" s="37" customFormat="1" ht="26.4" customHeight="1" x14ac:dyDescent="0.3">
      <c r="A168" s="196" t="s">
        <v>66</v>
      </c>
      <c r="B168" s="196" t="s">
        <v>53</v>
      </c>
      <c r="C168" s="196" t="s">
        <v>54</v>
      </c>
      <c r="D168" s="196" t="s">
        <v>56</v>
      </c>
      <c r="E168" s="196" t="s">
        <v>55</v>
      </c>
      <c r="F168" s="97" t="s">
        <v>57</v>
      </c>
      <c r="G168" s="207"/>
      <c r="H168" s="207"/>
    </row>
    <row r="169" spans="1:14" s="37" customFormat="1" ht="15.6" x14ac:dyDescent="0.3">
      <c r="A169" s="196"/>
      <c r="B169" s="196"/>
      <c r="C169" s="196"/>
      <c r="D169" s="196"/>
      <c r="E169" s="196"/>
      <c r="F169" s="129">
        <v>0.55000000000000004</v>
      </c>
      <c r="G169" s="207"/>
      <c r="H169" s="207"/>
    </row>
    <row r="170" spans="1:14" s="36" customFormat="1" ht="15.6" x14ac:dyDescent="0.3">
      <c r="A170" s="214" t="s">
        <v>346</v>
      </c>
      <c r="B170" s="214"/>
      <c r="C170" s="214"/>
      <c r="D170" s="214"/>
      <c r="E170" s="214"/>
      <c r="F170" s="214"/>
      <c r="G170" s="41"/>
      <c r="H170" s="41"/>
    </row>
    <row r="171" spans="1:14" s="36" customFormat="1" ht="15.6" x14ac:dyDescent="0.3">
      <c r="A171" s="214" t="s">
        <v>376</v>
      </c>
      <c r="B171" s="214"/>
      <c r="C171" s="214"/>
      <c r="D171" s="214"/>
      <c r="E171" s="214"/>
      <c r="F171" s="214"/>
      <c r="G171" s="114">
        <v>10.763999999999999</v>
      </c>
      <c r="H171" s="41"/>
    </row>
    <row r="172" spans="1:14" s="38" customFormat="1" ht="15.75" customHeight="1" x14ac:dyDescent="0.3">
      <c r="A172" s="145" t="s">
        <v>349</v>
      </c>
      <c r="B172" s="145"/>
      <c r="C172" s="145"/>
      <c r="D172" s="145"/>
      <c r="E172" s="145"/>
      <c r="F172" s="145"/>
      <c r="G172" s="42"/>
      <c r="H172" s="42"/>
      <c r="K172" s="39"/>
    </row>
    <row r="173" spans="1:14" s="38" customFormat="1" ht="15.75" customHeight="1" x14ac:dyDescent="0.3">
      <c r="A173" s="145" t="s">
        <v>350</v>
      </c>
      <c r="B173" s="145"/>
      <c r="C173" s="145"/>
      <c r="D173" s="145"/>
      <c r="E173" s="145"/>
      <c r="F173" s="145"/>
      <c r="G173" s="42"/>
      <c r="H173" s="42"/>
      <c r="K173" s="39"/>
    </row>
    <row r="174" spans="1:14" s="38" customFormat="1" ht="15.75" customHeight="1" x14ac:dyDescent="0.3">
      <c r="A174" s="145" t="s">
        <v>351</v>
      </c>
      <c r="B174" s="145"/>
      <c r="C174" s="145"/>
      <c r="D174" s="145"/>
      <c r="E174" s="145"/>
      <c r="F174" s="145"/>
      <c r="G174" s="42"/>
      <c r="H174" s="42"/>
      <c r="K174" s="39"/>
    </row>
    <row r="175" spans="1:14" s="38" customFormat="1" ht="34.5" customHeight="1" x14ac:dyDescent="0.3">
      <c r="A175" s="145" t="s">
        <v>348</v>
      </c>
      <c r="B175" s="145"/>
      <c r="C175" s="145"/>
      <c r="D175" s="145"/>
      <c r="E175" s="145"/>
      <c r="F175" s="145"/>
      <c r="G175" s="42"/>
      <c r="H175" s="42"/>
      <c r="K175" s="39"/>
    </row>
    <row r="176" spans="1:14" s="38" customFormat="1" ht="15.6" x14ac:dyDescent="0.3">
      <c r="A176" s="114">
        <v>10</v>
      </c>
      <c r="B176" s="114" t="s">
        <v>347</v>
      </c>
      <c r="C176" s="114">
        <f>(27.93)*10.764</f>
        <v>300.63851999999997</v>
      </c>
      <c r="D176" s="115">
        <f>C176*1.2</f>
        <v>360.76622399999997</v>
      </c>
      <c r="E176" s="114">
        <v>0</v>
      </c>
      <c r="F176" s="114">
        <f>(C176+E176)*(($F$169)+1)</f>
        <v>465.98970599999996</v>
      </c>
      <c r="G176" s="127">
        <f>3*3.65+2.675*2.65+2.1*3.125+1.15*1.475+1.05*1.55</f>
        <v>27.925000000000001</v>
      </c>
      <c r="H176" s="126"/>
      <c r="I176" s="126"/>
      <c r="J176" s="126"/>
      <c r="K176" s="126"/>
      <c r="L176" s="146"/>
      <c r="M176" s="146"/>
      <c r="N176" s="39"/>
    </row>
    <row r="177" spans="1:11" ht="15" customHeight="1" x14ac:dyDescent="0.3">
      <c r="A177" s="114">
        <f>A176+1</f>
        <v>11</v>
      </c>
      <c r="B177" s="114" t="s">
        <v>347</v>
      </c>
      <c r="C177" s="114">
        <f>(22.79)*10.764</f>
        <v>245.31155999999999</v>
      </c>
      <c r="D177" s="115">
        <f t="shared" ref="D177:D181" si="2">C177*1.2</f>
        <v>294.37387199999995</v>
      </c>
      <c r="E177" s="114">
        <v>0</v>
      </c>
      <c r="F177" s="114">
        <f t="shared" ref="F177:F181" si="3">(C177+E177)*(($F$169)+1)</f>
        <v>380.23291799999998</v>
      </c>
      <c r="G177" s="127">
        <f>3.65*2.125+4.125*2.85+1.15*1.2+1.05*1.55</f>
        <v>22.52</v>
      </c>
      <c r="H177" s="126"/>
      <c r="I177" s="126"/>
      <c r="J177" s="126"/>
      <c r="K177" s="126"/>
    </row>
    <row r="178" spans="1:11" ht="15" customHeight="1" x14ac:dyDescent="0.3">
      <c r="A178" s="114">
        <f t="shared" ref="A178:A196" si="4">A177+1</f>
        <v>12</v>
      </c>
      <c r="B178" s="114" t="s">
        <v>347</v>
      </c>
      <c r="C178" s="114">
        <f>(24.33)*10.764</f>
        <v>261.88811999999996</v>
      </c>
      <c r="D178" s="115">
        <f t="shared" si="2"/>
        <v>314.26574399999993</v>
      </c>
      <c r="E178" s="114">
        <v>0</v>
      </c>
      <c r="F178" s="114">
        <f t="shared" si="3"/>
        <v>405.92658599999993</v>
      </c>
      <c r="G178" s="127"/>
      <c r="H178" s="126"/>
      <c r="I178" s="126"/>
      <c r="J178" s="126"/>
      <c r="K178" s="126"/>
    </row>
    <row r="179" spans="1:11" ht="15" customHeight="1" x14ac:dyDescent="0.3">
      <c r="A179" s="114">
        <f t="shared" si="4"/>
        <v>13</v>
      </c>
      <c r="B179" s="114" t="s">
        <v>347</v>
      </c>
      <c r="C179" s="114">
        <f>(26.7)*10.764</f>
        <v>287.39879999999999</v>
      </c>
      <c r="D179" s="115">
        <f t="shared" si="2"/>
        <v>344.87855999999999</v>
      </c>
      <c r="E179" s="114">
        <v>0</v>
      </c>
      <c r="F179" s="114">
        <f t="shared" si="3"/>
        <v>445.46814000000001</v>
      </c>
      <c r="G179" s="127">
        <f>5.525*3.1+1.325*1.875+1.225*1.3+2.075*1.5+1.875*1.05</f>
        <v>26.285625000000003</v>
      </c>
      <c r="H179" s="126"/>
      <c r="I179" s="126"/>
      <c r="J179" s="126"/>
      <c r="K179" s="126"/>
    </row>
    <row r="180" spans="1:11" ht="15" customHeight="1" x14ac:dyDescent="0.3">
      <c r="A180" s="114">
        <f t="shared" si="4"/>
        <v>14</v>
      </c>
      <c r="B180" s="114" t="s">
        <v>347</v>
      </c>
      <c r="C180" s="114">
        <f>(22.33)*10.764</f>
        <v>240.36011999999997</v>
      </c>
      <c r="D180" s="115">
        <f t="shared" si="2"/>
        <v>288.43214399999994</v>
      </c>
      <c r="E180" s="114">
        <v>0</v>
      </c>
      <c r="F180" s="114">
        <f t="shared" si="3"/>
        <v>372.55818599999998</v>
      </c>
      <c r="G180" s="127"/>
      <c r="H180" s="126"/>
      <c r="I180" s="126"/>
      <c r="J180" s="126"/>
      <c r="K180" s="126"/>
    </row>
    <row r="181" spans="1:11" ht="15" customHeight="1" x14ac:dyDescent="0.3">
      <c r="A181" s="114">
        <f t="shared" si="4"/>
        <v>15</v>
      </c>
      <c r="B181" s="114" t="s">
        <v>347</v>
      </c>
      <c r="C181" s="114">
        <f>(21.95)*10.764</f>
        <v>236.26979999999998</v>
      </c>
      <c r="D181" s="115">
        <f t="shared" si="2"/>
        <v>283.52375999999998</v>
      </c>
      <c r="E181" s="114">
        <v>0</v>
      </c>
      <c r="F181" s="114">
        <f t="shared" si="3"/>
        <v>366.21818999999999</v>
      </c>
      <c r="G181" s="127"/>
      <c r="H181" s="126"/>
      <c r="I181" s="126"/>
      <c r="J181" s="126"/>
      <c r="K181" s="126"/>
    </row>
    <row r="182" spans="1:11" ht="15" customHeight="1" x14ac:dyDescent="0.3">
      <c r="A182" s="114">
        <f t="shared" si="4"/>
        <v>16</v>
      </c>
      <c r="B182" s="114" t="s">
        <v>347</v>
      </c>
      <c r="C182" s="114">
        <f>(21.95)*10.764</f>
        <v>236.26979999999998</v>
      </c>
      <c r="D182" s="115">
        <f t="shared" ref="D182:D186" si="5">C182*1.2</f>
        <v>283.52375999999998</v>
      </c>
      <c r="E182" s="114">
        <v>0</v>
      </c>
      <c r="F182" s="114">
        <f t="shared" ref="F182:F186" si="6">(C182+E182)*(($F$169)+1)</f>
        <v>366.21818999999999</v>
      </c>
      <c r="G182" s="127"/>
      <c r="H182" s="126"/>
      <c r="I182" s="126"/>
      <c r="J182" s="126"/>
      <c r="K182" s="126"/>
    </row>
    <row r="183" spans="1:11" ht="15" customHeight="1" x14ac:dyDescent="0.3">
      <c r="A183" s="114">
        <f t="shared" si="4"/>
        <v>17</v>
      </c>
      <c r="B183" s="114" t="s">
        <v>347</v>
      </c>
      <c r="C183" s="114">
        <f>(22.33)*10.764</f>
        <v>240.36011999999997</v>
      </c>
      <c r="D183" s="115">
        <f t="shared" si="5"/>
        <v>288.43214399999994</v>
      </c>
      <c r="E183" s="114">
        <v>0</v>
      </c>
      <c r="F183" s="114">
        <f t="shared" si="6"/>
        <v>372.55818599999998</v>
      </c>
      <c r="G183" s="127">
        <f>5.525*3.1+1.325*1.85+1.925*1.325</f>
        <v>22.129375</v>
      </c>
      <c r="H183" s="126"/>
      <c r="I183" s="126"/>
      <c r="J183" s="126"/>
      <c r="K183" s="126"/>
    </row>
    <row r="184" spans="1:11" ht="15" customHeight="1" x14ac:dyDescent="0.3">
      <c r="A184" s="114">
        <f t="shared" si="4"/>
        <v>18</v>
      </c>
      <c r="B184" s="114" t="s">
        <v>347</v>
      </c>
      <c r="C184" s="114">
        <f>(19.62)*10.764</f>
        <v>211.18968000000001</v>
      </c>
      <c r="D184" s="115">
        <f t="shared" si="5"/>
        <v>253.427616</v>
      </c>
      <c r="E184" s="114">
        <v>0</v>
      </c>
      <c r="F184" s="114">
        <f t="shared" si="6"/>
        <v>327.34400400000004</v>
      </c>
      <c r="G184" s="127"/>
      <c r="H184" s="126"/>
      <c r="I184" s="126"/>
      <c r="J184" s="126"/>
      <c r="K184" s="126"/>
    </row>
    <row r="185" spans="1:11" ht="15" customHeight="1" x14ac:dyDescent="0.3">
      <c r="A185" s="114">
        <f t="shared" si="4"/>
        <v>19</v>
      </c>
      <c r="B185" s="114" t="s">
        <v>347</v>
      </c>
      <c r="C185" s="114">
        <f>(27.8)*10.764</f>
        <v>299.23919999999998</v>
      </c>
      <c r="D185" s="115">
        <f t="shared" si="5"/>
        <v>359.08703999999994</v>
      </c>
      <c r="E185" s="114">
        <v>0</v>
      </c>
      <c r="F185" s="114">
        <f t="shared" si="6"/>
        <v>463.82076000000001</v>
      </c>
      <c r="G185" s="127"/>
      <c r="H185" s="126"/>
      <c r="I185" s="126"/>
      <c r="J185" s="126"/>
      <c r="K185" s="126"/>
    </row>
    <row r="186" spans="1:11" ht="15" customHeight="1" x14ac:dyDescent="0.3">
      <c r="A186" s="114">
        <f t="shared" si="4"/>
        <v>20</v>
      </c>
      <c r="B186" s="114" t="s">
        <v>347</v>
      </c>
      <c r="C186" s="114">
        <f>(20.04)*10.764</f>
        <v>215.71055999999999</v>
      </c>
      <c r="D186" s="115">
        <f t="shared" si="5"/>
        <v>258.85267199999998</v>
      </c>
      <c r="E186" s="114">
        <v>0</v>
      </c>
      <c r="F186" s="114">
        <f t="shared" si="6"/>
        <v>334.35136799999998</v>
      </c>
      <c r="G186" s="127"/>
      <c r="H186" s="126"/>
      <c r="I186" s="126"/>
      <c r="J186" s="126"/>
      <c r="K186" s="126"/>
    </row>
    <row r="187" spans="1:11" ht="15" customHeight="1" x14ac:dyDescent="0.3">
      <c r="A187" s="114">
        <f t="shared" si="4"/>
        <v>21</v>
      </c>
      <c r="B187" s="114" t="s">
        <v>347</v>
      </c>
      <c r="C187" s="114">
        <f>(27.8)*10.764</f>
        <v>299.23919999999998</v>
      </c>
      <c r="D187" s="115">
        <f t="shared" ref="D187:D196" si="7">C187*1.2</f>
        <v>359.08703999999994</v>
      </c>
      <c r="E187" s="114">
        <v>0</v>
      </c>
      <c r="F187" s="114">
        <f t="shared" ref="F187:F196" si="8">(C187+E187)*(($F$169)+1)</f>
        <v>463.82076000000001</v>
      </c>
      <c r="G187" s="127"/>
      <c r="H187" s="126"/>
      <c r="I187" s="126"/>
      <c r="J187" s="126"/>
      <c r="K187" s="126"/>
    </row>
    <row r="188" spans="1:11" ht="15" customHeight="1" x14ac:dyDescent="0.3">
      <c r="A188" s="114">
        <f t="shared" si="4"/>
        <v>22</v>
      </c>
      <c r="B188" s="114" t="s">
        <v>347</v>
      </c>
      <c r="C188" s="114">
        <f>(19.61)*10.764</f>
        <v>211.08203999999998</v>
      </c>
      <c r="D188" s="115">
        <f t="shared" si="7"/>
        <v>253.29844799999995</v>
      </c>
      <c r="E188" s="114">
        <v>0</v>
      </c>
      <c r="F188" s="114">
        <f t="shared" si="8"/>
        <v>327.17716199999995</v>
      </c>
      <c r="G188" s="127"/>
      <c r="H188" s="126"/>
      <c r="I188" s="126"/>
      <c r="J188" s="126"/>
      <c r="K188" s="126"/>
    </row>
    <row r="189" spans="1:11" ht="15" customHeight="1" x14ac:dyDescent="0.3">
      <c r="A189" s="114">
        <f t="shared" si="4"/>
        <v>23</v>
      </c>
      <c r="B189" s="114" t="s">
        <v>347</v>
      </c>
      <c r="C189" s="114">
        <f>(22.33)*10.764</f>
        <v>240.36011999999997</v>
      </c>
      <c r="D189" s="115">
        <f t="shared" si="7"/>
        <v>288.43214399999994</v>
      </c>
      <c r="E189" s="114">
        <v>0</v>
      </c>
      <c r="F189" s="114">
        <f t="shared" si="8"/>
        <v>372.55818599999998</v>
      </c>
      <c r="G189" s="127"/>
      <c r="H189" s="126"/>
      <c r="I189" s="126"/>
      <c r="J189" s="126"/>
      <c r="K189" s="126"/>
    </row>
    <row r="190" spans="1:11" ht="15" customHeight="1" x14ac:dyDescent="0.3">
      <c r="A190" s="114">
        <f t="shared" si="4"/>
        <v>24</v>
      </c>
      <c r="B190" s="114" t="s">
        <v>347</v>
      </c>
      <c r="C190" s="114">
        <f>(21.95)*10.764</f>
        <v>236.26979999999998</v>
      </c>
      <c r="D190" s="115">
        <f t="shared" si="7"/>
        <v>283.52375999999998</v>
      </c>
      <c r="E190" s="114">
        <v>0</v>
      </c>
      <c r="F190" s="114">
        <f t="shared" si="8"/>
        <v>366.21818999999999</v>
      </c>
      <c r="G190" s="127"/>
      <c r="H190" s="126"/>
      <c r="I190" s="126"/>
      <c r="J190" s="126"/>
      <c r="K190" s="126"/>
    </row>
    <row r="191" spans="1:11" ht="15" customHeight="1" x14ac:dyDescent="0.3">
      <c r="A191" s="114">
        <f t="shared" si="4"/>
        <v>25</v>
      </c>
      <c r="B191" s="114" t="s">
        <v>347</v>
      </c>
      <c r="C191" s="114">
        <f>(21.95)*10.764</f>
        <v>236.26979999999998</v>
      </c>
      <c r="D191" s="115">
        <f t="shared" si="7"/>
        <v>283.52375999999998</v>
      </c>
      <c r="E191" s="114">
        <v>0</v>
      </c>
      <c r="F191" s="114">
        <f t="shared" si="8"/>
        <v>366.21818999999999</v>
      </c>
      <c r="G191" s="127"/>
      <c r="H191" s="126"/>
      <c r="I191" s="126"/>
      <c r="J191" s="126"/>
      <c r="K191" s="126"/>
    </row>
    <row r="192" spans="1:11" ht="15" customHeight="1" x14ac:dyDescent="0.3">
      <c r="A192" s="114">
        <f t="shared" si="4"/>
        <v>26</v>
      </c>
      <c r="B192" s="114" t="s">
        <v>347</v>
      </c>
      <c r="C192" s="114">
        <f>(22.33)*10.764</f>
        <v>240.36011999999997</v>
      </c>
      <c r="D192" s="115">
        <f t="shared" si="7"/>
        <v>288.43214399999994</v>
      </c>
      <c r="E192" s="114">
        <v>0</v>
      </c>
      <c r="F192" s="114">
        <f t="shared" si="8"/>
        <v>372.55818599999998</v>
      </c>
      <c r="G192" s="127"/>
      <c r="H192" s="126"/>
      <c r="I192" s="126"/>
      <c r="J192" s="126"/>
      <c r="K192" s="126"/>
    </row>
    <row r="193" spans="1:14" ht="15" customHeight="1" x14ac:dyDescent="0.3">
      <c r="A193" s="114">
        <f t="shared" si="4"/>
        <v>27</v>
      </c>
      <c r="B193" s="114" t="s">
        <v>347</v>
      </c>
      <c r="C193" s="114">
        <f>(22.33)*10.764</f>
        <v>240.36011999999997</v>
      </c>
      <c r="D193" s="115">
        <f t="shared" si="7"/>
        <v>288.43214399999994</v>
      </c>
      <c r="E193" s="114">
        <v>0</v>
      </c>
      <c r="F193" s="114">
        <f t="shared" si="8"/>
        <v>372.55818599999998</v>
      </c>
      <c r="G193" s="127"/>
      <c r="H193" s="126"/>
      <c r="I193" s="126"/>
      <c r="J193" s="126"/>
      <c r="K193" s="126"/>
    </row>
    <row r="194" spans="1:14" ht="15" customHeight="1" x14ac:dyDescent="0.3">
      <c r="A194" s="114">
        <f t="shared" si="4"/>
        <v>28</v>
      </c>
      <c r="B194" s="114" t="s">
        <v>347</v>
      </c>
      <c r="C194" s="114">
        <f>(26)*10.764</f>
        <v>279.86399999999998</v>
      </c>
      <c r="D194" s="115">
        <f t="shared" si="7"/>
        <v>335.83679999999998</v>
      </c>
      <c r="E194" s="114">
        <v>0</v>
      </c>
      <c r="F194" s="114">
        <f t="shared" si="8"/>
        <v>433.78919999999999</v>
      </c>
      <c r="G194" s="127"/>
      <c r="H194" s="126"/>
      <c r="I194" s="126"/>
      <c r="J194" s="126"/>
      <c r="K194" s="126"/>
    </row>
    <row r="195" spans="1:14" ht="15" customHeight="1" x14ac:dyDescent="0.3">
      <c r="A195" s="114">
        <f t="shared" si="4"/>
        <v>29</v>
      </c>
      <c r="B195" s="114" t="s">
        <v>347</v>
      </c>
      <c r="C195" s="114">
        <f>(25.35)*10.764</f>
        <v>272.86739999999998</v>
      </c>
      <c r="D195" s="115">
        <f t="shared" si="7"/>
        <v>327.44087999999994</v>
      </c>
      <c r="E195" s="114">
        <v>0</v>
      </c>
      <c r="F195" s="114">
        <f t="shared" si="8"/>
        <v>422.94446999999997</v>
      </c>
      <c r="G195" s="127"/>
      <c r="H195" s="126"/>
      <c r="I195" s="126"/>
      <c r="J195" s="126"/>
      <c r="K195" s="126"/>
    </row>
    <row r="196" spans="1:14" ht="15" customHeight="1" x14ac:dyDescent="0.3">
      <c r="A196" s="114">
        <f t="shared" si="4"/>
        <v>30</v>
      </c>
      <c r="B196" s="114" t="s">
        <v>347</v>
      </c>
      <c r="C196" s="114">
        <f>(19.47)*10.764</f>
        <v>209.57507999999999</v>
      </c>
      <c r="D196" s="115">
        <f t="shared" si="7"/>
        <v>251.49009599999997</v>
      </c>
      <c r="E196" s="114">
        <v>0</v>
      </c>
      <c r="F196" s="114">
        <f t="shared" si="8"/>
        <v>324.84137399999997</v>
      </c>
      <c r="G196" s="127"/>
      <c r="H196" s="126"/>
      <c r="I196" s="136"/>
      <c r="J196" s="126"/>
      <c r="K196" s="126"/>
    </row>
    <row r="197" spans="1:14" s="37" customFormat="1" ht="15.6" x14ac:dyDescent="0.3">
      <c r="A197" s="209"/>
      <c r="B197" s="209"/>
      <c r="C197" s="209"/>
      <c r="D197" s="209"/>
      <c r="E197" s="209"/>
      <c r="F197" s="209"/>
      <c r="G197" s="127"/>
      <c r="H197" s="126"/>
      <c r="I197" s="126"/>
      <c r="J197" s="126"/>
      <c r="K197" s="126"/>
    </row>
    <row r="198" spans="1:14" s="37" customFormat="1" ht="15.6" x14ac:dyDescent="0.3">
      <c r="A198" s="194" t="s">
        <v>52</v>
      </c>
      <c r="B198" s="194"/>
      <c r="C198" s="194"/>
      <c r="D198" s="194"/>
      <c r="E198" s="194"/>
      <c r="F198" s="194"/>
      <c r="G198" s="126"/>
      <c r="H198" s="126"/>
      <c r="I198" s="126"/>
      <c r="J198" s="126"/>
      <c r="K198" s="126"/>
    </row>
    <row r="199" spans="1:14" s="37" customFormat="1" ht="27.6" customHeight="1" x14ac:dyDescent="0.3">
      <c r="A199" s="195" t="s">
        <v>267</v>
      </c>
      <c r="B199" s="195" t="s">
        <v>53</v>
      </c>
      <c r="C199" s="195" t="s">
        <v>54</v>
      </c>
      <c r="D199" s="195" t="s">
        <v>56</v>
      </c>
      <c r="E199" s="197" t="s">
        <v>55</v>
      </c>
      <c r="F199" s="135" t="s">
        <v>279</v>
      </c>
      <c r="G199" s="127"/>
      <c r="H199" s="126"/>
      <c r="I199" s="126"/>
      <c r="J199" s="126"/>
      <c r="K199" s="126"/>
    </row>
    <row r="200" spans="1:14" s="37" customFormat="1" ht="15.6" x14ac:dyDescent="0.3">
      <c r="A200" s="196"/>
      <c r="B200" s="196"/>
      <c r="C200" s="196"/>
      <c r="D200" s="196"/>
      <c r="E200" s="198"/>
      <c r="F200" s="128">
        <v>0.5</v>
      </c>
      <c r="G200" s="127"/>
      <c r="H200" s="126"/>
      <c r="I200" s="126"/>
      <c r="J200" s="126"/>
      <c r="K200" s="126"/>
    </row>
    <row r="201" spans="1:14" s="36" customFormat="1" ht="15.6" x14ac:dyDescent="0.3">
      <c r="A201" s="214" t="s">
        <v>346</v>
      </c>
      <c r="B201" s="214"/>
      <c r="C201" s="214"/>
      <c r="D201" s="214"/>
      <c r="E201" s="214"/>
      <c r="F201" s="215"/>
      <c r="G201" s="127"/>
      <c r="H201" s="126"/>
      <c r="I201" s="126"/>
      <c r="J201" s="126"/>
      <c r="K201" s="126"/>
    </row>
    <row r="202" spans="1:14" s="38" customFormat="1" ht="15.75" customHeight="1" x14ac:dyDescent="0.3">
      <c r="A202" s="145" t="s">
        <v>384</v>
      </c>
      <c r="B202" s="145"/>
      <c r="C202" s="145"/>
      <c r="D202" s="145"/>
      <c r="E202" s="145"/>
      <c r="F202" s="145"/>
      <c r="G202" s="114">
        <v>10.763999999999999</v>
      </c>
      <c r="H202" s="126"/>
      <c r="I202" s="126"/>
      <c r="J202" s="126"/>
      <c r="K202" s="126"/>
    </row>
    <row r="203" spans="1:14" s="38" customFormat="1" ht="15.75" customHeight="1" x14ac:dyDescent="0.3">
      <c r="A203" s="145" t="s">
        <v>352</v>
      </c>
      <c r="B203" s="145"/>
      <c r="C203" s="145"/>
      <c r="D203" s="145"/>
      <c r="E203" s="145"/>
      <c r="F203" s="145"/>
      <c r="G203" s="127">
        <v>1</v>
      </c>
      <c r="H203" s="126"/>
      <c r="I203" s="126"/>
      <c r="J203" s="126"/>
      <c r="K203" s="126"/>
    </row>
    <row r="204" spans="1:14" s="38" customFormat="1" ht="15.6" x14ac:dyDescent="0.3">
      <c r="A204" s="114">
        <v>1</v>
      </c>
      <c r="B204" s="114" t="s">
        <v>353</v>
      </c>
      <c r="C204" s="114">
        <f>(59.2)*10.764</f>
        <v>637.22879999999998</v>
      </c>
      <c r="D204" s="115">
        <f>C204*1.2</f>
        <v>764.67455999999993</v>
      </c>
      <c r="E204" s="114">
        <v>0</v>
      </c>
      <c r="F204" s="114">
        <f>C204*(($F$200)+1)+(IF(E204&lt;101,E204,IF(E204&lt;201,E204/2,IF(E204&lt;=301,E204/3,E204/4))))</f>
        <v>955.84320000000002</v>
      </c>
      <c r="G204" s="127"/>
      <c r="H204" s="126"/>
      <c r="I204" s="126"/>
      <c r="J204" s="126"/>
      <c r="K204" s="126"/>
      <c r="L204" s="146"/>
      <c r="M204" s="146"/>
      <c r="N204" s="39"/>
    </row>
    <row r="205" spans="1:14" ht="15" customHeight="1" x14ac:dyDescent="0.3">
      <c r="A205" s="114">
        <f>A204+1</f>
        <v>2</v>
      </c>
      <c r="B205" s="114" t="s">
        <v>354</v>
      </c>
      <c r="C205" s="114">
        <f>(38.4)*10.764</f>
        <v>413.33759999999995</v>
      </c>
      <c r="D205" s="115">
        <f t="shared" ref="D205:D209" si="9">C205*1.2</f>
        <v>496.00511999999992</v>
      </c>
      <c r="E205" s="114">
        <v>0</v>
      </c>
      <c r="F205" s="114">
        <f t="shared" ref="F205:F209" si="10">C205*(($F$200)+1)+(IF(E205&lt;101,E205,IF(E205&lt;201,E205/2,IF(E205&lt;=301,E205/3,E205/4))))</f>
        <v>620.00639999999999</v>
      </c>
      <c r="G205" s="127"/>
      <c r="H205" s="126"/>
      <c r="I205" s="126"/>
      <c r="J205" s="126"/>
      <c r="K205" s="126"/>
    </row>
    <row r="206" spans="1:14" ht="15" customHeight="1" x14ac:dyDescent="0.3">
      <c r="A206" s="114">
        <f t="shared" ref="A206:A212" si="11">A205+1</f>
        <v>3</v>
      </c>
      <c r="B206" s="114" t="s">
        <v>354</v>
      </c>
      <c r="C206" s="114">
        <f>(39.91)*10.764</f>
        <v>429.59123999999991</v>
      </c>
      <c r="D206" s="115">
        <f t="shared" si="9"/>
        <v>515.50948799999992</v>
      </c>
      <c r="E206" s="114">
        <v>0</v>
      </c>
      <c r="F206" s="114">
        <f t="shared" si="10"/>
        <v>644.38685999999984</v>
      </c>
      <c r="G206" s="127"/>
      <c r="H206" s="126"/>
      <c r="I206" s="126"/>
      <c r="J206" s="126"/>
      <c r="K206" s="126"/>
    </row>
    <row r="207" spans="1:14" ht="15.75" customHeight="1" x14ac:dyDescent="0.3">
      <c r="A207" s="114">
        <f t="shared" si="11"/>
        <v>4</v>
      </c>
      <c r="B207" s="114" t="s">
        <v>354</v>
      </c>
      <c r="C207" s="114">
        <f>(39.91)*10.764</f>
        <v>429.59123999999991</v>
      </c>
      <c r="D207" s="115">
        <f t="shared" si="9"/>
        <v>515.50948799999992</v>
      </c>
      <c r="E207" s="114">
        <v>0</v>
      </c>
      <c r="F207" s="114">
        <f t="shared" si="10"/>
        <v>644.38685999999984</v>
      </c>
      <c r="G207" s="127"/>
      <c r="H207" s="126"/>
      <c r="I207" s="126"/>
      <c r="J207" s="126"/>
      <c r="K207" s="126"/>
    </row>
    <row r="208" spans="1:14" ht="15.75" customHeight="1" x14ac:dyDescent="0.3">
      <c r="A208" s="114">
        <f t="shared" si="11"/>
        <v>5</v>
      </c>
      <c r="B208" s="114" t="s">
        <v>354</v>
      </c>
      <c r="C208" s="114">
        <f>(38.4)*10.764</f>
        <v>413.33759999999995</v>
      </c>
      <c r="D208" s="115">
        <f t="shared" si="9"/>
        <v>496.00511999999992</v>
      </c>
      <c r="E208" s="114">
        <v>0</v>
      </c>
      <c r="F208" s="114">
        <f t="shared" si="10"/>
        <v>620.00639999999999</v>
      </c>
      <c r="G208" s="127"/>
      <c r="H208" s="126"/>
      <c r="I208" s="126"/>
      <c r="J208" s="126"/>
      <c r="K208" s="126"/>
    </row>
    <row r="209" spans="1:14" ht="15" customHeight="1" x14ac:dyDescent="0.3">
      <c r="A209" s="114">
        <f t="shared" si="11"/>
        <v>6</v>
      </c>
      <c r="B209" s="114" t="s">
        <v>353</v>
      </c>
      <c r="C209" s="114">
        <f>(59.05)*10.764</f>
        <v>635.61419999999998</v>
      </c>
      <c r="D209" s="115">
        <f t="shared" si="9"/>
        <v>762.73703999999998</v>
      </c>
      <c r="E209" s="114">
        <v>0</v>
      </c>
      <c r="F209" s="114">
        <f t="shared" si="10"/>
        <v>953.42129999999997</v>
      </c>
      <c r="G209" s="127"/>
      <c r="H209" s="126"/>
      <c r="I209" s="126"/>
      <c r="J209" s="126"/>
      <c r="K209" s="126"/>
    </row>
    <row r="210" spans="1:14" ht="15" customHeight="1" x14ac:dyDescent="0.3">
      <c r="A210" s="114">
        <f t="shared" si="11"/>
        <v>7</v>
      </c>
      <c r="B210" s="114" t="s">
        <v>353</v>
      </c>
      <c r="C210" s="114">
        <f>(59.05)*10.764</f>
        <v>635.61419999999998</v>
      </c>
      <c r="D210" s="115">
        <f t="shared" ref="D210:D212" si="12">C210*1.2</f>
        <v>762.73703999999998</v>
      </c>
      <c r="E210" s="114">
        <v>0</v>
      </c>
      <c r="F210" s="114">
        <f t="shared" ref="F210:F212" si="13">C210*(($F$200)+1)+(IF(E210&lt;101,E210,IF(E210&lt;201,E210/2,IF(E210&lt;=301,E210/3,E210/4))))</f>
        <v>953.42129999999997</v>
      </c>
      <c r="G210" s="127"/>
      <c r="H210" s="126"/>
      <c r="I210" s="126"/>
      <c r="J210" s="126"/>
      <c r="K210" s="126"/>
    </row>
    <row r="211" spans="1:14" ht="15" customHeight="1" x14ac:dyDescent="0.3">
      <c r="A211" s="114">
        <f t="shared" si="11"/>
        <v>8</v>
      </c>
      <c r="B211" s="114" t="s">
        <v>353</v>
      </c>
      <c r="C211" s="114">
        <f>(59.23)*10.764</f>
        <v>637.55171999999993</v>
      </c>
      <c r="D211" s="115">
        <f t="shared" si="12"/>
        <v>765.06206399999985</v>
      </c>
      <c r="E211" s="114">
        <v>0</v>
      </c>
      <c r="F211" s="114">
        <f t="shared" si="13"/>
        <v>956.3275799999999</v>
      </c>
      <c r="G211" s="127"/>
      <c r="H211" s="126"/>
      <c r="I211" s="126"/>
      <c r="J211" s="126"/>
      <c r="K211" s="126"/>
    </row>
    <row r="212" spans="1:14" ht="15" customHeight="1" x14ac:dyDescent="0.3">
      <c r="A212" s="114">
        <f t="shared" si="11"/>
        <v>9</v>
      </c>
      <c r="B212" s="114" t="s">
        <v>353</v>
      </c>
      <c r="C212" s="114">
        <f>(53.3)*10.764</f>
        <v>573.72119999999995</v>
      </c>
      <c r="D212" s="115">
        <f t="shared" si="12"/>
        <v>688.46543999999994</v>
      </c>
      <c r="E212" s="114">
        <v>0</v>
      </c>
      <c r="F212" s="114">
        <f t="shared" si="13"/>
        <v>860.58179999999993</v>
      </c>
      <c r="G212" s="127"/>
      <c r="H212" s="126"/>
      <c r="I212" s="126"/>
      <c r="J212" s="126"/>
      <c r="K212" s="126"/>
    </row>
    <row r="213" spans="1:14" s="38" customFormat="1" ht="15.75" customHeight="1" x14ac:dyDescent="0.3">
      <c r="A213" s="145" t="s">
        <v>264</v>
      </c>
      <c r="B213" s="145"/>
      <c r="C213" s="145"/>
      <c r="D213" s="145"/>
      <c r="E213" s="145"/>
      <c r="F213" s="145"/>
      <c r="G213" s="127">
        <v>1</v>
      </c>
      <c r="H213" s="126"/>
      <c r="I213" s="126"/>
      <c r="J213" s="126"/>
      <c r="K213" s="126"/>
    </row>
    <row r="214" spans="1:14" s="38" customFormat="1" ht="15.6" x14ac:dyDescent="0.3">
      <c r="A214" s="114">
        <v>1</v>
      </c>
      <c r="B214" s="114" t="s">
        <v>353</v>
      </c>
      <c r="C214" s="114">
        <f>(59.2)*10.764</f>
        <v>637.22879999999998</v>
      </c>
      <c r="D214" s="115">
        <f>C214*1.2</f>
        <v>764.67455999999993</v>
      </c>
      <c r="E214" s="114">
        <v>0</v>
      </c>
      <c r="F214" s="114">
        <f>C214*(($F$200)+1)+(IF(E214&lt;101,E214,IF(E214&lt;201,E214/2,IF(E214&lt;=301,E214/3,E214/4))))</f>
        <v>955.84320000000002</v>
      </c>
      <c r="G214" s="127"/>
      <c r="H214" s="126"/>
      <c r="I214" s="126"/>
      <c r="J214" s="126"/>
      <c r="K214" s="126"/>
      <c r="L214" s="146"/>
      <c r="M214" s="146"/>
      <c r="N214" s="39"/>
    </row>
    <row r="215" spans="1:14" ht="15" customHeight="1" x14ac:dyDescent="0.3">
      <c r="A215" s="114">
        <f>A214+1</f>
        <v>2</v>
      </c>
      <c r="B215" s="114" t="s">
        <v>354</v>
      </c>
      <c r="C215" s="114">
        <f>(38.4)*10.764</f>
        <v>413.33759999999995</v>
      </c>
      <c r="D215" s="115">
        <f t="shared" ref="D215:D222" si="14">C215*1.2</f>
        <v>496.00511999999992</v>
      </c>
      <c r="E215" s="114">
        <v>0</v>
      </c>
      <c r="F215" s="114">
        <f t="shared" ref="F215:F222" si="15">C215*(($F$200)+1)+(IF(E215&lt;101,E215,IF(E215&lt;201,E215/2,IF(E215&lt;=301,E215/3,E215/4))))</f>
        <v>620.00639999999999</v>
      </c>
      <c r="G215" s="127"/>
      <c r="H215" s="126"/>
      <c r="I215" s="126"/>
      <c r="J215" s="126"/>
      <c r="K215" s="126"/>
    </row>
    <row r="216" spans="1:14" ht="15" customHeight="1" x14ac:dyDescent="0.3">
      <c r="A216" s="114">
        <f t="shared" ref="A216:A222" si="16">A215+1</f>
        <v>3</v>
      </c>
      <c r="B216" s="114" t="s">
        <v>354</v>
      </c>
      <c r="C216" s="114">
        <f>(39.91)*10.764</f>
        <v>429.59123999999991</v>
      </c>
      <c r="D216" s="115">
        <f t="shared" si="14"/>
        <v>515.50948799999992</v>
      </c>
      <c r="E216" s="114">
        <v>0</v>
      </c>
      <c r="F216" s="114">
        <f t="shared" si="15"/>
        <v>644.38685999999984</v>
      </c>
      <c r="G216" s="127"/>
      <c r="H216" s="126"/>
      <c r="I216" s="126"/>
      <c r="J216" s="126"/>
      <c r="K216" s="126"/>
    </row>
    <row r="217" spans="1:14" ht="15.75" customHeight="1" x14ac:dyDescent="0.3">
      <c r="A217" s="114">
        <f t="shared" si="16"/>
        <v>4</v>
      </c>
      <c r="B217" s="114" t="s">
        <v>354</v>
      </c>
      <c r="C217" s="114">
        <f>(39.91)*10.764</f>
        <v>429.59123999999991</v>
      </c>
      <c r="D217" s="115">
        <f t="shared" si="14"/>
        <v>515.50948799999992</v>
      </c>
      <c r="E217" s="114">
        <v>0</v>
      </c>
      <c r="F217" s="114">
        <f t="shared" si="15"/>
        <v>644.38685999999984</v>
      </c>
      <c r="G217" s="127"/>
      <c r="H217" s="126"/>
      <c r="I217" s="126"/>
      <c r="J217" s="126"/>
      <c r="K217" s="126"/>
    </row>
    <row r="218" spans="1:14" ht="15.75" customHeight="1" x14ac:dyDescent="0.3">
      <c r="A218" s="114">
        <f t="shared" si="16"/>
        <v>5</v>
      </c>
      <c r="B218" s="114" t="s">
        <v>354</v>
      </c>
      <c r="C218" s="114">
        <f>(38.4)*10.764</f>
        <v>413.33759999999995</v>
      </c>
      <c r="D218" s="115">
        <f t="shared" si="14"/>
        <v>496.00511999999992</v>
      </c>
      <c r="E218" s="114">
        <v>0</v>
      </c>
      <c r="F218" s="114">
        <f t="shared" si="15"/>
        <v>620.00639999999999</v>
      </c>
      <c r="G218" s="127"/>
      <c r="H218" s="126"/>
      <c r="I218" s="126"/>
      <c r="J218" s="126"/>
      <c r="K218" s="126"/>
    </row>
    <row r="219" spans="1:14" ht="15" customHeight="1" x14ac:dyDescent="0.3">
      <c r="A219" s="114">
        <f t="shared" si="16"/>
        <v>6</v>
      </c>
      <c r="B219" s="114" t="s">
        <v>353</v>
      </c>
      <c r="C219" s="114">
        <f>(59.05)*10.764</f>
        <v>635.61419999999998</v>
      </c>
      <c r="D219" s="115">
        <f t="shared" si="14"/>
        <v>762.73703999999998</v>
      </c>
      <c r="E219" s="114">
        <v>0</v>
      </c>
      <c r="F219" s="114">
        <f t="shared" si="15"/>
        <v>953.42129999999997</v>
      </c>
      <c r="G219" s="127"/>
      <c r="H219" s="126"/>
      <c r="I219" s="126"/>
      <c r="J219" s="126"/>
      <c r="K219" s="126"/>
    </row>
    <row r="220" spans="1:14" ht="15" customHeight="1" x14ac:dyDescent="0.3">
      <c r="A220" s="114">
        <f t="shared" si="16"/>
        <v>7</v>
      </c>
      <c r="B220" s="114" t="s">
        <v>353</v>
      </c>
      <c r="C220" s="114">
        <f>(59.05)*10.764</f>
        <v>635.61419999999998</v>
      </c>
      <c r="D220" s="115">
        <f t="shared" si="14"/>
        <v>762.73703999999998</v>
      </c>
      <c r="E220" s="114">
        <v>0</v>
      </c>
      <c r="F220" s="114">
        <f t="shared" si="15"/>
        <v>953.42129999999997</v>
      </c>
      <c r="G220" s="127"/>
      <c r="H220" s="126"/>
      <c r="I220" s="126"/>
      <c r="J220" s="126"/>
      <c r="K220" s="126"/>
    </row>
    <row r="221" spans="1:14" ht="15" customHeight="1" x14ac:dyDescent="0.3">
      <c r="A221" s="114">
        <f t="shared" si="16"/>
        <v>8</v>
      </c>
      <c r="B221" s="114" t="s">
        <v>353</v>
      </c>
      <c r="C221" s="114">
        <f>(59.23)*10.764</f>
        <v>637.55171999999993</v>
      </c>
      <c r="D221" s="115">
        <f t="shared" si="14"/>
        <v>765.06206399999985</v>
      </c>
      <c r="E221" s="114">
        <v>0</v>
      </c>
      <c r="F221" s="114">
        <f t="shared" si="15"/>
        <v>956.3275799999999</v>
      </c>
      <c r="G221" s="127"/>
      <c r="H221" s="126"/>
      <c r="I221" s="126"/>
      <c r="J221" s="126"/>
      <c r="K221" s="126"/>
    </row>
    <row r="222" spans="1:14" ht="15" customHeight="1" x14ac:dyDescent="0.3">
      <c r="A222" s="114">
        <f t="shared" si="16"/>
        <v>9</v>
      </c>
      <c r="B222" s="114" t="s">
        <v>353</v>
      </c>
      <c r="C222" s="114">
        <f>(53.3)*10.764</f>
        <v>573.72119999999995</v>
      </c>
      <c r="D222" s="115">
        <f t="shared" si="14"/>
        <v>688.46543999999994</v>
      </c>
      <c r="E222" s="114">
        <v>0</v>
      </c>
      <c r="F222" s="114">
        <f t="shared" si="15"/>
        <v>860.58179999999993</v>
      </c>
      <c r="G222" s="127"/>
      <c r="H222" s="126"/>
      <c r="I222" s="126"/>
      <c r="J222" s="126"/>
      <c r="K222" s="126"/>
    </row>
    <row r="223" spans="1:14" s="38" customFormat="1" ht="15.75" customHeight="1" x14ac:dyDescent="0.3">
      <c r="A223" s="145" t="s">
        <v>356</v>
      </c>
      <c r="B223" s="145"/>
      <c r="C223" s="145"/>
      <c r="D223" s="145"/>
      <c r="E223" s="145"/>
      <c r="F223" s="145"/>
      <c r="G223" s="127">
        <f>4+3+2+3+1+1+1</f>
        <v>15</v>
      </c>
      <c r="H223" s="126"/>
      <c r="I223" s="126"/>
      <c r="J223" s="126"/>
      <c r="K223" s="126"/>
    </row>
    <row r="224" spans="1:14" s="38" customFormat="1" ht="15.6" x14ac:dyDescent="0.3">
      <c r="A224" s="114">
        <v>1</v>
      </c>
      <c r="B224" s="114" t="s">
        <v>353</v>
      </c>
      <c r="C224" s="114">
        <f>(59.2)*10.764</f>
        <v>637.22879999999998</v>
      </c>
      <c r="D224" s="115">
        <f>C224*1.2</f>
        <v>764.67455999999993</v>
      </c>
      <c r="E224" s="114">
        <v>0</v>
      </c>
      <c r="F224" s="114">
        <f>C224*(($F$200)+1)+(IF(E224&lt;101,E224,IF(E224&lt;201,E224/2,IF(E224&lt;=301,E224/3,E224/4))))</f>
        <v>955.84320000000002</v>
      </c>
      <c r="G224" s="127"/>
      <c r="H224" s="126">
        <f>13955337/F224</f>
        <v>14600.027494049233</v>
      </c>
      <c r="I224" s="126"/>
      <c r="J224" s="126"/>
      <c r="K224" s="126"/>
      <c r="L224" s="146"/>
      <c r="M224" s="146"/>
      <c r="N224" s="39"/>
    </row>
    <row r="225" spans="1:14" ht="15" customHeight="1" x14ac:dyDescent="0.3">
      <c r="A225" s="114">
        <f>A224+1</f>
        <v>2</v>
      </c>
      <c r="B225" s="114" t="s">
        <v>354</v>
      </c>
      <c r="C225" s="114">
        <f>(38.4)*10.764</f>
        <v>413.33759999999995</v>
      </c>
      <c r="D225" s="115">
        <f t="shared" ref="D225:D232" si="17">C225*1.2</f>
        <v>496.00511999999992</v>
      </c>
      <c r="E225" s="114">
        <v>0</v>
      </c>
      <c r="F225" s="114">
        <f t="shared" ref="F225:F232" si="18">C225*(($F$200)+1)+(IF(E225&lt;101,E225,IF(E225&lt;201,E225/2,IF(E225&lt;=301,E225/3,E225/4))))</f>
        <v>620.00639999999999</v>
      </c>
      <c r="G225" s="127"/>
      <c r="H225" s="126"/>
      <c r="I225" s="126"/>
      <c r="J225" s="126"/>
      <c r="K225" s="126"/>
    </row>
    <row r="226" spans="1:14" ht="15" customHeight="1" x14ac:dyDescent="0.3">
      <c r="A226" s="114">
        <f t="shared" ref="A226:A232" si="19">A225+1</f>
        <v>3</v>
      </c>
      <c r="B226" s="114" t="s">
        <v>354</v>
      </c>
      <c r="C226" s="114">
        <f>(39.91)*10.764</f>
        <v>429.59123999999991</v>
      </c>
      <c r="D226" s="115">
        <f t="shared" si="17"/>
        <v>515.50948799999992</v>
      </c>
      <c r="E226" s="114">
        <v>0</v>
      </c>
      <c r="F226" s="114">
        <f t="shared" si="18"/>
        <v>644.38685999999984</v>
      </c>
      <c r="G226" s="127"/>
      <c r="H226" s="126"/>
      <c r="I226" s="126"/>
      <c r="J226" s="126"/>
      <c r="K226" s="126"/>
    </row>
    <row r="227" spans="1:14" ht="15.75" customHeight="1" x14ac:dyDescent="0.3">
      <c r="A227" s="114">
        <f t="shared" si="19"/>
        <v>4</v>
      </c>
      <c r="B227" s="114" t="s">
        <v>354</v>
      </c>
      <c r="C227" s="114">
        <f>(39.91)*10.764</f>
        <v>429.59123999999991</v>
      </c>
      <c r="D227" s="115">
        <f t="shared" si="17"/>
        <v>515.50948799999992</v>
      </c>
      <c r="E227" s="114">
        <v>0</v>
      </c>
      <c r="F227" s="114">
        <f t="shared" si="18"/>
        <v>644.38685999999984</v>
      </c>
      <c r="G227" s="127"/>
      <c r="H227" s="126"/>
      <c r="I227" s="126"/>
      <c r="J227" s="126"/>
      <c r="K227" s="126"/>
    </row>
    <row r="228" spans="1:14" ht="15.75" customHeight="1" x14ac:dyDescent="0.3">
      <c r="A228" s="114">
        <f t="shared" si="19"/>
        <v>5</v>
      </c>
      <c r="B228" s="114" t="s">
        <v>354</v>
      </c>
      <c r="C228" s="114">
        <f>(38.4)*10.764</f>
        <v>413.33759999999995</v>
      </c>
      <c r="D228" s="115">
        <f t="shared" si="17"/>
        <v>496.00511999999992</v>
      </c>
      <c r="E228" s="114">
        <v>0</v>
      </c>
      <c r="F228" s="114">
        <f t="shared" si="18"/>
        <v>620.00639999999999</v>
      </c>
      <c r="G228" s="127"/>
      <c r="H228" s="126"/>
      <c r="I228" s="126"/>
      <c r="J228" s="126"/>
      <c r="K228" s="126"/>
    </row>
    <row r="229" spans="1:14" ht="15" customHeight="1" x14ac:dyDescent="0.3">
      <c r="A229" s="114">
        <f t="shared" si="19"/>
        <v>6</v>
      </c>
      <c r="B229" s="114" t="s">
        <v>353</v>
      </c>
      <c r="C229" s="114">
        <f>(59.05)*10.764</f>
        <v>635.61419999999998</v>
      </c>
      <c r="D229" s="115">
        <f t="shared" si="17"/>
        <v>762.73703999999998</v>
      </c>
      <c r="E229" s="114">
        <v>0</v>
      </c>
      <c r="F229" s="114">
        <f t="shared" si="18"/>
        <v>953.42129999999997</v>
      </c>
      <c r="G229" s="127"/>
      <c r="H229" s="126"/>
      <c r="I229" s="126"/>
      <c r="J229" s="126"/>
      <c r="K229" s="126"/>
    </row>
    <row r="230" spans="1:14" ht="15" customHeight="1" x14ac:dyDescent="0.3">
      <c r="A230" s="114">
        <f t="shared" si="19"/>
        <v>7</v>
      </c>
      <c r="B230" s="114" t="s">
        <v>353</v>
      </c>
      <c r="C230" s="114">
        <f>(59.05)*10.764</f>
        <v>635.61419999999998</v>
      </c>
      <c r="D230" s="115">
        <f t="shared" si="17"/>
        <v>762.73703999999998</v>
      </c>
      <c r="E230" s="114">
        <v>0</v>
      </c>
      <c r="F230" s="114">
        <f t="shared" si="18"/>
        <v>953.42129999999997</v>
      </c>
      <c r="G230" s="127"/>
      <c r="H230" s="126"/>
      <c r="I230" s="126"/>
      <c r="J230" s="126"/>
      <c r="K230" s="126"/>
    </row>
    <row r="231" spans="1:14" ht="15" customHeight="1" x14ac:dyDescent="0.3">
      <c r="A231" s="114">
        <f t="shared" si="19"/>
        <v>8</v>
      </c>
      <c r="B231" s="114" t="s">
        <v>353</v>
      </c>
      <c r="C231" s="114">
        <f>(59.23)*10.764</f>
        <v>637.55171999999993</v>
      </c>
      <c r="D231" s="115">
        <f t="shared" si="17"/>
        <v>765.06206399999985</v>
      </c>
      <c r="E231" s="114">
        <v>0</v>
      </c>
      <c r="F231" s="114">
        <f t="shared" si="18"/>
        <v>956.3275799999999</v>
      </c>
      <c r="G231" s="127"/>
      <c r="H231" s="126"/>
      <c r="I231" s="126"/>
      <c r="J231" s="126"/>
      <c r="K231" s="126"/>
    </row>
    <row r="232" spans="1:14" ht="15" customHeight="1" x14ac:dyDescent="0.3">
      <c r="A232" s="114">
        <f t="shared" si="19"/>
        <v>9</v>
      </c>
      <c r="B232" s="114" t="s">
        <v>353</v>
      </c>
      <c r="C232" s="114">
        <f>(53.3)*10.764</f>
        <v>573.72119999999995</v>
      </c>
      <c r="D232" s="115">
        <f t="shared" si="17"/>
        <v>688.46543999999994</v>
      </c>
      <c r="E232" s="114">
        <v>0</v>
      </c>
      <c r="F232" s="114">
        <f t="shared" si="18"/>
        <v>860.58179999999993</v>
      </c>
      <c r="G232" s="127"/>
      <c r="H232" s="126"/>
      <c r="I232" s="126"/>
      <c r="J232" s="126"/>
      <c r="K232" s="126"/>
    </row>
    <row r="233" spans="1:14" s="38" customFormat="1" ht="15.75" customHeight="1" x14ac:dyDescent="0.3">
      <c r="A233" s="145" t="s">
        <v>357</v>
      </c>
      <c r="B233" s="145"/>
      <c r="C233" s="145"/>
      <c r="D233" s="145"/>
      <c r="E233" s="145"/>
      <c r="F233" s="145"/>
      <c r="G233" s="127">
        <v>6</v>
      </c>
      <c r="H233" s="126"/>
      <c r="I233" s="126"/>
      <c r="J233" s="126"/>
      <c r="K233" s="126"/>
    </row>
    <row r="234" spans="1:14" s="38" customFormat="1" ht="15.6" x14ac:dyDescent="0.3">
      <c r="A234" s="114">
        <v>1</v>
      </c>
      <c r="B234" s="114" t="s">
        <v>353</v>
      </c>
      <c r="C234" s="114">
        <f>(59.2)*10.764</f>
        <v>637.22879999999998</v>
      </c>
      <c r="D234" s="115">
        <f>C234*1.2</f>
        <v>764.67455999999993</v>
      </c>
      <c r="E234" s="114">
        <v>0</v>
      </c>
      <c r="F234" s="114">
        <f>C234*(($F$200)+1)+(IF(E234&lt;101,E234,IF(E234&lt;201,E234/2,IF(E234&lt;=301,E234/3,E234/4))))</f>
        <v>955.84320000000002</v>
      </c>
      <c r="G234" s="127"/>
      <c r="H234" s="126"/>
      <c r="I234" s="126"/>
      <c r="J234" s="126"/>
      <c r="K234" s="126"/>
      <c r="L234" s="146"/>
      <c r="M234" s="146"/>
      <c r="N234" s="39"/>
    </row>
    <row r="235" spans="1:14" ht="15" customHeight="1" x14ac:dyDescent="0.3">
      <c r="A235" s="114">
        <f>A234+1</f>
        <v>2</v>
      </c>
      <c r="B235" s="114" t="s">
        <v>354</v>
      </c>
      <c r="C235" s="114">
        <f>(38.4)*10.764</f>
        <v>413.33759999999995</v>
      </c>
      <c r="D235" s="115">
        <f t="shared" ref="D235:D242" si="20">C235*1.2</f>
        <v>496.00511999999992</v>
      </c>
      <c r="E235" s="114">
        <v>0</v>
      </c>
      <c r="F235" s="114">
        <f t="shared" ref="F235:F242" si="21">C235*(($F$200)+1)+(IF(E235&lt;101,E235,IF(E235&lt;201,E235/2,IF(E235&lt;=301,E235/3,E235/4))))</f>
        <v>620.00639999999999</v>
      </c>
      <c r="G235" s="127"/>
      <c r="H235" s="126"/>
      <c r="I235" s="126"/>
      <c r="J235" s="126"/>
      <c r="K235" s="126"/>
    </row>
    <row r="236" spans="1:14" ht="15" customHeight="1" x14ac:dyDescent="0.3">
      <c r="A236" s="114">
        <f t="shared" ref="A236:A242" si="22">A235+1</f>
        <v>3</v>
      </c>
      <c r="B236" s="114" t="s">
        <v>354</v>
      </c>
      <c r="C236" s="114">
        <f>(39.91)*10.764</f>
        <v>429.59123999999991</v>
      </c>
      <c r="D236" s="115">
        <f t="shared" si="20"/>
        <v>515.50948799999992</v>
      </c>
      <c r="E236" s="114">
        <v>0</v>
      </c>
      <c r="F236" s="114">
        <f t="shared" si="21"/>
        <v>644.38685999999984</v>
      </c>
      <c r="G236" s="127"/>
      <c r="H236" s="126"/>
      <c r="I236" s="126"/>
      <c r="J236" s="126"/>
      <c r="K236" s="126"/>
    </row>
    <row r="237" spans="1:14" ht="15.75" customHeight="1" x14ac:dyDescent="0.3">
      <c r="A237" s="114">
        <f t="shared" si="22"/>
        <v>4</v>
      </c>
      <c r="B237" s="114" t="s">
        <v>354</v>
      </c>
      <c r="C237" s="114">
        <f>(39.91)*10.764</f>
        <v>429.59123999999991</v>
      </c>
      <c r="D237" s="115">
        <f t="shared" si="20"/>
        <v>515.50948799999992</v>
      </c>
      <c r="E237" s="114">
        <v>0</v>
      </c>
      <c r="F237" s="114">
        <f t="shared" si="21"/>
        <v>644.38685999999984</v>
      </c>
      <c r="G237" s="127"/>
      <c r="H237" s="126"/>
      <c r="I237" s="126"/>
      <c r="J237" s="126"/>
      <c r="K237" s="126"/>
    </row>
    <row r="238" spans="1:14" ht="15.75" customHeight="1" x14ac:dyDescent="0.3">
      <c r="A238" s="114">
        <f t="shared" si="22"/>
        <v>5</v>
      </c>
      <c r="B238" s="114" t="s">
        <v>354</v>
      </c>
      <c r="C238" s="114">
        <f>(38.4)*10.764</f>
        <v>413.33759999999995</v>
      </c>
      <c r="D238" s="115">
        <f t="shared" si="20"/>
        <v>496.00511999999992</v>
      </c>
      <c r="E238" s="114">
        <v>0</v>
      </c>
      <c r="F238" s="114">
        <f t="shared" si="21"/>
        <v>620.00639999999999</v>
      </c>
      <c r="G238" s="127"/>
      <c r="H238" s="126"/>
      <c r="I238" s="126"/>
      <c r="J238" s="126"/>
      <c r="K238" s="126"/>
    </row>
    <row r="239" spans="1:14" ht="15" customHeight="1" x14ac:dyDescent="0.3">
      <c r="A239" s="114">
        <f t="shared" si="22"/>
        <v>6</v>
      </c>
      <c r="B239" s="114" t="s">
        <v>353</v>
      </c>
      <c r="C239" s="114">
        <f>(59.05)*10.764</f>
        <v>635.61419999999998</v>
      </c>
      <c r="D239" s="115">
        <f t="shared" si="20"/>
        <v>762.73703999999998</v>
      </c>
      <c r="E239" s="114">
        <v>0</v>
      </c>
      <c r="F239" s="114">
        <f t="shared" si="21"/>
        <v>953.42129999999997</v>
      </c>
      <c r="G239" s="127"/>
      <c r="H239" s="126"/>
      <c r="I239" s="126"/>
      <c r="J239" s="126"/>
      <c r="K239" s="126"/>
    </row>
    <row r="240" spans="1:14" ht="15" customHeight="1" x14ac:dyDescent="0.3">
      <c r="A240" s="114">
        <f t="shared" si="22"/>
        <v>7</v>
      </c>
      <c r="B240" s="114" t="s">
        <v>353</v>
      </c>
      <c r="C240" s="114">
        <f>(59.05)*10.764</f>
        <v>635.61419999999998</v>
      </c>
      <c r="D240" s="115">
        <f t="shared" si="20"/>
        <v>762.73703999999998</v>
      </c>
      <c r="E240" s="114">
        <v>0</v>
      </c>
      <c r="F240" s="114">
        <f t="shared" si="21"/>
        <v>953.42129999999997</v>
      </c>
      <c r="G240" s="127"/>
      <c r="H240" s="126"/>
      <c r="I240" s="126"/>
      <c r="J240" s="126"/>
      <c r="K240" s="126"/>
    </row>
    <row r="241" spans="1:14" ht="15" customHeight="1" x14ac:dyDescent="0.3">
      <c r="A241" s="114">
        <f t="shared" si="22"/>
        <v>8</v>
      </c>
      <c r="B241" s="114" t="s">
        <v>353</v>
      </c>
      <c r="C241" s="114">
        <f>(59.23)*10.764</f>
        <v>637.55171999999993</v>
      </c>
      <c r="D241" s="115">
        <f t="shared" si="20"/>
        <v>765.06206399999985</v>
      </c>
      <c r="E241" s="114">
        <v>0</v>
      </c>
      <c r="F241" s="114">
        <f t="shared" si="21"/>
        <v>956.3275799999999</v>
      </c>
      <c r="G241" s="127"/>
      <c r="H241" s="126"/>
      <c r="I241" s="126"/>
      <c r="J241" s="126"/>
      <c r="K241" s="126"/>
    </row>
    <row r="242" spans="1:14" ht="15" customHeight="1" x14ac:dyDescent="0.3">
      <c r="A242" s="114">
        <f t="shared" si="22"/>
        <v>9</v>
      </c>
      <c r="B242" s="114" t="s">
        <v>353</v>
      </c>
      <c r="C242" s="114">
        <f>(53.3)*10.764</f>
        <v>573.72119999999995</v>
      </c>
      <c r="D242" s="115">
        <f t="shared" si="20"/>
        <v>688.46543999999994</v>
      </c>
      <c r="E242" s="114">
        <v>0</v>
      </c>
      <c r="F242" s="114">
        <f t="shared" si="21"/>
        <v>860.58179999999993</v>
      </c>
      <c r="G242" s="127"/>
      <c r="H242" s="126"/>
      <c r="I242" s="126"/>
      <c r="J242" s="126"/>
      <c r="K242" s="126"/>
    </row>
    <row r="243" spans="1:14" s="38" customFormat="1" ht="15.75" customHeight="1" x14ac:dyDescent="0.3">
      <c r="A243" s="145" t="s">
        <v>358</v>
      </c>
      <c r="B243" s="145"/>
      <c r="C243" s="145"/>
      <c r="D243" s="145"/>
      <c r="E243" s="145"/>
      <c r="F243" s="145"/>
      <c r="G243" s="127">
        <v>2</v>
      </c>
      <c r="H243" s="126"/>
      <c r="I243" s="126"/>
      <c r="J243" s="126"/>
      <c r="K243" s="126"/>
    </row>
    <row r="244" spans="1:14" s="38" customFormat="1" ht="15.6" x14ac:dyDescent="0.3">
      <c r="A244" s="114">
        <v>1</v>
      </c>
      <c r="B244" s="114" t="s">
        <v>353</v>
      </c>
      <c r="C244" s="114">
        <f>(59.2)*10.764</f>
        <v>637.22879999999998</v>
      </c>
      <c r="D244" s="115">
        <f>C244*1.2</f>
        <v>764.67455999999993</v>
      </c>
      <c r="E244" s="114">
        <v>0</v>
      </c>
      <c r="F244" s="114">
        <f>C244*(($F$200)+1)+(IF(E244&lt;101,E244,IF(E244&lt;201,E244/2,IF(E244&lt;=301,E244/3,E244/4))))</f>
        <v>955.84320000000002</v>
      </c>
      <c r="G244" s="127"/>
      <c r="H244" s="126"/>
      <c r="I244" s="126"/>
      <c r="J244" s="126"/>
      <c r="K244" s="126"/>
      <c r="L244" s="146"/>
      <c r="M244" s="146"/>
      <c r="N244" s="39"/>
    </row>
    <row r="245" spans="1:14" ht="15" customHeight="1" x14ac:dyDescent="0.3">
      <c r="A245" s="114">
        <f>A244+1</f>
        <v>2</v>
      </c>
      <c r="B245" s="114" t="s">
        <v>354</v>
      </c>
      <c r="C245" s="114">
        <f>(38.4)*10.764</f>
        <v>413.33759999999995</v>
      </c>
      <c r="D245" s="115">
        <f t="shared" ref="D245:D251" si="23">C245*1.2</f>
        <v>496.00511999999992</v>
      </c>
      <c r="E245" s="114">
        <v>0</v>
      </c>
      <c r="F245" s="114">
        <f>C245*(($F$200)+1)+(IF(E245&lt;101,E245,IF(E245&lt;201,E245/2,IF(E245&lt;=301,E245/3,E245/4))))</f>
        <v>620.00639999999999</v>
      </c>
      <c r="G245" s="127"/>
      <c r="H245" s="126"/>
      <c r="I245" s="126"/>
      <c r="J245" s="126"/>
      <c r="K245" s="126"/>
    </row>
    <row r="246" spans="1:14" ht="15" customHeight="1" x14ac:dyDescent="0.3">
      <c r="A246" s="114">
        <f t="shared" ref="A246:A252" si="24">A245+1</f>
        <v>3</v>
      </c>
      <c r="B246" s="114" t="s">
        <v>354</v>
      </c>
      <c r="C246" s="114">
        <f>(39.91)*10.764</f>
        <v>429.59123999999991</v>
      </c>
      <c r="D246" s="115">
        <f t="shared" si="23"/>
        <v>515.50948799999992</v>
      </c>
      <c r="E246" s="114">
        <v>0</v>
      </c>
      <c r="F246" s="114">
        <f>C246*(($F$200)+1)+(IF(E246&lt;101,E246,IF(E246&lt;201,E246/2,IF(E246&lt;=301,E246/3,E246/4))))</f>
        <v>644.38685999999984</v>
      </c>
      <c r="G246" s="127"/>
      <c r="H246" s="126"/>
      <c r="I246" s="126"/>
      <c r="J246" s="126"/>
      <c r="K246" s="126"/>
    </row>
    <row r="247" spans="1:14" ht="15.75" customHeight="1" x14ac:dyDescent="0.3">
      <c r="A247" s="114">
        <f t="shared" si="24"/>
        <v>4</v>
      </c>
      <c r="B247" s="139" t="s">
        <v>359</v>
      </c>
      <c r="C247" s="140"/>
      <c r="D247" s="140"/>
      <c r="E247" s="140"/>
      <c r="F247" s="141"/>
      <c r="G247" s="127"/>
      <c r="H247" s="126"/>
      <c r="I247" s="126"/>
      <c r="J247" s="126"/>
      <c r="K247" s="126"/>
    </row>
    <row r="248" spans="1:14" ht="15.75" customHeight="1" x14ac:dyDescent="0.3">
      <c r="A248" s="114">
        <f t="shared" si="24"/>
        <v>5</v>
      </c>
      <c r="B248" s="142"/>
      <c r="C248" s="143"/>
      <c r="D248" s="143"/>
      <c r="E248" s="143"/>
      <c r="F248" s="144"/>
      <c r="G248" s="127"/>
      <c r="H248" s="126"/>
      <c r="I248" s="126"/>
      <c r="J248" s="126"/>
      <c r="K248" s="126"/>
    </row>
    <row r="249" spans="1:14" ht="15" customHeight="1" x14ac:dyDescent="0.3">
      <c r="A249" s="114">
        <f t="shared" si="24"/>
        <v>6</v>
      </c>
      <c r="B249" s="114" t="s">
        <v>353</v>
      </c>
      <c r="C249" s="114">
        <f>(59.05)*10.764</f>
        <v>635.61419999999998</v>
      </c>
      <c r="D249" s="115">
        <f t="shared" si="23"/>
        <v>762.73703999999998</v>
      </c>
      <c r="E249" s="114">
        <v>0</v>
      </c>
      <c r="F249" s="114">
        <f>C249*(($F$200)+1)+(IF(E249&lt;101,E249,IF(E249&lt;201,E249/2,IF(E249&lt;=301,E249/3,E249/4))))</f>
        <v>953.42129999999997</v>
      </c>
      <c r="G249" s="127"/>
      <c r="H249" s="126"/>
      <c r="I249" s="126"/>
      <c r="J249" s="126"/>
      <c r="K249" s="126"/>
    </row>
    <row r="250" spans="1:14" ht="15" customHeight="1" x14ac:dyDescent="0.3">
      <c r="A250" s="114">
        <f t="shared" si="24"/>
        <v>7</v>
      </c>
      <c r="B250" s="114" t="s">
        <v>353</v>
      </c>
      <c r="C250" s="114">
        <f>(59.05)*10.764</f>
        <v>635.61419999999998</v>
      </c>
      <c r="D250" s="115">
        <f t="shared" si="23"/>
        <v>762.73703999999998</v>
      </c>
      <c r="E250" s="114">
        <v>0</v>
      </c>
      <c r="F250" s="114">
        <f>C250*(($F$200)+1)+(IF(E250&lt;101,E250,IF(E250&lt;201,E250/2,IF(E250&lt;=301,E250/3,E250/4))))</f>
        <v>953.42129999999997</v>
      </c>
      <c r="G250" s="127"/>
      <c r="H250" s="126"/>
      <c r="I250" s="126"/>
      <c r="J250" s="126"/>
      <c r="K250" s="126"/>
    </row>
    <row r="251" spans="1:14" ht="15" customHeight="1" x14ac:dyDescent="0.3">
      <c r="A251" s="114">
        <f t="shared" si="24"/>
        <v>8</v>
      </c>
      <c r="B251" s="114" t="s">
        <v>353</v>
      </c>
      <c r="C251" s="114">
        <f>(59.23)*10.764</f>
        <v>637.55171999999993</v>
      </c>
      <c r="D251" s="115">
        <f t="shared" si="23"/>
        <v>765.06206399999985</v>
      </c>
      <c r="E251" s="114">
        <v>0</v>
      </c>
      <c r="F251" s="114">
        <f>C251*(($F$200)+1)+(IF(E251&lt;101,E251,IF(E251&lt;201,E251/2,IF(E251&lt;=301,E251/3,E251/4))))</f>
        <v>956.3275799999999</v>
      </c>
      <c r="G251" s="127"/>
      <c r="H251" s="126"/>
      <c r="I251" s="126"/>
      <c r="J251" s="126"/>
      <c r="K251" s="126"/>
    </row>
    <row r="252" spans="1:14" ht="15" customHeight="1" x14ac:dyDescent="0.3">
      <c r="A252" s="114">
        <f t="shared" si="24"/>
        <v>9</v>
      </c>
      <c r="B252" s="216" t="s">
        <v>359</v>
      </c>
      <c r="C252" s="217"/>
      <c r="D252" s="217"/>
      <c r="E252" s="217"/>
      <c r="F252" s="218"/>
      <c r="G252" s="127"/>
      <c r="H252" s="126"/>
      <c r="I252" s="126"/>
      <c r="J252" s="126"/>
      <c r="K252" s="126"/>
    </row>
    <row r="253" spans="1:14" s="38" customFormat="1" ht="15.75" customHeight="1" x14ac:dyDescent="0.3">
      <c r="A253" s="145" t="s">
        <v>360</v>
      </c>
      <c r="B253" s="145"/>
      <c r="C253" s="145"/>
      <c r="D253" s="145"/>
      <c r="E253" s="145"/>
      <c r="F253" s="145"/>
      <c r="G253" s="127">
        <v>1</v>
      </c>
      <c r="H253" s="126"/>
      <c r="I253" s="126"/>
      <c r="J253" s="126"/>
      <c r="K253" s="126"/>
    </row>
    <row r="254" spans="1:14" s="38" customFormat="1" ht="15.6" x14ac:dyDescent="0.3">
      <c r="A254" s="114">
        <v>1</v>
      </c>
      <c r="B254" s="114" t="s">
        <v>353</v>
      </c>
      <c r="C254" s="114">
        <f>(59.2)*10.764</f>
        <v>637.22879999999998</v>
      </c>
      <c r="D254" s="115">
        <f>C254*1.2</f>
        <v>764.67455999999993</v>
      </c>
      <c r="E254" s="114">
        <v>0</v>
      </c>
      <c r="F254" s="114">
        <f>C254*(($F$200)+1)+(IF(E254&lt;101,E254,IF(E254&lt;201,E254/2,IF(E254&lt;=301,E254/3,E254/4))))</f>
        <v>955.84320000000002</v>
      </c>
      <c r="G254" s="127"/>
      <c r="H254" s="126"/>
      <c r="I254" s="126"/>
      <c r="J254" s="126"/>
      <c r="K254" s="126"/>
      <c r="L254" s="146"/>
      <c r="M254" s="146"/>
      <c r="N254" s="39"/>
    </row>
    <row r="255" spans="1:14" ht="15" customHeight="1" x14ac:dyDescent="0.3">
      <c r="A255" s="114">
        <f>A254+1</f>
        <v>2</v>
      </c>
      <c r="B255" s="114" t="s">
        <v>354</v>
      </c>
      <c r="C255" s="114">
        <f>(38.4)*10.764</f>
        <v>413.33759999999995</v>
      </c>
      <c r="D255" s="115">
        <f t="shared" ref="D255:D262" si="25">C255*1.2</f>
        <v>496.00511999999992</v>
      </c>
      <c r="E255" s="114">
        <v>0</v>
      </c>
      <c r="F255" s="114">
        <f t="shared" ref="F255:F262" si="26">C255*(($F$200)+1)+(IF(E255&lt;101,E255,IF(E255&lt;201,E255/2,IF(E255&lt;=301,E255/3,E255/4))))</f>
        <v>620.00639999999999</v>
      </c>
      <c r="G255" s="127"/>
      <c r="H255" s="126"/>
      <c r="I255" s="126"/>
      <c r="J255" s="126"/>
      <c r="K255" s="126"/>
    </row>
    <row r="256" spans="1:14" ht="15" customHeight="1" x14ac:dyDescent="0.3">
      <c r="A256" s="114">
        <f t="shared" ref="A256:A262" si="27">A255+1</f>
        <v>3</v>
      </c>
      <c r="B256" s="114" t="s">
        <v>354</v>
      </c>
      <c r="C256" s="114">
        <f>(39.91)*10.764</f>
        <v>429.59123999999991</v>
      </c>
      <c r="D256" s="115">
        <f t="shared" si="25"/>
        <v>515.50948799999992</v>
      </c>
      <c r="E256" s="114">
        <v>0</v>
      </c>
      <c r="F256" s="114">
        <f t="shared" si="26"/>
        <v>644.38685999999984</v>
      </c>
      <c r="G256" s="127"/>
      <c r="H256" s="126"/>
      <c r="I256" s="126"/>
      <c r="J256" s="126"/>
      <c r="K256" s="126"/>
    </row>
    <row r="257" spans="1:14" ht="15.75" customHeight="1" x14ac:dyDescent="0.3">
      <c r="A257" s="114">
        <f t="shared" si="27"/>
        <v>4</v>
      </c>
      <c r="B257" s="139" t="s">
        <v>359</v>
      </c>
      <c r="C257" s="140"/>
      <c r="D257" s="140"/>
      <c r="E257" s="140"/>
      <c r="F257" s="141"/>
      <c r="G257" s="127"/>
      <c r="H257" s="126"/>
      <c r="I257" s="126"/>
      <c r="J257" s="126"/>
      <c r="K257" s="126"/>
    </row>
    <row r="258" spans="1:14" ht="15.75" customHeight="1" x14ac:dyDescent="0.3">
      <c r="A258" s="114">
        <f t="shared" si="27"/>
        <v>5</v>
      </c>
      <c r="B258" s="142"/>
      <c r="C258" s="143"/>
      <c r="D258" s="143"/>
      <c r="E258" s="143"/>
      <c r="F258" s="144"/>
      <c r="G258" s="127"/>
      <c r="H258" s="126"/>
      <c r="I258" s="126"/>
      <c r="J258" s="126"/>
      <c r="K258" s="126"/>
    </row>
    <row r="259" spans="1:14" ht="15" customHeight="1" x14ac:dyDescent="0.3">
      <c r="A259" s="114">
        <f t="shared" si="27"/>
        <v>6</v>
      </c>
      <c r="B259" s="114" t="s">
        <v>353</v>
      </c>
      <c r="C259" s="114">
        <f>(59.05)*10.764</f>
        <v>635.61419999999998</v>
      </c>
      <c r="D259" s="115">
        <f t="shared" si="25"/>
        <v>762.73703999999998</v>
      </c>
      <c r="E259" s="114">
        <v>0</v>
      </c>
      <c r="F259" s="114">
        <f t="shared" si="26"/>
        <v>953.42129999999997</v>
      </c>
      <c r="G259" s="127"/>
      <c r="H259" s="126"/>
      <c r="I259" s="126"/>
      <c r="J259" s="126"/>
      <c r="K259" s="126"/>
    </row>
    <row r="260" spans="1:14" ht="15" customHeight="1" x14ac:dyDescent="0.3">
      <c r="A260" s="114">
        <f t="shared" si="27"/>
        <v>7</v>
      </c>
      <c r="B260" s="114" t="s">
        <v>353</v>
      </c>
      <c r="C260" s="114">
        <f>(59.05)*10.764</f>
        <v>635.61419999999998</v>
      </c>
      <c r="D260" s="115">
        <f t="shared" si="25"/>
        <v>762.73703999999998</v>
      </c>
      <c r="E260" s="114">
        <v>0</v>
      </c>
      <c r="F260" s="114">
        <f t="shared" si="26"/>
        <v>953.42129999999997</v>
      </c>
      <c r="G260" s="127"/>
      <c r="H260" s="126"/>
      <c r="I260" s="126"/>
      <c r="J260" s="126"/>
      <c r="K260" s="126"/>
    </row>
    <row r="261" spans="1:14" ht="15" customHeight="1" x14ac:dyDescent="0.3">
      <c r="A261" s="114">
        <f t="shared" si="27"/>
        <v>8</v>
      </c>
      <c r="B261" s="114" t="s">
        <v>353</v>
      </c>
      <c r="C261" s="114">
        <f>(59.23)*10.764</f>
        <v>637.55171999999993</v>
      </c>
      <c r="D261" s="115">
        <f t="shared" si="25"/>
        <v>765.06206399999985</v>
      </c>
      <c r="E261" s="114">
        <v>0</v>
      </c>
      <c r="F261" s="114">
        <f t="shared" si="26"/>
        <v>956.3275799999999</v>
      </c>
      <c r="G261" s="127"/>
      <c r="H261" s="126"/>
      <c r="I261" s="126"/>
      <c r="J261" s="126"/>
      <c r="K261" s="126"/>
    </row>
    <row r="262" spans="1:14" ht="15" customHeight="1" x14ac:dyDescent="0.3">
      <c r="A262" s="114">
        <f t="shared" si="27"/>
        <v>9</v>
      </c>
      <c r="B262" s="114" t="s">
        <v>353</v>
      </c>
      <c r="C262" s="114">
        <f>(53.3)*10.764</f>
        <v>573.72119999999995</v>
      </c>
      <c r="D262" s="115">
        <f t="shared" si="25"/>
        <v>688.46543999999994</v>
      </c>
      <c r="E262" s="114">
        <v>0</v>
      </c>
      <c r="F262" s="114">
        <f t="shared" si="26"/>
        <v>860.58179999999993</v>
      </c>
      <c r="G262" s="127"/>
      <c r="H262" s="126"/>
      <c r="I262" s="126"/>
      <c r="J262" s="126"/>
      <c r="K262" s="126"/>
    </row>
    <row r="263" spans="1:14" s="38" customFormat="1" ht="15.75" customHeight="1" x14ac:dyDescent="0.3">
      <c r="A263" s="145" t="s">
        <v>385</v>
      </c>
      <c r="B263" s="145"/>
      <c r="C263" s="145"/>
      <c r="D263" s="145"/>
      <c r="E263" s="145"/>
      <c r="F263" s="145"/>
      <c r="G263" s="114">
        <v>10.763999999999999</v>
      </c>
      <c r="H263" s="126"/>
      <c r="I263" s="126"/>
      <c r="J263" s="126"/>
      <c r="K263" s="126"/>
    </row>
    <row r="264" spans="1:14" s="38" customFormat="1" ht="15.75" customHeight="1" x14ac:dyDescent="0.3">
      <c r="A264" s="145" t="s">
        <v>352</v>
      </c>
      <c r="B264" s="145"/>
      <c r="C264" s="145"/>
      <c r="D264" s="145"/>
      <c r="E264" s="145"/>
      <c r="F264" s="145"/>
      <c r="G264" s="127">
        <v>1</v>
      </c>
      <c r="H264" s="126"/>
      <c r="I264" s="126">
        <f>(H270+H224)/2</f>
        <v>15278.544291225451</v>
      </c>
      <c r="J264" s="126"/>
      <c r="K264" s="126"/>
    </row>
    <row r="265" spans="1:14" s="38" customFormat="1" ht="15.6" x14ac:dyDescent="0.3">
      <c r="A265" s="114">
        <v>1</v>
      </c>
      <c r="B265" s="114" t="s">
        <v>354</v>
      </c>
      <c r="C265" s="114">
        <f>(38.4)*10.764</f>
        <v>413.33759999999995</v>
      </c>
      <c r="D265" s="115">
        <f>C265*1.2</f>
        <v>496.00511999999992</v>
      </c>
      <c r="E265" s="114">
        <v>0</v>
      </c>
      <c r="F265" s="114">
        <f>C265*(($F$200)+1)+(IF(E265&lt;101,E265,IF(E265&lt;201,E265/2,IF(E265&lt;=301,E265/3,E265/4))))</f>
        <v>620.00639999999999</v>
      </c>
      <c r="G265" s="127"/>
      <c r="H265" s="126"/>
      <c r="I265" s="126"/>
      <c r="J265" s="126"/>
      <c r="K265" s="126"/>
      <c r="L265" s="146"/>
      <c r="M265" s="146"/>
      <c r="N265" s="39"/>
    </row>
    <row r="266" spans="1:14" ht="15" customHeight="1" x14ac:dyDescent="0.3">
      <c r="A266" s="114">
        <f>A265+1</f>
        <v>2</v>
      </c>
      <c r="B266" s="114" t="s">
        <v>354</v>
      </c>
      <c r="C266" s="114">
        <f>(39.91)*10.764</f>
        <v>429.59123999999991</v>
      </c>
      <c r="D266" s="115">
        <f t="shared" ref="D266:D273" si="28">C266*1.2</f>
        <v>515.50948799999992</v>
      </c>
      <c r="E266" s="114">
        <v>0</v>
      </c>
      <c r="F266" s="114">
        <f t="shared" ref="F266:F273" si="29">C266*(($F$200)+1)+(IF(E266&lt;101,E266,IF(E266&lt;201,E266/2,IF(E266&lt;=301,E266/3,E266/4))))</f>
        <v>644.38685999999984</v>
      </c>
      <c r="G266" s="127"/>
      <c r="H266" s="126"/>
      <c r="I266" s="126"/>
      <c r="J266" s="126"/>
      <c r="K266" s="126"/>
    </row>
    <row r="267" spans="1:14" ht="15" customHeight="1" x14ac:dyDescent="0.3">
      <c r="A267" s="114">
        <f t="shared" ref="A267:A273" si="30">A266+1</f>
        <v>3</v>
      </c>
      <c r="B267" s="114" t="s">
        <v>354</v>
      </c>
      <c r="C267" s="114">
        <f>(39.91)*10.764</f>
        <v>429.59123999999991</v>
      </c>
      <c r="D267" s="115">
        <f t="shared" si="28"/>
        <v>515.50948799999992</v>
      </c>
      <c r="E267" s="114">
        <v>0</v>
      </c>
      <c r="F267" s="114">
        <f t="shared" si="29"/>
        <v>644.38685999999984</v>
      </c>
      <c r="G267" s="127"/>
      <c r="H267" s="126"/>
      <c r="I267" s="126"/>
      <c r="J267" s="126"/>
      <c r="K267" s="126"/>
    </row>
    <row r="268" spans="1:14" ht="15.75" customHeight="1" x14ac:dyDescent="0.3">
      <c r="A268" s="114">
        <f t="shared" si="30"/>
        <v>4</v>
      </c>
      <c r="B268" s="114" t="s">
        <v>354</v>
      </c>
      <c r="C268" s="114">
        <f>(39.91)*10.764</f>
        <v>429.59123999999991</v>
      </c>
      <c r="D268" s="115">
        <f t="shared" si="28"/>
        <v>515.50948799999992</v>
      </c>
      <c r="E268" s="114">
        <v>0</v>
      </c>
      <c r="F268" s="114">
        <f t="shared" si="29"/>
        <v>644.38685999999984</v>
      </c>
      <c r="G268" s="127"/>
      <c r="H268" s="126"/>
      <c r="I268" s="126"/>
      <c r="J268" s="126"/>
      <c r="K268" s="126"/>
    </row>
    <row r="269" spans="1:14" ht="15.75" customHeight="1" x14ac:dyDescent="0.3">
      <c r="A269" s="114">
        <f t="shared" si="30"/>
        <v>5</v>
      </c>
      <c r="B269" s="114" t="s">
        <v>353</v>
      </c>
      <c r="C269" s="114">
        <f>(54.68)*10.764</f>
        <v>588.57551999999998</v>
      </c>
      <c r="D269" s="115">
        <f t="shared" si="28"/>
        <v>706.29062399999998</v>
      </c>
      <c r="E269" s="114">
        <v>0</v>
      </c>
      <c r="F269" s="114">
        <f t="shared" si="29"/>
        <v>882.86328000000003</v>
      </c>
      <c r="G269" s="127"/>
      <c r="H269" s="126"/>
      <c r="I269" s="126"/>
      <c r="J269" s="126"/>
      <c r="K269" s="126"/>
    </row>
    <row r="270" spans="1:14" ht="15" customHeight="1" x14ac:dyDescent="0.3">
      <c r="A270" s="114">
        <f t="shared" si="30"/>
        <v>6</v>
      </c>
      <c r="B270" s="114" t="s">
        <v>353</v>
      </c>
      <c r="C270" s="114">
        <f>(54.89)*10.764</f>
        <v>590.83596</v>
      </c>
      <c r="D270" s="115">
        <f t="shared" si="28"/>
        <v>709.003152</v>
      </c>
      <c r="E270" s="114">
        <v>0</v>
      </c>
      <c r="F270" s="114">
        <f t="shared" si="29"/>
        <v>886.25394000000006</v>
      </c>
      <c r="G270" s="127"/>
      <c r="H270" s="126">
        <f>9893480/F271</f>
        <v>15957.061088401668</v>
      </c>
      <c r="I270" s="126"/>
      <c r="J270" s="126"/>
      <c r="K270" s="126"/>
    </row>
    <row r="271" spans="1:14" ht="15" customHeight="1" x14ac:dyDescent="0.3">
      <c r="A271" s="114">
        <f t="shared" si="30"/>
        <v>7</v>
      </c>
      <c r="B271" s="114" t="s">
        <v>354</v>
      </c>
      <c r="C271" s="114">
        <f>(38.4)*10.764</f>
        <v>413.33759999999995</v>
      </c>
      <c r="D271" s="115">
        <f t="shared" si="28"/>
        <v>496.00511999999992</v>
      </c>
      <c r="E271" s="114">
        <v>0</v>
      </c>
      <c r="F271" s="114">
        <f t="shared" si="29"/>
        <v>620.00639999999999</v>
      </c>
      <c r="G271" s="127"/>
      <c r="H271" s="126"/>
      <c r="I271" s="126"/>
      <c r="J271" s="126"/>
      <c r="K271" s="126"/>
    </row>
    <row r="272" spans="1:14" ht="15" customHeight="1" x14ac:dyDescent="0.3">
      <c r="A272" s="114">
        <f t="shared" si="30"/>
        <v>8</v>
      </c>
      <c r="B272" s="114" t="s">
        <v>353</v>
      </c>
      <c r="C272" s="114">
        <f>(59.05)*10.764</f>
        <v>635.61419999999998</v>
      </c>
      <c r="D272" s="115">
        <f t="shared" si="28"/>
        <v>762.73703999999998</v>
      </c>
      <c r="E272" s="114">
        <v>0</v>
      </c>
      <c r="F272" s="114">
        <f t="shared" si="29"/>
        <v>953.42129999999997</v>
      </c>
      <c r="G272" s="127"/>
      <c r="H272" s="126"/>
      <c r="I272" s="126"/>
      <c r="J272" s="126"/>
      <c r="K272" s="126"/>
    </row>
    <row r="273" spans="1:14" ht="15" customHeight="1" x14ac:dyDescent="0.3">
      <c r="A273" s="114">
        <f t="shared" si="30"/>
        <v>9</v>
      </c>
      <c r="B273" s="114" t="s">
        <v>353</v>
      </c>
      <c r="C273" s="114">
        <f>(59.05)*10.764</f>
        <v>635.61419999999998</v>
      </c>
      <c r="D273" s="115">
        <f t="shared" si="28"/>
        <v>762.73703999999998</v>
      </c>
      <c r="E273" s="114">
        <v>0</v>
      </c>
      <c r="F273" s="114">
        <f t="shared" si="29"/>
        <v>953.42129999999997</v>
      </c>
      <c r="G273" s="127"/>
      <c r="H273" s="126"/>
      <c r="I273" s="126"/>
      <c r="J273" s="126"/>
      <c r="K273" s="126"/>
    </row>
    <row r="274" spans="1:14" s="38" customFormat="1" ht="15.75" customHeight="1" x14ac:dyDescent="0.3">
      <c r="A274" s="145" t="s">
        <v>355</v>
      </c>
      <c r="B274" s="145"/>
      <c r="C274" s="145"/>
      <c r="D274" s="145"/>
      <c r="E274" s="145"/>
      <c r="F274" s="145"/>
      <c r="G274" s="127">
        <v>1</v>
      </c>
      <c r="H274" s="126"/>
      <c r="I274" s="126"/>
      <c r="J274" s="126"/>
      <c r="K274" s="126"/>
    </row>
    <row r="275" spans="1:14" s="38" customFormat="1" ht="15.6" x14ac:dyDescent="0.3">
      <c r="A275" s="114">
        <v>1</v>
      </c>
      <c r="B275" s="114" t="s">
        <v>354</v>
      </c>
      <c r="C275" s="114">
        <f>(38.4)*10.764</f>
        <v>413.33759999999995</v>
      </c>
      <c r="D275" s="115">
        <f>C275*1.2</f>
        <v>496.00511999999992</v>
      </c>
      <c r="E275" s="114">
        <v>0</v>
      </c>
      <c r="F275" s="114">
        <f>C275*(($F$200)+1)+(IF(E275&lt;101,E275,IF(E275&lt;201,E275/2,IF(E275&lt;=301,E275/3,E275/4))))</f>
        <v>620.00639999999999</v>
      </c>
      <c r="G275" s="127"/>
      <c r="H275" s="126">
        <f>11000000/F275</f>
        <v>17741.752343201621</v>
      </c>
      <c r="I275" s="126"/>
      <c r="J275" s="126"/>
      <c r="K275" s="126"/>
      <c r="L275" s="146"/>
      <c r="M275" s="146"/>
      <c r="N275" s="39"/>
    </row>
    <row r="276" spans="1:14" ht="15" customHeight="1" x14ac:dyDescent="0.3">
      <c r="A276" s="114">
        <f>A275+1</f>
        <v>2</v>
      </c>
      <c r="B276" s="114" t="s">
        <v>354</v>
      </c>
      <c r="C276" s="114">
        <f>(39.91)*10.764</f>
        <v>429.59123999999991</v>
      </c>
      <c r="D276" s="115">
        <f t="shared" ref="D276:D283" si="31">C276*1.2</f>
        <v>515.50948799999992</v>
      </c>
      <c r="E276" s="114">
        <v>0</v>
      </c>
      <c r="F276" s="114">
        <f t="shared" ref="F276:F283" si="32">C276*(($F$200)+1)+(IF(E276&lt;101,E276,IF(E276&lt;201,E276/2,IF(E276&lt;=301,E276/3,E276/4))))</f>
        <v>644.38685999999984</v>
      </c>
      <c r="G276" s="127"/>
      <c r="H276" s="126"/>
      <c r="I276" s="126"/>
      <c r="J276" s="126"/>
      <c r="K276" s="126"/>
    </row>
    <row r="277" spans="1:14" ht="15" customHeight="1" x14ac:dyDescent="0.3">
      <c r="A277" s="114">
        <f t="shared" ref="A277:A283" si="33">A276+1</f>
        <v>3</v>
      </c>
      <c r="B277" s="114" t="s">
        <v>354</v>
      </c>
      <c r="C277" s="114">
        <f>(39.91)*10.764</f>
        <v>429.59123999999991</v>
      </c>
      <c r="D277" s="115">
        <f t="shared" si="31"/>
        <v>515.50948799999992</v>
      </c>
      <c r="E277" s="114">
        <v>0</v>
      </c>
      <c r="F277" s="114">
        <f t="shared" si="32"/>
        <v>644.38685999999984</v>
      </c>
      <c r="G277" s="127"/>
      <c r="H277" s="126"/>
      <c r="I277" s="126"/>
      <c r="J277" s="126"/>
      <c r="K277" s="126"/>
    </row>
    <row r="278" spans="1:14" ht="15.75" customHeight="1" x14ac:dyDescent="0.3">
      <c r="A278" s="114">
        <f t="shared" si="33"/>
        <v>4</v>
      </c>
      <c r="B278" s="114" t="s">
        <v>354</v>
      </c>
      <c r="C278" s="114">
        <f>(39.91)*10.764</f>
        <v>429.59123999999991</v>
      </c>
      <c r="D278" s="115">
        <f t="shared" si="31"/>
        <v>515.50948799999992</v>
      </c>
      <c r="E278" s="114">
        <v>0</v>
      </c>
      <c r="F278" s="114">
        <f t="shared" si="32"/>
        <v>644.38685999999984</v>
      </c>
      <c r="G278" s="127"/>
      <c r="H278" s="126"/>
      <c r="I278" s="126"/>
      <c r="J278" s="126"/>
      <c r="K278" s="126"/>
    </row>
    <row r="279" spans="1:14" ht="15.75" customHeight="1" x14ac:dyDescent="0.3">
      <c r="A279" s="114">
        <f t="shared" si="33"/>
        <v>5</v>
      </c>
      <c r="B279" s="114" t="s">
        <v>353</v>
      </c>
      <c r="C279" s="114">
        <f>(54.68)*10.764</f>
        <v>588.57551999999998</v>
      </c>
      <c r="D279" s="115">
        <f t="shared" si="31"/>
        <v>706.29062399999998</v>
      </c>
      <c r="E279" s="114">
        <v>0</v>
      </c>
      <c r="F279" s="114">
        <f t="shared" si="32"/>
        <v>882.86328000000003</v>
      </c>
      <c r="G279" s="127"/>
      <c r="H279" s="126"/>
      <c r="I279" s="126"/>
      <c r="J279" s="126"/>
      <c r="K279" s="126"/>
    </row>
    <row r="280" spans="1:14" ht="15" customHeight="1" x14ac:dyDescent="0.3">
      <c r="A280" s="114">
        <f t="shared" si="33"/>
        <v>6</v>
      </c>
      <c r="B280" s="114" t="s">
        <v>353</v>
      </c>
      <c r="C280" s="114">
        <f>(54.89)*10.764</f>
        <v>590.83596</v>
      </c>
      <c r="D280" s="115">
        <f t="shared" si="31"/>
        <v>709.003152</v>
      </c>
      <c r="E280" s="114">
        <v>0</v>
      </c>
      <c r="F280" s="114">
        <f t="shared" si="32"/>
        <v>886.25394000000006</v>
      </c>
      <c r="G280" s="127"/>
      <c r="H280" s="126"/>
      <c r="I280" s="126"/>
      <c r="J280" s="126"/>
      <c r="K280" s="126"/>
    </row>
    <row r="281" spans="1:14" ht="15" customHeight="1" x14ac:dyDescent="0.3">
      <c r="A281" s="114">
        <f t="shared" si="33"/>
        <v>7</v>
      </c>
      <c r="B281" s="114" t="s">
        <v>354</v>
      </c>
      <c r="C281" s="114">
        <f>(38.4)*10.764</f>
        <v>413.33759999999995</v>
      </c>
      <c r="D281" s="115">
        <f t="shared" si="31"/>
        <v>496.00511999999992</v>
      </c>
      <c r="E281" s="114">
        <v>0</v>
      </c>
      <c r="F281" s="114">
        <f t="shared" si="32"/>
        <v>620.00639999999999</v>
      </c>
      <c r="G281" s="127"/>
      <c r="H281" s="126"/>
      <c r="I281" s="126"/>
      <c r="J281" s="126"/>
      <c r="K281" s="126"/>
    </row>
    <row r="282" spans="1:14" ht="15" customHeight="1" x14ac:dyDescent="0.3">
      <c r="A282" s="114">
        <f t="shared" si="33"/>
        <v>8</v>
      </c>
      <c r="B282" s="114" t="s">
        <v>353</v>
      </c>
      <c r="C282" s="114">
        <f>(59.05)*10.764</f>
        <v>635.61419999999998</v>
      </c>
      <c r="D282" s="115">
        <f t="shared" si="31"/>
        <v>762.73703999999998</v>
      </c>
      <c r="E282" s="114">
        <v>0</v>
      </c>
      <c r="F282" s="114">
        <f t="shared" si="32"/>
        <v>953.42129999999997</v>
      </c>
      <c r="G282" s="127"/>
      <c r="H282" s="126"/>
      <c r="I282" s="126"/>
      <c r="J282" s="126"/>
      <c r="K282" s="126"/>
    </row>
    <row r="283" spans="1:14" ht="15" customHeight="1" x14ac:dyDescent="0.3">
      <c r="A283" s="114">
        <f t="shared" si="33"/>
        <v>9</v>
      </c>
      <c r="B283" s="114" t="s">
        <v>353</v>
      </c>
      <c r="C283" s="114">
        <f>(59.05)*10.764</f>
        <v>635.61419999999998</v>
      </c>
      <c r="D283" s="115">
        <f t="shared" si="31"/>
        <v>762.73703999999998</v>
      </c>
      <c r="E283" s="114">
        <v>0</v>
      </c>
      <c r="F283" s="114">
        <f t="shared" si="32"/>
        <v>953.42129999999997</v>
      </c>
      <c r="G283" s="127"/>
      <c r="H283" s="126"/>
      <c r="I283" s="126"/>
      <c r="J283" s="126"/>
      <c r="K283" s="126"/>
    </row>
    <row r="284" spans="1:14" s="38" customFormat="1" ht="15.75" customHeight="1" x14ac:dyDescent="0.3">
      <c r="A284" s="145" t="s">
        <v>356</v>
      </c>
      <c r="B284" s="145"/>
      <c r="C284" s="145"/>
      <c r="D284" s="145"/>
      <c r="E284" s="145"/>
      <c r="F284" s="145"/>
      <c r="G284" s="127">
        <v>16</v>
      </c>
      <c r="H284" s="126"/>
      <c r="I284" s="126"/>
      <c r="J284" s="126"/>
      <c r="K284" s="126"/>
    </row>
    <row r="285" spans="1:14" s="38" customFormat="1" ht="15.6" x14ac:dyDescent="0.3">
      <c r="A285" s="114">
        <v>1</v>
      </c>
      <c r="B285" s="114" t="s">
        <v>354</v>
      </c>
      <c r="C285" s="114">
        <f>(38.4)*10.764</f>
        <v>413.33759999999995</v>
      </c>
      <c r="D285" s="115">
        <f>C285*1.2</f>
        <v>496.00511999999992</v>
      </c>
      <c r="E285" s="114">
        <v>0</v>
      </c>
      <c r="F285" s="114">
        <f>C285*(($F$200)+1)+(IF(E285&lt;101,E285,IF(E285&lt;201,E285/2,IF(E285&lt;=301,E285/3,E285/4))))</f>
        <v>620.00639999999999</v>
      </c>
      <c r="G285" s="127"/>
      <c r="H285" s="126"/>
      <c r="I285" s="126"/>
      <c r="J285" s="126"/>
      <c r="K285" s="126"/>
      <c r="L285" s="146"/>
      <c r="M285" s="146"/>
      <c r="N285" s="39"/>
    </row>
    <row r="286" spans="1:14" ht="15" customHeight="1" x14ac:dyDescent="0.3">
      <c r="A286" s="114">
        <f>A285+1</f>
        <v>2</v>
      </c>
      <c r="B286" s="114" t="s">
        <v>354</v>
      </c>
      <c r="C286" s="114">
        <f>(39.91)*10.764</f>
        <v>429.59123999999991</v>
      </c>
      <c r="D286" s="115">
        <f t="shared" ref="D286:D293" si="34">C286*1.2</f>
        <v>515.50948799999992</v>
      </c>
      <c r="E286" s="114">
        <v>0</v>
      </c>
      <c r="F286" s="114">
        <f t="shared" ref="F286:F293" si="35">C286*(($F$200)+1)+(IF(E286&lt;101,E286,IF(E286&lt;201,E286/2,IF(E286&lt;=301,E286/3,E286/4))))</f>
        <v>644.38685999999984</v>
      </c>
      <c r="G286" s="127"/>
      <c r="H286" s="126"/>
      <c r="I286" s="126"/>
      <c r="J286" s="126"/>
      <c r="K286" s="126"/>
    </row>
    <row r="287" spans="1:14" ht="15" customHeight="1" x14ac:dyDescent="0.3">
      <c r="A287" s="114">
        <f t="shared" ref="A287:A293" si="36">A286+1</f>
        <v>3</v>
      </c>
      <c r="B287" s="114" t="s">
        <v>354</v>
      </c>
      <c r="C287" s="114">
        <f>(39.91)*10.764</f>
        <v>429.59123999999991</v>
      </c>
      <c r="D287" s="115">
        <f t="shared" si="34"/>
        <v>515.50948799999992</v>
      </c>
      <c r="E287" s="114">
        <v>0</v>
      </c>
      <c r="F287" s="114">
        <f t="shared" si="35"/>
        <v>644.38685999999984</v>
      </c>
      <c r="G287" s="127"/>
      <c r="H287" s="126"/>
      <c r="I287" s="126"/>
      <c r="J287" s="126"/>
      <c r="K287" s="126"/>
    </row>
    <row r="288" spans="1:14" ht="15.75" customHeight="1" x14ac:dyDescent="0.3">
      <c r="A288" s="114">
        <f t="shared" si="36"/>
        <v>4</v>
      </c>
      <c r="B288" s="114" t="s">
        <v>354</v>
      </c>
      <c r="C288" s="114">
        <f>(39.91)*10.764</f>
        <v>429.59123999999991</v>
      </c>
      <c r="D288" s="115">
        <f t="shared" si="34"/>
        <v>515.50948799999992</v>
      </c>
      <c r="E288" s="114">
        <v>0</v>
      </c>
      <c r="F288" s="114">
        <f t="shared" si="35"/>
        <v>644.38685999999984</v>
      </c>
      <c r="G288" s="127"/>
      <c r="H288" s="126"/>
      <c r="I288" s="126"/>
      <c r="J288" s="126"/>
      <c r="K288" s="126"/>
    </row>
    <row r="289" spans="1:14" ht="15.75" customHeight="1" x14ac:dyDescent="0.3">
      <c r="A289" s="114">
        <f t="shared" si="36"/>
        <v>5</v>
      </c>
      <c r="B289" s="114" t="s">
        <v>353</v>
      </c>
      <c r="C289" s="114">
        <f>(54.68)*10.764</f>
        <v>588.57551999999998</v>
      </c>
      <c r="D289" s="115">
        <f t="shared" si="34"/>
        <v>706.29062399999998</v>
      </c>
      <c r="E289" s="114">
        <v>0</v>
      </c>
      <c r="F289" s="114">
        <f t="shared" si="35"/>
        <v>882.86328000000003</v>
      </c>
      <c r="G289" s="127"/>
      <c r="H289" s="126"/>
      <c r="I289" s="126"/>
      <c r="J289" s="126"/>
      <c r="K289" s="126"/>
    </row>
    <row r="290" spans="1:14" ht="15" customHeight="1" x14ac:dyDescent="0.3">
      <c r="A290" s="114">
        <f t="shared" si="36"/>
        <v>6</v>
      </c>
      <c r="B290" s="114" t="s">
        <v>353</v>
      </c>
      <c r="C290" s="114">
        <f>(54.89)*10.764</f>
        <v>590.83596</v>
      </c>
      <c r="D290" s="115">
        <f t="shared" si="34"/>
        <v>709.003152</v>
      </c>
      <c r="E290" s="114">
        <v>0</v>
      </c>
      <c r="F290" s="114">
        <f t="shared" si="35"/>
        <v>886.25394000000006</v>
      </c>
      <c r="G290" s="127"/>
      <c r="H290" s="126"/>
      <c r="I290" s="126"/>
      <c r="J290" s="126"/>
      <c r="K290" s="126"/>
    </row>
    <row r="291" spans="1:14" ht="15" customHeight="1" x14ac:dyDescent="0.3">
      <c r="A291" s="114">
        <f t="shared" si="36"/>
        <v>7</v>
      </c>
      <c r="B291" s="114" t="s">
        <v>354</v>
      </c>
      <c r="C291" s="114">
        <f>(38.4)*10.764</f>
        <v>413.33759999999995</v>
      </c>
      <c r="D291" s="115">
        <f t="shared" si="34"/>
        <v>496.00511999999992</v>
      </c>
      <c r="E291" s="114">
        <v>0</v>
      </c>
      <c r="F291" s="114">
        <f t="shared" si="35"/>
        <v>620.00639999999999</v>
      </c>
      <c r="G291" s="127"/>
      <c r="H291" s="126"/>
      <c r="I291" s="126"/>
      <c r="J291" s="126"/>
      <c r="K291" s="126"/>
    </row>
    <row r="292" spans="1:14" ht="15" customHeight="1" x14ac:dyDescent="0.3">
      <c r="A292" s="114">
        <f t="shared" si="36"/>
        <v>8</v>
      </c>
      <c r="B292" s="114" t="s">
        <v>353</v>
      </c>
      <c r="C292" s="114">
        <f>(59.05)*10.764</f>
        <v>635.61419999999998</v>
      </c>
      <c r="D292" s="115">
        <f t="shared" si="34"/>
        <v>762.73703999999998</v>
      </c>
      <c r="E292" s="114">
        <v>0</v>
      </c>
      <c r="F292" s="114">
        <f t="shared" si="35"/>
        <v>953.42129999999997</v>
      </c>
      <c r="G292" s="127"/>
      <c r="H292" s="126"/>
      <c r="I292" s="126"/>
      <c r="J292" s="126"/>
      <c r="K292" s="126"/>
    </row>
    <row r="293" spans="1:14" ht="15" customHeight="1" x14ac:dyDescent="0.3">
      <c r="A293" s="114">
        <f t="shared" si="36"/>
        <v>9</v>
      </c>
      <c r="B293" s="114" t="s">
        <v>353</v>
      </c>
      <c r="C293" s="114">
        <f>(59.05)*10.764</f>
        <v>635.61419999999998</v>
      </c>
      <c r="D293" s="115">
        <f t="shared" si="34"/>
        <v>762.73703999999998</v>
      </c>
      <c r="E293" s="114">
        <v>0</v>
      </c>
      <c r="F293" s="114">
        <f t="shared" si="35"/>
        <v>953.42129999999997</v>
      </c>
      <c r="G293" s="127"/>
      <c r="H293" s="126"/>
      <c r="I293" s="126"/>
      <c r="J293" s="126"/>
      <c r="K293" s="126"/>
    </row>
    <row r="294" spans="1:14" s="38" customFormat="1" ht="15.75" customHeight="1" x14ac:dyDescent="0.3">
      <c r="A294" s="145" t="s">
        <v>357</v>
      </c>
      <c r="B294" s="145"/>
      <c r="C294" s="145"/>
      <c r="D294" s="145"/>
      <c r="E294" s="145"/>
      <c r="F294" s="145"/>
      <c r="G294" s="127">
        <v>6</v>
      </c>
      <c r="H294" s="126"/>
      <c r="I294" s="126"/>
      <c r="J294" s="126"/>
      <c r="K294" s="126"/>
    </row>
    <row r="295" spans="1:14" s="38" customFormat="1" ht="15.6" x14ac:dyDescent="0.3">
      <c r="A295" s="114">
        <v>1</v>
      </c>
      <c r="B295" s="114" t="s">
        <v>354</v>
      </c>
      <c r="C295" s="114">
        <f>(38.4)*10.764</f>
        <v>413.33759999999995</v>
      </c>
      <c r="D295" s="115">
        <f>C295*1.2</f>
        <v>496.00511999999992</v>
      </c>
      <c r="E295" s="114">
        <v>0</v>
      </c>
      <c r="F295" s="114">
        <f>C295*(($F$200)+1)+(IF(E295&lt;101,E295,IF(E295&lt;201,E295/2,IF(E295&lt;=301,E295/3,E295/4))))</f>
        <v>620.00639999999999</v>
      </c>
      <c r="G295" s="127"/>
      <c r="H295" s="126"/>
      <c r="I295" s="126"/>
      <c r="J295" s="126"/>
      <c r="K295" s="126"/>
      <c r="L295" s="146"/>
      <c r="M295" s="146"/>
      <c r="N295" s="39"/>
    </row>
    <row r="296" spans="1:14" ht="15" customHeight="1" x14ac:dyDescent="0.3">
      <c r="A296" s="114">
        <f>A295+1</f>
        <v>2</v>
      </c>
      <c r="B296" s="114" t="s">
        <v>354</v>
      </c>
      <c r="C296" s="114">
        <f>(39.91)*10.764</f>
        <v>429.59123999999991</v>
      </c>
      <c r="D296" s="115">
        <f t="shared" ref="D296:D303" si="37">C296*1.2</f>
        <v>515.50948799999992</v>
      </c>
      <c r="E296" s="114">
        <v>0</v>
      </c>
      <c r="F296" s="114">
        <f t="shared" ref="F296:F303" si="38">C296*(($F$200)+1)+(IF(E296&lt;101,E296,IF(E296&lt;201,E296/2,IF(E296&lt;=301,E296/3,E296/4))))</f>
        <v>644.38685999999984</v>
      </c>
      <c r="G296" s="127"/>
      <c r="H296" s="126"/>
      <c r="I296" s="126"/>
      <c r="J296" s="126"/>
      <c r="K296" s="126"/>
    </row>
    <row r="297" spans="1:14" ht="15" customHeight="1" x14ac:dyDescent="0.3">
      <c r="A297" s="114">
        <f t="shared" ref="A297:A303" si="39">A296+1</f>
        <v>3</v>
      </c>
      <c r="B297" s="114" t="s">
        <v>354</v>
      </c>
      <c r="C297" s="114">
        <f>(39.91)*10.764</f>
        <v>429.59123999999991</v>
      </c>
      <c r="D297" s="115">
        <f t="shared" si="37"/>
        <v>515.50948799999992</v>
      </c>
      <c r="E297" s="114">
        <v>0</v>
      </c>
      <c r="F297" s="114">
        <f t="shared" si="38"/>
        <v>644.38685999999984</v>
      </c>
      <c r="G297" s="127"/>
      <c r="H297" s="126"/>
      <c r="I297" s="126"/>
      <c r="J297" s="126"/>
      <c r="K297" s="126"/>
    </row>
    <row r="298" spans="1:14" ht="15.75" customHeight="1" x14ac:dyDescent="0.3">
      <c r="A298" s="114">
        <f t="shared" si="39"/>
        <v>4</v>
      </c>
      <c r="B298" s="114" t="s">
        <v>354</v>
      </c>
      <c r="C298" s="114">
        <f>(39.91)*10.764</f>
        <v>429.59123999999991</v>
      </c>
      <c r="D298" s="115">
        <f t="shared" si="37"/>
        <v>515.50948799999992</v>
      </c>
      <c r="E298" s="114">
        <v>0</v>
      </c>
      <c r="F298" s="114">
        <f t="shared" si="38"/>
        <v>644.38685999999984</v>
      </c>
      <c r="G298" s="127"/>
      <c r="H298" s="126"/>
      <c r="I298" s="126"/>
      <c r="J298" s="126"/>
      <c r="K298" s="126"/>
    </row>
    <row r="299" spans="1:14" ht="15.75" customHeight="1" x14ac:dyDescent="0.3">
      <c r="A299" s="114">
        <f t="shared" si="39"/>
        <v>5</v>
      </c>
      <c r="B299" s="114" t="s">
        <v>353</v>
      </c>
      <c r="C299" s="114">
        <f>(54.68)*10.764</f>
        <v>588.57551999999998</v>
      </c>
      <c r="D299" s="115">
        <f t="shared" si="37"/>
        <v>706.29062399999998</v>
      </c>
      <c r="E299" s="114">
        <v>0</v>
      </c>
      <c r="F299" s="114">
        <f t="shared" si="38"/>
        <v>882.86328000000003</v>
      </c>
      <c r="G299" s="127"/>
      <c r="H299" s="126"/>
      <c r="I299" s="126"/>
      <c r="J299" s="126"/>
      <c r="K299" s="126"/>
    </row>
    <row r="300" spans="1:14" ht="15" customHeight="1" x14ac:dyDescent="0.3">
      <c r="A300" s="114">
        <f t="shared" si="39"/>
        <v>6</v>
      </c>
      <c r="B300" s="114" t="s">
        <v>353</v>
      </c>
      <c r="C300" s="114">
        <f>(54.89)*10.764</f>
        <v>590.83596</v>
      </c>
      <c r="D300" s="115">
        <f t="shared" si="37"/>
        <v>709.003152</v>
      </c>
      <c r="E300" s="114">
        <v>0</v>
      </c>
      <c r="F300" s="114">
        <f t="shared" si="38"/>
        <v>886.25394000000006</v>
      </c>
      <c r="G300" s="127"/>
      <c r="H300" s="126"/>
      <c r="I300" s="126"/>
      <c r="J300" s="126"/>
      <c r="K300" s="126"/>
    </row>
    <row r="301" spans="1:14" ht="15" customHeight="1" x14ac:dyDescent="0.3">
      <c r="A301" s="114">
        <f t="shared" si="39"/>
        <v>7</v>
      </c>
      <c r="B301" s="114" t="s">
        <v>354</v>
      </c>
      <c r="C301" s="114">
        <f>(38.4)*10.764</f>
        <v>413.33759999999995</v>
      </c>
      <c r="D301" s="115">
        <f t="shared" si="37"/>
        <v>496.00511999999992</v>
      </c>
      <c r="E301" s="114">
        <v>0</v>
      </c>
      <c r="F301" s="114">
        <f t="shared" si="38"/>
        <v>620.00639999999999</v>
      </c>
      <c r="G301" s="127"/>
      <c r="H301" s="126"/>
      <c r="I301" s="126"/>
      <c r="J301" s="126"/>
      <c r="K301" s="126"/>
    </row>
    <row r="302" spans="1:14" ht="15" customHeight="1" x14ac:dyDescent="0.3">
      <c r="A302" s="114">
        <f t="shared" si="39"/>
        <v>8</v>
      </c>
      <c r="B302" s="114" t="s">
        <v>353</v>
      </c>
      <c r="C302" s="114">
        <f>(59.05)*10.764</f>
        <v>635.61419999999998</v>
      </c>
      <c r="D302" s="115">
        <f t="shared" si="37"/>
        <v>762.73703999999998</v>
      </c>
      <c r="E302" s="114">
        <v>0</v>
      </c>
      <c r="F302" s="114">
        <f t="shared" si="38"/>
        <v>953.42129999999997</v>
      </c>
      <c r="G302" s="127"/>
      <c r="H302" s="126"/>
      <c r="I302" s="126"/>
      <c r="J302" s="126"/>
      <c r="K302" s="126"/>
    </row>
    <row r="303" spans="1:14" ht="15" customHeight="1" x14ac:dyDescent="0.3">
      <c r="A303" s="114">
        <f t="shared" si="39"/>
        <v>9</v>
      </c>
      <c r="B303" s="114" t="s">
        <v>353</v>
      </c>
      <c r="C303" s="114">
        <f>(59.05)*10.764</f>
        <v>635.61419999999998</v>
      </c>
      <c r="D303" s="115">
        <f t="shared" si="37"/>
        <v>762.73703999999998</v>
      </c>
      <c r="E303" s="114">
        <v>0</v>
      </c>
      <c r="F303" s="114">
        <f t="shared" si="38"/>
        <v>953.42129999999997</v>
      </c>
      <c r="G303" s="127"/>
      <c r="H303" s="126"/>
      <c r="I303" s="126"/>
      <c r="J303" s="126"/>
      <c r="K303" s="126"/>
    </row>
    <row r="304" spans="1:14" s="38" customFormat="1" ht="15.75" customHeight="1" x14ac:dyDescent="0.3">
      <c r="A304" s="145" t="s">
        <v>358</v>
      </c>
      <c r="B304" s="145"/>
      <c r="C304" s="145"/>
      <c r="D304" s="145"/>
      <c r="E304" s="145"/>
      <c r="F304" s="145"/>
      <c r="G304" s="127">
        <v>2</v>
      </c>
      <c r="H304" s="126"/>
      <c r="I304" s="126"/>
      <c r="J304" s="126"/>
      <c r="K304" s="126"/>
    </row>
    <row r="305" spans="1:14" s="38" customFormat="1" ht="15.6" x14ac:dyDescent="0.3">
      <c r="A305" s="114">
        <v>1</v>
      </c>
      <c r="B305" s="139" t="s">
        <v>359</v>
      </c>
      <c r="C305" s="140"/>
      <c r="D305" s="140"/>
      <c r="E305" s="140"/>
      <c r="F305" s="141"/>
      <c r="G305" s="127"/>
      <c r="H305" s="126"/>
      <c r="I305" s="126"/>
      <c r="J305" s="126"/>
      <c r="K305" s="126"/>
      <c r="L305" s="146"/>
      <c r="M305" s="146"/>
      <c r="N305" s="39"/>
    </row>
    <row r="306" spans="1:14" ht="15" customHeight="1" x14ac:dyDescent="0.3">
      <c r="A306" s="114">
        <f>A305+1</f>
        <v>2</v>
      </c>
      <c r="B306" s="142"/>
      <c r="C306" s="143"/>
      <c r="D306" s="143"/>
      <c r="E306" s="143"/>
      <c r="F306" s="144"/>
      <c r="G306" s="127"/>
      <c r="H306" s="126"/>
      <c r="I306" s="126"/>
      <c r="J306" s="126"/>
      <c r="K306" s="126"/>
    </row>
    <row r="307" spans="1:14" ht="15" customHeight="1" x14ac:dyDescent="0.3">
      <c r="A307" s="114">
        <f t="shared" ref="A307:A313" si="40">A306+1</f>
        <v>3</v>
      </c>
      <c r="B307" s="114" t="s">
        <v>354</v>
      </c>
      <c r="C307" s="114">
        <f>(39.91)*10.764</f>
        <v>429.59123999999991</v>
      </c>
      <c r="D307" s="115">
        <f t="shared" ref="D307:D313" si="41">C307*1.2</f>
        <v>515.50948799999992</v>
      </c>
      <c r="E307" s="114">
        <v>0</v>
      </c>
      <c r="F307" s="114">
        <f t="shared" ref="F307:F313" si="42">C307*(($F$200)+1)+(IF(E307&lt;101,E307,IF(E307&lt;201,E307/2,IF(E307&lt;=301,E307/3,E307/4))))</f>
        <v>644.38685999999984</v>
      </c>
      <c r="G307" s="127"/>
      <c r="H307" s="126"/>
      <c r="I307" s="126"/>
      <c r="J307" s="126"/>
      <c r="K307" s="126"/>
    </row>
    <row r="308" spans="1:14" ht="15.75" customHeight="1" x14ac:dyDescent="0.3">
      <c r="A308" s="114">
        <f t="shared" si="40"/>
        <v>4</v>
      </c>
      <c r="B308" s="114" t="s">
        <v>354</v>
      </c>
      <c r="C308" s="114">
        <f>(39.91)*10.764</f>
        <v>429.59123999999991</v>
      </c>
      <c r="D308" s="115">
        <f t="shared" si="41"/>
        <v>515.50948799999992</v>
      </c>
      <c r="E308" s="114">
        <v>0</v>
      </c>
      <c r="F308" s="114">
        <f t="shared" si="42"/>
        <v>644.38685999999984</v>
      </c>
      <c r="G308" s="127"/>
      <c r="H308" s="126"/>
      <c r="I308" s="126"/>
      <c r="J308" s="126"/>
      <c r="K308" s="126"/>
    </row>
    <row r="309" spans="1:14" ht="15.75" customHeight="1" x14ac:dyDescent="0.3">
      <c r="A309" s="114">
        <f t="shared" si="40"/>
        <v>5</v>
      </c>
      <c r="B309" s="114" t="s">
        <v>353</v>
      </c>
      <c r="C309" s="114">
        <f>(54.68)*10.764</f>
        <v>588.57551999999998</v>
      </c>
      <c r="D309" s="115">
        <f t="shared" si="41"/>
        <v>706.29062399999998</v>
      </c>
      <c r="E309" s="114">
        <v>0</v>
      </c>
      <c r="F309" s="114">
        <f t="shared" si="42"/>
        <v>882.86328000000003</v>
      </c>
      <c r="G309" s="127"/>
      <c r="H309" s="126"/>
      <c r="I309" s="126"/>
      <c r="J309" s="126"/>
      <c r="K309" s="126"/>
    </row>
    <row r="310" spans="1:14" ht="15" customHeight="1" x14ac:dyDescent="0.3">
      <c r="A310" s="114">
        <f t="shared" si="40"/>
        <v>6</v>
      </c>
      <c r="B310" s="114" t="s">
        <v>353</v>
      </c>
      <c r="C310" s="114">
        <f>(54.89)*10.764</f>
        <v>590.83596</v>
      </c>
      <c r="D310" s="115">
        <f t="shared" si="41"/>
        <v>709.003152</v>
      </c>
      <c r="E310" s="114">
        <v>0</v>
      </c>
      <c r="F310" s="114">
        <f t="shared" si="42"/>
        <v>886.25394000000006</v>
      </c>
      <c r="G310" s="127"/>
      <c r="H310" s="126"/>
      <c r="I310" s="126"/>
      <c r="J310" s="126"/>
      <c r="K310" s="126"/>
    </row>
    <row r="311" spans="1:14" ht="15" customHeight="1" x14ac:dyDescent="0.3">
      <c r="A311" s="114">
        <f t="shared" si="40"/>
        <v>7</v>
      </c>
      <c r="B311" s="114" t="s">
        <v>354</v>
      </c>
      <c r="C311" s="114">
        <f>(38.4)*10.764</f>
        <v>413.33759999999995</v>
      </c>
      <c r="D311" s="115">
        <f t="shared" si="41"/>
        <v>496.00511999999992</v>
      </c>
      <c r="E311" s="114">
        <v>0</v>
      </c>
      <c r="F311" s="114">
        <f t="shared" si="42"/>
        <v>620.00639999999999</v>
      </c>
      <c r="G311" s="127"/>
      <c r="H311" s="126"/>
      <c r="I311" s="126"/>
      <c r="J311" s="126"/>
      <c r="K311" s="126"/>
    </row>
    <row r="312" spans="1:14" ht="15" customHeight="1" x14ac:dyDescent="0.3">
      <c r="A312" s="114">
        <f t="shared" si="40"/>
        <v>8</v>
      </c>
      <c r="B312" s="114" t="s">
        <v>353</v>
      </c>
      <c r="C312" s="114">
        <f>(59.05)*10.764</f>
        <v>635.61419999999998</v>
      </c>
      <c r="D312" s="115">
        <f t="shared" si="41"/>
        <v>762.73703999999998</v>
      </c>
      <c r="E312" s="114">
        <v>0</v>
      </c>
      <c r="F312" s="114">
        <f t="shared" si="42"/>
        <v>953.42129999999997</v>
      </c>
      <c r="G312" s="127"/>
      <c r="H312" s="126"/>
      <c r="I312" s="126"/>
      <c r="J312" s="126"/>
      <c r="K312" s="126"/>
    </row>
    <row r="313" spans="1:14" ht="15" customHeight="1" x14ac:dyDescent="0.3">
      <c r="A313" s="114">
        <f t="shared" si="40"/>
        <v>9</v>
      </c>
      <c r="B313" s="114" t="s">
        <v>353</v>
      </c>
      <c r="C313" s="114">
        <f>(59.05)*10.764</f>
        <v>635.61419999999998</v>
      </c>
      <c r="D313" s="115">
        <f t="shared" si="41"/>
        <v>762.73703999999998</v>
      </c>
      <c r="E313" s="114">
        <v>0</v>
      </c>
      <c r="F313" s="114">
        <f t="shared" si="42"/>
        <v>953.42129999999997</v>
      </c>
      <c r="G313" s="127"/>
      <c r="H313" s="126"/>
      <c r="I313" s="126"/>
      <c r="J313" s="126"/>
      <c r="K313" s="126"/>
    </row>
    <row r="314" spans="1:14" s="38" customFormat="1" ht="15.75" customHeight="1" x14ac:dyDescent="0.3">
      <c r="A314" s="145" t="s">
        <v>360</v>
      </c>
      <c r="B314" s="145"/>
      <c r="C314" s="145"/>
      <c r="D314" s="145"/>
      <c r="E314" s="145"/>
      <c r="F314" s="145"/>
      <c r="G314" s="127">
        <v>1</v>
      </c>
      <c r="H314" s="126"/>
      <c r="I314" s="126"/>
      <c r="J314" s="126"/>
      <c r="K314" s="126"/>
    </row>
    <row r="315" spans="1:14" s="38" customFormat="1" ht="15.6" x14ac:dyDescent="0.3">
      <c r="A315" s="114">
        <v>1</v>
      </c>
      <c r="B315" s="139" t="s">
        <v>359</v>
      </c>
      <c r="C315" s="140"/>
      <c r="D315" s="140"/>
      <c r="E315" s="140"/>
      <c r="F315" s="141"/>
      <c r="G315" s="127"/>
      <c r="H315" s="126"/>
      <c r="I315" s="126"/>
      <c r="J315" s="126"/>
      <c r="K315" s="126"/>
      <c r="L315" s="146"/>
      <c r="M315" s="146"/>
      <c r="N315" s="39"/>
    </row>
    <row r="316" spans="1:14" ht="15" customHeight="1" x14ac:dyDescent="0.3">
      <c r="A316" s="114">
        <f>A315+1</f>
        <v>2</v>
      </c>
      <c r="B316" s="142"/>
      <c r="C316" s="143"/>
      <c r="D316" s="143"/>
      <c r="E316" s="143"/>
      <c r="F316" s="144"/>
      <c r="G316" s="127"/>
      <c r="H316" s="126"/>
      <c r="I316" s="126"/>
      <c r="J316" s="126"/>
      <c r="K316" s="126"/>
    </row>
    <row r="317" spans="1:14" ht="15" customHeight="1" x14ac:dyDescent="0.3">
      <c r="A317" s="114">
        <f t="shared" ref="A317:A323" si="43">A316+1</f>
        <v>3</v>
      </c>
      <c r="B317" s="114" t="s">
        <v>354</v>
      </c>
      <c r="C317" s="114">
        <f>(39.91)*10.764</f>
        <v>429.59123999999991</v>
      </c>
      <c r="D317" s="115">
        <f t="shared" ref="D317:D323" si="44">C317*1.2</f>
        <v>515.50948799999992</v>
      </c>
      <c r="E317" s="114">
        <v>0</v>
      </c>
      <c r="F317" s="114">
        <f t="shared" ref="F317:F323" si="45">C317*(($F$200)+1)+(IF(E317&lt;101,E317,IF(E317&lt;201,E317/2,IF(E317&lt;=301,E317/3,E317/4))))</f>
        <v>644.38685999999984</v>
      </c>
      <c r="G317" s="127"/>
      <c r="H317" s="126"/>
      <c r="I317" s="126"/>
      <c r="J317" s="126"/>
      <c r="K317" s="126"/>
    </row>
    <row r="318" spans="1:14" ht="15.75" customHeight="1" x14ac:dyDescent="0.3">
      <c r="A318" s="114">
        <f t="shared" si="43"/>
        <v>4</v>
      </c>
      <c r="B318" s="114" t="s">
        <v>354</v>
      </c>
      <c r="C318" s="114">
        <f>(39.91)*10.764</f>
        <v>429.59123999999991</v>
      </c>
      <c r="D318" s="115">
        <f t="shared" si="44"/>
        <v>515.50948799999992</v>
      </c>
      <c r="E318" s="114">
        <v>0</v>
      </c>
      <c r="F318" s="114">
        <f t="shared" si="45"/>
        <v>644.38685999999984</v>
      </c>
      <c r="G318" s="127"/>
      <c r="H318" s="126"/>
      <c r="I318" s="126"/>
      <c r="J318" s="126"/>
      <c r="K318" s="126"/>
    </row>
    <row r="319" spans="1:14" ht="15.75" customHeight="1" x14ac:dyDescent="0.3">
      <c r="A319" s="114">
        <f t="shared" si="43"/>
        <v>5</v>
      </c>
      <c r="B319" s="114" t="s">
        <v>353</v>
      </c>
      <c r="C319" s="114">
        <f>(54.68)*10.764</f>
        <v>588.57551999999998</v>
      </c>
      <c r="D319" s="115">
        <f t="shared" si="44"/>
        <v>706.29062399999998</v>
      </c>
      <c r="E319" s="114">
        <v>0</v>
      </c>
      <c r="F319" s="114">
        <f t="shared" si="45"/>
        <v>882.86328000000003</v>
      </c>
      <c r="G319" s="127"/>
      <c r="H319" s="126"/>
      <c r="I319" s="126"/>
      <c r="J319" s="126"/>
      <c r="K319" s="126"/>
    </row>
    <row r="320" spans="1:14" ht="15" customHeight="1" x14ac:dyDescent="0.3">
      <c r="A320" s="114">
        <f t="shared" si="43"/>
        <v>6</v>
      </c>
      <c r="B320" s="114" t="s">
        <v>353</v>
      </c>
      <c r="C320" s="114">
        <f>(54.89)*10.764</f>
        <v>590.83596</v>
      </c>
      <c r="D320" s="115">
        <f t="shared" si="44"/>
        <v>709.003152</v>
      </c>
      <c r="E320" s="114">
        <v>0</v>
      </c>
      <c r="F320" s="114">
        <f t="shared" si="45"/>
        <v>886.25394000000006</v>
      </c>
      <c r="G320" s="127"/>
      <c r="H320" s="126"/>
      <c r="I320" s="126"/>
      <c r="J320" s="126"/>
      <c r="K320" s="126"/>
    </row>
    <row r="321" spans="1:12" ht="15" customHeight="1" x14ac:dyDescent="0.3">
      <c r="A321" s="114">
        <f t="shared" si="43"/>
        <v>7</v>
      </c>
      <c r="B321" s="114" t="s">
        <v>354</v>
      </c>
      <c r="C321" s="114">
        <f>(38.4)*10.764</f>
        <v>413.33759999999995</v>
      </c>
      <c r="D321" s="115">
        <f t="shared" si="44"/>
        <v>496.00511999999992</v>
      </c>
      <c r="E321" s="114">
        <v>0</v>
      </c>
      <c r="F321" s="114">
        <f t="shared" si="45"/>
        <v>620.00639999999999</v>
      </c>
      <c r="G321" s="127"/>
      <c r="H321" s="126"/>
      <c r="I321" s="126"/>
      <c r="J321" s="126"/>
      <c r="K321" s="126"/>
    </row>
    <row r="322" spans="1:12" ht="15" customHeight="1" x14ac:dyDescent="0.3">
      <c r="A322" s="114">
        <f t="shared" si="43"/>
        <v>8</v>
      </c>
      <c r="B322" s="114" t="s">
        <v>353</v>
      </c>
      <c r="C322" s="114">
        <f>(59.05)*10.764</f>
        <v>635.61419999999998</v>
      </c>
      <c r="D322" s="115">
        <f t="shared" si="44"/>
        <v>762.73703999999998</v>
      </c>
      <c r="E322" s="114">
        <v>0</v>
      </c>
      <c r="F322" s="114">
        <f t="shared" si="45"/>
        <v>953.42129999999997</v>
      </c>
      <c r="G322" s="127"/>
      <c r="H322" s="126"/>
      <c r="I322" s="126"/>
      <c r="J322" s="126"/>
      <c r="K322" s="126"/>
    </row>
    <row r="323" spans="1:12" ht="15" customHeight="1" thickBot="1" x14ac:dyDescent="0.35">
      <c r="A323" s="114">
        <f t="shared" si="43"/>
        <v>9</v>
      </c>
      <c r="B323" s="114" t="s">
        <v>353</v>
      </c>
      <c r="C323" s="114">
        <f>(59.05)*10.764</f>
        <v>635.61419999999998</v>
      </c>
      <c r="D323" s="115">
        <f t="shared" si="44"/>
        <v>762.73703999999998</v>
      </c>
      <c r="E323" s="114">
        <v>0</v>
      </c>
      <c r="F323" s="114">
        <f t="shared" si="45"/>
        <v>953.42129999999997</v>
      </c>
      <c r="G323" s="127"/>
      <c r="H323" s="126"/>
      <c r="I323" s="126"/>
      <c r="J323" s="126"/>
      <c r="K323" s="126"/>
    </row>
    <row r="324" spans="1:12" x14ac:dyDescent="0.3">
      <c r="A324" s="210" t="s">
        <v>59</v>
      </c>
      <c r="B324" s="211"/>
      <c r="C324" s="211"/>
      <c r="D324" s="211"/>
      <c r="E324" s="211"/>
      <c r="F324" s="212"/>
      <c r="K324" s="1"/>
    </row>
    <row r="325" spans="1:12" s="1" customFormat="1" ht="32.25" customHeight="1" x14ac:dyDescent="0.25">
      <c r="A325" s="102" t="s">
        <v>210</v>
      </c>
      <c r="B325" s="182" t="s">
        <v>268</v>
      </c>
      <c r="C325" s="182"/>
      <c r="D325" s="48" t="s">
        <v>211</v>
      </c>
      <c r="E325" s="182" t="s">
        <v>269</v>
      </c>
      <c r="F325" s="213"/>
      <c r="G325" s="52"/>
      <c r="H325" s="147"/>
      <c r="I325" s="147"/>
      <c r="J325" s="52"/>
      <c r="L325" s="54"/>
    </row>
    <row r="326" spans="1:12" s="1" customFormat="1" ht="13.2" x14ac:dyDescent="0.25">
      <c r="A326" s="102">
        <v>1</v>
      </c>
      <c r="B326" s="137" t="s">
        <v>377</v>
      </c>
      <c r="C326" s="137"/>
      <c r="D326" s="82">
        <v>15500</v>
      </c>
      <c r="E326" s="137" t="s">
        <v>270</v>
      </c>
      <c r="F326" s="138"/>
    </row>
    <row r="327" spans="1:12" s="1" customFormat="1" ht="13.2" hidden="1" x14ac:dyDescent="0.25">
      <c r="A327" s="102">
        <v>2</v>
      </c>
      <c r="B327" s="137"/>
      <c r="C327" s="137"/>
      <c r="D327" s="82"/>
      <c r="E327" s="137" t="s">
        <v>270</v>
      </c>
      <c r="F327" s="138"/>
      <c r="K327" s="53"/>
    </row>
    <row r="328" spans="1:12" s="1" customFormat="1" ht="13.2" hidden="1" x14ac:dyDescent="0.25">
      <c r="A328" s="102">
        <v>3</v>
      </c>
      <c r="B328" s="137"/>
      <c r="C328" s="137"/>
      <c r="D328" s="82"/>
      <c r="E328" s="137" t="s">
        <v>270</v>
      </c>
      <c r="F328" s="138"/>
    </row>
    <row r="329" spans="1:12" s="1" customFormat="1" ht="13.2" hidden="1" x14ac:dyDescent="0.25">
      <c r="A329" s="102">
        <v>4</v>
      </c>
      <c r="B329" s="137"/>
      <c r="C329" s="137"/>
      <c r="D329" s="82"/>
      <c r="E329" s="137" t="s">
        <v>270</v>
      </c>
      <c r="F329" s="138"/>
    </row>
    <row r="330" spans="1:12" s="1" customFormat="1" ht="13.2" hidden="1" x14ac:dyDescent="0.25">
      <c r="A330" s="102">
        <v>5</v>
      </c>
      <c r="B330" s="137"/>
      <c r="C330" s="137"/>
      <c r="D330" s="82"/>
      <c r="E330" s="137" t="s">
        <v>270</v>
      </c>
      <c r="F330" s="138"/>
    </row>
    <row r="331" spans="1:12" s="1" customFormat="1" ht="13.2" hidden="1" x14ac:dyDescent="0.25">
      <c r="A331" s="102">
        <v>6</v>
      </c>
      <c r="B331" s="137"/>
      <c r="C331" s="137"/>
      <c r="D331" s="82"/>
      <c r="E331" s="137" t="s">
        <v>270</v>
      </c>
      <c r="F331" s="138"/>
      <c r="K331" s="54"/>
    </row>
    <row r="332" spans="1:12" s="1" customFormat="1" ht="61.5" customHeight="1" x14ac:dyDescent="0.25">
      <c r="A332" s="102" t="s">
        <v>212</v>
      </c>
      <c r="B332" s="48" t="s">
        <v>213</v>
      </c>
      <c r="C332" s="48" t="s">
        <v>214</v>
      </c>
      <c r="D332" s="48" t="s">
        <v>215</v>
      </c>
      <c r="E332" s="48" t="s">
        <v>216</v>
      </c>
      <c r="F332" s="99" t="s">
        <v>217</v>
      </c>
      <c r="G332" s="55"/>
      <c r="H332" s="55"/>
      <c r="I332" s="55"/>
      <c r="J332" s="55"/>
      <c r="L332" s="55"/>
    </row>
    <row r="333" spans="1:12" s="1" customFormat="1" ht="13.2" x14ac:dyDescent="0.25">
      <c r="A333" s="102" t="s">
        <v>218</v>
      </c>
      <c r="B333" s="82" t="s">
        <v>246</v>
      </c>
      <c r="C333" s="82" t="s">
        <v>246</v>
      </c>
      <c r="D333" s="82"/>
      <c r="E333" s="82"/>
      <c r="F333" s="110"/>
    </row>
    <row r="334" spans="1:12" s="1" customFormat="1" ht="13.2" hidden="1" x14ac:dyDescent="0.25">
      <c r="A334" s="102" t="s">
        <v>219</v>
      </c>
      <c r="B334" s="82"/>
      <c r="C334" s="82"/>
      <c r="D334" s="82"/>
      <c r="E334" s="82"/>
      <c r="F334" s="110"/>
    </row>
    <row r="335" spans="1:12" s="1" customFormat="1" ht="13.2" hidden="1" x14ac:dyDescent="0.25">
      <c r="A335" s="102" t="s">
        <v>220</v>
      </c>
      <c r="B335" s="82"/>
      <c r="C335" s="82"/>
      <c r="D335" s="82"/>
      <c r="E335" s="82"/>
      <c r="F335" s="110"/>
    </row>
    <row r="336" spans="1:12" s="1" customFormat="1" ht="13.2" hidden="1" x14ac:dyDescent="0.25">
      <c r="A336" s="102" t="s">
        <v>221</v>
      </c>
      <c r="B336" s="82"/>
      <c r="C336" s="82"/>
      <c r="D336" s="82"/>
      <c r="E336" s="82"/>
      <c r="F336" s="110"/>
    </row>
    <row r="337" spans="1:12" s="1" customFormat="1" ht="60.75" customHeight="1" x14ac:dyDescent="0.25">
      <c r="A337" s="102" t="s">
        <v>222</v>
      </c>
      <c r="B337" s="48" t="s">
        <v>213</v>
      </c>
      <c r="C337" s="48" t="s">
        <v>214</v>
      </c>
      <c r="D337" s="182" t="s">
        <v>223</v>
      </c>
      <c r="E337" s="182"/>
      <c r="F337" s="99" t="s">
        <v>224</v>
      </c>
      <c r="G337" s="53"/>
      <c r="H337" s="53"/>
      <c r="I337" s="53"/>
      <c r="J337" s="53"/>
      <c r="L337" s="53"/>
    </row>
    <row r="338" spans="1:12" s="1" customFormat="1" ht="13.2" x14ac:dyDescent="0.25">
      <c r="A338" s="102" t="s">
        <v>225</v>
      </c>
      <c r="B338" s="82" t="s">
        <v>246</v>
      </c>
      <c r="C338" s="82" t="s">
        <v>246</v>
      </c>
      <c r="D338" s="137"/>
      <c r="E338" s="137"/>
      <c r="F338" s="110"/>
    </row>
    <row r="339" spans="1:12" s="1" customFormat="1" ht="13.2" hidden="1" x14ac:dyDescent="0.25">
      <c r="A339" s="102" t="s">
        <v>226</v>
      </c>
      <c r="B339" s="82"/>
      <c r="C339" s="82"/>
      <c r="D339" s="137"/>
      <c r="E339" s="137"/>
      <c r="F339" s="110"/>
    </row>
    <row r="340" spans="1:12" s="1" customFormat="1" ht="13.2" hidden="1" x14ac:dyDescent="0.25">
      <c r="A340" s="102" t="s">
        <v>227</v>
      </c>
      <c r="B340" s="82"/>
      <c r="C340" s="82"/>
      <c r="D340" s="137"/>
      <c r="E340" s="137"/>
      <c r="F340" s="110"/>
    </row>
    <row r="341" spans="1:12" s="1" customFormat="1" ht="60.75" customHeight="1" x14ac:dyDescent="0.3">
      <c r="A341" s="102" t="s">
        <v>228</v>
      </c>
      <c r="B341" s="48" t="s">
        <v>213</v>
      </c>
      <c r="C341" s="48" t="s">
        <v>214</v>
      </c>
      <c r="D341" s="182" t="s">
        <v>229</v>
      </c>
      <c r="E341" s="182"/>
      <c r="F341" s="99" t="s">
        <v>230</v>
      </c>
      <c r="G341" s="52"/>
      <c r="H341" s="52"/>
      <c r="I341" s="52"/>
      <c r="J341" s="54"/>
      <c r="K341" s="43"/>
      <c r="L341" s="52"/>
    </row>
    <row r="342" spans="1:12" s="1" customFormat="1" x14ac:dyDescent="0.3">
      <c r="A342" s="102" t="s">
        <v>148</v>
      </c>
      <c r="B342" s="82" t="s">
        <v>246</v>
      </c>
      <c r="C342" s="82">
        <v>800000</v>
      </c>
      <c r="D342" s="137"/>
      <c r="E342" s="137"/>
      <c r="F342" s="110"/>
      <c r="G342" s="52"/>
      <c r="K342"/>
    </row>
    <row r="343" spans="1:12" s="1" customFormat="1" ht="24" x14ac:dyDescent="0.3">
      <c r="A343" s="102" t="s">
        <v>378</v>
      </c>
      <c r="B343" s="82" t="s">
        <v>246</v>
      </c>
      <c r="C343" s="82">
        <v>15000</v>
      </c>
      <c r="D343" s="137"/>
      <c r="E343" s="137"/>
      <c r="F343" s="110"/>
      <c r="G343" s="52"/>
      <c r="K343" s="43"/>
    </row>
    <row r="344" spans="1:12" s="1" customFormat="1" ht="24" hidden="1" x14ac:dyDescent="0.3">
      <c r="A344" s="102" t="s">
        <v>231</v>
      </c>
      <c r="B344" s="82"/>
      <c r="C344" s="82"/>
      <c r="D344" s="137"/>
      <c r="E344" s="137"/>
      <c r="F344" s="110"/>
      <c r="G344" s="52"/>
      <c r="K344"/>
    </row>
    <row r="345" spans="1:12" s="1" customFormat="1" hidden="1" x14ac:dyDescent="0.3">
      <c r="A345" s="102" t="s">
        <v>232</v>
      </c>
      <c r="B345" s="82"/>
      <c r="C345" s="82"/>
      <c r="D345" s="137"/>
      <c r="E345" s="137"/>
      <c r="F345" s="110"/>
      <c r="G345" s="52"/>
      <c r="K345"/>
    </row>
    <row r="346" spans="1:12" s="1" customFormat="1" hidden="1" x14ac:dyDescent="0.3">
      <c r="A346" s="102" t="s">
        <v>233</v>
      </c>
      <c r="B346" s="82"/>
      <c r="C346" s="82"/>
      <c r="D346" s="137"/>
      <c r="E346" s="137"/>
      <c r="F346" s="110"/>
      <c r="G346" s="52"/>
      <c r="K346"/>
    </row>
    <row r="347" spans="1:12" s="1" customFormat="1" hidden="1" x14ac:dyDescent="0.3">
      <c r="A347" s="102" t="s">
        <v>234</v>
      </c>
      <c r="B347" s="82"/>
      <c r="C347" s="82"/>
      <c r="D347" s="137"/>
      <c r="E347" s="137"/>
      <c r="F347" s="110"/>
      <c r="G347" s="52"/>
      <c r="K347"/>
    </row>
    <row r="348" spans="1:12" s="1" customFormat="1" ht="30" hidden="1" customHeight="1" x14ac:dyDescent="0.3">
      <c r="A348" s="102" t="s">
        <v>235</v>
      </c>
      <c r="B348" s="82"/>
      <c r="C348" s="82"/>
      <c r="D348" s="137"/>
      <c r="E348" s="137"/>
      <c r="F348" s="110"/>
      <c r="G348" s="52"/>
      <c r="K348"/>
    </row>
    <row r="349" spans="1:12" s="1" customFormat="1" ht="30" hidden="1" customHeight="1" x14ac:dyDescent="0.3">
      <c r="A349" s="102" t="s">
        <v>236</v>
      </c>
      <c r="B349" s="82"/>
      <c r="C349" s="82"/>
      <c r="D349" s="137"/>
      <c r="E349" s="137"/>
      <c r="F349" s="110"/>
      <c r="G349" s="52"/>
      <c r="K349"/>
    </row>
    <row r="350" spans="1:12" s="1" customFormat="1" ht="30" hidden="1" customHeight="1" thickBot="1" x14ac:dyDescent="0.35">
      <c r="A350" s="111" t="s">
        <v>237</v>
      </c>
      <c r="B350" s="112"/>
      <c r="C350" s="112"/>
      <c r="D350" s="250"/>
      <c r="E350" s="250"/>
      <c r="F350" s="113"/>
      <c r="G350" s="52"/>
      <c r="K350"/>
    </row>
    <row r="351" spans="1:12" s="43" customFormat="1" x14ac:dyDescent="0.3">
      <c r="A351" s="225" t="s">
        <v>60</v>
      </c>
      <c r="B351" s="225"/>
      <c r="C351" s="225"/>
      <c r="D351" s="225"/>
      <c r="E351" s="225"/>
      <c r="F351" s="225"/>
      <c r="K351"/>
    </row>
    <row r="352" spans="1:12" s="43" customFormat="1" x14ac:dyDescent="0.3">
      <c r="A352" s="88">
        <v>1</v>
      </c>
      <c r="B352" s="226" t="s">
        <v>387</v>
      </c>
      <c r="C352" s="226"/>
      <c r="D352" s="226"/>
      <c r="E352" s="226"/>
      <c r="F352" s="226"/>
      <c r="K352"/>
    </row>
    <row r="353" spans="1:11" s="43" customFormat="1" x14ac:dyDescent="0.3">
      <c r="A353" s="88">
        <f t="shared" ref="A353:A360" si="46">A352+1</f>
        <v>2</v>
      </c>
      <c r="B353" s="227" t="s">
        <v>278</v>
      </c>
      <c r="C353" s="227"/>
      <c r="D353" s="227"/>
      <c r="E353" s="227"/>
      <c r="F353" s="227"/>
      <c r="K353"/>
    </row>
    <row r="354" spans="1:11" s="43" customFormat="1" x14ac:dyDescent="0.3">
      <c r="A354" s="88">
        <f t="shared" si="46"/>
        <v>3</v>
      </c>
      <c r="B354" s="226" t="str">
        <f>(IF(F199="Saleable area Loading :","We have considered Saleable area of Flats as per our Calculation.","We considered Saleable area of Flat as per Builder area Sheet."))</f>
        <v>We have considered Saleable area of Flats as per our Calculation.</v>
      </c>
      <c r="C354" s="228"/>
      <c r="D354" s="228"/>
      <c r="E354" s="228"/>
      <c r="F354" s="228"/>
      <c r="K354"/>
    </row>
    <row r="355" spans="1:11" s="43" customFormat="1" x14ac:dyDescent="0.3">
      <c r="A355" s="88">
        <f t="shared" si="46"/>
        <v>4</v>
      </c>
      <c r="B355" s="228" t="s">
        <v>365</v>
      </c>
      <c r="C355" s="228"/>
      <c r="D355" s="228"/>
      <c r="E355" s="228"/>
      <c r="F355" s="228"/>
      <c r="K355"/>
    </row>
    <row r="356" spans="1:11" s="43" customFormat="1" x14ac:dyDescent="0.3">
      <c r="A356" s="88">
        <f t="shared" si="46"/>
        <v>5</v>
      </c>
      <c r="B356" s="227" t="s">
        <v>271</v>
      </c>
      <c r="C356" s="227"/>
      <c r="D356" s="227"/>
      <c r="E356" s="227"/>
      <c r="F356" s="227"/>
      <c r="K356"/>
    </row>
    <row r="357" spans="1:11" s="43" customFormat="1" x14ac:dyDescent="0.3">
      <c r="A357" s="88">
        <f t="shared" si="46"/>
        <v>6</v>
      </c>
      <c r="B357" s="228" t="s">
        <v>366</v>
      </c>
      <c r="C357" s="228"/>
      <c r="D357" s="228"/>
      <c r="E357" s="228"/>
      <c r="F357" s="228"/>
      <c r="K357"/>
    </row>
    <row r="358" spans="1:11" s="43" customFormat="1" x14ac:dyDescent="0.3">
      <c r="A358" s="88">
        <f t="shared" si="46"/>
        <v>7</v>
      </c>
      <c r="B358" s="227" t="s">
        <v>272</v>
      </c>
      <c r="C358" s="227"/>
      <c r="D358" s="227"/>
      <c r="E358" s="227"/>
      <c r="F358" s="227"/>
      <c r="K358"/>
    </row>
    <row r="359" spans="1:11" s="43" customFormat="1" ht="30" hidden="1" customHeight="1" x14ac:dyDescent="0.3">
      <c r="A359" s="88">
        <f t="shared" si="46"/>
        <v>8</v>
      </c>
      <c r="B359" s="229" t="s">
        <v>273</v>
      </c>
      <c r="C359" s="229"/>
      <c r="D359" s="229"/>
      <c r="E359" s="229"/>
      <c r="F359" s="229"/>
      <c r="K359"/>
    </row>
    <row r="360" spans="1:11" s="43" customFormat="1" x14ac:dyDescent="0.3">
      <c r="A360" s="88">
        <f t="shared" si="46"/>
        <v>9</v>
      </c>
      <c r="B360" s="283" t="s">
        <v>370</v>
      </c>
      <c r="C360" s="284"/>
      <c r="D360" s="283" t="s">
        <v>369</v>
      </c>
      <c r="E360" s="285"/>
      <c r="F360" s="284"/>
      <c r="K360"/>
    </row>
    <row r="361" spans="1:11" s="43" customFormat="1" ht="41.25" customHeight="1" x14ac:dyDescent="0.3">
      <c r="A361" s="88" t="s">
        <v>305</v>
      </c>
      <c r="B361" s="286" t="s">
        <v>371</v>
      </c>
      <c r="C361" s="287"/>
      <c r="D361" s="286" t="s">
        <v>374</v>
      </c>
      <c r="E361" s="288"/>
      <c r="F361" s="287"/>
      <c r="K361"/>
    </row>
    <row r="362" spans="1:11" s="43" customFormat="1" ht="41.25" customHeight="1" x14ac:dyDescent="0.3">
      <c r="A362" s="88" t="s">
        <v>305</v>
      </c>
      <c r="B362" s="286" t="s">
        <v>372</v>
      </c>
      <c r="C362" s="287"/>
      <c r="D362" s="286" t="s">
        <v>373</v>
      </c>
      <c r="E362" s="288"/>
      <c r="F362" s="287"/>
      <c r="K362"/>
    </row>
    <row r="363" spans="1:11" s="43" customFormat="1" ht="30" hidden="1" customHeight="1" x14ac:dyDescent="0.3">
      <c r="A363" s="88">
        <f>A359+1</f>
        <v>9</v>
      </c>
      <c r="B363" s="229" t="s">
        <v>283</v>
      </c>
      <c r="C363" s="229"/>
      <c r="D363" s="229"/>
      <c r="E363" s="229"/>
      <c r="F363" s="229"/>
      <c r="K363"/>
    </row>
    <row r="364" spans="1:11" x14ac:dyDescent="0.3">
      <c r="A364" s="236" t="s">
        <v>61</v>
      </c>
      <c r="B364" s="236"/>
      <c r="C364" s="237" t="str">
        <f>B2</f>
        <v>Centrona Nova A &amp; B 
(Buidling No. 13 Wing C &amp; D)</v>
      </c>
      <c r="D364" s="237"/>
      <c r="E364" s="237"/>
      <c r="F364" s="237"/>
    </row>
    <row r="410" spans="1:1" x14ac:dyDescent="0.3">
      <c r="A410" s="49" t="s">
        <v>62</v>
      </c>
    </row>
    <row r="456" spans="1:1" x14ac:dyDescent="0.3">
      <c r="A456" s="49" t="s">
        <v>63</v>
      </c>
    </row>
    <row r="457" spans="1:1" x14ac:dyDescent="0.3">
      <c r="A457" s="49"/>
    </row>
    <row r="498" spans="1:6" ht="57" customHeight="1" x14ac:dyDescent="0.3">
      <c r="A498" s="50" t="s">
        <v>64</v>
      </c>
      <c r="B498" s="132" t="str">
        <f>E12</f>
        <v>Mr. Akash Kadam</v>
      </c>
      <c r="C498" s="219" t="s">
        <v>65</v>
      </c>
      <c r="D498" s="219"/>
      <c r="E498" s="220"/>
      <c r="F498" s="220"/>
    </row>
  </sheetData>
  <dataConsolidate/>
  <mergeCells count="366">
    <mergeCell ref="B360:C360"/>
    <mergeCell ref="D360:F360"/>
    <mergeCell ref="B362:C362"/>
    <mergeCell ref="D362:F362"/>
    <mergeCell ref="B361:C361"/>
    <mergeCell ref="D361:F361"/>
    <mergeCell ref="A213:F213"/>
    <mergeCell ref="A264:F264"/>
    <mergeCell ref="G110:H110"/>
    <mergeCell ref="G121:H121"/>
    <mergeCell ref="G122:H122"/>
    <mergeCell ref="G123:H123"/>
    <mergeCell ref="G124:H124"/>
    <mergeCell ref="G168:H168"/>
    <mergeCell ref="C163:D163"/>
    <mergeCell ref="G163:H163"/>
    <mergeCell ref="A223:F223"/>
    <mergeCell ref="E158:F158"/>
    <mergeCell ref="G118:H118"/>
    <mergeCell ref="G119:H119"/>
    <mergeCell ref="C120:F120"/>
    <mergeCell ref="G120:H120"/>
    <mergeCell ref="D340:E340"/>
    <mergeCell ref="D343:E343"/>
    <mergeCell ref="A47:B47"/>
    <mergeCell ref="C47:F47"/>
    <mergeCell ref="G47:H47"/>
    <mergeCell ref="A172:F172"/>
    <mergeCell ref="A173:F173"/>
    <mergeCell ref="A174:F174"/>
    <mergeCell ref="A170:F170"/>
    <mergeCell ref="E130:F138"/>
    <mergeCell ref="A139:B140"/>
    <mergeCell ref="B141:F141"/>
    <mergeCell ref="E142:F142"/>
    <mergeCell ref="C164:D164"/>
    <mergeCell ref="E164:F164"/>
    <mergeCell ref="G164:H164"/>
    <mergeCell ref="A166:F166"/>
    <mergeCell ref="A167:F167"/>
    <mergeCell ref="G165:H165"/>
    <mergeCell ref="C161:D161"/>
    <mergeCell ref="E161:F161"/>
    <mergeCell ref="G161:H161"/>
    <mergeCell ref="C162:D162"/>
    <mergeCell ref="A98:F98"/>
    <mergeCell ref="A102:F102"/>
    <mergeCell ref="B101:C101"/>
    <mergeCell ref="E101:F101"/>
    <mergeCell ref="E104:F104"/>
    <mergeCell ref="B128:F128"/>
    <mergeCell ref="E129:F129"/>
    <mergeCell ref="A123:B123"/>
    <mergeCell ref="A124:B124"/>
    <mergeCell ref="C123:F123"/>
    <mergeCell ref="C124:F124"/>
    <mergeCell ref="A125:F125"/>
    <mergeCell ref="C110:F110"/>
    <mergeCell ref="A121:B121"/>
    <mergeCell ref="C121:F121"/>
    <mergeCell ref="A114:D114"/>
    <mergeCell ref="E114:F114"/>
    <mergeCell ref="A115:F115"/>
    <mergeCell ref="A118:B118"/>
    <mergeCell ref="C118:F118"/>
    <mergeCell ref="A119:B120"/>
    <mergeCell ref="C119:F119"/>
    <mergeCell ref="B108:C108"/>
    <mergeCell ref="E108:F108"/>
    <mergeCell ref="B104:C104"/>
    <mergeCell ref="B103:C103"/>
    <mergeCell ref="E103:F103"/>
    <mergeCell ref="G109:H109"/>
    <mergeCell ref="G63:H63"/>
    <mergeCell ref="G64:H64"/>
    <mergeCell ref="G65:H65"/>
    <mergeCell ref="G66:H66"/>
    <mergeCell ref="D83:F83"/>
    <mergeCell ref="D84:F84"/>
    <mergeCell ref="D85:F85"/>
    <mergeCell ref="D86:F86"/>
    <mergeCell ref="D88:F88"/>
    <mergeCell ref="D89:F89"/>
    <mergeCell ref="A70:F70"/>
    <mergeCell ref="B80:F80"/>
    <mergeCell ref="A64:B64"/>
    <mergeCell ref="A65:B65"/>
    <mergeCell ref="C63:F63"/>
    <mergeCell ref="C64:F64"/>
    <mergeCell ref="C65:F65"/>
    <mergeCell ref="B106:C106"/>
    <mergeCell ref="E106:F106"/>
    <mergeCell ref="E107:F107"/>
    <mergeCell ref="B107:C107"/>
    <mergeCell ref="A109:B109"/>
    <mergeCell ref="C109:F109"/>
    <mergeCell ref="A55:B55"/>
    <mergeCell ref="B100:C100"/>
    <mergeCell ref="E100:F100"/>
    <mergeCell ref="D91:F91"/>
    <mergeCell ref="D92:F92"/>
    <mergeCell ref="D93:F93"/>
    <mergeCell ref="D94:F94"/>
    <mergeCell ref="D95:F95"/>
    <mergeCell ref="D96:F96"/>
    <mergeCell ref="B105:C105"/>
    <mergeCell ref="E105:F105"/>
    <mergeCell ref="B97:F97"/>
    <mergeCell ref="J83:L83"/>
    <mergeCell ref="A66:F66"/>
    <mergeCell ref="A62:F62"/>
    <mergeCell ref="A60:B60"/>
    <mergeCell ref="C60:F60"/>
    <mergeCell ref="G52:H52"/>
    <mergeCell ref="G53:H53"/>
    <mergeCell ref="G54:H54"/>
    <mergeCell ref="G55:H55"/>
    <mergeCell ref="C56:F56"/>
    <mergeCell ref="A79:F79"/>
    <mergeCell ref="A57:B57"/>
    <mergeCell ref="C57:F57"/>
    <mergeCell ref="A59:B59"/>
    <mergeCell ref="D90:F90"/>
    <mergeCell ref="A63:B63"/>
    <mergeCell ref="C59:F59"/>
    <mergeCell ref="C55:F55"/>
    <mergeCell ref="A53:F53"/>
    <mergeCell ref="A54:B54"/>
    <mergeCell ref="C54:F54"/>
    <mergeCell ref="A364:B364"/>
    <mergeCell ref="C364:F364"/>
    <mergeCell ref="B359:F359"/>
    <mergeCell ref="E143:F151"/>
    <mergeCell ref="B327:C327"/>
    <mergeCell ref="E327:F327"/>
    <mergeCell ref="B328:C328"/>
    <mergeCell ref="E328:F328"/>
    <mergeCell ref="B168:B169"/>
    <mergeCell ref="C168:C169"/>
    <mergeCell ref="D168:D169"/>
    <mergeCell ref="E168:E169"/>
    <mergeCell ref="A171:F171"/>
    <mergeCell ref="A175:F175"/>
    <mergeCell ref="C165:D165"/>
    <mergeCell ref="A152:D153"/>
    <mergeCell ref="E152:F153"/>
    <mergeCell ref="D348:E348"/>
    <mergeCell ref="D349:E349"/>
    <mergeCell ref="D350:E350"/>
    <mergeCell ref="D337:E337"/>
    <mergeCell ref="D341:E341"/>
    <mergeCell ref="D338:E338"/>
    <mergeCell ref="D339:E339"/>
    <mergeCell ref="C498:D498"/>
    <mergeCell ref="E498:F498"/>
    <mergeCell ref="A126:B127"/>
    <mergeCell ref="D346:E346"/>
    <mergeCell ref="D347:E347"/>
    <mergeCell ref="B331:C331"/>
    <mergeCell ref="E331:F331"/>
    <mergeCell ref="A351:F351"/>
    <mergeCell ref="B352:F352"/>
    <mergeCell ref="B353:F353"/>
    <mergeCell ref="B354:F354"/>
    <mergeCell ref="B355:F355"/>
    <mergeCell ref="B356:F356"/>
    <mergeCell ref="D342:E342"/>
    <mergeCell ref="D344:E344"/>
    <mergeCell ref="D345:E345"/>
    <mergeCell ref="E159:F159"/>
    <mergeCell ref="B357:F357"/>
    <mergeCell ref="B358:F358"/>
    <mergeCell ref="B363:F363"/>
    <mergeCell ref="E165:F165"/>
    <mergeCell ref="B329:C329"/>
    <mergeCell ref="A154:F154"/>
    <mergeCell ref="C158:D158"/>
    <mergeCell ref="L204:M204"/>
    <mergeCell ref="A197:F197"/>
    <mergeCell ref="A324:F324"/>
    <mergeCell ref="B325:C325"/>
    <mergeCell ref="E325:F325"/>
    <mergeCell ref="B326:C326"/>
    <mergeCell ref="E326:F326"/>
    <mergeCell ref="A202:F202"/>
    <mergeCell ref="A201:F201"/>
    <mergeCell ref="A203:F203"/>
    <mergeCell ref="H325:I325"/>
    <mergeCell ref="L214:M214"/>
    <mergeCell ref="L224:M224"/>
    <mergeCell ref="A233:F233"/>
    <mergeCell ref="L234:M234"/>
    <mergeCell ref="A243:F243"/>
    <mergeCell ref="L244:M244"/>
    <mergeCell ref="B252:F252"/>
    <mergeCell ref="A263:F263"/>
    <mergeCell ref="L265:M265"/>
    <mergeCell ref="A274:F274"/>
    <mergeCell ref="L275:M275"/>
    <mergeCell ref="A284:F284"/>
    <mergeCell ref="L285:M285"/>
    <mergeCell ref="L176:M176"/>
    <mergeCell ref="A198:F198"/>
    <mergeCell ref="A199:A200"/>
    <mergeCell ref="B199:B200"/>
    <mergeCell ref="C199:C200"/>
    <mergeCell ref="D199:D200"/>
    <mergeCell ref="E199:E200"/>
    <mergeCell ref="G158:H158"/>
    <mergeCell ref="A157:F157"/>
    <mergeCell ref="G162:H162"/>
    <mergeCell ref="G159:H159"/>
    <mergeCell ref="E163:F163"/>
    <mergeCell ref="G169:H169"/>
    <mergeCell ref="A168:A169"/>
    <mergeCell ref="E162:F162"/>
    <mergeCell ref="I158:L159"/>
    <mergeCell ref="C159:D159"/>
    <mergeCell ref="A1:F1"/>
    <mergeCell ref="B2:D2"/>
    <mergeCell ref="A3:F3"/>
    <mergeCell ref="A10:F10"/>
    <mergeCell ref="A4:B4"/>
    <mergeCell ref="A81:F81"/>
    <mergeCell ref="B82:F82"/>
    <mergeCell ref="A42:F42"/>
    <mergeCell ref="C4:F4"/>
    <mergeCell ref="A5:B5"/>
    <mergeCell ref="A6:B6"/>
    <mergeCell ref="C5:F5"/>
    <mergeCell ref="C6:F6"/>
    <mergeCell ref="A7:B7"/>
    <mergeCell ref="A14:F14"/>
    <mergeCell ref="C12:D12"/>
    <mergeCell ref="E12:F12"/>
    <mergeCell ref="C13:D13"/>
    <mergeCell ref="E13:F13"/>
    <mergeCell ref="A37:B37"/>
    <mergeCell ref="A33:B33"/>
    <mergeCell ref="C33:F33"/>
    <mergeCell ref="A34:B34"/>
    <mergeCell ref="C34:F34"/>
    <mergeCell ref="C39:F39"/>
    <mergeCell ref="E24:F24"/>
    <mergeCell ref="A8:B8"/>
    <mergeCell ref="B24:C24"/>
    <mergeCell ref="C37:F37"/>
    <mergeCell ref="A36:B36"/>
    <mergeCell ref="C36:F36"/>
    <mergeCell ref="A28:B28"/>
    <mergeCell ref="A29:B29"/>
    <mergeCell ref="A30:B30"/>
    <mergeCell ref="A31:B31"/>
    <mergeCell ref="B18:F18"/>
    <mergeCell ref="B25:F25"/>
    <mergeCell ref="C7:F7"/>
    <mergeCell ref="C8:F8"/>
    <mergeCell ref="A9:B9"/>
    <mergeCell ref="C9:F9"/>
    <mergeCell ref="A15:B15"/>
    <mergeCell ref="A44:B44"/>
    <mergeCell ref="C44:F44"/>
    <mergeCell ref="A43:B43"/>
    <mergeCell ref="C43:F43"/>
    <mergeCell ref="C15:F15"/>
    <mergeCell ref="B26:C26"/>
    <mergeCell ref="E26:F26"/>
    <mergeCell ref="B21:C21"/>
    <mergeCell ref="E21:F21"/>
    <mergeCell ref="E20:F20"/>
    <mergeCell ref="B22:C22"/>
    <mergeCell ref="E22:F22"/>
    <mergeCell ref="B23:C23"/>
    <mergeCell ref="E23:F23"/>
    <mergeCell ref="A38:B38"/>
    <mergeCell ref="C38:F38"/>
    <mergeCell ref="A35:B35"/>
    <mergeCell ref="C35:F35"/>
    <mergeCell ref="A39:B39"/>
    <mergeCell ref="I12:J12"/>
    <mergeCell ref="I13:J13"/>
    <mergeCell ref="G29:H29"/>
    <mergeCell ref="G30:H30"/>
    <mergeCell ref="G31:H31"/>
    <mergeCell ref="G32:H32"/>
    <mergeCell ref="G35:H35"/>
    <mergeCell ref="G33:H34"/>
    <mergeCell ref="A160:F160"/>
    <mergeCell ref="A16:F16"/>
    <mergeCell ref="A27:F27"/>
    <mergeCell ref="A32:F32"/>
    <mergeCell ref="B17:F17"/>
    <mergeCell ref="B19:C19"/>
    <mergeCell ref="E19:F19"/>
    <mergeCell ref="B20:C20"/>
    <mergeCell ref="A122:B122"/>
    <mergeCell ref="C122:F122"/>
    <mergeCell ref="A111:F111"/>
    <mergeCell ref="A112:D112"/>
    <mergeCell ref="E112:F112"/>
    <mergeCell ref="A113:D113"/>
    <mergeCell ref="E113:F113"/>
    <mergeCell ref="A110:B110"/>
    <mergeCell ref="G36:H36"/>
    <mergeCell ref="G37:H37"/>
    <mergeCell ref="G38:H38"/>
    <mergeCell ref="G39:H39"/>
    <mergeCell ref="G40:H40"/>
    <mergeCell ref="G41:H41"/>
    <mergeCell ref="G42:H42"/>
    <mergeCell ref="D87:F87"/>
    <mergeCell ref="A86:A87"/>
    <mergeCell ref="B86:B87"/>
    <mergeCell ref="C86:C87"/>
    <mergeCell ref="G56:H56"/>
    <mergeCell ref="G57:H57"/>
    <mergeCell ref="G58:H58"/>
    <mergeCell ref="G59:H59"/>
    <mergeCell ref="G60:H60"/>
    <mergeCell ref="A61:B61"/>
    <mergeCell ref="C61:F61"/>
    <mergeCell ref="G61:H61"/>
    <mergeCell ref="C46:F46"/>
    <mergeCell ref="A48:B48"/>
    <mergeCell ref="C48:F48"/>
    <mergeCell ref="A49:B49"/>
    <mergeCell ref="C49:F49"/>
    <mergeCell ref="G43:H43"/>
    <mergeCell ref="G44:H44"/>
    <mergeCell ref="A40:B40"/>
    <mergeCell ref="C40:F40"/>
    <mergeCell ref="A41:B41"/>
    <mergeCell ref="C41:F41"/>
    <mergeCell ref="A52:B52"/>
    <mergeCell ref="C52:F52"/>
    <mergeCell ref="A58:B58"/>
    <mergeCell ref="C58:F58"/>
    <mergeCell ref="A56:B56"/>
    <mergeCell ref="G46:H46"/>
    <mergeCell ref="G48:H48"/>
    <mergeCell ref="G49:H49"/>
    <mergeCell ref="A50:B50"/>
    <mergeCell ref="C50:F50"/>
    <mergeCell ref="A51:B51"/>
    <mergeCell ref="C51:F51"/>
    <mergeCell ref="A46:B46"/>
    <mergeCell ref="G50:H50"/>
    <mergeCell ref="G51:H51"/>
    <mergeCell ref="A45:B45"/>
    <mergeCell ref="C45:F45"/>
    <mergeCell ref="G45:H45"/>
    <mergeCell ref="B330:C330"/>
    <mergeCell ref="E330:F330"/>
    <mergeCell ref="E329:F329"/>
    <mergeCell ref="B247:F248"/>
    <mergeCell ref="B305:F306"/>
    <mergeCell ref="A253:F253"/>
    <mergeCell ref="L254:M254"/>
    <mergeCell ref="B257:F258"/>
    <mergeCell ref="A314:F314"/>
    <mergeCell ref="L315:M315"/>
    <mergeCell ref="B315:F316"/>
    <mergeCell ref="A294:F294"/>
    <mergeCell ref="L295:M295"/>
    <mergeCell ref="A304:F304"/>
    <mergeCell ref="L305:M305"/>
  </mergeCells>
  <dataValidations count="17">
    <dataValidation type="list" allowBlank="1" showInputMessage="1" showErrorMessage="1" sqref="B40:B41 B37:B38 B34:B35" xr:uid="{00000000-0002-0000-0000-000000000000}">
      <formula1>$C$368:$C$373</formula1>
    </dataValidation>
    <dataValidation type="list" allowBlank="1" showInputMessage="1" showErrorMessage="1" sqref="F41 F37:F38 F35" xr:uid="{00000000-0002-0000-0000-000001000000}">
      <formula1>$G$364:$G$366</formula1>
    </dataValidation>
    <dataValidation type="list" allowBlank="1" showInputMessage="1" showErrorMessage="1" sqref="F2" xr:uid="{00000000-0002-0000-0000-000002000000}">
      <formula1>"Airoli,Goregaon"</formula1>
    </dataValidation>
    <dataValidation type="list" allowBlank="1" showInputMessage="1" showErrorMessage="1" sqref="D11" xr:uid="{00000000-0002-0000-0000-000003000000}">
      <formula1>"Mr. Rushabh Kakade,Miss. Bharti,Mr. Abhishek Manjrekar,Mr. Ajinkya Oturkar"</formula1>
    </dataValidation>
    <dataValidation type="list" allowBlank="1" showInputMessage="1" showErrorMessage="1" sqref="E13:F13" xr:uid="{00000000-0002-0000-0000-000004000000}">
      <formula1>"Kunal Kadam,Sachin Sawant,Shruti Fule,Hitakshi Mhatre,Anjali Kamble,Sonali Kumbhar,Pooja Kawale,Mansee Mohite"</formula1>
    </dataValidation>
    <dataValidation type="list" allowBlank="1" showInputMessage="1" showErrorMessage="1" sqref="A19" xr:uid="{00000000-0002-0000-0000-000005000000}">
      <formula1>"Plot No.,Survey No.,Old CTS No.,Gut No."</formula1>
    </dataValidation>
    <dataValidation type="list" allowBlank="1" showInputMessage="1" showErrorMessage="1" sqref="D20" xr:uid="{00000000-0002-0000-0000-000006000000}">
      <formula1>"Ward No.,Existing Builidng Name &amp; No.,City"</formula1>
    </dataValidation>
    <dataValidation type="list" allowBlank="1" showInputMessage="1" showErrorMessage="1" sqref="E22:F22" xr:uid="{00000000-0002-0000-0000-000007000000}">
      <formula1>"Mumbai,Thane,Palghar,Raigad,Pune"</formula1>
    </dataValidation>
    <dataValidation type="list" allowBlank="1" showInputMessage="1" showErrorMessage="1" sqref="C121:F122 B99 C72:F72 B74:F74 B77:F77 B104:C108 E105:F108 E103:F103 B101:C101 C109:F110" xr:uid="{00000000-0002-0000-0000-000008000000}">
      <formula1>"Yes,No"</formula1>
    </dataValidation>
    <dataValidation type="list" allowBlank="1" showInputMessage="1" showErrorMessage="1" sqref="B84:B86 B88:B91 B93:B96" xr:uid="{00000000-0002-0000-0000-000009000000}">
      <formula1>"Applicable and Received,Applicable and Not Received,Not Applicable"</formula1>
    </dataValidation>
    <dataValidation type="list" allowBlank="1" showInputMessage="1" showErrorMessage="1" sqref="D99" xr:uid="{00000000-0002-0000-0000-00000A000000}">
      <formula1>"Registered,Not Registered"</formula1>
    </dataValidation>
    <dataValidation type="list" allowBlank="1" showInputMessage="1" showErrorMessage="1" sqref="B103:C103" xr:uid="{00000000-0002-0000-0000-00000B000000}">
      <formula1>"Zone II,Zone III,Zone IV,Zone V"</formula1>
    </dataValidation>
    <dataValidation type="list" allowBlank="1" showInputMessage="1" showErrorMessage="1" sqref="E104:F104" xr:uid="{00000000-0002-0000-0000-00000C000000}">
      <formula1>"Not Appicable,Zone I,Zone II,Zone III,Zone IV"</formula1>
    </dataValidation>
    <dataValidation type="list" allowBlank="1" showInputMessage="1" showErrorMessage="1" sqref="E326:F331" xr:uid="{00000000-0002-0000-0000-00000D000000}">
      <formula1>"Carpet Area,Buildup Area,Saleable Area"</formula1>
    </dataValidation>
    <dataValidation type="list" allowBlank="1" showInputMessage="1" showErrorMessage="1" sqref="B72" xr:uid="{00000000-0002-0000-0000-00000E000000}">
      <formula1>"Yes &amp; 0.15m, No"</formula1>
    </dataValidation>
    <dataValidation type="list" allowBlank="1" showInputMessage="1" showErrorMessage="1" sqref="B92" xr:uid="{00000000-0002-0000-0000-00000F000000}">
      <formula1>"Applicable and Received,Applicable and Not Received,Not Applicable,To be obtained"</formula1>
    </dataValidation>
    <dataValidation type="list" allowBlank="1" showInputMessage="1" showErrorMessage="1" sqref="F169" xr:uid="{00000000-0002-0000-0000-000010000000}">
      <formula1>"45%,50%,55%,60%"</formula1>
    </dataValidation>
  </dataValidations>
  <hyperlinks>
    <hyperlink ref="C6" r:id="rId1" xr:uid="{00000000-0004-0000-0000-000000000000}"/>
    <hyperlink ref="B25" r:id="rId2" xr:uid="{00000000-0004-0000-0000-000001000000}"/>
    <hyperlink ref="H80" display="https://www.india-sales-office.com/Projects/LnT-Realty/LnT-77Crossroads-Mumbai/?keyword=l%26t%20centrona%20ghatkopar&amp;matchtype=p&amp;adposition=&amp;device=c&amp;gad_source=1&amp;gclid=CjwKCAiAtt2tBhBDEiwALZuhAEPdB4RQPpNDhkLuG1YxDP12F4C4j8iK3Y3QjUk0QkTtNFNxAsAoYhoCNnoQAv" xr:uid="{00000000-0004-0000-0000-000002000000}"/>
  </hyperlinks>
  <pageMargins left="0.39370078740157483" right="0.39370078740157483" top="0.78740157480314965" bottom="0.78740157480314965" header="0.31496062992125984" footer="0.31496062992125984"/>
  <pageSetup fitToHeight="0" orientation="portrait" r:id="rId3"/>
  <headerFooter>
    <oddHeader>&amp;C&amp;G</oddHeader>
    <oddFooter>&amp;L&amp;"-,Bold"Ref No: &amp;F&amp;R&amp;"-,Bold"&amp;P</oddFooter>
  </headerFooter>
  <rowBreaks count="5" manualBreakCount="5">
    <brk id="65" max="16383" man="1"/>
    <brk id="153" max="5" man="1"/>
    <brk id="363" max="16383" man="1"/>
    <brk id="409" max="16383" man="1"/>
    <brk id="455" max="16383" man="1"/>
  </rowBreaks>
  <drawing r:id="rId4"/>
  <legacyDrawing r:id="rId5"/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4:K131"/>
  <sheetViews>
    <sheetView topLeftCell="A123" workbookViewId="0">
      <selection activeCell="B124" sqref="B124"/>
    </sheetView>
  </sheetViews>
  <sheetFormatPr defaultRowHeight="14.4" x14ac:dyDescent="0.3"/>
  <sheetData>
    <row r="104" spans="2:11" ht="15" thickBot="1" x14ac:dyDescent="0.35"/>
    <row r="105" spans="2:11" ht="15.6" x14ac:dyDescent="0.3">
      <c r="B105" s="289" t="s">
        <v>4</v>
      </c>
      <c r="C105" s="290"/>
      <c r="D105" s="291" t="s">
        <v>44</v>
      </c>
      <c r="E105" s="292"/>
      <c r="F105" s="292"/>
      <c r="G105" s="292"/>
      <c r="H105" s="292"/>
      <c r="I105" s="293"/>
      <c r="J105" s="13" t="str">
        <f ca="1">(IF(F109&gt;99%,"All work completed. Please provide OC.",IF(F109&gt;89.8%,"Plinth, RCC, Brick, Plaster, Flooring, Painting work Completed. Finishing work is in process.",IF(F109&lt;94%,(IF(D109=0,"Work not yet Started.",IF(E109=25%,"Piling work in process",IF(E109=50%,"Excavation work in process",IF(E109=100%,"Excavation work Completed. ","0")))&amp;(IF(D110=0%,"",IF(D110=K111,"Footing work is process",IF(D110=K112,"Footing work Completed",IF(D110=K113,"1st Basement Completed",IF(D110=K114,"1st &amp; 2nd Basement Completed",IF(D110=K115,"1st to 3rd Basement Completed",IF(D110=K116,"1st to 4th Basement Completed",IF(D110=K117,"Plinth work is process",IF(D110=K118,"Plinth work completed","0")))))))))))&amp;(IF(D111=(D106+E106+F106),", RCC Slab",IF(D111&gt;0,", RCC upto "&amp;D111&amp;" Slab",""))&amp;(IF(D112=F106,", Brickwork",IF(D112&gt;0,", Brickwork upto "&amp;D112&amp;" Floor",""))&amp;(IF(D113=F106,", Internal Plaster",IF(D113&gt;0,", Internal Plaster upto "&amp;D113&amp;" Floor",""))&amp;(IF(D114=F106,", External Plaster",IF(D114&gt;0,", External Plaster upto "&amp;D114&amp;" Floor",""))&amp;(IF(D115=F106,", Flooring",IF(D115&gt;0,", Flooring upto "&amp;D115&amp;" Floor",""))&amp;(IF(D116=F106,", Painting",IF(D116&gt;0,", Painting upto "&amp;D116&amp;" Floor",""))&amp;(IF(D117&gt;0,", Finishing upto "&amp;D117&amp;" Floor","")&amp;(IF(D111&gt;0.5," Completed",""))))))))))))))</f>
        <v>All work completed. Please provide OC.</v>
      </c>
      <c r="K105" s="14"/>
    </row>
    <row r="106" spans="2:11" ht="15.6" x14ac:dyDescent="0.3">
      <c r="B106" s="15" t="s">
        <v>5</v>
      </c>
      <c r="C106" s="16">
        <v>0</v>
      </c>
      <c r="D106" s="32">
        <v>1</v>
      </c>
      <c r="E106" s="33">
        <v>0</v>
      </c>
      <c r="F106" s="33">
        <f ca="1">--TRIM(RIGHT(SUBSTITUTE(LEFT(D105,_xlfn.AGGREGATE(16,6,FIND({0,1,2,3,4,5,6,7,8,9},D105,ROW(INDIRECT("1:"&amp;LEN(D105)))),1))," ",REPT(" ",LEN(D105))),LEN(D105)))</f>
        <v>7</v>
      </c>
      <c r="G106" s="33"/>
      <c r="H106" s="33"/>
      <c r="I106" s="34"/>
      <c r="J106" s="17"/>
      <c r="K106" s="18"/>
    </row>
    <row r="107" spans="2:11" ht="15.6" x14ac:dyDescent="0.3">
      <c r="B107" s="294" t="s">
        <v>9</v>
      </c>
      <c r="C107" s="295"/>
      <c r="D107" s="296" t="str">
        <f>J107</f>
        <v>All work Completed. OC Received.</v>
      </c>
      <c r="E107" s="296"/>
      <c r="F107" s="296"/>
      <c r="G107" s="296"/>
      <c r="H107" s="296"/>
      <c r="I107" s="297"/>
      <c r="J107" s="17" t="s">
        <v>10</v>
      </c>
      <c r="K107" s="18"/>
    </row>
    <row r="108" spans="2:11" ht="31.2" x14ac:dyDescent="0.3">
      <c r="B108" s="298" t="s">
        <v>11</v>
      </c>
      <c r="C108" s="299"/>
      <c r="D108" s="19" t="s">
        <v>13</v>
      </c>
      <c r="E108" s="19" t="s">
        <v>14</v>
      </c>
      <c r="F108" s="299" t="s">
        <v>15</v>
      </c>
      <c r="G108" s="299"/>
      <c r="H108" s="299" t="s">
        <v>41</v>
      </c>
      <c r="I108" s="300"/>
      <c r="J108" s="20" t="s">
        <v>16</v>
      </c>
      <c r="K108" s="21">
        <f ca="1">F106*25%</f>
        <v>1.75</v>
      </c>
    </row>
    <row r="109" spans="2:11" ht="15.6" x14ac:dyDescent="0.3">
      <c r="B109" s="298" t="s">
        <v>17</v>
      </c>
      <c r="C109" s="299"/>
      <c r="D109" s="22">
        <f ca="1">K110</f>
        <v>7</v>
      </c>
      <c r="E109" s="23">
        <f ca="1">((100/F106)*D109)/100</f>
        <v>1</v>
      </c>
      <c r="F109" s="303">
        <f ca="1">(((D110/F106*10)+(40/(D106+E106+F106)*D111)+(7.5/(F106)*D112)+(7.5/(F106)*D113)+(10/F106*D114)+(10/F106*D115)+(5/F106*D116)+(5/F106*D117)+(5/F106*D118))/100)</f>
        <v>1</v>
      </c>
      <c r="G109" s="303"/>
      <c r="H109" s="303">
        <f ca="1">((((D109/F106)*20)+((D110/F106)*25)+(30/(F106+E106+D106)*D111)+(5/F106*D112)+(5/F106*D113)+(5/F106*D114)+(5/F106*D115)+(0/F106*D116)+(0/F106*D117)+(5/F106*D118))/100)</f>
        <v>1</v>
      </c>
      <c r="I109" s="305"/>
      <c r="J109" s="20" t="s">
        <v>18</v>
      </c>
      <c r="K109" s="24">
        <f ca="1">F106*50%</f>
        <v>3.5</v>
      </c>
    </row>
    <row r="110" spans="2:11" ht="15.6" x14ac:dyDescent="0.3">
      <c r="B110" s="298" t="s">
        <v>19</v>
      </c>
      <c r="C110" s="299"/>
      <c r="D110" s="25">
        <f ca="1">K118</f>
        <v>7</v>
      </c>
      <c r="E110" s="23">
        <f ca="1">((100/F106)*D110)/100</f>
        <v>1</v>
      </c>
      <c r="F110" s="303"/>
      <c r="G110" s="303"/>
      <c r="H110" s="303"/>
      <c r="I110" s="305"/>
      <c r="J110" s="20" t="s">
        <v>20</v>
      </c>
      <c r="K110" s="24">
        <f ca="1">F106</f>
        <v>7</v>
      </c>
    </row>
    <row r="111" spans="2:11" ht="15.6" x14ac:dyDescent="0.3">
      <c r="B111" s="307" t="s">
        <v>21</v>
      </c>
      <c r="C111" s="308"/>
      <c r="D111" s="25">
        <v>8</v>
      </c>
      <c r="E111" s="23">
        <f ca="1">((100/(D106+E106+F106))*D111)/100</f>
        <v>1</v>
      </c>
      <c r="F111" s="303"/>
      <c r="G111" s="303"/>
      <c r="H111" s="303"/>
      <c r="I111" s="305"/>
      <c r="J111" s="20" t="s">
        <v>22</v>
      </c>
      <c r="K111" s="26">
        <f ca="1">(IF(C106&gt;1,(F106/(C106+2)),F106/4))</f>
        <v>1.75</v>
      </c>
    </row>
    <row r="112" spans="2:11" ht="15.6" x14ac:dyDescent="0.3">
      <c r="B112" s="298" t="s">
        <v>23</v>
      </c>
      <c r="C112" s="299" t="s">
        <v>42</v>
      </c>
      <c r="D112" s="22">
        <v>7</v>
      </c>
      <c r="E112" s="23">
        <f ca="1">((100/F106)*D112)/100</f>
        <v>1</v>
      </c>
      <c r="F112" s="303"/>
      <c r="G112" s="303"/>
      <c r="H112" s="303"/>
      <c r="I112" s="305"/>
      <c r="J112" s="20" t="s">
        <v>24</v>
      </c>
      <c r="K112" s="26">
        <f ca="1">(IF(C106&gt;1,(F106/(C106+2)+K111),F106/4+K111))</f>
        <v>3.5</v>
      </c>
    </row>
    <row r="113" spans="2:11" ht="15.6" x14ac:dyDescent="0.3">
      <c r="B113" s="298" t="s">
        <v>25</v>
      </c>
      <c r="C113" s="299" t="s">
        <v>42</v>
      </c>
      <c r="D113" s="22">
        <v>7</v>
      </c>
      <c r="E113" s="23">
        <f ca="1">((100/F106)*D113)/100</f>
        <v>1</v>
      </c>
      <c r="F113" s="303"/>
      <c r="G113" s="303"/>
      <c r="H113" s="303"/>
      <c r="I113" s="305"/>
      <c r="J113" s="20" t="s">
        <v>26</v>
      </c>
      <c r="K113" s="26">
        <f>(IF(C106&gt;1,(F106/(C106+2)+K112),0))</f>
        <v>0</v>
      </c>
    </row>
    <row r="114" spans="2:11" ht="15.6" x14ac:dyDescent="0.3">
      <c r="B114" s="298" t="s">
        <v>27</v>
      </c>
      <c r="C114" s="299" t="s">
        <v>43</v>
      </c>
      <c r="D114" s="22">
        <v>7</v>
      </c>
      <c r="E114" s="23">
        <f ca="1">((100/(F106))*D114)/100</f>
        <v>1</v>
      </c>
      <c r="F114" s="303"/>
      <c r="G114" s="303"/>
      <c r="H114" s="303"/>
      <c r="I114" s="305"/>
      <c r="J114" s="20" t="s">
        <v>28</v>
      </c>
      <c r="K114" s="26">
        <f>(IF(C106&gt;2,(F106/(C106+2)+K113),0))</f>
        <v>0</v>
      </c>
    </row>
    <row r="115" spans="2:11" ht="15.6" x14ac:dyDescent="0.3">
      <c r="B115" s="298" t="s">
        <v>29</v>
      </c>
      <c r="C115" s="299" t="s">
        <v>29</v>
      </c>
      <c r="D115" s="22">
        <v>7</v>
      </c>
      <c r="E115" s="23">
        <f ca="1">((100/F106)*D115)/100</f>
        <v>1</v>
      </c>
      <c r="F115" s="303"/>
      <c r="G115" s="303"/>
      <c r="H115" s="303"/>
      <c r="I115" s="305"/>
      <c r="J115" s="20" t="s">
        <v>30</v>
      </c>
      <c r="K115" s="27">
        <f>(IF(C106&gt;3,(F106/(C106+2)+K114),0))</f>
        <v>0</v>
      </c>
    </row>
    <row r="116" spans="2:11" ht="15.6" x14ac:dyDescent="0.3">
      <c r="B116" s="298" t="s">
        <v>31</v>
      </c>
      <c r="C116" s="299"/>
      <c r="D116" s="22">
        <v>7</v>
      </c>
      <c r="E116" s="23">
        <f ca="1">((100/F106)*D116)/100</f>
        <v>1</v>
      </c>
      <c r="F116" s="303"/>
      <c r="G116" s="303"/>
      <c r="H116" s="303"/>
      <c r="I116" s="305"/>
      <c r="J116" s="20" t="s">
        <v>32</v>
      </c>
      <c r="K116" s="26">
        <f>(IF(C106&gt;4,(F106/(C106+2)+K115),0))</f>
        <v>0</v>
      </c>
    </row>
    <row r="117" spans="2:11" ht="15.6" x14ac:dyDescent="0.3">
      <c r="B117" s="298" t="s">
        <v>33</v>
      </c>
      <c r="C117" s="299" t="s">
        <v>33</v>
      </c>
      <c r="D117" s="22">
        <v>7</v>
      </c>
      <c r="E117" s="23">
        <f ca="1">((100/(F106))*D117)/100</f>
        <v>1</v>
      </c>
      <c r="F117" s="303"/>
      <c r="G117" s="303"/>
      <c r="H117" s="303"/>
      <c r="I117" s="305"/>
      <c r="J117" s="20" t="s">
        <v>34</v>
      </c>
      <c r="K117" s="26">
        <f ca="1">(IF(C106=1,(F106/(C106+3)+K112),IF(C106=0,(F106/4+K112),IF(C106&gt;1,0))))</f>
        <v>5.25</v>
      </c>
    </row>
    <row r="118" spans="2:11" ht="16.2" thickBot="1" x14ac:dyDescent="0.35">
      <c r="B118" s="301" t="s">
        <v>35</v>
      </c>
      <c r="C118" s="302"/>
      <c r="D118" s="28">
        <v>7</v>
      </c>
      <c r="E118" s="29">
        <f ca="1">((100/(F106))*D118)/100</f>
        <v>1</v>
      </c>
      <c r="F118" s="304"/>
      <c r="G118" s="304"/>
      <c r="H118" s="304"/>
      <c r="I118" s="306"/>
      <c r="J118" s="30" t="s">
        <v>36</v>
      </c>
      <c r="K118" s="31">
        <f ca="1">(IF(C106&gt;1.5,(F106/(C106+2)+K112+MAX(0,K113-K112)+MAX(0,K114-K113)+MAX(0,K115-K114)+MAX(0,K116-K115)+MAX(0,K117-K116)),IF(C106=1,(F106/(C106+3)+K117),IF(C106=0,F106/4+K117))))</f>
        <v>7</v>
      </c>
    </row>
    <row r="124" spans="2:11" x14ac:dyDescent="0.3">
      <c r="B124" t="str">
        <f>(IF(E125&gt;99%,"All work completed. Please provide OC.",IF(E125&gt;89.8%,"Plinth, RCC, Brick, Plaster, Flooring, Painting work Completed. Finishing work is in process.",IF(E125&lt;94%,(IF(C125=0,"Work not yet Started.",IF(D125=25%,"Piling work in process",IF(D125=50%,"Excavation work in process",IF(D125=100%,"Excavation work Completed. ","0")))&amp;(IF(C126=0%,"",IF(C126=H127,"Footing work is process",IF(C126=H128,"Footing work Completed",IF(C126=H129,"1st Basement Completed",IF(C126=H130,"1st &amp; 2nd Basement Completed",IF(C126=H131,"1st to 3rd Basement Completed",IF(C126=H132,"1st to 4th Basement Completed",IF(C126=H133,"Plinth work is process",IF(C126=H134,"Plinth work completed","0")))))))))))&amp;(IF(C127=(D122+E122+F122),", RCC Slab",IF(C127&gt;0,", RCC upto "&amp;C127&amp;" Slab",""))&amp;(IF(C128=F122,", Brickwork",IF(C128&gt;0,", Brickwork upto "&amp;C128&amp;" Floor",""))&amp;(IF(C129=F122,", Internal Plaster",IF(C129&gt;0,", Internal Plaster upto "&amp;C129&amp;" Floor",""))&amp;(IF(C130=F122,", External Plaster",IF(C130&gt;0,", External Plaster upto "&amp;C130&amp;" Floor",""))&amp;(IF(C131=F122,", Flooring",IF(C131&gt;0,", Flooring upto "&amp;C131&amp;" Floor",""))&amp;(IF(C132=F122,", Painting",IF(C132&gt;0,", Painting upto "&amp;C132&amp;" Floor",""))&amp;(IF(C133&gt;0,", Finishing upto "&amp;C133&amp;" Floor","")&amp;(IF(C127&gt;0.5," Completed",""))))))))))))))</f>
        <v>Work not yet Started., RCC Slab, Brickwork, Internal Plaster, External Plaster, Flooring, Painting</v>
      </c>
    </row>
    <row r="131" spans="2:2" x14ac:dyDescent="0.3">
      <c r="B131" t="str">
        <f>(IF(E128&gt;99%,"All work completed. Please provide OC.",IF(E128&gt;89.8%,"Plinth, RCC, Brick, Plaster, Flooring, Painting work Completed. Finishing work is in process.",IF(E128&lt;94%,(IF(C128=0,"Work not yet Started.",IF(D128=25%,"Piling work in process",IF(D128=50%,"Excavation work in process",IF(D128=100%,"Excavation work Completed. ","0")))&amp;(IF(C129=0%,"",IF(C129=H130,"Footing work is process",IF(C129=H131,"Footing work Completed",IF(C129=H132,"1st Basement Completed",IF(C129=H133,"1st &amp; 2nd Basement Completed",IF(C129=H134,"1st to 3rd Basement Completed",IF(C129=H135,"1st to 4th Basement Completed",IF(C129=H136,"Plinth work is process",IF(C129=H137,"Plinth work completed","0")))))))))))&amp;(IF(C130=(D125+E125+F125),", RCC Slab",IF(C130&gt;0,", RCC upto "&amp;C130&amp;" Slab",""))&amp;(IF(C131=F125,", Brickwork",IF(C131&gt;0,", Brickwork upto "&amp;C131&amp;" Floor",""))&amp;(IF(C132=F125,", Internal Plaster",IF(C132&gt;0,", Internal Plaster upto "&amp;C132&amp;" Floor",""))&amp;(IF(C133=F125,", External Plaster",IF(C133&gt;0,", External Plaster upto "&amp;C133&amp;" Floor",""))&amp;(IF(C134=F125,", Flooring",IF(C134&gt;0,", Flooring upto "&amp;C134&amp;" Floor",""))&amp;(IF(C135=F125,", Painting",IF(C135&gt;0,", Painting upto "&amp;C135&amp;" Floor",""))&amp;(IF(C136&gt;0,", Finishing upto "&amp;C136&amp;" Floor","")&amp;(IF(C130&gt;0.5," Completed",""))))))))))))))</f>
        <v>Work not yet Started., RCC Slab, Brickwork, Internal Plaster, External Plaster, Flooring, Painting</v>
      </c>
    </row>
  </sheetData>
  <mergeCells count="19">
    <mergeCell ref="B117:C117"/>
    <mergeCell ref="B118:C118"/>
    <mergeCell ref="B109:C109"/>
    <mergeCell ref="F109:G118"/>
    <mergeCell ref="H109:I118"/>
    <mergeCell ref="B110:C110"/>
    <mergeCell ref="B111:C111"/>
    <mergeCell ref="B112:C112"/>
    <mergeCell ref="B113:C113"/>
    <mergeCell ref="B114:C114"/>
    <mergeCell ref="B115:C115"/>
    <mergeCell ref="B116:C116"/>
    <mergeCell ref="B105:C105"/>
    <mergeCell ref="D105:I105"/>
    <mergeCell ref="B107:C107"/>
    <mergeCell ref="D107:I107"/>
    <mergeCell ref="B108:C108"/>
    <mergeCell ref="F108:G108"/>
    <mergeCell ref="H108:I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</dc:creator>
  <cp:lastModifiedBy>USER</cp:lastModifiedBy>
  <cp:lastPrinted>2025-08-11T10:22:49Z</cp:lastPrinted>
  <dcterms:created xsi:type="dcterms:W3CDTF">2023-05-19T08:34:56Z</dcterms:created>
  <dcterms:modified xsi:type="dcterms:W3CDTF">2025-08-11T10:22:52Z</dcterms:modified>
</cp:coreProperties>
</file>