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jp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/>
  <mc:AlternateContent xmlns:mc="http://schemas.openxmlformats.org/markup-compatibility/2006">
    <mc:Choice Requires="x15">
      <x15ac:absPath xmlns:x15ac="http://schemas.microsoft.com/office/spreadsheetml/2010/11/ac" url="K:\VSJ Work\Aug 25\Old\"/>
    </mc:Choice>
  </mc:AlternateContent>
  <xr:revisionPtr revIDLastSave="0" documentId="13_ncr:1_{60DC01A7-CEDC-46DC-A2C0-05E3F72D6631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  <sheet name="Sheet2" sheetId="2" r:id="rId2"/>
  </sheets>
  <definedNames>
    <definedName name="_xlnm.Print_Area" localSheetId="0">Sheet1!$A$1:$F$666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146" i="1" l="1"/>
  <c r="H145" i="1"/>
  <c r="H144" i="1"/>
  <c r="H143" i="1"/>
  <c r="H132" i="1"/>
  <c r="H131" i="1"/>
  <c r="H130" i="1"/>
  <c r="H129" i="1"/>
  <c r="F137" i="1"/>
  <c r="F123" i="1"/>
  <c r="H148" i="1" l="1"/>
  <c r="D148" i="1"/>
  <c r="D144" i="1"/>
  <c r="C140" i="1"/>
  <c r="E140" i="1" s="1"/>
  <c r="G136" i="1" s="1"/>
  <c r="D147" i="1"/>
  <c r="D143" i="1"/>
  <c r="H142" i="1"/>
  <c r="H147" i="1" s="1"/>
  <c r="D146" i="1"/>
  <c r="D142" i="1"/>
  <c r="H141" i="1"/>
  <c r="D145" i="1"/>
  <c r="D141" i="1"/>
  <c r="C126" i="1"/>
  <c r="H134" i="1"/>
  <c r="H128" i="1"/>
  <c r="H133" i="1" s="1"/>
  <c r="D134" i="1"/>
  <c r="D128" i="1"/>
  <c r="H127" i="1"/>
  <c r="D133" i="1"/>
  <c r="D127" i="1"/>
  <c r="D131" i="1"/>
  <c r="D132" i="1"/>
  <c r="D130" i="1"/>
  <c r="D129" i="1"/>
  <c r="D126" i="1" l="1"/>
  <c r="E126" i="1"/>
  <c r="B138" i="1"/>
  <c r="D140" i="1"/>
  <c r="G122" i="1"/>
  <c r="E149" i="1" l="1"/>
  <c r="C116" i="1" s="1"/>
  <c r="C37" i="1" s="1"/>
  <c r="B124" i="1"/>
  <c r="D115" i="1"/>
  <c r="C426" i="1" l="1"/>
  <c r="F426" i="1" s="1"/>
  <c r="C425" i="1"/>
  <c r="F425" i="1" s="1"/>
  <c r="C423" i="1"/>
  <c r="D423" i="1" s="1"/>
  <c r="C422" i="1"/>
  <c r="D422" i="1" s="1"/>
  <c r="C421" i="1"/>
  <c r="F421" i="1" s="1"/>
  <c r="C419" i="1"/>
  <c r="F419" i="1" s="1"/>
  <c r="C418" i="1"/>
  <c r="D418" i="1" s="1"/>
  <c r="C417" i="1"/>
  <c r="F417" i="1" s="1"/>
  <c r="E415" i="1"/>
  <c r="C415" i="1"/>
  <c r="D415" i="1" s="1"/>
  <c r="C414" i="1"/>
  <c r="F414" i="1" s="1"/>
  <c r="C413" i="1"/>
  <c r="F413" i="1" s="1"/>
  <c r="C411" i="1"/>
  <c r="F411" i="1" s="1"/>
  <c r="C410" i="1"/>
  <c r="F410" i="1" s="1"/>
  <c r="C409" i="1"/>
  <c r="D409" i="1" s="1"/>
  <c r="C407" i="1"/>
  <c r="F407" i="1" s="1"/>
  <c r="C406" i="1"/>
  <c r="F406" i="1" s="1"/>
  <c r="C405" i="1"/>
  <c r="D405" i="1" s="1"/>
  <c r="C403" i="1"/>
  <c r="D403" i="1" s="1"/>
  <c r="C402" i="1"/>
  <c r="F402" i="1" s="1"/>
  <c r="C401" i="1"/>
  <c r="F401" i="1" s="1"/>
  <c r="C430" i="1"/>
  <c r="C399" i="1"/>
  <c r="D399" i="1" s="1"/>
  <c r="C398" i="1"/>
  <c r="F398" i="1" s="1"/>
  <c r="C397" i="1"/>
  <c r="F397" i="1" s="1"/>
  <c r="C395" i="1"/>
  <c r="F395" i="1" s="1"/>
  <c r="C394" i="1"/>
  <c r="F394" i="1" s="1"/>
  <c r="C393" i="1"/>
  <c r="F393" i="1" s="1"/>
  <c r="C391" i="1"/>
  <c r="F391" i="1" s="1"/>
  <c r="C390" i="1"/>
  <c r="F390" i="1" s="1"/>
  <c r="C389" i="1"/>
  <c r="D389" i="1" s="1"/>
  <c r="C387" i="1"/>
  <c r="F387" i="1" s="1"/>
  <c r="E386" i="1"/>
  <c r="C386" i="1"/>
  <c r="D386" i="1" s="1"/>
  <c r="E385" i="1"/>
  <c r="C385" i="1"/>
  <c r="C383" i="1"/>
  <c r="F383" i="1" s="1"/>
  <c r="C382" i="1"/>
  <c r="F382" i="1" s="1"/>
  <c r="C381" i="1"/>
  <c r="F381" i="1" s="1"/>
  <c r="C379" i="1"/>
  <c r="F379" i="1" s="1"/>
  <c r="C378" i="1"/>
  <c r="D378" i="1" s="1"/>
  <c r="C377" i="1"/>
  <c r="F377" i="1" s="1"/>
  <c r="C375" i="1"/>
  <c r="F375" i="1" s="1"/>
  <c r="C374" i="1"/>
  <c r="D374" i="1" s="1"/>
  <c r="C373" i="1"/>
  <c r="F373" i="1" s="1"/>
  <c r="C371" i="1"/>
  <c r="E366" i="1"/>
  <c r="C366" i="1"/>
  <c r="D366" i="1" s="1"/>
  <c r="C365" i="1"/>
  <c r="F365" i="1" s="1"/>
  <c r="C362" i="1"/>
  <c r="F362" i="1" s="1"/>
  <c r="C361" i="1"/>
  <c r="D361" i="1" s="1"/>
  <c r="C360" i="1"/>
  <c r="F360" i="1" s="1"/>
  <c r="C359" i="1"/>
  <c r="D359" i="1" s="1"/>
  <c r="C357" i="1"/>
  <c r="D357" i="1" s="1"/>
  <c r="C356" i="1"/>
  <c r="F356" i="1" s="1"/>
  <c r="C355" i="1"/>
  <c r="F355" i="1" s="1"/>
  <c r="C354" i="1"/>
  <c r="F354" i="1" s="1"/>
  <c r="C352" i="1"/>
  <c r="F352" i="1" s="1"/>
  <c r="C351" i="1"/>
  <c r="D351" i="1" s="1"/>
  <c r="C350" i="1"/>
  <c r="F350" i="1" s="1"/>
  <c r="C349" i="1"/>
  <c r="D349" i="1" s="1"/>
  <c r="C347" i="1"/>
  <c r="D347" i="1" s="1"/>
  <c r="C346" i="1"/>
  <c r="F346" i="1" s="1"/>
  <c r="C345" i="1"/>
  <c r="F345" i="1" s="1"/>
  <c r="C344" i="1"/>
  <c r="F344" i="1" s="1"/>
  <c r="C342" i="1"/>
  <c r="F342" i="1" s="1"/>
  <c r="C341" i="1"/>
  <c r="D341" i="1" s="1"/>
  <c r="C340" i="1"/>
  <c r="F340" i="1" s="1"/>
  <c r="C339" i="1"/>
  <c r="D339" i="1" s="1"/>
  <c r="C337" i="1"/>
  <c r="F337" i="1" s="1"/>
  <c r="C336" i="1"/>
  <c r="D336" i="1" s="1"/>
  <c r="C335" i="1"/>
  <c r="F335" i="1" s="1"/>
  <c r="C334" i="1"/>
  <c r="D334" i="1" s="1"/>
  <c r="C332" i="1"/>
  <c r="D332" i="1" s="1"/>
  <c r="C331" i="1"/>
  <c r="D331" i="1" s="1"/>
  <c r="C330" i="1"/>
  <c r="F330" i="1" s="1"/>
  <c r="C329" i="1"/>
  <c r="F329" i="1" s="1"/>
  <c r="C327" i="1"/>
  <c r="F327" i="1" s="1"/>
  <c r="C326" i="1"/>
  <c r="D326" i="1" s="1"/>
  <c r="C325" i="1"/>
  <c r="D325" i="1" s="1"/>
  <c r="C324" i="1"/>
  <c r="D324" i="1" s="1"/>
  <c r="C322" i="1"/>
  <c r="D322" i="1" s="1"/>
  <c r="C321" i="1"/>
  <c r="F321" i="1" s="1"/>
  <c r="C320" i="1"/>
  <c r="D320" i="1" s="1"/>
  <c r="C319" i="1"/>
  <c r="D319" i="1" s="1"/>
  <c r="C317" i="1"/>
  <c r="F317" i="1" s="1"/>
  <c r="C316" i="1"/>
  <c r="D316" i="1" s="1"/>
  <c r="C315" i="1"/>
  <c r="F315" i="1" s="1"/>
  <c r="C314" i="1"/>
  <c r="D314" i="1" s="1"/>
  <c r="C312" i="1"/>
  <c r="D312" i="1" s="1"/>
  <c r="C311" i="1"/>
  <c r="F311" i="1" s="1"/>
  <c r="C310" i="1"/>
  <c r="F310" i="1" s="1"/>
  <c r="C309" i="1"/>
  <c r="D309" i="1" s="1"/>
  <c r="C307" i="1"/>
  <c r="D307" i="1" s="1"/>
  <c r="C306" i="1"/>
  <c r="D306" i="1" s="1"/>
  <c r="C305" i="1"/>
  <c r="F305" i="1" s="1"/>
  <c r="C304" i="1"/>
  <c r="F304" i="1" s="1"/>
  <c r="C302" i="1"/>
  <c r="F302" i="1" s="1"/>
  <c r="C301" i="1"/>
  <c r="D301" i="1" s="1"/>
  <c r="C300" i="1"/>
  <c r="F300" i="1" s="1"/>
  <c r="C299" i="1"/>
  <c r="D299" i="1" s="1"/>
  <c r="E297" i="1"/>
  <c r="C297" i="1"/>
  <c r="G296" i="1"/>
  <c r="E296" i="1"/>
  <c r="C296" i="1"/>
  <c r="D296" i="1" s="1"/>
  <c r="G295" i="1"/>
  <c r="C295" i="1"/>
  <c r="D295" i="1" s="1"/>
  <c r="G294" i="1"/>
  <c r="C294" i="1"/>
  <c r="D297" i="1" l="1"/>
  <c r="C162" i="1"/>
  <c r="B162" i="1"/>
  <c r="D294" i="1"/>
  <c r="C168" i="1"/>
  <c r="B168" i="1"/>
  <c r="D385" i="1"/>
  <c r="C163" i="1"/>
  <c r="B163" i="1"/>
  <c r="D371" i="1"/>
  <c r="B169" i="1"/>
  <c r="C169" i="1"/>
  <c r="F430" i="1"/>
  <c r="D414" i="1"/>
  <c r="F423" i="1"/>
  <c r="D402" i="1"/>
  <c r="F403" i="1"/>
  <c r="D410" i="1"/>
  <c r="F415" i="1"/>
  <c r="D407" i="1"/>
  <c r="D401" i="1"/>
  <c r="F405" i="1"/>
  <c r="F409" i="1"/>
  <c r="D413" i="1"/>
  <c r="D417" i="1"/>
  <c r="F418" i="1"/>
  <c r="F422" i="1"/>
  <c r="D421" i="1"/>
  <c r="D426" i="1"/>
  <c r="D406" i="1"/>
  <c r="D411" i="1"/>
  <c r="D419" i="1"/>
  <c r="D425" i="1"/>
  <c r="D430" i="1"/>
  <c r="F374" i="1"/>
  <c r="F389" i="1"/>
  <c r="D393" i="1"/>
  <c r="D397" i="1"/>
  <c r="F371" i="1"/>
  <c r="D373" i="1"/>
  <c r="D382" i="1"/>
  <c r="D391" i="1"/>
  <c r="F378" i="1"/>
  <c r="D377" i="1"/>
  <c r="D379" i="1"/>
  <c r="D383" i="1"/>
  <c r="F386" i="1"/>
  <c r="D387" i="1"/>
  <c r="D394" i="1"/>
  <c r="D398" i="1"/>
  <c r="F399" i="1"/>
  <c r="F385" i="1"/>
  <c r="D375" i="1"/>
  <c r="D381" i="1"/>
  <c r="D390" i="1"/>
  <c r="D395" i="1"/>
  <c r="D340" i="1"/>
  <c r="F306" i="1"/>
  <c r="D310" i="1"/>
  <c r="D300" i="1"/>
  <c r="F326" i="1"/>
  <c r="D346" i="1"/>
  <c r="F312" i="1"/>
  <c r="D305" i="1"/>
  <c r="D302" i="1"/>
  <c r="F319" i="1"/>
  <c r="F325" i="1"/>
  <c r="D337" i="1"/>
  <c r="D352" i="1"/>
  <c r="F299" i="1"/>
  <c r="D304" i="1"/>
  <c r="F309" i="1"/>
  <c r="D311" i="1"/>
  <c r="F316" i="1"/>
  <c r="F331" i="1"/>
  <c r="D335" i="1"/>
  <c r="F341" i="1"/>
  <c r="D350" i="1"/>
  <c r="D355" i="1"/>
  <c r="F361" i="1"/>
  <c r="F366" i="1"/>
  <c r="F295" i="1"/>
  <c r="F296" i="1"/>
  <c r="F297" i="1"/>
  <c r="F301" i="1"/>
  <c r="F307" i="1"/>
  <c r="D315" i="1"/>
  <c r="F322" i="1"/>
  <c r="F324" i="1"/>
  <c r="D330" i="1"/>
  <c r="F336" i="1"/>
  <c r="F339" i="1"/>
  <c r="D345" i="1"/>
  <c r="F351" i="1"/>
  <c r="D356" i="1"/>
  <c r="D360" i="1"/>
  <c r="D362" i="1"/>
  <c r="F314" i="1"/>
  <c r="D321" i="1"/>
  <c r="F294" i="1"/>
  <c r="D365" i="1"/>
  <c r="D317" i="1"/>
  <c r="F320" i="1"/>
  <c r="D327" i="1"/>
  <c r="D329" i="1"/>
  <c r="F332" i="1"/>
  <c r="F334" i="1"/>
  <c r="D342" i="1"/>
  <c r="D344" i="1"/>
  <c r="F347" i="1"/>
  <c r="F349" i="1"/>
  <c r="D354" i="1"/>
  <c r="F357" i="1"/>
  <c r="F359" i="1"/>
  <c r="C60" i="1"/>
  <c r="E163" i="1" l="1"/>
  <c r="E169" i="1"/>
  <c r="E168" i="1"/>
  <c r="E162" i="1"/>
  <c r="C57" i="1"/>
  <c r="E502" i="1" l="1"/>
  <c r="C502" i="1"/>
  <c r="D502" i="1" s="1"/>
  <c r="C501" i="1"/>
  <c r="F501" i="1" s="1"/>
  <c r="C500" i="1"/>
  <c r="F500" i="1" s="1"/>
  <c r="C498" i="1"/>
  <c r="F498" i="1" s="1"/>
  <c r="C496" i="1"/>
  <c r="D496" i="1" s="1"/>
  <c r="C495" i="1"/>
  <c r="F495" i="1" s="1"/>
  <c r="D498" i="1" l="1"/>
  <c r="F502" i="1"/>
  <c r="D495" i="1"/>
  <c r="D501" i="1"/>
  <c r="D500" i="1"/>
  <c r="F496" i="1"/>
  <c r="C491" i="1"/>
  <c r="D491" i="1" s="1"/>
  <c r="C490" i="1"/>
  <c r="F490" i="1" s="1"/>
  <c r="E485" i="1"/>
  <c r="C493" i="1"/>
  <c r="F493" i="1" s="1"/>
  <c r="C492" i="1"/>
  <c r="F492" i="1" s="1"/>
  <c r="C485" i="1"/>
  <c r="D485" i="1" s="1"/>
  <c r="C488" i="1"/>
  <c r="F488" i="1" s="1"/>
  <c r="C487" i="1"/>
  <c r="D487" i="1" s="1"/>
  <c r="C486" i="1"/>
  <c r="F486" i="1" s="1"/>
  <c r="C483" i="1"/>
  <c r="F483" i="1" s="1"/>
  <c r="C482" i="1"/>
  <c r="F482" i="1" s="1"/>
  <c r="C481" i="1"/>
  <c r="F481" i="1" s="1"/>
  <c r="C480" i="1"/>
  <c r="D480" i="1" s="1"/>
  <c r="C477" i="1"/>
  <c r="F477" i="1" s="1"/>
  <c r="C476" i="1"/>
  <c r="F476" i="1" s="1"/>
  <c r="C475" i="1"/>
  <c r="D475" i="1" s="1"/>
  <c r="C478" i="1"/>
  <c r="F478" i="1" s="1"/>
  <c r="C471" i="1"/>
  <c r="F471" i="1" s="1"/>
  <c r="C470" i="1"/>
  <c r="F470" i="1" s="1"/>
  <c r="C473" i="1"/>
  <c r="F473" i="1" s="1"/>
  <c r="C466" i="1"/>
  <c r="F466" i="1" s="1"/>
  <c r="C465" i="1"/>
  <c r="F465" i="1" s="1"/>
  <c r="C468" i="1"/>
  <c r="F468" i="1" s="1"/>
  <c r="C467" i="1"/>
  <c r="D467" i="1" s="1"/>
  <c r="C462" i="1"/>
  <c r="F462" i="1" s="1"/>
  <c r="C463" i="1"/>
  <c r="F463" i="1" s="1"/>
  <c r="C461" i="1"/>
  <c r="D461" i="1" s="1"/>
  <c r="C460" i="1"/>
  <c r="F460" i="1" s="1"/>
  <c r="C458" i="1"/>
  <c r="F458" i="1" s="1"/>
  <c r="C457" i="1"/>
  <c r="F457" i="1" s="1"/>
  <c r="C456" i="1"/>
  <c r="F456" i="1" s="1"/>
  <c r="C455" i="1"/>
  <c r="D455" i="1" s="1"/>
  <c r="C452" i="1"/>
  <c r="D452" i="1" s="1"/>
  <c r="C453" i="1"/>
  <c r="F453" i="1" s="1"/>
  <c r="C451" i="1"/>
  <c r="F451" i="1" s="1"/>
  <c r="C450" i="1"/>
  <c r="D450" i="1" s="1"/>
  <c r="C445" i="1"/>
  <c r="F445" i="1" s="1"/>
  <c r="C448" i="1"/>
  <c r="F448" i="1" s="1"/>
  <c r="C446" i="1"/>
  <c r="D446" i="1" s="1"/>
  <c r="C443" i="1"/>
  <c r="F443" i="1" s="1"/>
  <c r="C442" i="1"/>
  <c r="F442" i="1" s="1"/>
  <c r="C441" i="1"/>
  <c r="F441" i="1" s="1"/>
  <c r="C440" i="1"/>
  <c r="F440" i="1" s="1"/>
  <c r="C437" i="1"/>
  <c r="F437" i="1" s="1"/>
  <c r="C436" i="1"/>
  <c r="F436" i="1" s="1"/>
  <c r="C438" i="1"/>
  <c r="F438" i="1" s="1"/>
  <c r="C435" i="1"/>
  <c r="E432" i="1"/>
  <c r="E431" i="1"/>
  <c r="C433" i="1"/>
  <c r="C432" i="1"/>
  <c r="C431" i="1"/>
  <c r="C164" i="1" l="1"/>
  <c r="C165" i="1" s="1"/>
  <c r="B164" i="1"/>
  <c r="F435" i="1"/>
  <c r="B170" i="1"/>
  <c r="B171" i="1" s="1"/>
  <c r="C170" i="1"/>
  <c r="C171" i="1" s="1"/>
  <c r="D488" i="1"/>
  <c r="D460" i="1"/>
  <c r="F485" i="1"/>
  <c r="D457" i="1"/>
  <c r="F487" i="1"/>
  <c r="F467" i="1"/>
  <c r="D482" i="1"/>
  <c r="F455" i="1"/>
  <c r="D445" i="1"/>
  <c r="F480" i="1"/>
  <c r="D436" i="1"/>
  <c r="D441" i="1"/>
  <c r="F461" i="1"/>
  <c r="D468" i="1"/>
  <c r="D483" i="1"/>
  <c r="F446" i="1"/>
  <c r="D470" i="1"/>
  <c r="F450" i="1"/>
  <c r="F491" i="1"/>
  <c r="D492" i="1"/>
  <c r="D490" i="1"/>
  <c r="D493" i="1"/>
  <c r="D486" i="1"/>
  <c r="D481" i="1"/>
  <c r="F475" i="1"/>
  <c r="D476" i="1"/>
  <c r="D478" i="1"/>
  <c r="D477" i="1"/>
  <c r="D471" i="1"/>
  <c r="D473" i="1"/>
  <c r="D466" i="1"/>
  <c r="D465" i="1"/>
  <c r="D462" i="1"/>
  <c r="D463" i="1"/>
  <c r="D456" i="1"/>
  <c r="D458" i="1"/>
  <c r="F452" i="1"/>
  <c r="D451" i="1"/>
  <c r="D453" i="1"/>
  <c r="D448" i="1"/>
  <c r="D442" i="1"/>
  <c r="D440" i="1"/>
  <c r="D443" i="1"/>
  <c r="D437" i="1"/>
  <c r="D435" i="1"/>
  <c r="D438" i="1"/>
  <c r="C287" i="1"/>
  <c r="C286" i="1"/>
  <c r="C285" i="1"/>
  <c r="C284" i="1"/>
  <c r="C283" i="1"/>
  <c r="C282" i="1"/>
  <c r="C281" i="1"/>
  <c r="C280" i="1"/>
  <c r="C279" i="1"/>
  <c r="C278" i="1"/>
  <c r="C277" i="1"/>
  <c r="C276" i="1"/>
  <c r="C275" i="1"/>
  <c r="C274" i="1"/>
  <c r="C273" i="1"/>
  <c r="C272" i="1"/>
  <c r="C271" i="1"/>
  <c r="C270" i="1"/>
  <c r="C269" i="1"/>
  <c r="C268" i="1"/>
  <c r="C267" i="1"/>
  <c r="C266" i="1"/>
  <c r="C265" i="1"/>
  <c r="C264" i="1"/>
  <c r="C263" i="1"/>
  <c r="C262" i="1"/>
  <c r="C261" i="1"/>
  <c r="C260" i="1"/>
  <c r="E170" i="1" l="1"/>
  <c r="E171" i="1" s="1"/>
  <c r="D270" i="1"/>
  <c r="D269" i="1"/>
  <c r="D268" i="1"/>
  <c r="F267" i="1"/>
  <c r="F265" i="1"/>
  <c r="F264" i="1"/>
  <c r="D263" i="1"/>
  <c r="F262" i="1"/>
  <c r="F261" i="1"/>
  <c r="F260" i="1"/>
  <c r="F287" i="1"/>
  <c r="D287" i="1"/>
  <c r="D286" i="1"/>
  <c r="F286" i="1"/>
  <c r="F285" i="1"/>
  <c r="F284" i="1"/>
  <c r="F283" i="1"/>
  <c r="D283" i="1"/>
  <c r="F282" i="1"/>
  <c r="D282" i="1"/>
  <c r="F281" i="1"/>
  <c r="F280" i="1"/>
  <c r="F279" i="1"/>
  <c r="D279" i="1"/>
  <c r="D278" i="1"/>
  <c r="F278" i="1"/>
  <c r="F277" i="1"/>
  <c r="F276" i="1"/>
  <c r="F275" i="1"/>
  <c r="D275" i="1"/>
  <c r="F274" i="1"/>
  <c r="D274" i="1"/>
  <c r="F273" i="1"/>
  <c r="F272" i="1"/>
  <c r="F271" i="1"/>
  <c r="D271" i="1"/>
  <c r="D267" i="1"/>
  <c r="F266" i="1"/>
  <c r="D266" i="1"/>
  <c r="D261" i="1"/>
  <c r="C258" i="1"/>
  <c r="F258" i="1" s="1"/>
  <c r="C257" i="1"/>
  <c r="F257" i="1" s="1"/>
  <c r="C256" i="1"/>
  <c r="D256" i="1" s="1"/>
  <c r="C255" i="1"/>
  <c r="F255" i="1" s="1"/>
  <c r="C254" i="1"/>
  <c r="F254" i="1" s="1"/>
  <c r="C253" i="1"/>
  <c r="F253" i="1" s="1"/>
  <c r="C252" i="1"/>
  <c r="F252" i="1" s="1"/>
  <c r="C251" i="1"/>
  <c r="D251" i="1" s="1"/>
  <c r="C250" i="1"/>
  <c r="F250" i="1" s="1"/>
  <c r="C249" i="1"/>
  <c r="F249" i="1" s="1"/>
  <c r="C248" i="1"/>
  <c r="F248" i="1" s="1"/>
  <c r="C247" i="1"/>
  <c r="D247" i="1" s="1"/>
  <c r="C246" i="1"/>
  <c r="D246" i="1" s="1"/>
  <c r="C245" i="1"/>
  <c r="F245" i="1" s="1"/>
  <c r="C244" i="1"/>
  <c r="F244" i="1" s="1"/>
  <c r="C243" i="1"/>
  <c r="F243" i="1" s="1"/>
  <c r="C242" i="1"/>
  <c r="F242" i="1" s="1"/>
  <c r="C241" i="1"/>
  <c r="F241" i="1" s="1"/>
  <c r="C240" i="1"/>
  <c r="D240" i="1" s="1"/>
  <c r="C239" i="1"/>
  <c r="F239" i="1" s="1"/>
  <c r="C238" i="1"/>
  <c r="F238" i="1" s="1"/>
  <c r="C237" i="1"/>
  <c r="F237" i="1" s="1"/>
  <c r="C236" i="1"/>
  <c r="F236" i="1" s="1"/>
  <c r="C235" i="1"/>
  <c r="D235" i="1" s="1"/>
  <c r="C234" i="1"/>
  <c r="F234" i="1" s="1"/>
  <c r="C233" i="1"/>
  <c r="F233" i="1" s="1"/>
  <c r="C232" i="1"/>
  <c r="D232" i="1" s="1"/>
  <c r="C231" i="1"/>
  <c r="D231" i="1" s="1"/>
  <c r="C230" i="1"/>
  <c r="D230" i="1" s="1"/>
  <c r="C229" i="1"/>
  <c r="F229" i="1" s="1"/>
  <c r="C228" i="1"/>
  <c r="D228" i="1" s="1"/>
  <c r="C226" i="1"/>
  <c r="C225" i="1"/>
  <c r="C224" i="1"/>
  <c r="C223" i="1"/>
  <c r="C222" i="1"/>
  <c r="C221" i="1"/>
  <c r="C220" i="1"/>
  <c r="C219" i="1"/>
  <c r="C218" i="1"/>
  <c r="C217" i="1"/>
  <c r="C216" i="1"/>
  <c r="C215" i="1"/>
  <c r="C214" i="1"/>
  <c r="C213" i="1"/>
  <c r="C212" i="1"/>
  <c r="C211" i="1"/>
  <c r="C210" i="1"/>
  <c r="D210" i="1" s="1"/>
  <c r="C209" i="1"/>
  <c r="C208" i="1"/>
  <c r="C207" i="1"/>
  <c r="C206" i="1"/>
  <c r="C205" i="1"/>
  <c r="C204" i="1"/>
  <c r="C203" i="1"/>
  <c r="C202" i="1"/>
  <c r="F202" i="1" s="1"/>
  <c r="C201" i="1"/>
  <c r="C200" i="1"/>
  <c r="F200" i="1" s="1"/>
  <c r="C199" i="1"/>
  <c r="C198" i="1"/>
  <c r="D198" i="1" s="1"/>
  <c r="C197" i="1"/>
  <c r="C196" i="1"/>
  <c r="F196" i="1" s="1"/>
  <c r="C195" i="1"/>
  <c r="C194" i="1"/>
  <c r="F194" i="1" s="1"/>
  <c r="C193" i="1"/>
  <c r="C192" i="1"/>
  <c r="F192" i="1" s="1"/>
  <c r="C191" i="1"/>
  <c r="C190" i="1"/>
  <c r="D190" i="1" s="1"/>
  <c r="C189" i="1"/>
  <c r="C188" i="1"/>
  <c r="F188" i="1" s="1"/>
  <c r="C187" i="1"/>
  <c r="C186" i="1"/>
  <c r="F186" i="1" s="1"/>
  <c r="C185" i="1"/>
  <c r="C184" i="1"/>
  <c r="C183" i="1"/>
  <c r="C182" i="1"/>
  <c r="C181" i="1"/>
  <c r="C180" i="1"/>
  <c r="C179" i="1"/>
  <c r="C178" i="1"/>
  <c r="G230" i="1"/>
  <c r="G229" i="1"/>
  <c r="G228" i="1"/>
  <c r="G178" i="1"/>
  <c r="G180" i="1"/>
  <c r="G179" i="1"/>
  <c r="C156" i="1" l="1"/>
  <c r="B156" i="1"/>
  <c r="C157" i="1"/>
  <c r="B157" i="1"/>
  <c r="F190" i="1"/>
  <c r="F178" i="1"/>
  <c r="D188" i="1"/>
  <c r="F230" i="1"/>
  <c r="F263" i="1"/>
  <c r="F270" i="1"/>
  <c r="F268" i="1"/>
  <c r="D262" i="1"/>
  <c r="D260" i="1"/>
  <c r="D277" i="1"/>
  <c r="D285" i="1"/>
  <c r="D264" i="1"/>
  <c r="F269" i="1"/>
  <c r="D272" i="1"/>
  <c r="D280" i="1"/>
  <c r="D265" i="1"/>
  <c r="D273" i="1"/>
  <c r="D281" i="1"/>
  <c r="D276" i="1"/>
  <c r="D284" i="1"/>
  <c r="D254" i="1"/>
  <c r="F251" i="1"/>
  <c r="D249" i="1"/>
  <c r="D243" i="1"/>
  <c r="F240" i="1"/>
  <c r="F235" i="1"/>
  <c r="F232" i="1"/>
  <c r="F247" i="1"/>
  <c r="F231" i="1"/>
  <c r="D248" i="1"/>
  <c r="D239" i="1"/>
  <c r="D238" i="1"/>
  <c r="D241" i="1"/>
  <c r="F228" i="1"/>
  <c r="F246" i="1"/>
  <c r="D233" i="1"/>
  <c r="D255" i="1"/>
  <c r="D229" i="1"/>
  <c r="F256" i="1"/>
  <c r="D194" i="1"/>
  <c r="F210" i="1"/>
  <c r="D257" i="1"/>
  <c r="D236" i="1"/>
  <c r="D244" i="1"/>
  <c r="D252" i="1"/>
  <c r="D234" i="1"/>
  <c r="D242" i="1"/>
  <c r="D250" i="1"/>
  <c r="D258" i="1"/>
  <c r="D237" i="1"/>
  <c r="D245" i="1"/>
  <c r="D253" i="1"/>
  <c r="D192" i="1"/>
  <c r="D186" i="1"/>
  <c r="D202" i="1"/>
  <c r="D200" i="1"/>
  <c r="F198" i="1"/>
  <c r="D196" i="1"/>
  <c r="D178" i="1"/>
  <c r="F226" i="1"/>
  <c r="D226" i="1"/>
  <c r="F225" i="1"/>
  <c r="D225" i="1"/>
  <c r="F224" i="1"/>
  <c r="D224" i="1"/>
  <c r="G223" i="1"/>
  <c r="F223" i="1"/>
  <c r="D223" i="1"/>
  <c r="G222" i="1"/>
  <c r="F222" i="1"/>
  <c r="D222" i="1"/>
  <c r="F221" i="1"/>
  <c r="D221" i="1"/>
  <c r="F220" i="1"/>
  <c r="D220" i="1"/>
  <c r="F219" i="1"/>
  <c r="D219" i="1"/>
  <c r="F218" i="1"/>
  <c r="D218" i="1"/>
  <c r="F217" i="1"/>
  <c r="D217" i="1"/>
  <c r="F216" i="1"/>
  <c r="D216" i="1"/>
  <c r="F215" i="1"/>
  <c r="D215" i="1"/>
  <c r="F214" i="1"/>
  <c r="D214" i="1"/>
  <c r="G213" i="1"/>
  <c r="F213" i="1"/>
  <c r="D213" i="1"/>
  <c r="G212" i="1"/>
  <c r="F212" i="1"/>
  <c r="D212" i="1"/>
  <c r="F211" i="1"/>
  <c r="D211" i="1"/>
  <c r="F209" i="1"/>
  <c r="D209" i="1"/>
  <c r="F208" i="1"/>
  <c r="D208" i="1"/>
  <c r="F207" i="1"/>
  <c r="D207" i="1"/>
  <c r="F206" i="1"/>
  <c r="D206" i="1"/>
  <c r="F205" i="1"/>
  <c r="D205" i="1"/>
  <c r="F204" i="1"/>
  <c r="D204" i="1"/>
  <c r="F203" i="1"/>
  <c r="D203" i="1"/>
  <c r="F201" i="1"/>
  <c r="D201" i="1"/>
  <c r="F199" i="1"/>
  <c r="D199" i="1"/>
  <c r="F197" i="1"/>
  <c r="D197" i="1"/>
  <c r="F195" i="1"/>
  <c r="D195" i="1"/>
  <c r="F193" i="1"/>
  <c r="D193" i="1"/>
  <c r="D431" i="1" l="1"/>
  <c r="D433" i="1"/>
  <c r="F432" i="1" l="1"/>
  <c r="F431" i="1"/>
  <c r="F433" i="1"/>
  <c r="D432" i="1"/>
  <c r="D191" i="1"/>
  <c r="D189" i="1"/>
  <c r="F187" i="1"/>
  <c r="D185" i="1"/>
  <c r="D184" i="1"/>
  <c r="D183" i="1"/>
  <c r="D182" i="1"/>
  <c r="F181" i="1"/>
  <c r="F180" i="1"/>
  <c r="E164" i="1" l="1"/>
  <c r="E165" i="1" s="1"/>
  <c r="B165" i="1"/>
  <c r="B159" i="1"/>
  <c r="C159" i="1"/>
  <c r="D181" i="1"/>
  <c r="F182" i="1"/>
  <c r="F184" i="1"/>
  <c r="F183" i="1"/>
  <c r="F185" i="1"/>
  <c r="F191" i="1"/>
  <c r="D180" i="1"/>
  <c r="F189" i="1"/>
  <c r="E156" i="1" s="1"/>
  <c r="D187" i="1"/>
  <c r="B13" i="1"/>
  <c r="F153" i="1" l="1"/>
  <c r="F115" i="1" s="1"/>
  <c r="H511" i="1"/>
  <c r="I511" i="1"/>
  <c r="J511" i="1"/>
  <c r="K511" i="1"/>
  <c r="L511" i="1"/>
  <c r="G511" i="1"/>
  <c r="B124" i="2"/>
  <c r="J106" i="1"/>
  <c r="C532" i="1" l="1"/>
  <c r="D179" i="1" l="1"/>
  <c r="F179" i="1"/>
  <c r="E157" i="1" s="1"/>
  <c r="E159" i="1" l="1"/>
  <c r="K116" i="2"/>
  <c r="K115" i="2"/>
  <c r="K114" i="2"/>
  <c r="K113" i="2"/>
  <c r="D107" i="2"/>
  <c r="F106" i="2"/>
  <c r="E116" i="2" l="1"/>
  <c r="E115" i="2"/>
  <c r="K109" i="2"/>
  <c r="E111" i="2"/>
  <c r="E114" i="2"/>
  <c r="E113" i="2"/>
  <c r="K108" i="2"/>
  <c r="E112" i="2"/>
  <c r="E118" i="2"/>
  <c r="K111" i="2"/>
  <c r="K112" i="2" s="1"/>
  <c r="K117" i="2" s="1"/>
  <c r="K118" i="2" s="1"/>
  <c r="D110" i="2" s="1"/>
  <c r="E117" i="2"/>
  <c r="K110" i="2"/>
  <c r="D109" i="2" s="1"/>
  <c r="H109" i="2" l="1"/>
  <c r="F109" i="2"/>
  <c r="J105" i="2" s="1"/>
  <c r="E110" i="2"/>
  <c r="E109" i="2"/>
</calcChain>
</file>

<file path=xl/sharedStrings.xml><?xml version="1.0" encoding="utf-8"?>
<sst xmlns="http://schemas.openxmlformats.org/spreadsheetml/2006/main" count="942" uniqueCount="415">
  <si>
    <t>PROJECT TECHNICAL REPORT</t>
  </si>
  <si>
    <t>RBL BRANCH NAME</t>
  </si>
  <si>
    <t>TDR FSI</t>
  </si>
  <si>
    <t>QUALITY, SPECS</t>
  </si>
  <si>
    <t>YES</t>
  </si>
  <si>
    <t>REGISTERED</t>
  </si>
  <si>
    <t>NO</t>
  </si>
  <si>
    <t>ZONE II</t>
  </si>
  <si>
    <t>NOT APPLICABLE</t>
  </si>
  <si>
    <t>Construction details:</t>
  </si>
  <si>
    <t>Basement</t>
  </si>
  <si>
    <t>Ground</t>
  </si>
  <si>
    <t>Podium</t>
  </si>
  <si>
    <t>Floors</t>
  </si>
  <si>
    <t xml:space="preserve">Stage of construction: </t>
  </si>
  <si>
    <t>All work Completed. OC Received.</t>
  </si>
  <si>
    <t>Type of Work</t>
  </si>
  <si>
    <t>Project Progress %</t>
  </si>
  <si>
    <t>Slab/Floor</t>
  </si>
  <si>
    <t>Complition %</t>
  </si>
  <si>
    <t>Progress %</t>
  </si>
  <si>
    <t>Piling Work in process</t>
  </si>
  <si>
    <t>Excavation</t>
  </si>
  <si>
    <t>Excavation in process</t>
  </si>
  <si>
    <t>Plinth</t>
  </si>
  <si>
    <t>Excavation Completed</t>
  </si>
  <si>
    <t>RCC (Including podiums)</t>
  </si>
  <si>
    <t>Footing in Process</t>
  </si>
  <si>
    <t>Brickwork</t>
  </si>
  <si>
    <t>Footing Completed</t>
  </si>
  <si>
    <t>Internal Plaster</t>
  </si>
  <si>
    <t>Basement 1</t>
  </si>
  <si>
    <t>Ext. Plaster &amp; Plumbing</t>
  </si>
  <si>
    <t>Basement 2</t>
  </si>
  <si>
    <t>Flooring &amp; Fitting</t>
  </si>
  <si>
    <t>Basement 3</t>
  </si>
  <si>
    <t>Painting &amp; Wooden</t>
  </si>
  <si>
    <t>Basement 4</t>
  </si>
  <si>
    <t>Building Common Amenities</t>
  </si>
  <si>
    <t>Plinth in process</t>
  </si>
  <si>
    <t>Possession</t>
  </si>
  <si>
    <t>Plinth completed</t>
  </si>
  <si>
    <t>Completion %</t>
  </si>
  <si>
    <t>Plaster</t>
  </si>
  <si>
    <t>Electrical &amp; Plumbing</t>
  </si>
  <si>
    <t>Finishing</t>
  </si>
  <si>
    <t>Disbursement %</t>
  </si>
  <si>
    <t>Brickwork &amp; Internal Plaster</t>
  </si>
  <si>
    <t>External Plaster &amp; Plumbing</t>
  </si>
  <si>
    <t>g +7</t>
  </si>
  <si>
    <t>BUILDING/TOWERWISE UNIT - AREA DETAILS</t>
  </si>
  <si>
    <t>Building &amp; Wing</t>
  </si>
  <si>
    <t>No. of Units</t>
  </si>
  <si>
    <t>Total Carpet Area</t>
  </si>
  <si>
    <t>Total Saleable Area</t>
  </si>
  <si>
    <t>Wing B</t>
  </si>
  <si>
    <t>Total</t>
  </si>
  <si>
    <t>Building details Floor Wise</t>
  </si>
  <si>
    <t xml:space="preserve">Details of Flats in Building   </t>
  </si>
  <si>
    <t>Description</t>
  </si>
  <si>
    <t>Gross Carpet area</t>
  </si>
  <si>
    <t>Attached Terrace area</t>
  </si>
  <si>
    <t>Shop</t>
  </si>
  <si>
    <t>Builtup Area</t>
  </si>
  <si>
    <t>Saleable area
Loading:</t>
  </si>
  <si>
    <t xml:space="preserve">Details of Commercial in Building   </t>
  </si>
  <si>
    <t>VALUE PARAMETERS</t>
  </si>
  <si>
    <t>Remarks:</t>
  </si>
  <si>
    <t>Photographs Of Property :</t>
  </si>
  <si>
    <t>Layout Of Property :</t>
  </si>
  <si>
    <t xml:space="preserve">Google Map : </t>
  </si>
  <si>
    <t>Name of Engineer Visited the property</t>
  </si>
  <si>
    <t xml:space="preserve">Authorized Signatory
Name &amp; Seal of the agency
                                               </t>
  </si>
  <si>
    <r>
      <t xml:space="preserve">Shop No.
</t>
    </r>
    <r>
      <rPr>
        <b/>
        <sz val="9"/>
        <color rgb="FF000000"/>
        <rFont val="Garamond"/>
        <family val="1"/>
      </rPr>
      <t>(Approved Plan)</t>
    </r>
  </si>
  <si>
    <t>Project Name</t>
  </si>
  <si>
    <t>Valuer Details</t>
  </si>
  <si>
    <t xml:space="preserve">Name Of Valuer </t>
  </si>
  <si>
    <t>Official Email Id</t>
  </si>
  <si>
    <t>Rvo Name Of Which Valuer Is Member</t>
  </si>
  <si>
    <t>Address Of Valution Agency</t>
  </si>
  <si>
    <t>Contact Person Name  &amp; Number</t>
  </si>
  <si>
    <t>Name Of Valuation Agency/Firm</t>
  </si>
  <si>
    <t>Apf Technical Report Assignment Details</t>
  </si>
  <si>
    <t>Builder Company/Entity Details - Seller Of The Project</t>
  </si>
  <si>
    <t>Name Of Entity Formed For Current Project</t>
  </si>
  <si>
    <t>Project Address Details</t>
  </si>
  <si>
    <t>Date of Assignment</t>
  </si>
  <si>
    <t>Date of Visit</t>
  </si>
  <si>
    <t>Date of Valuation</t>
  </si>
  <si>
    <t>Street Name &amp;/No.</t>
  </si>
  <si>
    <t>Village/Location</t>
  </si>
  <si>
    <t>City / Taluka/Town</t>
  </si>
  <si>
    <t>State</t>
  </si>
  <si>
    <t>Pincode</t>
  </si>
  <si>
    <t>Nearest Rbl Bank Location</t>
  </si>
  <si>
    <t>Landmark</t>
  </si>
  <si>
    <t>District</t>
  </si>
  <si>
    <t>Country</t>
  </si>
  <si>
    <t>Lat, Long</t>
  </si>
  <si>
    <t>Distance From Rbl Bank Location (Kms.)</t>
  </si>
  <si>
    <t>Assigned By</t>
  </si>
  <si>
    <t>Assignment Reference No</t>
  </si>
  <si>
    <t>Property Visited By (Name)</t>
  </si>
  <si>
    <t>Report Prepared By (Name)</t>
  </si>
  <si>
    <t>North</t>
  </si>
  <si>
    <t>South</t>
  </si>
  <si>
    <t>East</t>
  </si>
  <si>
    <t>West</t>
  </si>
  <si>
    <t>As Per Ownership Docs</t>
  </si>
  <si>
    <t>As Per Site Investigation</t>
  </si>
  <si>
    <t>Project Boundaries Verification</t>
  </si>
  <si>
    <t>General Details</t>
  </si>
  <si>
    <t>Municipal Limit</t>
  </si>
  <si>
    <t>Municipal Authority (Name)</t>
  </si>
  <si>
    <t>Approach Road To Project</t>
  </si>
  <si>
    <t>Location Type*</t>
  </si>
  <si>
    <t>Quality Of Construction*</t>
  </si>
  <si>
    <t>Overall % Completion Of Project</t>
  </si>
  <si>
    <t>Project Falling In Caution Area</t>
  </si>
  <si>
    <t>Reason For Caution</t>
  </si>
  <si>
    <t>Project Architect Name</t>
  </si>
  <si>
    <t>Square Meter</t>
  </si>
  <si>
    <t>Project Area Details ( As Per Approved Plan )</t>
  </si>
  <si>
    <t>Area Type</t>
  </si>
  <si>
    <t>Total Plot Area</t>
  </si>
  <si>
    <t>Total Built Up Area</t>
  </si>
  <si>
    <t>Total Residential Built Up Area</t>
  </si>
  <si>
    <t>Total Commercial Built Up Area</t>
  </si>
  <si>
    <t>Area Under Road</t>
  </si>
  <si>
    <t>Area Under D.P. Reservation</t>
  </si>
  <si>
    <t>Area Under R.G./Garden</t>
  </si>
  <si>
    <t>FSI / FAR Details</t>
  </si>
  <si>
    <t>Plot FSI / FAR</t>
  </si>
  <si>
    <t>Premium FSI / FAR</t>
  </si>
  <si>
    <t>Total FSI/FAR</t>
  </si>
  <si>
    <t>Overall Remarks on Project Area &amp; FSI /FAR</t>
  </si>
  <si>
    <t>Total No. Of Units/Tenaments</t>
  </si>
  <si>
    <t>Total No. Of Parking</t>
  </si>
  <si>
    <t>Residential /Commercial Ratio</t>
  </si>
  <si>
    <t>Surrounding External Amenities</t>
  </si>
  <si>
    <t>Nearestr Bus Stop</t>
  </si>
  <si>
    <t>Nearest Bank</t>
  </si>
  <si>
    <t>Nearest Hospital</t>
  </si>
  <si>
    <t>Name Of The Premises/Description</t>
  </si>
  <si>
    <t>Approx. Distance From Property (In Kms)</t>
  </si>
  <si>
    <t>Nearest Multiplex / Mall/ Market</t>
  </si>
  <si>
    <t>Nearest School/ College</t>
  </si>
  <si>
    <t>Internal Project Specs - Comment On Availability &amp; Quality</t>
  </si>
  <si>
    <t>Structural Elements &amp; Wall Thickness</t>
  </si>
  <si>
    <t>Plaster &amp; Painting</t>
  </si>
  <si>
    <t>Electrification</t>
  </si>
  <si>
    <t>Plumbing &amp; Bath Fittings</t>
  </si>
  <si>
    <t>Door, Windows</t>
  </si>
  <si>
    <t>Availability (Y/N)</t>
  </si>
  <si>
    <t>Potable Water Connection</t>
  </si>
  <si>
    <t>Sewerage System</t>
  </si>
  <si>
    <t>Lift</t>
  </si>
  <si>
    <t>Power Backup</t>
  </si>
  <si>
    <t>Parking</t>
  </si>
  <si>
    <t>Clubhouse</t>
  </si>
  <si>
    <t>Gym</t>
  </si>
  <si>
    <t>Swimming Pool</t>
  </si>
  <si>
    <t>Garden</t>
  </si>
  <si>
    <t>Community Hall</t>
  </si>
  <si>
    <t>Any Additional Amenities, To Above, Pls Specify</t>
  </si>
  <si>
    <t>Technical Documents Details</t>
  </si>
  <si>
    <t>Document Name</t>
  </si>
  <si>
    <t>Approved Layout Plan</t>
  </si>
  <si>
    <t>Approved Floor Plan</t>
  </si>
  <si>
    <t>Construction  / Building Permission / Commencement Certificate</t>
  </si>
  <si>
    <t>Non Agricultural Permission / Land Conversion / Diversion</t>
  </si>
  <si>
    <t>Building Completion / Occupation Permission / Use Permission</t>
  </si>
  <si>
    <t>Location Sketch/ Certificate</t>
  </si>
  <si>
    <t>Authority Allotment Letter</t>
  </si>
  <si>
    <t>Fire Noc &amp; Plans (As Applicable)</t>
  </si>
  <si>
    <t>Environmental Clearance ( As Applicable)</t>
  </si>
  <si>
    <t>Coastal Regulatory Zone ( Crz ) Noc
(As Applicable)</t>
  </si>
  <si>
    <t>Ownership Doc 1</t>
  </si>
  <si>
    <t>Ownership Doc 2</t>
  </si>
  <si>
    <t>Remarks On Documents Verified</t>
  </si>
  <si>
    <t>Approving Authority Name</t>
  </si>
  <si>
    <t>Applicability &amp; Availability</t>
  </si>
  <si>
    <t>Approving Authority</t>
  </si>
  <si>
    <t>Details Of Approval</t>
  </si>
  <si>
    <t>Rera Details ( If Applicable)</t>
  </si>
  <si>
    <t>Rera Applicable</t>
  </si>
  <si>
    <t>Rera Registration No</t>
  </si>
  <si>
    <t>Project Start Date As Per Rera</t>
  </si>
  <si>
    <t>If Any Litigation Record On Project As Per Rera</t>
  </si>
  <si>
    <t>If Applicable, Rera Registration Status</t>
  </si>
  <si>
    <t>Project Completion Date As Per Rera</t>
  </si>
  <si>
    <t xml:space="preserve">Litigation Details As Per Rera Website </t>
  </si>
  <si>
    <t>Critical Parameters</t>
  </si>
  <si>
    <t>Flood Prone Area</t>
  </si>
  <si>
    <t>Coastal Regulatory Zone</t>
  </si>
  <si>
    <t>Falling In Present Or Proposed Road Widening</t>
  </si>
  <si>
    <t>Property Near High/Low Tension (Ht)/(Lt) Lines ?</t>
  </si>
  <si>
    <t>Presence Of Nallah/ Lake / Water Body Nearby</t>
  </si>
  <si>
    <t>Unit Deviation</t>
  </si>
  <si>
    <t>Seismic Zone</t>
  </si>
  <si>
    <t>Zoning As Per Development Plan</t>
  </si>
  <si>
    <t>Falling In Reservation As Per Development Plan</t>
  </si>
  <si>
    <t>Property Within 30 Mtrs From Railway Boundary ?</t>
  </si>
  <si>
    <t>Fsi Deviation</t>
  </si>
  <si>
    <t>Vertical Deviation</t>
  </si>
  <si>
    <t>Habitation In ( % ) Within 1 Kms Around Project</t>
  </si>
  <si>
    <t>Remarks In Case Project Affected By Any Of Critical Parameter</t>
  </si>
  <si>
    <t>Technical Deviations Observed In Project</t>
  </si>
  <si>
    <t>Demolition Risk</t>
  </si>
  <si>
    <t>Detail Of Deviation, If Any</t>
  </si>
  <si>
    <t>Total Phases</t>
  </si>
  <si>
    <t>Total No. Of Buildings</t>
  </si>
  <si>
    <t>Total No. Of Wings</t>
  </si>
  <si>
    <t>Total No. Of Approved Units (A)</t>
  </si>
  <si>
    <t>Total No. Of Unapproved Units (B)</t>
  </si>
  <si>
    <t>Total No. Of (A+B) Units</t>
  </si>
  <si>
    <t>Is The Project Technically Acceptable ?</t>
  </si>
  <si>
    <t>Is The Project Marketable ?</t>
  </si>
  <si>
    <t>Comment On Builder Group Involved In Project Development</t>
  </si>
  <si>
    <t>Overall Comments On Project Acceptability &amp; Marketablity</t>
  </si>
  <si>
    <t>FOUNDATION WIP</t>
  </si>
  <si>
    <t>PLINTH WIP</t>
  </si>
  <si>
    <t>YET TO START</t>
  </si>
  <si>
    <t>Sr.No.</t>
  </si>
  <si>
    <t>Building/Wing - Name/No</t>
  </si>
  <si>
    <t>Base Rate Psf Rs.</t>
  </si>
  <si>
    <t xml:space="preserve">Base Rate Considered On Area - Carpet/Bua/Saleale </t>
  </si>
  <si>
    <t>Floor Rise
(If Applicable)</t>
  </si>
  <si>
    <t>In Rs. Psf
(If Applicable)</t>
  </si>
  <si>
    <t>In Lumpsum Basis
(If Applicable)</t>
  </si>
  <si>
    <t>Applicable From Floor No.</t>
  </si>
  <si>
    <t>Applicable To Floor No.</t>
  </si>
  <si>
    <t>Applicable To Building /W ing</t>
  </si>
  <si>
    <t xml:space="preserve">Floor Rise 1 </t>
  </si>
  <si>
    <t>Floor Rise 2</t>
  </si>
  <si>
    <t>Floor Rise 3</t>
  </si>
  <si>
    <t>Floor Rise 4</t>
  </si>
  <si>
    <t>Plc Charges
(If Applicable)</t>
  </si>
  <si>
    <t>Details Of Plc/View</t>
  </si>
  <si>
    <t>List Of Unit Nos - Plc Applicable</t>
  </si>
  <si>
    <t>PLC Type 1</t>
  </si>
  <si>
    <t>PLC Type 2</t>
  </si>
  <si>
    <t>PLC Type 3</t>
  </si>
  <si>
    <t>Amenities Details</t>
  </si>
  <si>
    <t>Details Of Amenity Cost - Optional/Compulsory To Buyer, No Of Years, Etc</t>
  </si>
  <si>
    <t>Remarks, If Any</t>
  </si>
  <si>
    <t>Clubhouse &amp; 
Recreational</t>
  </si>
  <si>
    <t>Electricity &amp; Water Con.</t>
  </si>
  <si>
    <t>Infra</t>
  </si>
  <si>
    <t>Development</t>
  </si>
  <si>
    <t>Maintenance</t>
  </si>
  <si>
    <t>Any Other Amenity 1</t>
  </si>
  <si>
    <t>Any Other Amenity 2</t>
  </si>
  <si>
    <t>Any Other Amenity 3</t>
  </si>
  <si>
    <t>Airoli</t>
  </si>
  <si>
    <t>V.S Jadon &amp; Co.Valuers LLP</t>
  </si>
  <si>
    <t>Mr. V. S. Jadon</t>
  </si>
  <si>
    <t>vsjc.apf@gmail.com</t>
  </si>
  <si>
    <t>Mr. Sachin Sawant 9820058999</t>
  </si>
  <si>
    <t>NA</t>
  </si>
  <si>
    <t>Vasai</t>
  </si>
  <si>
    <t>Palghar</t>
  </si>
  <si>
    <t>India</t>
  </si>
  <si>
    <t>Maharashtra</t>
  </si>
  <si>
    <t>Vasai-Virar City Municipal Corporation</t>
  </si>
  <si>
    <t>Wing D</t>
  </si>
  <si>
    <t>1BHK</t>
  </si>
  <si>
    <t>2BHK</t>
  </si>
  <si>
    <t>3BHK</t>
  </si>
  <si>
    <t>Wing C</t>
  </si>
  <si>
    <t>Society Office</t>
  </si>
  <si>
    <t>Mr. Navnath Bhatkar</t>
  </si>
  <si>
    <t>VVCMC</t>
  </si>
  <si>
    <t>Applicable</t>
  </si>
  <si>
    <t xml:space="preserve">Survey No. </t>
  </si>
  <si>
    <t>-</t>
  </si>
  <si>
    <t>Developing</t>
  </si>
  <si>
    <t>Good</t>
  </si>
  <si>
    <t xml:space="preserve">No </t>
  </si>
  <si>
    <t>Yes 0.3m</t>
  </si>
  <si>
    <t>Yes 0.15m</t>
  </si>
  <si>
    <t>Yes</t>
  </si>
  <si>
    <t>No</t>
  </si>
  <si>
    <t>Not Applicable</t>
  </si>
  <si>
    <t>Approved no of Floors</t>
  </si>
  <si>
    <t>Proposed no of Floors</t>
  </si>
  <si>
    <t>Saleable Area</t>
  </si>
  <si>
    <t>Shivganga Construction &amp; Redevelopers</t>
  </si>
  <si>
    <t>Plot No.</t>
  </si>
  <si>
    <t>1, 2, 3 &amp; 22</t>
  </si>
  <si>
    <t>34 &amp; H. No. 1 &amp; 4</t>
  </si>
  <si>
    <t>Existing Building Name</t>
  </si>
  <si>
    <t>Nala Sopara</t>
  </si>
  <si>
    <t>19.419215, 72.806904</t>
  </si>
  <si>
    <t>Station Rd</t>
  </si>
  <si>
    <t>RBL Bank Ltd - Virar Branch</t>
  </si>
  <si>
    <t>6.5Km</t>
  </si>
  <si>
    <t xml:space="preserve">Building </t>
  </si>
  <si>
    <t>Shurparak Cricket Ground</t>
  </si>
  <si>
    <t>Matru Bhakti Co-operative Housing Society</t>
  </si>
  <si>
    <t>Nalasopara Police Station</t>
  </si>
  <si>
    <t>Mr. Shayam R Kashid</t>
  </si>
  <si>
    <t>Nallasopara Phata</t>
  </si>
  <si>
    <t>190M</t>
  </si>
  <si>
    <t>State Bank Of India</t>
  </si>
  <si>
    <t>1.1Km</t>
  </si>
  <si>
    <t>Little Flower's English High School</t>
  </si>
  <si>
    <t>650M</t>
  </si>
  <si>
    <t>United Multispeciality Hospital,</t>
  </si>
  <si>
    <t>600M</t>
  </si>
  <si>
    <t>Ridhi Super Market</t>
  </si>
  <si>
    <t xml:space="preserve">Kids Play Area
</t>
  </si>
  <si>
    <t>VVCMC/TP/AMEND/VP/6461/381/2022-23
Date: 17/10/2022</t>
  </si>
  <si>
    <t>P99000046574</t>
  </si>
  <si>
    <t>Ground Floor For Entrance Lobby,  Commercial &amp; Parking</t>
  </si>
  <si>
    <t>8A</t>
  </si>
  <si>
    <t>9A</t>
  </si>
  <si>
    <t>10A</t>
  </si>
  <si>
    <t>11A</t>
  </si>
  <si>
    <t>12A</t>
  </si>
  <si>
    <t>13A</t>
  </si>
  <si>
    <t>14A</t>
  </si>
  <si>
    <t>15A</t>
  </si>
  <si>
    <t>16A</t>
  </si>
  <si>
    <t>22A</t>
  </si>
  <si>
    <t>23A</t>
  </si>
  <si>
    <t>1st Floor For Entrance Lobby,  Commercial &amp; Parking</t>
  </si>
  <si>
    <t>2nd Floor For Entrance Lobby, Meter Room, Commercial &amp; Parking</t>
  </si>
  <si>
    <t>Wing A, B &amp; C</t>
  </si>
  <si>
    <t>Indoore Game/Multi Activity Area &amp;  Fitness Center</t>
  </si>
  <si>
    <t>4th Floor For Residential  (Part Car Parking Tower Area)</t>
  </si>
  <si>
    <t>3rd Floor For Residential &amp; Amenities  (Part Car Parking Tower Area)</t>
  </si>
  <si>
    <t>Refuge Area</t>
  </si>
  <si>
    <t>7th Floor  (Part Car Parking Tower Area)</t>
  </si>
  <si>
    <t>6th Floor (Part Refuge Area) &amp;  (Part Car Parking Tower Area)</t>
  </si>
  <si>
    <t>5th Floor (Part Car Parking Tower Area)</t>
  </si>
  <si>
    <t>8th Floor  (Part Car Parking Tower Area)</t>
  </si>
  <si>
    <t>9th Floor  (Part Car Parking Tower Area)</t>
  </si>
  <si>
    <t>10th Floor  (Part Car Parking Tower Area)</t>
  </si>
  <si>
    <t>11th Floor (Part Refuge Area)  &amp;  (Part Car Parking Tower Area)</t>
  </si>
  <si>
    <t>Driver Room &amp; Refuge Area</t>
  </si>
  <si>
    <t>12th Floor  (Part Car Parking Tower Area)</t>
  </si>
  <si>
    <t>13th Floor  (Part Car Parking Tower Area)</t>
  </si>
  <si>
    <t>14th Floor  (Part Car Parking Tower Area)</t>
  </si>
  <si>
    <t>15th Floor  (Part Car Parking Tower Area)</t>
  </si>
  <si>
    <t>16th Floor (Part Refuge Area) &amp; (Part Car Parking Tower Area)</t>
  </si>
  <si>
    <t>17th Floor  (Part Car Parking Tower Area) &amp; (Part Terrace Area)</t>
  </si>
  <si>
    <t>Terrace Area</t>
  </si>
  <si>
    <t>Imperial Paramount</t>
  </si>
  <si>
    <t>Shurparak Cricket Ground, Matru Bhakti Co-operative Housing Society</t>
  </si>
  <si>
    <t>Heera Panna Sharma Co-operative Housing Society Limited</t>
  </si>
  <si>
    <t>As Per Layout Plan</t>
  </si>
  <si>
    <t>Existing Road</t>
  </si>
  <si>
    <t>Building</t>
  </si>
  <si>
    <t>Location Link</t>
  </si>
  <si>
    <t>https://goo.gl/maps/PqvzaCPyWUCsorcS8</t>
  </si>
  <si>
    <t>Incentive FSI</t>
  </si>
  <si>
    <t>Ancillary Area for Commercial</t>
  </si>
  <si>
    <t>Ancillary Area for Residential</t>
  </si>
  <si>
    <t>Car parking = 123, Scooter Parking = 447</t>
  </si>
  <si>
    <t xml:space="preserve">Applicable &amp; Received </t>
  </si>
  <si>
    <t>Verified by Ad. Anish Kalvert (High Court)</t>
  </si>
  <si>
    <t>Wing A, B &amp; C =  St + Gr + 1st to 17th Floor (Pt)</t>
  </si>
  <si>
    <t>Commercial Area Details : Shops</t>
  </si>
  <si>
    <r>
      <t xml:space="preserve">Flat No.
</t>
    </r>
    <r>
      <rPr>
        <b/>
        <sz val="9"/>
        <color rgb="FF000000"/>
        <rFont val="Garamond"/>
        <family val="1"/>
      </rPr>
      <t>(Approved Plan)</t>
    </r>
  </si>
  <si>
    <t>Vinayak Heights, Vinayak Plaza, Imperial Tower, Vinayak Tower etc</t>
  </si>
  <si>
    <t>Projects surroundings are Lodha Park Nallasopara, Ganga Tower and Station Road</t>
  </si>
  <si>
    <t>59 : 41</t>
  </si>
  <si>
    <t>1BHK = 1,50,000
2BHK = 1,75,000
3BHK = 2,00,000</t>
  </si>
  <si>
    <t>Wing A</t>
  </si>
  <si>
    <t xml:space="preserve">Wing A </t>
  </si>
  <si>
    <t xml:space="preserve">Office No. 1031, Wing J, Akshar Business Park, Plot No. 03 Sector 25, Near APMC Market, Vashi, Navi Mumbai, Maharashtra 400703 TEL: 022-46090378/79/80                                    </t>
  </si>
  <si>
    <t>1 - Rehab</t>
  </si>
  <si>
    <t>2 - Rehab</t>
  </si>
  <si>
    <t>3 - Rehab</t>
  </si>
  <si>
    <t>4 - Rehab</t>
  </si>
  <si>
    <t>7 - Rehab</t>
  </si>
  <si>
    <t>5 - Rehab</t>
  </si>
  <si>
    <t>6 - Rehab</t>
  </si>
  <si>
    <t>8 - Rehab</t>
  </si>
  <si>
    <t>9 - Rehab</t>
  </si>
  <si>
    <t>10 - Rehab</t>
  </si>
  <si>
    <t xml:space="preserve">1A - Rehab </t>
  </si>
  <si>
    <t>11 - Rehab</t>
  </si>
  <si>
    <t>12 - Rehab</t>
  </si>
  <si>
    <t>13 - Rehab</t>
  </si>
  <si>
    <t>14 - Rehab</t>
  </si>
  <si>
    <t>15 - Rehab</t>
  </si>
  <si>
    <t>16 - Rehab</t>
  </si>
  <si>
    <t>17 - Rehab</t>
  </si>
  <si>
    <t>18 - Rehab</t>
  </si>
  <si>
    <t>19 - Rehab</t>
  </si>
  <si>
    <t>20 - Rehab</t>
  </si>
  <si>
    <t>21+22 - Rehab</t>
  </si>
  <si>
    <t>23 - Rehab</t>
  </si>
  <si>
    <t>24 - Rehab</t>
  </si>
  <si>
    <t>25 - Rehab</t>
  </si>
  <si>
    <t>26 - Rehab</t>
  </si>
  <si>
    <t>27 - Rehab</t>
  </si>
  <si>
    <t>32 - Rehab</t>
  </si>
  <si>
    <t>33 - Rehab</t>
  </si>
  <si>
    <t>Wing A + B + C
Rehab</t>
  </si>
  <si>
    <t>Wing A + B + C
Sale</t>
  </si>
  <si>
    <t>Residential Area Details : Sale Flats</t>
  </si>
  <si>
    <t>Residential Area Details : Rehab Flats</t>
  </si>
  <si>
    <t>Sale Shops - 79
Rehab Shops - 29
Sale Flats - 92
Rehab Flats - 64</t>
  </si>
  <si>
    <t>Excavation in Process</t>
  </si>
  <si>
    <t>Foundation in Process</t>
  </si>
  <si>
    <t>VVCMC/TP/RDP/VP-6461/381/2022-23
Date: 17/10/2022
Valid Upto: Wing A, B, C = St + Gr + 1st to 17th Floor</t>
  </si>
  <si>
    <t>VVCMC/FIRE/HQ/573/2023-24
Date: 07/06/2023
Valid Upto: Wing A, B, C = St + Gr + 1st to 17th Floor
(Height = 60.35m)</t>
  </si>
  <si>
    <t xml:space="preserve">1. Construction Work is in process at the tme of visit.(Labour Found).
2. Labours &amp; Materials found on site at the time of visit.
3. We considered Carpet area as per Approved Plan.
4. We considered  Saleable area  as per our calculation. (i.e 50% Loading)
5. We considered Gross carpet area = Net carpet + AP Area.
6. We have considered rate by verifying it from market inquire.
7. Recommended rate should be considered as all inclusive rate if other charges are not mentioned. (Excluding GST &amp; other government Taxes)
8. Car parking is subjected to authentic documentation.
9. On Site, we meet Mr. Mishra (9767834527)
10. Wing bifurcation &amp; Rehab statement is updated as per document provided in mail by bank official (on 27/03/2024).
</t>
  </si>
  <si>
    <t>Mr. Abhishek Manjrekar</t>
  </si>
  <si>
    <t>Mr. Kunal Kadam</t>
  </si>
  <si>
    <t>Wing A &amp; C =  St + Gr + 1st to 17th Floor (Pt)</t>
  </si>
  <si>
    <t>Wing B =  St + Gr + 1st to 17th Floor (Pt)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</si>
</sst>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9"/>
      <color rgb="FF000000"/>
      <name val="Garamond"/>
      <family val="1"/>
    </font>
    <font>
      <sz val="11"/>
      <color theme="1"/>
      <name val="Garamond"/>
      <family val="1"/>
    </font>
    <font>
      <sz val="11"/>
      <color rgb="FF000000"/>
      <name val="Book Antiqua"/>
      <family val="1"/>
    </font>
    <font>
      <sz val="9"/>
      <color rgb="FF000000"/>
      <name val="Garamond"/>
      <family val="1"/>
    </font>
    <font>
      <sz val="10"/>
      <color rgb="FF000000"/>
      <name val="Garamond"/>
      <family val="1"/>
    </font>
    <font>
      <sz val="10"/>
      <color theme="1"/>
      <name val="Times New Roman"/>
      <family val="1"/>
    </font>
    <font>
      <sz val="10"/>
      <color rgb="FF000000"/>
      <name val="Times New Roman"/>
      <family val="1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sz val="11"/>
      <color theme="1"/>
      <name val="Times New Roman"/>
      <family val="1"/>
    </font>
    <font>
      <sz val="11"/>
      <color theme="1"/>
      <name val="Calibri"/>
      <family val="2"/>
    </font>
    <font>
      <b/>
      <sz val="12"/>
      <color indexed="8"/>
      <name val="Times New Roman"/>
      <family val="1"/>
    </font>
    <font>
      <sz val="12"/>
      <color indexed="8"/>
      <name val="Times New Roman"/>
      <family val="1"/>
    </font>
    <font>
      <sz val="11"/>
      <color indexed="8"/>
      <name val="Calibri"/>
      <family val="2"/>
    </font>
    <font>
      <b/>
      <sz val="11"/>
      <color theme="1"/>
      <name val="Calibri"/>
      <family val="2"/>
      <scheme val="minor"/>
    </font>
    <font>
      <b/>
      <sz val="10"/>
      <color rgb="FF000000"/>
      <name val="Times New Roman"/>
      <family val="1"/>
    </font>
    <font>
      <b/>
      <sz val="10"/>
      <color theme="1"/>
      <name val="Garamond"/>
      <family val="1"/>
    </font>
    <font>
      <b/>
      <sz val="9"/>
      <color theme="1"/>
      <name val="Garamond"/>
      <family val="1"/>
    </font>
    <font>
      <sz val="9"/>
      <color theme="1"/>
      <name val="Garamond"/>
      <family val="1"/>
    </font>
    <font>
      <b/>
      <sz val="9"/>
      <color indexed="8"/>
      <name val="Garamond"/>
      <family val="1"/>
    </font>
    <font>
      <sz val="9"/>
      <color indexed="8"/>
      <name val="Garamond"/>
      <family val="1"/>
    </font>
    <font>
      <u/>
      <sz val="11"/>
      <color theme="10"/>
      <name val="Calibri"/>
      <family val="2"/>
      <scheme val="minor"/>
    </font>
    <font>
      <sz val="9"/>
      <name val="Garamond"/>
      <family val="1"/>
    </font>
    <font>
      <sz val="9"/>
      <color theme="1"/>
      <name val="Calibri"/>
      <family val="2"/>
      <scheme val="minor"/>
    </font>
    <font>
      <b/>
      <sz val="11"/>
      <color rgb="FF000000"/>
      <name val="Garamond"/>
      <family val="1"/>
    </font>
    <font>
      <sz val="12"/>
      <color theme="1"/>
      <name val="Garamond"/>
      <family val="1"/>
    </font>
    <font>
      <sz val="11"/>
      <name val="Garamond"/>
      <family val="1"/>
    </font>
    <font>
      <b/>
      <sz val="11"/>
      <color theme="1"/>
      <name val="Garamond"/>
      <family val="1"/>
    </font>
    <font>
      <sz val="11"/>
      <color rgb="FF000000"/>
      <name val="Garamond"/>
      <family val="1"/>
    </font>
    <font>
      <sz val="11"/>
      <color indexed="8"/>
      <name val="Garamond"/>
      <family val="1"/>
    </font>
    <font>
      <b/>
      <sz val="11"/>
      <color indexed="8"/>
      <name val="Garamond"/>
      <family val="1"/>
    </font>
    <font>
      <sz val="10"/>
      <name val="Times New Roman"/>
      <family val="1"/>
    </font>
    <font>
      <b/>
      <sz val="9"/>
      <name val="Garamond"/>
      <family val="1"/>
    </font>
    <font>
      <b/>
      <sz val="10"/>
      <color rgb="FF000000"/>
      <name val="Garamond"/>
      <family val="1"/>
    </font>
    <font>
      <b/>
      <sz val="11"/>
      <color theme="1"/>
      <name val="Times New Roman"/>
      <family val="1"/>
    </font>
    <font>
      <sz val="11"/>
      <name val="Calibri"/>
      <family val="2"/>
      <scheme val="minor"/>
    </font>
    <font>
      <b/>
      <sz val="12"/>
      <color theme="1"/>
      <name val="Garamond"/>
      <family val="1"/>
    </font>
  </fonts>
  <fills count="10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rgb="FFFFFFFF"/>
        <bgColor auto="1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92D050"/>
        <bgColor indexed="64"/>
      </patternFill>
    </fill>
  </fills>
  <borders count="29">
    <border>
      <left/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theme="0"/>
      </bottom>
      <diagonal/>
    </border>
    <border>
      <left/>
      <right style="medium">
        <color indexed="64"/>
      </right>
      <top/>
      <bottom style="thin">
        <color theme="0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5">
    <xf numFmtId="0" fontId="0" fillId="0" borderId="0"/>
    <xf numFmtId="0" fontId="4" fillId="0" borderId="0"/>
    <xf numFmtId="0" fontId="1" fillId="0" borderId="0"/>
    <xf numFmtId="0" fontId="15" fillId="0" borderId="0"/>
    <xf numFmtId="0" fontId="23" fillId="0" borderId="0" applyNumberFormat="0" applyFill="0" applyBorder="0" applyAlignment="0" applyProtection="0"/>
  </cellStyleXfs>
  <cellXfs count="246">
    <xf numFmtId="0" fontId="0" fillId="0" borderId="0" xfId="0"/>
    <xf numFmtId="0" fontId="7" fillId="0" borderId="0" xfId="0" applyFont="1"/>
    <xf numFmtId="0" fontId="7" fillId="0" borderId="13" xfId="2" applyFont="1" applyBorder="1" applyProtection="1">
      <protection hidden="1"/>
    </xf>
    <xf numFmtId="0" fontId="7" fillId="0" borderId="1" xfId="2" applyFont="1" applyBorder="1" applyProtection="1">
      <protection hidden="1"/>
    </xf>
    <xf numFmtId="0" fontId="7" fillId="0" borderId="1" xfId="2" applyFont="1" applyBorder="1"/>
    <xf numFmtId="1" fontId="7" fillId="0" borderId="1" xfId="0" applyNumberFormat="1" applyFont="1" applyBorder="1"/>
    <xf numFmtId="1" fontId="7" fillId="0" borderId="1" xfId="0" applyNumberFormat="1" applyFont="1" applyBorder="1" applyAlignment="1">
      <alignment horizontal="right"/>
    </xf>
    <xf numFmtId="1" fontId="7" fillId="0" borderId="16" xfId="0" applyNumberFormat="1" applyFont="1" applyBorder="1"/>
    <xf numFmtId="0" fontId="10" fillId="0" borderId="12" xfId="2" applyFont="1" applyBorder="1" applyProtection="1">
      <protection hidden="1"/>
    </xf>
    <xf numFmtId="0" fontId="10" fillId="0" borderId="13" xfId="2" applyFont="1" applyBorder="1" applyProtection="1">
      <protection hidden="1"/>
    </xf>
    <xf numFmtId="0" fontId="10" fillId="0" borderId="7" xfId="2" applyFont="1" applyBorder="1" applyAlignment="1" applyProtection="1">
      <alignment horizontal="center" vertical="top"/>
      <protection locked="0"/>
    </xf>
    <xf numFmtId="0" fontId="10" fillId="0" borderId="8" xfId="2" applyFont="1" applyBorder="1" applyAlignment="1" applyProtection="1">
      <alignment horizontal="center" vertical="top"/>
      <protection locked="0"/>
    </xf>
    <xf numFmtId="0" fontId="10" fillId="0" borderId="0" xfId="2" applyFont="1" applyProtection="1">
      <protection hidden="1"/>
    </xf>
    <xf numFmtId="0" fontId="10" fillId="0" borderId="1" xfId="2" applyFont="1" applyBorder="1" applyProtection="1">
      <protection hidden="1"/>
    </xf>
    <xf numFmtId="0" fontId="10" fillId="0" borderId="8" xfId="2" applyFont="1" applyBorder="1" applyAlignment="1" applyProtection="1">
      <alignment horizontal="center" vertical="top" wrapText="1"/>
      <protection locked="0"/>
    </xf>
    <xf numFmtId="0" fontId="11" fillId="0" borderId="0" xfId="0" applyFont="1" applyProtection="1">
      <protection hidden="1"/>
    </xf>
    <xf numFmtId="0" fontId="10" fillId="0" borderId="1" xfId="2" applyFont="1" applyBorder="1"/>
    <xf numFmtId="0" fontId="10" fillId="0" borderId="8" xfId="2" applyFont="1" applyBorder="1" applyAlignment="1" applyProtection="1">
      <alignment horizontal="center" wrapText="1"/>
      <protection locked="0"/>
    </xf>
    <xf numFmtId="9" fontId="10" fillId="4" borderId="8" xfId="2" applyNumberFormat="1" applyFont="1" applyFill="1" applyBorder="1" applyAlignment="1" applyProtection="1">
      <alignment horizontal="center" vertical="center" wrapText="1"/>
      <protection hidden="1"/>
    </xf>
    <xf numFmtId="0" fontId="11" fillId="0" borderId="1" xfId="0" applyFont="1" applyBorder="1" applyProtection="1">
      <protection hidden="1"/>
    </xf>
    <xf numFmtId="1" fontId="10" fillId="0" borderId="8" xfId="2" applyNumberFormat="1" applyFont="1" applyBorder="1" applyAlignment="1" applyProtection="1">
      <alignment horizontal="center" wrapText="1"/>
      <protection locked="0"/>
    </xf>
    <xf numFmtId="1" fontId="12" fillId="0" borderId="1" xfId="0" applyNumberFormat="1" applyFont="1" applyBorder="1"/>
    <xf numFmtId="1" fontId="12" fillId="0" borderId="1" xfId="0" applyNumberFormat="1" applyFont="1" applyBorder="1" applyAlignment="1">
      <alignment horizontal="right"/>
    </xf>
    <xf numFmtId="0" fontId="10" fillId="0" borderId="15" xfId="2" applyFont="1" applyBorder="1" applyAlignment="1" applyProtection="1">
      <alignment horizontal="center" wrapText="1"/>
      <protection locked="0"/>
    </xf>
    <xf numFmtId="9" fontId="10" fillId="4" borderId="15" xfId="2" applyNumberFormat="1" applyFont="1" applyFill="1" applyBorder="1" applyAlignment="1" applyProtection="1">
      <alignment horizontal="center" vertical="center" wrapText="1"/>
      <protection hidden="1"/>
    </xf>
    <xf numFmtId="0" fontId="11" fillId="0" borderId="17" xfId="0" applyFont="1" applyBorder="1" applyProtection="1">
      <protection hidden="1"/>
    </xf>
    <xf numFmtId="1" fontId="12" fillId="0" borderId="16" xfId="0" applyNumberFormat="1" applyFont="1" applyBorder="1"/>
    <xf numFmtId="0" fontId="10" fillId="0" borderId="10" xfId="2" applyFont="1" applyBorder="1" applyAlignment="1" applyProtection="1">
      <alignment vertical="top"/>
      <protection locked="0"/>
    </xf>
    <xf numFmtId="0" fontId="10" fillId="0" borderId="5" xfId="2" applyFont="1" applyBorder="1" applyAlignment="1" applyProtection="1">
      <alignment vertical="top"/>
      <protection locked="0"/>
    </xf>
    <xf numFmtId="0" fontId="10" fillId="0" borderId="2" xfId="2" applyFont="1" applyBorder="1" applyAlignment="1" applyProtection="1">
      <alignment vertical="top"/>
      <protection locked="0"/>
    </xf>
    <xf numFmtId="0" fontId="10" fillId="0" borderId="0" xfId="0" applyFont="1" applyAlignment="1">
      <alignment horizontal="center" vertical="center"/>
    </xf>
    <xf numFmtId="0" fontId="14" fillId="0" borderId="0" xfId="3" applyFont="1"/>
    <xf numFmtId="0" fontId="10" fillId="0" borderId="0" xfId="2" applyFont="1"/>
    <xf numFmtId="0" fontId="10" fillId="0" borderId="0" xfId="2" applyFont="1" applyAlignment="1">
      <alignment horizontal="center" vertical="center"/>
    </xf>
    <xf numFmtId="1" fontId="10" fillId="0" borderId="0" xfId="2" applyNumberFormat="1" applyFont="1" applyAlignment="1">
      <alignment horizontal="center" vertical="center"/>
    </xf>
    <xf numFmtId="1" fontId="13" fillId="0" borderId="0" xfId="0" applyNumberFormat="1" applyFont="1" applyAlignment="1" applyProtection="1">
      <alignment vertical="center" wrapText="1"/>
      <protection locked="0"/>
    </xf>
    <xf numFmtId="1" fontId="10" fillId="0" borderId="6" xfId="2" applyNumberFormat="1" applyFont="1" applyBorder="1" applyAlignment="1">
      <alignment horizontal="center" vertical="center"/>
    </xf>
    <xf numFmtId="0" fontId="13" fillId="0" borderId="0" xfId="2" applyFont="1" applyAlignment="1" applyProtection="1">
      <alignment vertical="top"/>
      <protection locked="0"/>
    </xf>
    <xf numFmtId="1" fontId="13" fillId="0" borderId="0" xfId="2" applyNumberFormat="1" applyFont="1" applyAlignment="1" applyProtection="1">
      <alignment vertical="center" wrapText="1"/>
      <protection locked="0"/>
    </xf>
    <xf numFmtId="2" fontId="10" fillId="0" borderId="0" xfId="2" applyNumberFormat="1" applyFont="1" applyAlignment="1">
      <alignment horizontal="center" vertical="center"/>
    </xf>
    <xf numFmtId="0" fontId="16" fillId="0" borderId="0" xfId="0" applyFont="1"/>
    <xf numFmtId="0" fontId="3" fillId="0" borderId="8" xfId="0" applyFont="1" applyBorder="1" applyAlignment="1">
      <alignment horizontal="left" vertical="top" wrapText="1"/>
    </xf>
    <xf numFmtId="0" fontId="2" fillId="5" borderId="8" xfId="0" applyFont="1" applyFill="1" applyBorder="1" applyAlignment="1">
      <alignment horizontal="left" vertical="top" wrapText="1"/>
    </xf>
    <xf numFmtId="0" fontId="2" fillId="5" borderId="8" xfId="1" applyFont="1" applyFill="1" applyBorder="1" applyAlignment="1">
      <alignment vertical="center" wrapText="1"/>
    </xf>
    <xf numFmtId="1" fontId="21" fillId="5" borderId="8" xfId="0" applyNumberFormat="1" applyFont="1" applyFill="1" applyBorder="1" applyAlignment="1" applyProtection="1">
      <alignment horizontal="center" vertical="center" wrapText="1"/>
      <protection locked="0"/>
    </xf>
    <xf numFmtId="0" fontId="16" fillId="0" borderId="0" xfId="0" applyFont="1" applyAlignment="1">
      <alignment horizontal="left"/>
    </xf>
    <xf numFmtId="0" fontId="17" fillId="6" borderId="8" xfId="0" applyFont="1" applyFill="1" applyBorder="1" applyAlignment="1">
      <alignment horizontal="left" vertical="center" wrapText="1"/>
    </xf>
    <xf numFmtId="0" fontId="0" fillId="0" borderId="0" xfId="0" applyAlignment="1">
      <alignment horizontal="left"/>
    </xf>
    <xf numFmtId="0" fontId="2" fillId="2" borderId="3" xfId="0" applyFont="1" applyFill="1" applyBorder="1" applyAlignment="1">
      <alignment vertical="center" wrapText="1"/>
    </xf>
    <xf numFmtId="0" fontId="2" fillId="2" borderId="4" xfId="0" applyFont="1" applyFill="1" applyBorder="1" applyAlignment="1">
      <alignment vertical="center" wrapText="1"/>
    </xf>
    <xf numFmtId="0" fontId="2" fillId="5" borderId="10" xfId="0" applyFont="1" applyFill="1" applyBorder="1" applyAlignment="1">
      <alignment vertical="top" wrapText="1"/>
    </xf>
    <xf numFmtId="0" fontId="2" fillId="0" borderId="0" xfId="0" applyFont="1" applyAlignment="1">
      <alignment vertical="top" wrapText="1"/>
    </xf>
    <xf numFmtId="0" fontId="2" fillId="5" borderId="24" xfId="0" applyFont="1" applyFill="1" applyBorder="1" applyAlignment="1">
      <alignment vertical="top" wrapText="1"/>
    </xf>
    <xf numFmtId="0" fontId="2" fillId="0" borderId="0" xfId="0" applyFont="1" applyAlignment="1">
      <alignment horizontal="left" vertical="top" wrapText="1"/>
    </xf>
    <xf numFmtId="14" fontId="5" fillId="3" borderId="8" xfId="1" applyNumberFormat="1" applyFont="1" applyFill="1" applyBorder="1" applyAlignment="1" applyProtection="1">
      <alignment horizontal="left" vertical="center" wrapText="1"/>
      <protection locked="0"/>
    </xf>
    <xf numFmtId="0" fontId="0" fillId="0" borderId="0" xfId="0" applyAlignment="1">
      <alignment wrapText="1"/>
    </xf>
    <xf numFmtId="1" fontId="22" fillId="0" borderId="8" xfId="0" applyNumberFormat="1" applyFont="1" applyBorder="1" applyAlignment="1" applyProtection="1">
      <alignment horizontal="center" vertical="center" wrapText="1"/>
      <protection locked="0"/>
    </xf>
    <xf numFmtId="1" fontId="21" fillId="5" borderId="8" xfId="0" applyNumberFormat="1" applyFont="1" applyFill="1" applyBorder="1" applyAlignment="1" applyProtection="1">
      <alignment horizontal="center" vertical="top" wrapText="1"/>
      <protection locked="0"/>
    </xf>
    <xf numFmtId="1" fontId="22" fillId="5" borderId="8" xfId="0" applyNumberFormat="1" applyFont="1" applyFill="1" applyBorder="1" applyAlignment="1" applyProtection="1">
      <alignment horizontal="center" vertical="center" wrapText="1"/>
      <protection locked="0"/>
    </xf>
    <xf numFmtId="0" fontId="24" fillId="0" borderId="8" xfId="0" applyFont="1" applyBorder="1" applyAlignment="1">
      <alignment horizontal="center" vertical="center" wrapText="1"/>
    </xf>
    <xf numFmtId="0" fontId="24" fillId="0" borderId="8" xfId="0" applyFont="1" applyBorder="1" applyAlignment="1">
      <alignment horizontal="center" vertical="center"/>
    </xf>
    <xf numFmtId="0" fontId="2" fillId="5" borderId="5" xfId="0" applyFont="1" applyFill="1" applyBorder="1" applyAlignment="1">
      <alignment vertical="top" wrapText="1"/>
    </xf>
    <xf numFmtId="1" fontId="0" fillId="0" borderId="8" xfId="0" applyNumberFormat="1" applyBorder="1" applyAlignment="1">
      <alignment horizontal="center" vertical="center"/>
    </xf>
    <xf numFmtId="1" fontId="0" fillId="0" borderId="0" xfId="0" applyNumberFormat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 wrapText="1"/>
    </xf>
    <xf numFmtId="0" fontId="26" fillId="5" borderId="8" xfId="0" applyFont="1" applyFill="1" applyBorder="1" applyAlignment="1">
      <alignment horizontal="left" vertical="top" wrapText="1"/>
    </xf>
    <xf numFmtId="0" fontId="27" fillId="0" borderId="8" xfId="0" applyFont="1" applyBorder="1" applyAlignment="1">
      <alignment horizontal="left" vertical="top" wrapText="1"/>
    </xf>
    <xf numFmtId="0" fontId="2" fillId="5" borderId="8" xfId="0" applyFont="1" applyFill="1" applyBorder="1" applyAlignment="1">
      <alignment horizontal="left" vertical="center" wrapText="1"/>
    </xf>
    <xf numFmtId="0" fontId="2" fillId="0" borderId="8" xfId="0" applyFont="1" applyBorder="1" applyAlignment="1">
      <alignment horizontal="center" vertical="center" wrapText="1"/>
    </xf>
    <xf numFmtId="0" fontId="28" fillId="0" borderId="8" xfId="0" applyFont="1" applyBorder="1" applyAlignment="1">
      <alignment horizontal="center" vertical="center"/>
    </xf>
    <xf numFmtId="0" fontId="30" fillId="0" borderId="8" xfId="0" applyFont="1" applyBorder="1" applyAlignment="1">
      <alignment horizontal="center" vertical="center" wrapText="1"/>
    </xf>
    <xf numFmtId="1" fontId="3" fillId="0" borderId="8" xfId="0" applyNumberFormat="1" applyFont="1" applyBorder="1" applyAlignment="1">
      <alignment horizontal="center" vertical="center"/>
    </xf>
    <xf numFmtId="1" fontId="3" fillId="0" borderId="8" xfId="2" applyNumberFormat="1" applyFont="1" applyBorder="1" applyAlignment="1">
      <alignment horizontal="center" vertical="center"/>
    </xf>
    <xf numFmtId="1" fontId="31" fillId="0" borderId="8" xfId="2" applyNumberFormat="1" applyFont="1" applyBorder="1" applyAlignment="1" applyProtection="1">
      <alignment horizontal="center" vertical="center" wrapText="1"/>
      <protection locked="0"/>
    </xf>
    <xf numFmtId="1" fontId="31" fillId="5" borderId="8" xfId="0" applyNumberFormat="1" applyFont="1" applyFill="1" applyBorder="1" applyAlignment="1" applyProtection="1">
      <alignment horizontal="center" vertical="center" wrapText="1"/>
      <protection locked="0"/>
    </xf>
    <xf numFmtId="1" fontId="31" fillId="0" borderId="8" xfId="0" applyNumberFormat="1" applyFont="1" applyBorder="1" applyAlignment="1" applyProtection="1">
      <alignment horizontal="center" vertical="center" wrapText="1"/>
      <protection locked="0"/>
    </xf>
    <xf numFmtId="0" fontId="33" fillId="5" borderId="8" xfId="0" applyFont="1" applyFill="1" applyBorder="1" applyAlignment="1">
      <alignment horizontal="center" vertical="center" wrapText="1"/>
    </xf>
    <xf numFmtId="0" fontId="34" fillId="0" borderId="0" xfId="0" applyFont="1" applyAlignment="1">
      <alignment vertical="top" wrapText="1"/>
    </xf>
    <xf numFmtId="1" fontId="32" fillId="0" borderId="8" xfId="0" applyNumberFormat="1" applyFont="1" applyBorder="1" applyAlignment="1" applyProtection="1">
      <alignment horizontal="center" vertical="center" wrapText="1"/>
      <protection locked="0"/>
    </xf>
    <xf numFmtId="0" fontId="2" fillId="5" borderId="0" xfId="0" applyFont="1" applyFill="1" applyAlignment="1">
      <alignment vertical="top" wrapText="1"/>
    </xf>
    <xf numFmtId="0" fontId="35" fillId="5" borderId="8" xfId="0" applyFont="1" applyFill="1" applyBorder="1" applyAlignment="1">
      <alignment horizontal="left" vertical="top" wrapText="1"/>
    </xf>
    <xf numFmtId="1" fontId="32" fillId="5" borderId="8" xfId="0" applyNumberFormat="1" applyFont="1" applyFill="1" applyBorder="1" applyAlignment="1" applyProtection="1">
      <alignment horizontal="center" vertical="center" wrapText="1"/>
      <protection locked="0"/>
    </xf>
    <xf numFmtId="0" fontId="11" fillId="0" borderId="0" xfId="0" applyFont="1" applyAlignment="1">
      <alignment horizontal="center" vertical="center"/>
    </xf>
    <xf numFmtId="1" fontId="11" fillId="0" borderId="0" xfId="0" applyNumberFormat="1" applyFont="1" applyAlignment="1">
      <alignment horizontal="center" vertical="center"/>
    </xf>
    <xf numFmtId="0" fontId="5" fillId="3" borderId="8" xfId="1" applyFont="1" applyFill="1" applyBorder="1" applyAlignment="1" applyProtection="1">
      <alignment horizontal="left" vertical="center" wrapText="1"/>
      <protection locked="0"/>
    </xf>
    <xf numFmtId="0" fontId="3" fillId="0" borderId="8" xfId="0" applyFont="1" applyBorder="1" applyAlignment="1">
      <alignment horizontal="left" vertical="top"/>
    </xf>
    <xf numFmtId="0" fontId="2" fillId="5" borderId="8" xfId="1" applyFont="1" applyFill="1" applyBorder="1" applyAlignment="1">
      <alignment horizontal="left" vertical="center" wrapText="1"/>
    </xf>
    <xf numFmtId="0" fontId="2" fillId="5" borderId="8" xfId="0" applyFont="1" applyFill="1" applyBorder="1" applyAlignment="1">
      <alignment horizontal="center" vertical="center" wrapText="1"/>
    </xf>
    <xf numFmtId="0" fontId="7" fillId="0" borderId="12" xfId="2" applyFont="1" applyBorder="1" applyProtection="1">
      <protection hidden="1"/>
    </xf>
    <xf numFmtId="0" fontId="3" fillId="5" borderId="8" xfId="2" applyFont="1" applyFill="1" applyBorder="1" applyAlignment="1" applyProtection="1">
      <alignment horizontal="center" vertical="center"/>
      <protection locked="0"/>
    </xf>
    <xf numFmtId="0" fontId="7" fillId="0" borderId="0" xfId="2" applyFont="1" applyProtection="1">
      <protection hidden="1"/>
    </xf>
    <xf numFmtId="0" fontId="3" fillId="5" borderId="8" xfId="0" applyFont="1" applyFill="1" applyBorder="1" applyAlignment="1">
      <alignment horizontal="center"/>
    </xf>
    <xf numFmtId="0" fontId="3" fillId="5" borderId="8" xfId="2" applyFont="1" applyFill="1" applyBorder="1" applyAlignment="1" applyProtection="1">
      <alignment horizontal="center" vertical="top" wrapText="1"/>
      <protection locked="0"/>
    </xf>
    <xf numFmtId="0" fontId="8" fillId="0" borderId="0" xfId="0" applyFont="1" applyProtection="1">
      <protection hidden="1"/>
    </xf>
    <xf numFmtId="9" fontId="3" fillId="5" borderId="8" xfId="0" applyNumberFormat="1" applyFont="1" applyFill="1" applyBorder="1" applyAlignment="1">
      <alignment horizontal="center" vertical="center"/>
    </xf>
    <xf numFmtId="1" fontId="3" fillId="5" borderId="8" xfId="2" applyNumberFormat="1" applyFont="1" applyFill="1" applyBorder="1" applyAlignment="1" applyProtection="1">
      <alignment horizontal="center" wrapText="1"/>
      <protection locked="0"/>
    </xf>
    <xf numFmtId="9" fontId="3" fillId="5" borderId="8" xfId="2" applyNumberFormat="1" applyFont="1" applyFill="1" applyBorder="1" applyAlignment="1" applyProtection="1">
      <alignment horizontal="center" vertical="center" wrapText="1"/>
      <protection hidden="1"/>
    </xf>
    <xf numFmtId="0" fontId="8" fillId="0" borderId="1" xfId="0" applyFont="1" applyBorder="1" applyProtection="1">
      <protection hidden="1"/>
    </xf>
    <xf numFmtId="1" fontId="3" fillId="5" borderId="8" xfId="2" applyNumberFormat="1" applyFont="1" applyFill="1" applyBorder="1" applyAlignment="1" applyProtection="1">
      <alignment horizontal="center" vertical="center" wrapText="1"/>
      <protection locked="0"/>
    </xf>
    <xf numFmtId="0" fontId="3" fillId="5" borderId="8" xfId="2" applyFont="1" applyFill="1" applyBorder="1" applyAlignment="1" applyProtection="1">
      <alignment horizontal="center" wrapText="1"/>
      <protection locked="0"/>
    </xf>
    <xf numFmtId="0" fontId="8" fillId="0" borderId="17" xfId="0" applyFont="1" applyBorder="1" applyProtection="1">
      <protection hidden="1"/>
    </xf>
    <xf numFmtId="0" fontId="2" fillId="5" borderId="25" xfId="0" applyFont="1" applyFill="1" applyBorder="1" applyAlignment="1">
      <alignment vertical="top" wrapText="1"/>
    </xf>
    <xf numFmtId="1" fontId="20" fillId="0" borderId="6" xfId="0" applyNumberFormat="1" applyFont="1" applyBorder="1" applyAlignment="1">
      <alignment horizontal="center" vertical="center"/>
    </xf>
    <xf numFmtId="0" fontId="5" fillId="3" borderId="8" xfId="1" applyFont="1" applyFill="1" applyBorder="1" applyAlignment="1">
      <alignment horizontal="left" vertical="center"/>
    </xf>
    <xf numFmtId="0" fontId="29" fillId="5" borderId="8" xfId="0" applyFont="1" applyFill="1" applyBorder="1" applyAlignment="1">
      <alignment horizontal="left" vertical="top"/>
    </xf>
    <xf numFmtId="0" fontId="3" fillId="5" borderId="8" xfId="2" applyFont="1" applyFill="1" applyBorder="1" applyAlignment="1" applyProtection="1">
      <alignment horizontal="left" vertical="top" wrapText="1"/>
      <protection locked="0"/>
    </xf>
    <xf numFmtId="1" fontId="21" fillId="0" borderId="8" xfId="2" applyNumberFormat="1" applyFont="1" applyBorder="1" applyAlignment="1" applyProtection="1">
      <alignment horizontal="center" vertical="top" wrapText="1"/>
      <protection locked="0"/>
    </xf>
    <xf numFmtId="9" fontId="21" fillId="0" borderId="8" xfId="2" applyNumberFormat="1" applyFont="1" applyBorder="1" applyAlignment="1" applyProtection="1">
      <alignment horizontal="center" vertical="top" wrapText="1"/>
      <protection locked="0"/>
    </xf>
    <xf numFmtId="1" fontId="21" fillId="0" borderId="8" xfId="2" applyNumberFormat="1" applyFont="1" applyBorder="1" applyAlignment="1" applyProtection="1">
      <alignment horizontal="center" vertical="center" wrapText="1"/>
      <protection locked="0"/>
    </xf>
    <xf numFmtId="9" fontId="21" fillId="0" borderId="8" xfId="2" applyNumberFormat="1" applyFont="1" applyBorder="1" applyAlignment="1" applyProtection="1">
      <alignment horizontal="center" vertical="center" wrapText="1"/>
      <protection locked="0"/>
    </xf>
    <xf numFmtId="0" fontId="3" fillId="5" borderId="8" xfId="2" applyFont="1" applyFill="1" applyBorder="1" applyAlignment="1" applyProtection="1">
      <alignment horizontal="center" vertical="center" wrapText="1"/>
      <protection locked="0"/>
    </xf>
    <xf numFmtId="1" fontId="29" fillId="0" borderId="8" xfId="2" applyNumberFormat="1" applyFont="1" applyBorder="1" applyAlignment="1">
      <alignment horizontal="center" vertical="center"/>
    </xf>
    <xf numFmtId="0" fontId="3" fillId="5" borderId="8" xfId="2" applyFont="1" applyFill="1" applyBorder="1" applyAlignment="1" applyProtection="1">
      <alignment horizontal="center" vertical="center" wrapText="1"/>
      <protection locked="0"/>
    </xf>
    <xf numFmtId="9" fontId="3" fillId="5" borderId="8" xfId="2" applyNumberFormat="1" applyFont="1" applyFill="1" applyBorder="1" applyAlignment="1" applyProtection="1">
      <alignment horizontal="center" vertical="center" wrapText="1"/>
      <protection hidden="1"/>
    </xf>
    <xf numFmtId="0" fontId="32" fillId="5" borderId="8" xfId="2" applyFont="1" applyFill="1" applyBorder="1" applyAlignment="1" applyProtection="1">
      <alignment horizontal="center" vertical="center"/>
      <protection locked="0"/>
    </xf>
    <xf numFmtId="0" fontId="29" fillId="0" borderId="8" xfId="0" applyFont="1" applyBorder="1" applyAlignment="1">
      <alignment horizontal="center"/>
    </xf>
    <xf numFmtId="1" fontId="3" fillId="0" borderId="8" xfId="0" applyNumberFormat="1" applyFont="1" applyBorder="1" applyAlignment="1" applyProtection="1">
      <alignment horizontal="center" vertical="center"/>
      <protection locked="0"/>
    </xf>
    <xf numFmtId="0" fontId="3" fillId="0" borderId="8" xfId="0" applyFont="1" applyBorder="1" applyAlignment="1" applyProtection="1">
      <alignment horizontal="center" vertical="center"/>
      <protection locked="0"/>
    </xf>
    <xf numFmtId="1" fontId="3" fillId="0" borderId="8" xfId="2" applyNumberFormat="1" applyFont="1" applyBorder="1" applyAlignment="1">
      <alignment horizontal="center" vertical="center"/>
    </xf>
    <xf numFmtId="0" fontId="10" fillId="0" borderId="0" xfId="2" applyFont="1" applyAlignment="1">
      <alignment horizontal="center" vertical="center"/>
    </xf>
    <xf numFmtId="0" fontId="21" fillId="5" borderId="8" xfId="2" applyFont="1" applyFill="1" applyBorder="1" applyAlignment="1" applyProtection="1">
      <alignment horizontal="center" vertical="top"/>
      <protection locked="0"/>
    </xf>
    <xf numFmtId="1" fontId="21" fillId="0" borderId="8" xfId="2" applyNumberFormat="1" applyFont="1" applyBorder="1" applyAlignment="1" applyProtection="1">
      <alignment horizontal="center" vertical="center" wrapText="1"/>
      <protection locked="0"/>
    </xf>
    <xf numFmtId="1" fontId="32" fillId="0" borderId="8" xfId="2" applyNumberFormat="1" applyFont="1" applyBorder="1" applyAlignment="1" applyProtection="1">
      <alignment horizontal="center" vertical="center" wrapText="1"/>
      <protection locked="0"/>
    </xf>
    <xf numFmtId="1" fontId="14" fillId="0" borderId="0" xfId="2" applyNumberFormat="1" applyFont="1" applyAlignment="1" applyProtection="1">
      <alignment horizontal="center" vertical="center" wrapText="1"/>
      <protection locked="0"/>
    </xf>
    <xf numFmtId="1" fontId="13" fillId="0" borderId="0" xfId="2" applyNumberFormat="1" applyFont="1" applyAlignment="1" applyProtection="1">
      <alignment horizontal="center" vertical="top" wrapText="1"/>
      <protection locked="0"/>
    </xf>
    <xf numFmtId="0" fontId="21" fillId="0" borderId="8" xfId="2" applyFont="1" applyBorder="1" applyAlignment="1" applyProtection="1">
      <alignment horizontal="center" vertical="top"/>
      <protection locked="0"/>
    </xf>
    <xf numFmtId="1" fontId="10" fillId="0" borderId="0" xfId="0" applyNumberFormat="1" applyFont="1" applyAlignment="1" applyProtection="1">
      <alignment horizontal="center" vertical="top" wrapText="1"/>
      <protection locked="0"/>
    </xf>
    <xf numFmtId="0" fontId="3" fillId="0" borderId="8" xfId="0" applyFont="1" applyBorder="1" applyAlignment="1">
      <alignment horizontal="center" vertical="top"/>
    </xf>
    <xf numFmtId="0" fontId="2" fillId="5" borderId="0" xfId="0" applyFont="1" applyFill="1" applyAlignment="1">
      <alignment horizontal="center" vertical="top" wrapText="1"/>
    </xf>
    <xf numFmtId="0" fontId="30" fillId="0" borderId="8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left" vertical="top"/>
    </xf>
    <xf numFmtId="1" fontId="29" fillId="0" borderId="8" xfId="0" applyNumberFormat="1" applyFont="1" applyBorder="1" applyAlignment="1" applyProtection="1">
      <alignment horizontal="center" vertical="center"/>
      <protection locked="0"/>
    </xf>
    <xf numFmtId="0" fontId="29" fillId="0" borderId="8" xfId="0" applyFont="1" applyBorder="1" applyAlignment="1" applyProtection="1">
      <alignment horizontal="center" vertical="center"/>
      <protection locked="0"/>
    </xf>
    <xf numFmtId="1" fontId="29" fillId="0" borderId="8" xfId="0" applyNumberFormat="1" applyFont="1" applyBorder="1" applyAlignment="1" applyProtection="1">
      <alignment horizontal="center" vertical="center" wrapText="1"/>
      <protection locked="0"/>
    </xf>
    <xf numFmtId="0" fontId="29" fillId="0" borderId="8" xfId="0" applyFont="1" applyBorder="1" applyAlignment="1" applyProtection="1">
      <alignment horizontal="center" vertical="center" wrapText="1"/>
      <protection locked="0"/>
    </xf>
    <xf numFmtId="1" fontId="21" fillId="6" borderId="8" xfId="0" applyNumberFormat="1" applyFont="1" applyFill="1" applyBorder="1" applyAlignment="1" applyProtection="1">
      <alignment horizontal="center" vertical="center" wrapText="1"/>
      <protection locked="0"/>
    </xf>
    <xf numFmtId="1" fontId="21" fillId="8" borderId="8" xfId="0" applyNumberFormat="1" applyFont="1" applyFill="1" applyBorder="1" applyAlignment="1" applyProtection="1">
      <alignment horizontal="center" vertical="center" wrapText="1"/>
      <protection locked="0"/>
    </xf>
    <xf numFmtId="0" fontId="2" fillId="5" borderId="8" xfId="0" applyFont="1" applyFill="1" applyBorder="1" applyAlignment="1">
      <alignment horizontal="center" vertical="top"/>
    </xf>
    <xf numFmtId="14" fontId="3" fillId="0" borderId="8" xfId="0" applyNumberFormat="1" applyFont="1" applyBorder="1" applyAlignment="1">
      <alignment horizontal="left" vertical="top"/>
    </xf>
    <xf numFmtId="0" fontId="6" fillId="0" borderId="8" xfId="1" applyFont="1" applyBorder="1" applyAlignment="1" applyProtection="1">
      <alignment horizontal="center" vertical="top"/>
      <protection locked="0"/>
    </xf>
    <xf numFmtId="0" fontId="29" fillId="5" borderId="8" xfId="2" applyFont="1" applyFill="1" applyBorder="1" applyAlignment="1" applyProtection="1">
      <alignment horizontal="left" vertical="top" wrapText="1"/>
      <protection locked="0"/>
    </xf>
    <xf numFmtId="0" fontId="2" fillId="5" borderId="8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top" wrapText="1"/>
    </xf>
    <xf numFmtId="0" fontId="2" fillId="5" borderId="11" xfId="0" applyFont="1" applyFill="1" applyBorder="1" applyAlignment="1">
      <alignment horizontal="center" vertical="top" wrapText="1"/>
    </xf>
    <xf numFmtId="0" fontId="2" fillId="5" borderId="5" xfId="0" applyFont="1" applyFill="1" applyBorder="1" applyAlignment="1">
      <alignment horizontal="center" vertical="top" wrapText="1"/>
    </xf>
    <xf numFmtId="0" fontId="2" fillId="5" borderId="6" xfId="0" applyFont="1" applyFill="1" applyBorder="1" applyAlignment="1">
      <alignment horizontal="center" vertical="top" wrapText="1"/>
    </xf>
    <xf numFmtId="0" fontId="3" fillId="0" borderId="8" xfId="0" applyFont="1" applyBorder="1" applyAlignment="1">
      <alignment horizontal="center" vertical="center" wrapText="1"/>
    </xf>
    <xf numFmtId="0" fontId="2" fillId="6" borderId="8" xfId="0" applyFont="1" applyFill="1" applyBorder="1" applyAlignment="1">
      <alignment horizontal="center" vertical="center"/>
    </xf>
    <xf numFmtId="0" fontId="28" fillId="0" borderId="8" xfId="0" applyFont="1" applyBorder="1" applyAlignment="1">
      <alignment horizontal="center" vertical="top" wrapText="1"/>
    </xf>
    <xf numFmtId="0" fontId="28" fillId="0" borderId="8" xfId="0" applyFont="1" applyBorder="1" applyAlignment="1">
      <alignment horizontal="center" vertical="top"/>
    </xf>
    <xf numFmtId="0" fontId="2" fillId="5" borderId="8" xfId="0" applyFont="1" applyFill="1" applyBorder="1" applyAlignment="1">
      <alignment horizontal="center" vertical="top" wrapText="1"/>
    </xf>
    <xf numFmtId="0" fontId="3" fillId="0" borderId="8" xfId="0" applyFont="1" applyBorder="1" applyAlignment="1">
      <alignment horizontal="center"/>
    </xf>
    <xf numFmtId="49" fontId="3" fillId="0" borderId="8" xfId="0" applyNumberFormat="1" applyFont="1" applyBorder="1" applyAlignment="1">
      <alignment horizontal="center"/>
    </xf>
    <xf numFmtId="0" fontId="16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7" fillId="6" borderId="8" xfId="0" applyFont="1" applyFill="1" applyBorder="1" applyAlignment="1">
      <alignment horizontal="center" vertical="center" wrapText="1"/>
    </xf>
    <xf numFmtId="0" fontId="8" fillId="5" borderId="8" xfId="0" applyFont="1" applyFill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top" wrapText="1"/>
    </xf>
    <xf numFmtId="0" fontId="2" fillId="9" borderId="8" xfId="0" applyFont="1" applyFill="1" applyBorder="1" applyAlignment="1">
      <alignment horizontal="center" vertical="top" wrapText="1"/>
    </xf>
    <xf numFmtId="0" fontId="5" fillId="4" borderId="8" xfId="0" applyFont="1" applyFill="1" applyBorder="1" applyAlignment="1">
      <alignment horizontal="left" vertical="top" wrapText="1"/>
    </xf>
    <xf numFmtId="0" fontId="2" fillId="4" borderId="8" xfId="0" applyFont="1" applyFill="1" applyBorder="1" applyAlignment="1">
      <alignment horizontal="left" vertical="top" wrapText="1"/>
    </xf>
    <xf numFmtId="0" fontId="25" fillId="0" borderId="8" xfId="0" applyFont="1" applyBorder="1" applyAlignment="1">
      <alignment horizontal="left" vertical="top"/>
    </xf>
    <xf numFmtId="9" fontId="3" fillId="0" borderId="8" xfId="0" applyNumberFormat="1" applyFont="1" applyBorder="1" applyAlignment="1">
      <alignment horizontal="center" vertical="center"/>
    </xf>
    <xf numFmtId="0" fontId="19" fillId="5" borderId="8" xfId="0" applyFont="1" applyFill="1" applyBorder="1" applyAlignment="1" applyProtection="1">
      <alignment horizontal="center" vertical="center"/>
      <protection locked="0"/>
    </xf>
    <xf numFmtId="0" fontId="19" fillId="5" borderId="8" xfId="0" applyFont="1" applyFill="1" applyBorder="1" applyAlignment="1" applyProtection="1">
      <alignment horizontal="center" vertical="top" wrapText="1"/>
      <protection locked="0"/>
    </xf>
    <xf numFmtId="1" fontId="21" fillId="0" borderId="8" xfId="2" applyNumberFormat="1" applyFont="1" applyBorder="1" applyAlignment="1" applyProtection="1">
      <alignment horizontal="left" vertical="top" wrapText="1"/>
      <protection locked="0"/>
    </xf>
    <xf numFmtId="1" fontId="21" fillId="0" borderId="8" xfId="2" applyNumberFormat="1" applyFont="1" applyBorder="1" applyAlignment="1" applyProtection="1">
      <alignment horizontal="center" vertical="top" wrapText="1"/>
      <protection locked="0"/>
    </xf>
    <xf numFmtId="0" fontId="21" fillId="6" borderId="8" xfId="2" applyFont="1" applyFill="1" applyBorder="1" applyAlignment="1" applyProtection="1">
      <alignment horizontal="center" vertical="top"/>
      <protection locked="0"/>
    </xf>
    <xf numFmtId="1" fontId="29" fillId="0" borderId="8" xfId="0" applyNumberFormat="1" applyFont="1" applyBorder="1" applyAlignment="1" applyProtection="1">
      <alignment horizontal="center" vertical="top" wrapText="1"/>
      <protection locked="0"/>
    </xf>
    <xf numFmtId="0" fontId="29" fillId="0" borderId="8" xfId="0" applyFont="1" applyBorder="1" applyAlignment="1" applyProtection="1">
      <alignment horizontal="center" vertical="top" wrapText="1"/>
      <protection locked="0"/>
    </xf>
    <xf numFmtId="0" fontId="5" fillId="0" borderId="8" xfId="0" applyFont="1" applyBorder="1" applyAlignment="1">
      <alignment horizontal="left" vertical="top" wrapText="1"/>
    </xf>
    <xf numFmtId="0" fontId="5" fillId="0" borderId="8" xfId="0" applyFont="1" applyBorder="1" applyAlignment="1">
      <alignment horizontal="left" vertical="top"/>
    </xf>
    <xf numFmtId="0" fontId="6" fillId="0" borderId="8" xfId="1" applyFont="1" applyBorder="1" applyAlignment="1">
      <alignment horizontal="center" vertical="top"/>
    </xf>
    <xf numFmtId="0" fontId="19" fillId="6" borderId="8" xfId="0" applyFont="1" applyFill="1" applyBorder="1" applyAlignment="1">
      <alignment horizontal="left"/>
    </xf>
    <xf numFmtId="0" fontId="19" fillId="5" borderId="8" xfId="0" applyFont="1" applyFill="1" applyBorder="1" applyAlignment="1">
      <alignment horizontal="left" vertical="top" wrapText="1"/>
    </xf>
    <xf numFmtId="0" fontId="19" fillId="5" borderId="8" xfId="0" applyFont="1" applyFill="1" applyBorder="1" applyAlignment="1">
      <alignment horizontal="left" vertical="top"/>
    </xf>
    <xf numFmtId="0" fontId="5" fillId="4" borderId="8" xfId="0" applyFont="1" applyFill="1" applyBorder="1" applyAlignment="1">
      <alignment horizontal="center" vertical="center" wrapText="1"/>
    </xf>
    <xf numFmtId="0" fontId="2" fillId="6" borderId="8" xfId="0" applyFont="1" applyFill="1" applyBorder="1" applyAlignment="1">
      <alignment horizontal="center" vertical="top" wrapText="1"/>
    </xf>
    <xf numFmtId="0" fontId="19" fillId="6" borderId="8" xfId="0" applyFont="1" applyFill="1" applyBorder="1" applyAlignment="1">
      <alignment horizontal="center"/>
    </xf>
    <xf numFmtId="0" fontId="10" fillId="0" borderId="0" xfId="0" applyFont="1" applyAlignment="1">
      <alignment horizontal="center" vertical="center" wrapText="1"/>
    </xf>
    <xf numFmtId="1" fontId="20" fillId="0" borderId="8" xfId="0" applyNumberFormat="1" applyFont="1" applyBorder="1" applyAlignment="1" applyProtection="1">
      <alignment horizontal="center" vertical="center"/>
      <protection locked="0"/>
    </xf>
    <xf numFmtId="0" fontId="20" fillId="0" borderId="8" xfId="0" applyFont="1" applyBorder="1" applyAlignment="1" applyProtection="1">
      <alignment horizontal="center" vertical="center"/>
      <protection locked="0"/>
    </xf>
    <xf numFmtId="0" fontId="10" fillId="0" borderId="0" xfId="0" applyFont="1" applyAlignment="1" applyProtection="1">
      <alignment horizontal="center" vertical="top" wrapText="1"/>
      <protection locked="0"/>
    </xf>
    <xf numFmtId="0" fontId="19" fillId="5" borderId="8" xfId="0" applyFont="1" applyFill="1" applyBorder="1" applyAlignment="1" applyProtection="1">
      <alignment horizontal="center" vertical="center" wrapText="1"/>
      <protection locked="0"/>
    </xf>
    <xf numFmtId="1" fontId="13" fillId="0" borderId="0" xfId="0" applyNumberFormat="1" applyFont="1" applyAlignment="1" applyProtection="1">
      <alignment horizontal="center" vertical="top" wrapText="1"/>
      <protection locked="0"/>
    </xf>
    <xf numFmtId="1" fontId="9" fillId="0" borderId="0" xfId="0" applyNumberFormat="1" applyFont="1" applyAlignment="1" applyProtection="1">
      <alignment horizontal="center" vertical="top" wrapText="1"/>
      <protection locked="0"/>
    </xf>
    <xf numFmtId="0" fontId="9" fillId="0" borderId="0" xfId="0" applyFont="1" applyAlignment="1" applyProtection="1">
      <alignment horizontal="center" vertical="top" wrapText="1"/>
      <protection locked="0"/>
    </xf>
    <xf numFmtId="1" fontId="36" fillId="0" borderId="0" xfId="0" applyNumberFormat="1" applyFont="1" applyAlignment="1" applyProtection="1">
      <alignment horizontal="center" vertical="top" wrapText="1"/>
      <protection locked="0"/>
    </xf>
    <xf numFmtId="0" fontId="36" fillId="0" borderId="0" xfId="0" applyFont="1" applyAlignment="1" applyProtection="1">
      <alignment horizontal="center" vertical="top" wrapText="1"/>
      <protection locked="0"/>
    </xf>
    <xf numFmtId="0" fontId="18" fillId="7" borderId="8" xfId="0" applyFont="1" applyFill="1" applyBorder="1" applyAlignment="1">
      <alignment horizontal="center" vertical="center"/>
    </xf>
    <xf numFmtId="0" fontId="2" fillId="6" borderId="8" xfId="1" applyFont="1" applyFill="1" applyBorder="1" applyAlignment="1">
      <alignment horizontal="center" vertical="center"/>
    </xf>
    <xf numFmtId="0" fontId="2" fillId="5" borderId="8" xfId="1" applyFont="1" applyFill="1" applyBorder="1" applyAlignment="1">
      <alignment horizontal="left" vertical="top" wrapText="1"/>
    </xf>
    <xf numFmtId="0" fontId="2" fillId="4" borderId="8" xfId="0" applyFont="1" applyFill="1" applyBorder="1" applyAlignment="1">
      <alignment horizontal="center" vertical="top" wrapText="1"/>
    </xf>
    <xf numFmtId="0" fontId="2" fillId="6" borderId="8" xfId="0" applyFont="1" applyFill="1" applyBorder="1" applyAlignment="1">
      <alignment horizontal="center" vertical="top"/>
    </xf>
    <xf numFmtId="0" fontId="5" fillId="3" borderId="8" xfId="1" applyFont="1" applyFill="1" applyBorder="1" applyAlignment="1" applyProtection="1">
      <alignment horizontal="left" vertical="center" wrapText="1"/>
      <protection locked="0"/>
    </xf>
    <xf numFmtId="0" fontId="2" fillId="5" borderId="8" xfId="1" applyFont="1" applyFill="1" applyBorder="1" applyAlignment="1">
      <alignment horizontal="left" vertical="center" wrapText="1"/>
    </xf>
    <xf numFmtId="0" fontId="23" fillId="3" borderId="8" xfId="4" applyFill="1" applyBorder="1" applyAlignment="1" applyProtection="1">
      <alignment horizontal="left" vertical="center" wrapText="1"/>
      <protection locked="0"/>
    </xf>
    <xf numFmtId="0" fontId="3" fillId="0" borderId="8" xfId="0" applyFont="1" applyBorder="1" applyAlignment="1">
      <alignment horizontal="left" vertical="center" wrapText="1"/>
    </xf>
    <xf numFmtId="0" fontId="3" fillId="4" borderId="8" xfId="0" applyFont="1" applyFill="1" applyBorder="1" applyAlignment="1">
      <alignment horizontal="left" vertical="center"/>
    </xf>
    <xf numFmtId="0" fontId="3" fillId="0" borderId="8" xfId="0" applyFont="1" applyBorder="1" applyAlignment="1">
      <alignment horizontal="left" vertical="center"/>
    </xf>
    <xf numFmtId="0" fontId="3" fillId="4" borderId="8" xfId="0" applyFont="1" applyFill="1" applyBorder="1" applyAlignment="1">
      <alignment horizontal="left" vertical="center" wrapText="1"/>
    </xf>
    <xf numFmtId="0" fontId="5" fillId="4" borderId="8" xfId="0" applyFont="1" applyFill="1" applyBorder="1" applyAlignment="1">
      <alignment horizontal="left" vertical="center" wrapText="1"/>
    </xf>
    <xf numFmtId="0" fontId="2" fillId="5" borderId="10" xfId="1" applyFont="1" applyFill="1" applyBorder="1" applyAlignment="1">
      <alignment horizontal="center" vertical="center" wrapText="1"/>
    </xf>
    <xf numFmtId="0" fontId="2" fillId="5" borderId="6" xfId="1" applyFont="1" applyFill="1" applyBorder="1" applyAlignment="1">
      <alignment horizontal="center" vertical="center" wrapText="1"/>
    </xf>
    <xf numFmtId="9" fontId="24" fillId="4" borderId="8" xfId="0" applyNumberFormat="1" applyFont="1" applyFill="1" applyBorder="1" applyAlignment="1">
      <alignment horizontal="center" vertical="center" wrapText="1"/>
    </xf>
    <xf numFmtId="0" fontId="24" fillId="4" borderId="8" xfId="0" applyFont="1" applyFill="1" applyBorder="1" applyAlignment="1">
      <alignment horizontal="center" vertical="center" wrapText="1"/>
    </xf>
    <xf numFmtId="0" fontId="23" fillId="0" borderId="8" xfId="4" applyBorder="1" applyAlignment="1">
      <alignment horizontal="left" vertical="center"/>
    </xf>
    <xf numFmtId="0" fontId="32" fillId="5" borderId="8" xfId="2" applyFont="1" applyFill="1" applyBorder="1" applyAlignment="1" applyProtection="1">
      <alignment horizontal="center" vertical="top"/>
      <protection locked="0"/>
    </xf>
    <xf numFmtId="0" fontId="10" fillId="0" borderId="7" xfId="2" applyFont="1" applyBorder="1" applyAlignment="1" applyProtection="1">
      <alignment horizontal="center" vertical="top" wrapText="1"/>
      <protection locked="0"/>
    </xf>
    <xf numFmtId="0" fontId="10" fillId="0" borderId="8" xfId="2" applyFont="1" applyBorder="1" applyAlignment="1" applyProtection="1">
      <alignment horizontal="center" vertical="top" wrapText="1"/>
      <protection locked="0"/>
    </xf>
    <xf numFmtId="0" fontId="10" fillId="0" borderId="14" xfId="2" applyFont="1" applyBorder="1" applyAlignment="1" applyProtection="1">
      <alignment horizontal="center" vertical="top" wrapText="1"/>
      <protection locked="0"/>
    </xf>
    <xf numFmtId="0" fontId="10" fillId="0" borderId="15" xfId="2" applyFont="1" applyBorder="1" applyAlignment="1" applyProtection="1">
      <alignment horizontal="center" vertical="top" wrapText="1"/>
      <protection locked="0"/>
    </xf>
    <xf numFmtId="9" fontId="10" fillId="4" borderId="8" xfId="2" applyNumberFormat="1" applyFont="1" applyFill="1" applyBorder="1" applyAlignment="1" applyProtection="1">
      <alignment horizontal="center" vertical="center" wrapText="1"/>
      <protection hidden="1"/>
    </xf>
    <xf numFmtId="9" fontId="10" fillId="4" borderId="15" xfId="2" applyNumberFormat="1" applyFont="1" applyFill="1" applyBorder="1" applyAlignment="1" applyProtection="1">
      <alignment horizontal="center" vertical="center" wrapText="1"/>
      <protection hidden="1"/>
    </xf>
    <xf numFmtId="9" fontId="10" fillId="4" borderId="9" xfId="2" applyNumberFormat="1" applyFont="1" applyFill="1" applyBorder="1" applyAlignment="1" applyProtection="1">
      <alignment horizontal="center" vertical="center" wrapText="1"/>
      <protection hidden="1"/>
    </xf>
    <xf numFmtId="9" fontId="10" fillId="4" borderId="23" xfId="2" applyNumberFormat="1" applyFont="1" applyFill="1" applyBorder="1" applyAlignment="1" applyProtection="1">
      <alignment horizontal="center" vertical="center" wrapText="1"/>
      <protection hidden="1"/>
    </xf>
    <xf numFmtId="0" fontId="10" fillId="0" borderId="7" xfId="2" applyFont="1" applyBorder="1" applyAlignment="1" applyProtection="1">
      <alignment horizontal="center" vertical="top"/>
      <protection locked="0"/>
    </xf>
    <xf numFmtId="0" fontId="10" fillId="0" borderId="8" xfId="2" applyFont="1" applyBorder="1" applyAlignment="1" applyProtection="1">
      <alignment horizontal="center" vertical="top"/>
      <protection locked="0"/>
    </xf>
    <xf numFmtId="0" fontId="9" fillId="0" borderId="18" xfId="2" applyFont="1" applyBorder="1" applyAlignment="1" applyProtection="1">
      <alignment horizontal="left" vertical="top" wrapText="1"/>
      <protection locked="0"/>
    </xf>
    <xf numFmtId="0" fontId="9" fillId="0" borderId="19" xfId="2" applyFont="1" applyBorder="1" applyAlignment="1" applyProtection="1">
      <alignment horizontal="left" vertical="top" wrapText="1"/>
      <protection locked="0"/>
    </xf>
    <xf numFmtId="0" fontId="9" fillId="0" borderId="20" xfId="2" applyFont="1" applyBorder="1" applyAlignment="1" applyProtection="1">
      <alignment horizontal="left" vertical="top" wrapText="1"/>
      <protection locked="0"/>
    </xf>
    <xf numFmtId="0" fontId="9" fillId="0" borderId="21" xfId="2" applyFont="1" applyBorder="1" applyAlignment="1" applyProtection="1">
      <alignment horizontal="left" vertical="top" wrapText="1"/>
      <protection locked="0"/>
    </xf>
    <xf numFmtId="0" fontId="9" fillId="0" borderId="22" xfId="2" applyFont="1" applyBorder="1" applyAlignment="1" applyProtection="1">
      <alignment horizontal="left" vertical="top" wrapText="1"/>
      <protection locked="0"/>
    </xf>
    <xf numFmtId="0" fontId="9" fillId="0" borderId="7" xfId="2" applyFont="1" applyBorder="1" applyAlignment="1" applyProtection="1">
      <alignment horizontal="left" vertical="top"/>
      <protection locked="0"/>
    </xf>
    <xf numFmtId="0" fontId="9" fillId="0" borderId="8" xfId="2" applyFont="1" applyBorder="1" applyAlignment="1" applyProtection="1">
      <alignment horizontal="left" vertical="top"/>
      <protection locked="0"/>
    </xf>
    <xf numFmtId="0" fontId="9" fillId="0" borderId="8" xfId="2" applyFont="1" applyBorder="1" applyAlignment="1" applyProtection="1">
      <alignment horizontal="left" vertical="top" wrapText="1"/>
      <protection locked="0"/>
    </xf>
    <xf numFmtId="0" fontId="9" fillId="0" borderId="9" xfId="2" applyFont="1" applyBorder="1" applyAlignment="1" applyProtection="1">
      <alignment horizontal="left" vertical="top" wrapText="1"/>
      <protection locked="0"/>
    </xf>
    <xf numFmtId="0" fontId="10" fillId="0" borderId="9" xfId="2" applyFont="1" applyBorder="1" applyAlignment="1" applyProtection="1">
      <alignment horizontal="center" vertical="top" wrapText="1"/>
      <protection locked="0"/>
    </xf>
    <xf numFmtId="0" fontId="2" fillId="5" borderId="10" xfId="1" applyFont="1" applyFill="1" applyBorder="1" applyAlignment="1">
      <alignment horizontal="left" vertical="center" wrapText="1"/>
    </xf>
    <xf numFmtId="0" fontId="2" fillId="5" borderId="6" xfId="1" applyFont="1" applyFill="1" applyBorder="1" applyAlignment="1">
      <alignment horizontal="left" vertical="center" wrapText="1"/>
    </xf>
    <xf numFmtId="0" fontId="0" fillId="0" borderId="26" xfId="0" applyBorder="1" applyAlignment="1">
      <alignment horizontal="center" vertical="center"/>
    </xf>
    <xf numFmtId="0" fontId="0" fillId="0" borderId="27" xfId="0" applyBorder="1" applyAlignment="1">
      <alignment horizontal="center" vertical="center"/>
    </xf>
    <xf numFmtId="9" fontId="37" fillId="0" borderId="27" xfId="0" applyNumberFormat="1" applyFont="1" applyBorder="1" applyAlignment="1">
      <alignment horizontal="center" vertical="center"/>
    </xf>
    <xf numFmtId="0" fontId="37" fillId="0" borderId="28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37" fillId="0" borderId="15" xfId="0" applyFont="1" applyBorder="1" applyAlignment="1">
      <alignment horizontal="center" vertical="center"/>
    </xf>
    <xf numFmtId="0" fontId="37" fillId="0" borderId="23" xfId="0" applyFont="1" applyBorder="1" applyAlignment="1">
      <alignment horizontal="center" vertical="center"/>
    </xf>
    <xf numFmtId="0" fontId="8" fillId="0" borderId="0" xfId="0" applyFont="1" applyAlignment="1" applyProtection="1">
      <alignment horizontal="center" vertical="center"/>
      <protection hidden="1"/>
    </xf>
    <xf numFmtId="1" fontId="7" fillId="0" borderId="0" xfId="0" applyNumberFormat="1" applyFont="1" applyAlignment="1">
      <alignment horizontal="center" vertical="center"/>
    </xf>
    <xf numFmtId="0" fontId="38" fillId="0" borderId="8" xfId="0" applyFont="1" applyBorder="1" applyAlignment="1">
      <alignment horizontal="left" vertical="top"/>
    </xf>
    <xf numFmtId="0" fontId="24" fillId="3" borderId="8" xfId="1" applyFont="1" applyFill="1" applyBorder="1" applyAlignment="1" applyProtection="1">
      <alignment horizontal="left" vertical="center" wrapText="1"/>
      <protection locked="0"/>
    </xf>
  </cellXfs>
  <cellStyles count="5">
    <cellStyle name="Excel Built-in Normal" xfId="3" xr:uid="{00000000-0005-0000-0000-000000000000}"/>
    <cellStyle name="Hyperlink" xfId="4" builtinId="8"/>
    <cellStyle name="Normal" xfId="0" builtinId="0"/>
    <cellStyle name="Normal 2" xfId="1" xr:uid="{00000000-0005-0000-0000-000003000000}"/>
    <cellStyle name="Normal 3" xfId="2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jpeg"/><Relationship Id="rId13" Type="http://schemas.openxmlformats.org/officeDocument/2006/relationships/image" Target="../media/image13.jpeg"/><Relationship Id="rId18" Type="http://schemas.openxmlformats.org/officeDocument/2006/relationships/image" Target="../media/image18.jpeg"/><Relationship Id="rId3" Type="http://schemas.openxmlformats.org/officeDocument/2006/relationships/image" Target="../media/image3.png"/><Relationship Id="rId7" Type="http://schemas.openxmlformats.org/officeDocument/2006/relationships/image" Target="../media/image7.jpeg"/><Relationship Id="rId12" Type="http://schemas.openxmlformats.org/officeDocument/2006/relationships/image" Target="../media/image12.jpeg"/><Relationship Id="rId17" Type="http://schemas.openxmlformats.org/officeDocument/2006/relationships/image" Target="../media/image17.jpg"/><Relationship Id="rId2" Type="http://schemas.openxmlformats.org/officeDocument/2006/relationships/image" Target="../media/image2.png"/><Relationship Id="rId16" Type="http://schemas.openxmlformats.org/officeDocument/2006/relationships/image" Target="../media/image16.jpeg"/><Relationship Id="rId1" Type="http://schemas.openxmlformats.org/officeDocument/2006/relationships/image" Target="../media/image1.png"/><Relationship Id="rId6" Type="http://schemas.openxmlformats.org/officeDocument/2006/relationships/image" Target="../media/image6.jpeg"/><Relationship Id="rId11" Type="http://schemas.openxmlformats.org/officeDocument/2006/relationships/image" Target="../media/image11.jpeg"/><Relationship Id="rId5" Type="http://schemas.openxmlformats.org/officeDocument/2006/relationships/image" Target="../media/image5.jpeg"/><Relationship Id="rId15" Type="http://schemas.openxmlformats.org/officeDocument/2006/relationships/image" Target="../media/image15.jpeg"/><Relationship Id="rId10" Type="http://schemas.openxmlformats.org/officeDocument/2006/relationships/image" Target="../media/image10.jpeg"/><Relationship Id="rId19" Type="http://schemas.openxmlformats.org/officeDocument/2006/relationships/image" Target="../media/image19.jpeg"/><Relationship Id="rId4" Type="http://schemas.openxmlformats.org/officeDocument/2006/relationships/image" Target="../media/image4.jpeg"/><Relationship Id="rId9" Type="http://schemas.openxmlformats.org/officeDocument/2006/relationships/image" Target="../media/image9.jpeg"/><Relationship Id="rId14" Type="http://schemas.openxmlformats.org/officeDocument/2006/relationships/image" Target="../media/image14.jpe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20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571500</xdr:colOff>
      <xdr:row>533</xdr:row>
      <xdr:rowOff>44823</xdr:rowOff>
    </xdr:from>
    <xdr:to>
      <xdr:col>8</xdr:col>
      <xdr:colOff>1131795</xdr:colOff>
      <xdr:row>536</xdr:row>
      <xdr:rowOff>145676</xdr:rowOff>
    </xdr:to>
    <xdr:sp macro="" textlink="">
      <xdr:nvSpPr>
        <xdr:cNvPr id="10" name="Rectangle 9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/>
      </xdr:nvSpPr>
      <xdr:spPr>
        <a:xfrm>
          <a:off x="7608794" y="113571617"/>
          <a:ext cx="1882589" cy="672353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n-IN" sz="1100" baseline="0">
              <a:ln>
                <a:noFill/>
              </a:ln>
              <a:solidFill>
                <a:srgbClr val="C00000"/>
              </a:solidFill>
            </a:rPr>
            <a:t> </a:t>
          </a:r>
          <a:r>
            <a:rPr lang="en-IN" sz="2000" b="1" baseline="0">
              <a:ln>
                <a:noFill/>
              </a:ln>
              <a:solidFill>
                <a:srgbClr val="C00000"/>
              </a:solidFill>
            </a:rPr>
            <a:t>A Wing</a:t>
          </a:r>
          <a:endParaRPr lang="en-IN" sz="2000" b="1">
            <a:ln>
              <a:noFill/>
            </a:ln>
            <a:solidFill>
              <a:srgbClr val="C00000"/>
            </a:solidFill>
          </a:endParaRPr>
        </a:p>
      </xdr:txBody>
    </xdr:sp>
    <xdr:clientData/>
  </xdr:twoCellAnchor>
  <xdr:twoCellAnchor>
    <xdr:from>
      <xdr:col>9</xdr:col>
      <xdr:colOff>40341</xdr:colOff>
      <xdr:row>532</xdr:row>
      <xdr:rowOff>152400</xdr:rowOff>
    </xdr:from>
    <xdr:to>
      <xdr:col>11</xdr:col>
      <xdr:colOff>600636</xdr:colOff>
      <xdr:row>536</xdr:row>
      <xdr:rowOff>62753</xdr:rowOff>
    </xdr:to>
    <xdr:sp macro="" textlink="">
      <xdr:nvSpPr>
        <xdr:cNvPr id="11" name="Rectangle 10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/>
      </xdr:nvSpPr>
      <xdr:spPr>
        <a:xfrm>
          <a:off x="10080812" y="113488694"/>
          <a:ext cx="1882589" cy="672353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n-IN" sz="1100" baseline="0">
              <a:ln>
                <a:noFill/>
              </a:ln>
              <a:solidFill>
                <a:srgbClr val="C00000"/>
              </a:solidFill>
            </a:rPr>
            <a:t> </a:t>
          </a:r>
          <a:r>
            <a:rPr lang="en-IN" sz="2000" b="1" baseline="0">
              <a:ln>
                <a:noFill/>
              </a:ln>
              <a:solidFill>
                <a:srgbClr val="C00000"/>
              </a:solidFill>
            </a:rPr>
            <a:t>B Wing</a:t>
          </a:r>
          <a:endParaRPr lang="en-IN" sz="2000" b="1">
            <a:ln>
              <a:noFill/>
            </a:ln>
            <a:solidFill>
              <a:srgbClr val="C00000"/>
            </a:solidFill>
          </a:endParaRPr>
        </a:p>
      </xdr:txBody>
    </xdr:sp>
    <xdr:clientData/>
  </xdr:twoCellAnchor>
  <xdr:twoCellAnchor editAs="oneCell">
    <xdr:from>
      <xdr:col>0</xdr:col>
      <xdr:colOff>224120</xdr:colOff>
      <xdr:row>580</xdr:row>
      <xdr:rowOff>0</xdr:rowOff>
    </xdr:from>
    <xdr:to>
      <xdr:col>5</xdr:col>
      <xdr:colOff>1125597</xdr:colOff>
      <xdr:row>604</xdr:row>
      <xdr:rowOff>108001</xdr:rowOff>
    </xdr:to>
    <xdr:pic>
      <xdr:nvPicPr>
        <xdr:cNvPr id="19" name="Picture 18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17281" t="22641" r="31800" b="12971"/>
        <a:stretch/>
      </xdr:blipFill>
      <xdr:spPr>
        <a:xfrm>
          <a:off x="224120" y="122480294"/>
          <a:ext cx="6582859" cy="4680000"/>
        </a:xfrm>
        <a:prstGeom prst="rect">
          <a:avLst/>
        </a:prstGeom>
        <a:ln>
          <a:solidFill>
            <a:schemeClr val="tx1"/>
          </a:solidFill>
        </a:ln>
      </xdr:spPr>
    </xdr:pic>
    <xdr:clientData/>
  </xdr:twoCellAnchor>
  <xdr:twoCellAnchor editAs="oneCell">
    <xdr:from>
      <xdr:col>0</xdr:col>
      <xdr:colOff>381004</xdr:colOff>
      <xdr:row>625</xdr:row>
      <xdr:rowOff>0</xdr:rowOff>
    </xdr:from>
    <xdr:to>
      <xdr:col>5</xdr:col>
      <xdr:colOff>939620</xdr:colOff>
      <xdr:row>647</xdr:row>
      <xdr:rowOff>128999</xdr:rowOff>
    </xdr:to>
    <xdr:pic>
      <xdr:nvPicPr>
        <xdr:cNvPr id="37" name="Picture 36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381004" y="131052794"/>
          <a:ext cx="6239998" cy="4320000"/>
        </a:xfrm>
        <a:prstGeom prst="rect">
          <a:avLst/>
        </a:prstGeom>
        <a:ln>
          <a:solidFill>
            <a:schemeClr val="tx1"/>
          </a:solidFill>
        </a:ln>
      </xdr:spPr>
    </xdr:pic>
    <xdr:clientData/>
  </xdr:twoCellAnchor>
  <xdr:twoCellAnchor editAs="oneCell">
    <xdr:from>
      <xdr:col>0</xdr:col>
      <xdr:colOff>381270</xdr:colOff>
      <xdr:row>648</xdr:row>
      <xdr:rowOff>121486</xdr:rowOff>
    </xdr:from>
    <xdr:to>
      <xdr:col>5</xdr:col>
      <xdr:colOff>922367</xdr:colOff>
      <xdr:row>663</xdr:row>
      <xdr:rowOff>143985</xdr:rowOff>
    </xdr:to>
    <xdr:pic>
      <xdr:nvPicPr>
        <xdr:cNvPr id="38" name="Picture 37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381270" y="135555780"/>
          <a:ext cx="6222479" cy="2880000"/>
        </a:xfrm>
        <a:prstGeom prst="rect">
          <a:avLst/>
        </a:prstGeom>
        <a:ln>
          <a:solidFill>
            <a:schemeClr val="tx1"/>
          </a:solidFill>
        </a:ln>
      </xdr:spPr>
    </xdr:pic>
    <xdr:clientData/>
  </xdr:twoCellAnchor>
  <xdr:twoCellAnchor editAs="oneCell">
    <xdr:from>
      <xdr:col>13</xdr:col>
      <xdr:colOff>338166</xdr:colOff>
      <xdr:row>558</xdr:row>
      <xdr:rowOff>22084</xdr:rowOff>
    </xdr:from>
    <xdr:to>
      <xdr:col>16</xdr:col>
      <xdr:colOff>479501</xdr:colOff>
      <xdr:row>571</xdr:row>
      <xdr:rowOff>132614</xdr:rowOff>
    </xdr:to>
    <xdr:pic>
      <xdr:nvPicPr>
        <xdr:cNvPr id="15" name="Picture 14" descr="https://vsjcllp.vsjadon.com/upload/insp-180981-1525.jpg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7888" y="115501527"/>
          <a:ext cx="1970135" cy="2522426"/>
        </a:xfrm>
        <a:prstGeom prst="rect">
          <a:avLst/>
        </a:prstGeom>
        <a:noFill/>
        <a:ln>
          <a:solidFill>
            <a:schemeClr val="tx1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267099</xdr:colOff>
      <xdr:row>544</xdr:row>
      <xdr:rowOff>28378</xdr:rowOff>
    </xdr:from>
    <xdr:to>
      <xdr:col>12</xdr:col>
      <xdr:colOff>374868</xdr:colOff>
      <xdr:row>557</xdr:row>
      <xdr:rowOff>143878</xdr:rowOff>
    </xdr:to>
    <xdr:pic>
      <xdr:nvPicPr>
        <xdr:cNvPr id="16" name="Picture 15" descr="https://vsjcllp.vsjadon.com/upload/insp-180981-843.jpg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31656" y="112910395"/>
          <a:ext cx="3553334" cy="2527396"/>
        </a:xfrm>
        <a:prstGeom prst="rect">
          <a:avLst/>
        </a:prstGeom>
        <a:noFill/>
        <a:ln>
          <a:solidFill>
            <a:schemeClr val="tx1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574274</xdr:colOff>
      <xdr:row>530</xdr:row>
      <xdr:rowOff>1510633</xdr:rowOff>
    </xdr:from>
    <xdr:to>
      <xdr:col>13</xdr:col>
      <xdr:colOff>141254</xdr:colOff>
      <xdr:row>543</xdr:row>
      <xdr:rowOff>155142</xdr:rowOff>
    </xdr:to>
    <xdr:pic>
      <xdr:nvPicPr>
        <xdr:cNvPr id="17" name="Picture 16" descr="https://vsjcllp.vsjadon.com/upload/insp-180981-844.jpg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55596" y="110324233"/>
          <a:ext cx="2005380" cy="2527396"/>
        </a:xfrm>
        <a:prstGeom prst="rect">
          <a:avLst/>
        </a:prstGeom>
        <a:noFill/>
        <a:ln>
          <a:solidFill>
            <a:schemeClr val="tx1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126825</xdr:colOff>
      <xdr:row>558</xdr:row>
      <xdr:rowOff>22084</xdr:rowOff>
    </xdr:from>
    <xdr:to>
      <xdr:col>9</xdr:col>
      <xdr:colOff>489164</xdr:colOff>
      <xdr:row>571</xdr:row>
      <xdr:rowOff>132614</xdr:rowOff>
    </xdr:to>
    <xdr:pic>
      <xdr:nvPicPr>
        <xdr:cNvPr id="18" name="Picture 17" descr="https://vsjcllp.vsjadon.com/upload/insp-180981-847.jpg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91382" y="115501527"/>
          <a:ext cx="1979104" cy="2522426"/>
        </a:xfrm>
        <a:prstGeom prst="rect">
          <a:avLst/>
        </a:prstGeom>
        <a:noFill/>
        <a:ln>
          <a:solidFill>
            <a:schemeClr val="tx1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51524</xdr:colOff>
      <xdr:row>530</xdr:row>
      <xdr:rowOff>1510633</xdr:rowOff>
    </xdr:from>
    <xdr:to>
      <xdr:col>9</xdr:col>
      <xdr:colOff>413863</xdr:colOff>
      <xdr:row>543</xdr:row>
      <xdr:rowOff>155142</xdr:rowOff>
    </xdr:to>
    <xdr:pic>
      <xdr:nvPicPr>
        <xdr:cNvPr id="20" name="Picture 19" descr="https://vsjcllp.vsjadon.com/upload/insp-180981-849.jpg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16081" y="110324233"/>
          <a:ext cx="1979104" cy="2527396"/>
        </a:xfrm>
        <a:prstGeom prst="rect">
          <a:avLst/>
        </a:prstGeom>
        <a:noFill/>
        <a:ln>
          <a:solidFill>
            <a:schemeClr val="tx1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338166</xdr:colOff>
      <xdr:row>530</xdr:row>
      <xdr:rowOff>1532858</xdr:rowOff>
    </xdr:from>
    <xdr:to>
      <xdr:col>16</xdr:col>
      <xdr:colOff>479501</xdr:colOff>
      <xdr:row>543</xdr:row>
      <xdr:rowOff>177367</xdr:rowOff>
    </xdr:to>
    <xdr:pic>
      <xdr:nvPicPr>
        <xdr:cNvPr id="21" name="Picture 20" descr="https://vsjcllp.vsjadon.com/upload/insp-180981-851.jpg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57888" y="110346458"/>
          <a:ext cx="1970135" cy="2527396"/>
        </a:xfrm>
        <a:prstGeom prst="rect">
          <a:avLst/>
        </a:prstGeom>
        <a:noFill/>
        <a:ln>
          <a:solidFill>
            <a:schemeClr val="tx1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574274</xdr:colOff>
      <xdr:row>558</xdr:row>
      <xdr:rowOff>22084</xdr:rowOff>
    </xdr:from>
    <xdr:to>
      <xdr:col>13</xdr:col>
      <xdr:colOff>141254</xdr:colOff>
      <xdr:row>571</xdr:row>
      <xdr:rowOff>132614</xdr:rowOff>
    </xdr:to>
    <xdr:pic>
      <xdr:nvPicPr>
        <xdr:cNvPr id="22" name="Picture 21" descr="https://vsjcllp.vsjadon.com/upload/insp-180981-877.jpg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55596" y="115501527"/>
          <a:ext cx="2005380" cy="2522426"/>
        </a:xfrm>
        <a:prstGeom prst="rect">
          <a:avLst/>
        </a:prstGeom>
        <a:noFill/>
        <a:ln>
          <a:solidFill>
            <a:schemeClr val="tx1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545731</xdr:colOff>
      <xdr:row>544</xdr:row>
      <xdr:rowOff>28378</xdr:rowOff>
    </xdr:from>
    <xdr:to>
      <xdr:col>16</xdr:col>
      <xdr:colOff>113967</xdr:colOff>
      <xdr:row>557</xdr:row>
      <xdr:rowOff>143878</xdr:rowOff>
    </xdr:to>
    <xdr:pic>
      <xdr:nvPicPr>
        <xdr:cNvPr id="23" name="Picture 22" descr="https://vsjcllp.vsjadon.com/upload/insp-180981-883.jpg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55853" y="112910395"/>
          <a:ext cx="2006636" cy="2527396"/>
        </a:xfrm>
        <a:prstGeom prst="rect">
          <a:avLst/>
        </a:prstGeom>
        <a:noFill/>
        <a:ln>
          <a:solidFill>
            <a:schemeClr val="tx1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821636</xdr:colOff>
      <xdr:row>532</xdr:row>
      <xdr:rowOff>119270</xdr:rowOff>
    </xdr:from>
    <xdr:to>
      <xdr:col>5</xdr:col>
      <xdr:colOff>160860</xdr:colOff>
      <xdr:row>575</xdr:row>
      <xdr:rowOff>81843</xdr:rowOff>
    </xdr:to>
    <xdr:grpSp>
      <xdr:nvGrpSpPr>
        <xdr:cNvPr id="2" name="Group 1">
          <a:extLst>
            <a:ext uri="{FF2B5EF4-FFF2-40B4-BE49-F238E27FC236}">
              <a16:creationId xmlns:a16="http://schemas.microsoft.com/office/drawing/2014/main" id="{139B9E39-11B2-0014-87CB-3FD59A3A8218}"/>
            </a:ext>
          </a:extLst>
        </xdr:cNvPr>
        <xdr:cNvGrpSpPr/>
      </xdr:nvGrpSpPr>
      <xdr:grpSpPr>
        <a:xfrm>
          <a:off x="821636" y="110536383"/>
          <a:ext cx="4785867" cy="7940382"/>
          <a:chOff x="904911" y="252000"/>
          <a:chExt cx="4785867" cy="7940382"/>
        </a:xfrm>
      </xdr:grpSpPr>
      <xdr:grpSp>
        <xdr:nvGrpSpPr>
          <xdr:cNvPr id="3" name="Group 2">
            <a:extLst>
              <a:ext uri="{FF2B5EF4-FFF2-40B4-BE49-F238E27FC236}">
                <a16:creationId xmlns:a16="http://schemas.microsoft.com/office/drawing/2014/main" id="{E0551BB6-9B3B-D468-E134-78233FD55EAD}"/>
              </a:ext>
            </a:extLst>
          </xdr:cNvPr>
          <xdr:cNvGrpSpPr/>
        </xdr:nvGrpSpPr>
        <xdr:grpSpPr>
          <a:xfrm>
            <a:off x="1126291" y="4572000"/>
            <a:ext cx="4343106" cy="1800000"/>
            <a:chOff x="385146" y="4530600"/>
            <a:chExt cx="4343106" cy="1800000"/>
          </a:xfrm>
        </xdr:grpSpPr>
        <xdr:pic>
          <xdr:nvPicPr>
            <xdr:cNvPr id="26" name="Picture 25">
              <a:extLst>
                <a:ext uri="{FF2B5EF4-FFF2-40B4-BE49-F238E27FC236}">
                  <a16:creationId xmlns:a16="http://schemas.microsoft.com/office/drawing/2014/main" id="{C194A4B6-15F7-8C26-60C0-F395D44BDDAA}"/>
                </a:ext>
              </a:extLst>
            </xdr:cNvPr>
            <xdr:cNvPicPr>
              <a:picLocks noChangeAspect="1"/>
            </xdr:cNvPicPr>
          </xdr:nvPicPr>
          <xdr:blipFill>
            <a:blip xmlns:r="http://schemas.openxmlformats.org/officeDocument/2006/relationships" r:embed="rId12" cstate="print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tretch>
              <a:fillRect/>
            </a:stretch>
          </xdr:blipFill>
          <xdr:spPr>
            <a:xfrm>
              <a:off x="1895198" y="4530600"/>
              <a:ext cx="1348593" cy="1800000"/>
            </a:xfrm>
            <a:prstGeom prst="rect">
              <a:avLst/>
            </a:prstGeom>
            <a:ln>
              <a:solidFill>
                <a:schemeClr val="tx1"/>
              </a:solidFill>
            </a:ln>
          </xdr:spPr>
        </xdr:pic>
        <xdr:pic>
          <xdr:nvPicPr>
            <xdr:cNvPr id="27" name="Picture 26">
              <a:extLst>
                <a:ext uri="{FF2B5EF4-FFF2-40B4-BE49-F238E27FC236}">
                  <a16:creationId xmlns:a16="http://schemas.microsoft.com/office/drawing/2014/main" id="{4D89BF00-F792-4ED9-3F1D-04F526843816}"/>
                </a:ext>
              </a:extLst>
            </xdr:cNvPr>
            <xdr:cNvPicPr>
              <a:picLocks noChangeAspect="1"/>
            </xdr:cNvPicPr>
          </xdr:nvPicPr>
          <xdr:blipFill>
            <a:blip xmlns:r="http://schemas.openxmlformats.org/officeDocument/2006/relationships" r:embed="rId13" cstate="print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tretch>
              <a:fillRect/>
            </a:stretch>
          </xdr:blipFill>
          <xdr:spPr>
            <a:xfrm>
              <a:off x="385146" y="4530600"/>
              <a:ext cx="1348593" cy="1800000"/>
            </a:xfrm>
            <a:prstGeom prst="rect">
              <a:avLst/>
            </a:prstGeom>
            <a:ln>
              <a:solidFill>
                <a:schemeClr val="tx1"/>
              </a:solidFill>
            </a:ln>
          </xdr:spPr>
        </xdr:pic>
        <xdr:pic>
          <xdr:nvPicPr>
            <xdr:cNvPr id="28" name="Picture 27">
              <a:extLst>
                <a:ext uri="{FF2B5EF4-FFF2-40B4-BE49-F238E27FC236}">
                  <a16:creationId xmlns:a16="http://schemas.microsoft.com/office/drawing/2014/main" id="{C0B06CEC-AF07-07C1-F916-66938EB51693}"/>
                </a:ext>
              </a:extLst>
            </xdr:cNvPr>
            <xdr:cNvPicPr>
              <a:picLocks noChangeAspect="1"/>
            </xdr:cNvPicPr>
          </xdr:nvPicPr>
          <xdr:blipFill>
            <a:blip xmlns:r="http://schemas.openxmlformats.org/officeDocument/2006/relationships" r:embed="rId14" cstate="print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tretch>
              <a:fillRect/>
            </a:stretch>
          </xdr:blipFill>
          <xdr:spPr>
            <a:xfrm>
              <a:off x="3379659" y="4530600"/>
              <a:ext cx="1348593" cy="1800000"/>
            </a:xfrm>
            <a:prstGeom prst="rect">
              <a:avLst/>
            </a:prstGeom>
            <a:ln>
              <a:solidFill>
                <a:schemeClr val="tx1"/>
              </a:solidFill>
            </a:ln>
          </xdr:spPr>
        </xdr:pic>
      </xdr:grpSp>
      <xdr:grpSp>
        <xdr:nvGrpSpPr>
          <xdr:cNvPr id="4" name="Group 3">
            <a:extLst>
              <a:ext uri="{FF2B5EF4-FFF2-40B4-BE49-F238E27FC236}">
                <a16:creationId xmlns:a16="http://schemas.microsoft.com/office/drawing/2014/main" id="{D240D016-6702-4F0F-6545-57DD944E8892}"/>
              </a:ext>
            </a:extLst>
          </xdr:cNvPr>
          <xdr:cNvGrpSpPr/>
        </xdr:nvGrpSpPr>
        <xdr:grpSpPr>
          <a:xfrm>
            <a:off x="2003381" y="6572382"/>
            <a:ext cx="2588927" cy="1620000"/>
            <a:chOff x="520005" y="6530982"/>
            <a:chExt cx="2588927" cy="1620000"/>
          </a:xfrm>
        </xdr:grpSpPr>
        <xdr:pic>
          <xdr:nvPicPr>
            <xdr:cNvPr id="24" name="Picture 23">
              <a:extLst>
                <a:ext uri="{FF2B5EF4-FFF2-40B4-BE49-F238E27FC236}">
                  <a16:creationId xmlns:a16="http://schemas.microsoft.com/office/drawing/2014/main" id="{A216D34C-56B0-76C4-B3E3-380FEBD9D24A}"/>
                </a:ext>
              </a:extLst>
            </xdr:cNvPr>
            <xdr:cNvPicPr>
              <a:picLocks noChangeAspect="1"/>
            </xdr:cNvPicPr>
          </xdr:nvPicPr>
          <xdr:blipFill>
            <a:blip xmlns:r="http://schemas.openxmlformats.org/officeDocument/2006/relationships" r:embed="rId15" cstate="print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tretch>
              <a:fillRect/>
            </a:stretch>
          </xdr:blipFill>
          <xdr:spPr>
            <a:xfrm>
              <a:off x="520005" y="6530982"/>
              <a:ext cx="1213734" cy="1620000"/>
            </a:xfrm>
            <a:prstGeom prst="rect">
              <a:avLst/>
            </a:prstGeom>
            <a:ln>
              <a:solidFill>
                <a:schemeClr val="tx1"/>
              </a:solidFill>
            </a:ln>
          </xdr:spPr>
        </xdr:pic>
        <xdr:pic>
          <xdr:nvPicPr>
            <xdr:cNvPr id="25" name="Picture 24">
              <a:extLst>
                <a:ext uri="{FF2B5EF4-FFF2-40B4-BE49-F238E27FC236}">
                  <a16:creationId xmlns:a16="http://schemas.microsoft.com/office/drawing/2014/main" id="{090F8D59-D1A6-5871-EDB1-FBFF2CCF29D5}"/>
                </a:ext>
              </a:extLst>
            </xdr:cNvPr>
            <xdr:cNvPicPr>
              <a:picLocks noChangeAspect="1"/>
            </xdr:cNvPicPr>
          </xdr:nvPicPr>
          <xdr:blipFill>
            <a:blip xmlns:r="http://schemas.openxmlformats.org/officeDocument/2006/relationships" r:embed="rId16" cstate="print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tretch>
              <a:fillRect/>
            </a:stretch>
          </xdr:blipFill>
          <xdr:spPr>
            <a:xfrm>
              <a:off x="1895198" y="6530982"/>
              <a:ext cx="1213734" cy="1620000"/>
            </a:xfrm>
            <a:prstGeom prst="rect">
              <a:avLst/>
            </a:prstGeom>
            <a:ln>
              <a:solidFill>
                <a:schemeClr val="tx1"/>
              </a:solidFill>
            </a:ln>
          </xdr:spPr>
        </xdr:pic>
      </xdr:grpSp>
      <xdr:grpSp>
        <xdr:nvGrpSpPr>
          <xdr:cNvPr id="5" name="Group 4">
            <a:extLst>
              <a:ext uri="{FF2B5EF4-FFF2-40B4-BE49-F238E27FC236}">
                <a16:creationId xmlns:a16="http://schemas.microsoft.com/office/drawing/2014/main" id="{D22CCF03-CFFD-8F3F-579A-72E3C5CEEC2A}"/>
              </a:ext>
            </a:extLst>
          </xdr:cNvPr>
          <xdr:cNvGrpSpPr/>
        </xdr:nvGrpSpPr>
        <xdr:grpSpPr>
          <a:xfrm>
            <a:off x="904911" y="252000"/>
            <a:ext cx="4785867" cy="4140000"/>
            <a:chOff x="277894" y="210600"/>
            <a:chExt cx="4785867" cy="4140000"/>
          </a:xfrm>
        </xdr:grpSpPr>
        <xdr:pic>
          <xdr:nvPicPr>
            <xdr:cNvPr id="12" name="Picture 11">
              <a:extLst>
                <a:ext uri="{FF2B5EF4-FFF2-40B4-BE49-F238E27FC236}">
                  <a16:creationId xmlns:a16="http://schemas.microsoft.com/office/drawing/2014/main" id="{BBEEA262-3E4A-9F03-C0D8-2E635BB884A8}"/>
                </a:ext>
              </a:extLst>
            </xdr:cNvPr>
            <xdr:cNvPicPr>
              <a:picLocks noChangeAspect="1"/>
            </xdr:cNvPicPr>
          </xdr:nvPicPr>
          <xdr:blipFill>
            <a:blip xmlns:r="http://schemas.openxmlformats.org/officeDocument/2006/relationships" r:embed="rId17" cstate="print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tretch>
              <a:fillRect/>
            </a:stretch>
          </xdr:blipFill>
          <xdr:spPr>
            <a:xfrm>
              <a:off x="277894" y="210600"/>
              <a:ext cx="3101765" cy="4140000"/>
            </a:xfrm>
            <a:prstGeom prst="rect">
              <a:avLst/>
            </a:prstGeom>
            <a:ln>
              <a:solidFill>
                <a:schemeClr val="tx1"/>
              </a:solidFill>
            </a:ln>
          </xdr:spPr>
        </xdr:pic>
        <xdr:pic>
          <xdr:nvPicPr>
            <xdr:cNvPr id="13" name="Picture 12">
              <a:extLst>
                <a:ext uri="{FF2B5EF4-FFF2-40B4-BE49-F238E27FC236}">
                  <a16:creationId xmlns:a16="http://schemas.microsoft.com/office/drawing/2014/main" id="{436B534D-C1DF-9A81-C01F-2A38D749026B}"/>
                </a:ext>
              </a:extLst>
            </xdr:cNvPr>
            <xdr:cNvPicPr>
              <a:picLocks noChangeAspect="1"/>
            </xdr:cNvPicPr>
          </xdr:nvPicPr>
          <xdr:blipFill>
            <a:blip xmlns:r="http://schemas.openxmlformats.org/officeDocument/2006/relationships" r:embed="rId18" cstate="print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tretch>
              <a:fillRect/>
            </a:stretch>
          </xdr:blipFill>
          <xdr:spPr>
            <a:xfrm>
              <a:off x="3580308" y="210600"/>
              <a:ext cx="1483453" cy="1980000"/>
            </a:xfrm>
            <a:prstGeom prst="rect">
              <a:avLst/>
            </a:prstGeom>
            <a:ln>
              <a:solidFill>
                <a:schemeClr val="tx1"/>
              </a:solidFill>
            </a:ln>
          </xdr:spPr>
        </xdr:pic>
        <xdr:pic>
          <xdr:nvPicPr>
            <xdr:cNvPr id="14" name="Picture 13">
              <a:extLst>
                <a:ext uri="{FF2B5EF4-FFF2-40B4-BE49-F238E27FC236}">
                  <a16:creationId xmlns:a16="http://schemas.microsoft.com/office/drawing/2014/main" id="{C78AE1B4-7469-50B9-21B7-E1839EB09F8F}"/>
                </a:ext>
              </a:extLst>
            </xdr:cNvPr>
            <xdr:cNvPicPr>
              <a:picLocks noChangeAspect="1"/>
            </xdr:cNvPicPr>
          </xdr:nvPicPr>
          <xdr:blipFill>
            <a:blip xmlns:r="http://schemas.openxmlformats.org/officeDocument/2006/relationships" r:embed="rId19" cstate="print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tretch>
              <a:fillRect/>
            </a:stretch>
          </xdr:blipFill>
          <xdr:spPr>
            <a:xfrm>
              <a:off x="3580307" y="2370600"/>
              <a:ext cx="1483453" cy="1980000"/>
            </a:xfrm>
            <a:prstGeom prst="rect">
              <a:avLst/>
            </a:prstGeom>
            <a:ln>
              <a:solidFill>
                <a:schemeClr val="tx1"/>
              </a:solidFill>
            </a:ln>
          </xdr:spPr>
        </xdr:pic>
      </xdr:grpSp>
      <xdr:sp macro="" textlink="">
        <xdr:nvSpPr>
          <xdr:cNvPr id="6" name="TextBox 24">
            <a:extLst>
              <a:ext uri="{FF2B5EF4-FFF2-40B4-BE49-F238E27FC236}">
                <a16:creationId xmlns:a16="http://schemas.microsoft.com/office/drawing/2014/main" id="{4BEF299A-2FCB-5C38-8F33-DA245438DAA0}"/>
              </a:ext>
            </a:extLst>
          </xdr:cNvPr>
          <xdr:cNvSpPr txBox="1"/>
        </xdr:nvSpPr>
        <xdr:spPr>
          <a:xfrm>
            <a:off x="5307333" y="252000"/>
            <a:ext cx="324128" cy="369332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IN" b="1"/>
              <a:t>A</a:t>
            </a:r>
          </a:p>
        </xdr:txBody>
      </xdr:sp>
      <xdr:sp macro="" textlink="">
        <xdr:nvSpPr>
          <xdr:cNvPr id="7" name="TextBox 25">
            <a:extLst>
              <a:ext uri="{FF2B5EF4-FFF2-40B4-BE49-F238E27FC236}">
                <a16:creationId xmlns:a16="http://schemas.microsoft.com/office/drawing/2014/main" id="{00DB9CEE-EF31-597E-DCDC-FFB21108A97C}"/>
              </a:ext>
            </a:extLst>
          </xdr:cNvPr>
          <xdr:cNvSpPr txBox="1"/>
        </xdr:nvSpPr>
        <xdr:spPr>
          <a:xfrm>
            <a:off x="3629075" y="1289651"/>
            <a:ext cx="306494" cy="369332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IN" b="1"/>
              <a:t>C</a:t>
            </a:r>
          </a:p>
        </xdr:txBody>
      </xdr:sp>
      <xdr:sp macro="" textlink="">
        <xdr:nvSpPr>
          <xdr:cNvPr id="8" name="TextBox 26">
            <a:extLst>
              <a:ext uri="{FF2B5EF4-FFF2-40B4-BE49-F238E27FC236}">
                <a16:creationId xmlns:a16="http://schemas.microsoft.com/office/drawing/2014/main" id="{E901D9A5-2BF9-1DDC-B187-B4B38FD09374}"/>
              </a:ext>
            </a:extLst>
          </xdr:cNvPr>
          <xdr:cNvSpPr txBox="1"/>
        </xdr:nvSpPr>
        <xdr:spPr>
          <a:xfrm>
            <a:off x="3054446" y="582286"/>
            <a:ext cx="324128" cy="369332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IN" b="1"/>
              <a:t>B</a:t>
            </a:r>
          </a:p>
        </xdr:txBody>
      </xdr:sp>
      <xdr:sp macro="" textlink="">
        <xdr:nvSpPr>
          <xdr:cNvPr id="9" name="TextBox 27">
            <a:extLst>
              <a:ext uri="{FF2B5EF4-FFF2-40B4-BE49-F238E27FC236}">
                <a16:creationId xmlns:a16="http://schemas.microsoft.com/office/drawing/2014/main" id="{FA47E81C-388A-66CC-1E8A-998385DFB624}"/>
              </a:ext>
            </a:extLst>
          </xdr:cNvPr>
          <xdr:cNvSpPr txBox="1"/>
        </xdr:nvSpPr>
        <xdr:spPr>
          <a:xfrm>
            <a:off x="1167222" y="252000"/>
            <a:ext cx="324128" cy="369332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IN" b="1"/>
              <a:t>A</a:t>
            </a: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goo.gl/maps/PqvzaCPyWUCsorcS8" TargetMode="External"/><Relationship Id="rId1" Type="http://schemas.openxmlformats.org/officeDocument/2006/relationships/hyperlink" Target="mailto:vsjc.apf@gmail.com" TargetMode="External"/><Relationship Id="rId5" Type="http://schemas.openxmlformats.org/officeDocument/2006/relationships/vmlDrawing" Target="../drawings/vmlDrawing1.vm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666"/>
  <sheetViews>
    <sheetView tabSelected="1" view="pageBreakPreview" topLeftCell="A119" zoomScale="115" zoomScaleNormal="100" zoomScaleSheetLayoutView="115" workbookViewId="0">
      <selection activeCell="K129" sqref="K129"/>
    </sheetView>
  </sheetViews>
  <sheetFormatPr defaultRowHeight="14.4" x14ac:dyDescent="0.3"/>
  <cols>
    <col min="1" max="1" width="18.33203125" style="47" customWidth="1"/>
    <col min="2" max="2" width="16.33203125" customWidth="1"/>
    <col min="3" max="3" width="13.109375" customWidth="1"/>
    <col min="4" max="4" width="17.33203125" customWidth="1"/>
    <col min="5" max="5" width="14.33203125" customWidth="1"/>
    <col min="6" max="6" width="18.88671875" customWidth="1"/>
    <col min="9" max="9" width="23.5546875" customWidth="1"/>
  </cols>
  <sheetData>
    <row r="1" spans="1:12" x14ac:dyDescent="0.3">
      <c r="A1" s="192" t="s">
        <v>0</v>
      </c>
      <c r="B1" s="192"/>
      <c r="C1" s="192"/>
      <c r="D1" s="192"/>
      <c r="E1" s="192"/>
      <c r="F1" s="192"/>
    </row>
    <row r="2" spans="1:12" ht="26.4" x14ac:dyDescent="0.3">
      <c r="A2" s="66" t="s">
        <v>74</v>
      </c>
      <c r="B2" s="244" t="s">
        <v>348</v>
      </c>
      <c r="C2" s="244"/>
      <c r="D2" s="244"/>
      <c r="E2" s="81" t="s">
        <v>1</v>
      </c>
      <c r="F2" s="67" t="s">
        <v>254</v>
      </c>
    </row>
    <row r="3" spans="1:12" x14ac:dyDescent="0.3">
      <c r="A3" s="193" t="s">
        <v>75</v>
      </c>
      <c r="B3" s="193"/>
      <c r="C3" s="193"/>
      <c r="D3" s="193"/>
      <c r="E3" s="193"/>
      <c r="F3" s="193"/>
    </row>
    <row r="4" spans="1:12" x14ac:dyDescent="0.3">
      <c r="A4" s="194" t="s">
        <v>81</v>
      </c>
      <c r="B4" s="194"/>
      <c r="C4" s="197" t="s">
        <v>255</v>
      </c>
      <c r="D4" s="197"/>
      <c r="E4" s="197"/>
      <c r="F4" s="197"/>
    </row>
    <row r="5" spans="1:12" x14ac:dyDescent="0.3">
      <c r="A5" s="198" t="s">
        <v>76</v>
      </c>
      <c r="B5" s="198"/>
      <c r="C5" s="197" t="s">
        <v>256</v>
      </c>
      <c r="D5" s="197"/>
      <c r="E5" s="197"/>
      <c r="F5" s="197"/>
    </row>
    <row r="6" spans="1:12" x14ac:dyDescent="0.3">
      <c r="A6" s="198" t="s">
        <v>77</v>
      </c>
      <c r="B6" s="198"/>
      <c r="C6" s="199" t="s">
        <v>257</v>
      </c>
      <c r="D6" s="197"/>
      <c r="E6" s="197"/>
      <c r="F6" s="197"/>
    </row>
    <row r="7" spans="1:12" x14ac:dyDescent="0.3">
      <c r="A7" s="198" t="s">
        <v>80</v>
      </c>
      <c r="B7" s="198"/>
      <c r="C7" s="197" t="s">
        <v>258</v>
      </c>
      <c r="D7" s="197"/>
      <c r="E7" s="197"/>
      <c r="F7" s="197"/>
    </row>
    <row r="8" spans="1:12" x14ac:dyDescent="0.3">
      <c r="A8" s="198" t="s">
        <v>78</v>
      </c>
      <c r="B8" s="198"/>
      <c r="C8" s="197"/>
      <c r="D8" s="197"/>
      <c r="E8" s="197"/>
      <c r="F8" s="197"/>
    </row>
    <row r="9" spans="1:12" ht="27" customHeight="1" x14ac:dyDescent="0.3">
      <c r="A9" s="198" t="s">
        <v>79</v>
      </c>
      <c r="B9" s="198"/>
      <c r="C9" s="197" t="s">
        <v>371</v>
      </c>
      <c r="D9" s="197"/>
      <c r="E9" s="197"/>
      <c r="F9" s="197"/>
    </row>
    <row r="10" spans="1:12" x14ac:dyDescent="0.3">
      <c r="A10" s="193" t="s">
        <v>82</v>
      </c>
      <c r="B10" s="193"/>
      <c r="C10" s="193"/>
      <c r="D10" s="193"/>
      <c r="E10" s="193"/>
      <c r="F10" s="193"/>
    </row>
    <row r="11" spans="1:12" ht="33" customHeight="1" x14ac:dyDescent="0.3">
      <c r="A11" s="43" t="s">
        <v>86</v>
      </c>
      <c r="B11" s="54">
        <v>45874</v>
      </c>
      <c r="C11" s="87" t="s">
        <v>100</v>
      </c>
      <c r="D11" s="85" t="s">
        <v>411</v>
      </c>
      <c r="E11" s="87" t="s">
        <v>101</v>
      </c>
      <c r="F11" s="104" t="s">
        <v>259</v>
      </c>
      <c r="I11" s="43"/>
      <c r="J11" s="43"/>
      <c r="K11" s="43"/>
      <c r="L11" s="43"/>
    </row>
    <row r="12" spans="1:12" ht="15" customHeight="1" x14ac:dyDescent="0.3">
      <c r="A12" s="43" t="s">
        <v>87</v>
      </c>
      <c r="B12" s="54">
        <v>45876</v>
      </c>
      <c r="C12" s="231" t="s">
        <v>102</v>
      </c>
      <c r="D12" s="232"/>
      <c r="E12" s="245" t="s">
        <v>271</v>
      </c>
      <c r="F12" s="245"/>
      <c r="I12" s="205"/>
      <c r="J12" s="206"/>
      <c r="K12" s="43"/>
      <c r="L12" s="43"/>
    </row>
    <row r="13" spans="1:12" ht="15" customHeight="1" x14ac:dyDescent="0.3">
      <c r="A13" s="43" t="s">
        <v>88</v>
      </c>
      <c r="B13" s="85" t="str">
        <f ca="1">TEXT(TODAY(),"DD/MM/YYYY")</f>
        <v>08/08/2025</v>
      </c>
      <c r="C13" s="198" t="s">
        <v>103</v>
      </c>
      <c r="D13" s="198"/>
      <c r="E13" s="197" t="s">
        <v>412</v>
      </c>
      <c r="F13" s="197"/>
      <c r="I13" s="205"/>
      <c r="J13" s="206"/>
      <c r="K13" s="43"/>
      <c r="L13" s="43"/>
    </row>
    <row r="14" spans="1:12" x14ac:dyDescent="0.3">
      <c r="A14" s="196" t="s">
        <v>83</v>
      </c>
      <c r="B14" s="196"/>
      <c r="C14" s="196"/>
      <c r="D14" s="196"/>
      <c r="E14" s="196"/>
      <c r="F14" s="196"/>
    </row>
    <row r="15" spans="1:12" x14ac:dyDescent="0.3">
      <c r="A15" s="152" t="s">
        <v>84</v>
      </c>
      <c r="B15" s="152"/>
      <c r="C15" s="128" t="s">
        <v>287</v>
      </c>
      <c r="D15" s="128"/>
      <c r="E15" s="128"/>
      <c r="F15" s="128"/>
    </row>
    <row r="16" spans="1:12" x14ac:dyDescent="0.3">
      <c r="A16" s="196" t="s">
        <v>85</v>
      </c>
      <c r="B16" s="196"/>
      <c r="C16" s="196"/>
      <c r="D16" s="196"/>
      <c r="E16" s="196"/>
      <c r="F16" s="196"/>
    </row>
    <row r="17" spans="1:10" x14ac:dyDescent="0.3">
      <c r="A17" s="42" t="s">
        <v>74</v>
      </c>
      <c r="B17" s="132" t="s">
        <v>348</v>
      </c>
      <c r="C17" s="132"/>
      <c r="D17" s="132"/>
      <c r="E17" s="132"/>
      <c r="F17" s="132"/>
    </row>
    <row r="18" spans="1:10" ht="30" customHeight="1" x14ac:dyDescent="0.3">
      <c r="A18" s="68" t="s">
        <v>274</v>
      </c>
      <c r="B18" s="200" t="s">
        <v>290</v>
      </c>
      <c r="C18" s="200"/>
      <c r="D18" s="68" t="s">
        <v>291</v>
      </c>
      <c r="E18" s="200" t="s">
        <v>350</v>
      </c>
      <c r="F18" s="202"/>
    </row>
    <row r="19" spans="1:10" x14ac:dyDescent="0.3">
      <c r="A19" s="68" t="s">
        <v>89</v>
      </c>
      <c r="B19" s="202" t="s">
        <v>294</v>
      </c>
      <c r="C19" s="202"/>
      <c r="D19" s="68" t="s">
        <v>288</v>
      </c>
      <c r="E19" s="204" t="s">
        <v>289</v>
      </c>
      <c r="F19" s="204"/>
      <c r="J19" s="42"/>
    </row>
    <row r="20" spans="1:10" ht="32.25" customHeight="1" x14ac:dyDescent="0.3">
      <c r="A20" s="68" t="s">
        <v>90</v>
      </c>
      <c r="B20" s="202" t="s">
        <v>292</v>
      </c>
      <c r="C20" s="202"/>
      <c r="D20" s="68" t="s">
        <v>95</v>
      </c>
      <c r="E20" s="203" t="s">
        <v>349</v>
      </c>
      <c r="F20" s="201"/>
      <c r="J20" s="42"/>
    </row>
    <row r="21" spans="1:10" x14ac:dyDescent="0.3">
      <c r="A21" s="68" t="s">
        <v>91</v>
      </c>
      <c r="B21" s="202" t="s">
        <v>260</v>
      </c>
      <c r="C21" s="202"/>
      <c r="D21" s="68" t="s">
        <v>96</v>
      </c>
      <c r="E21" s="201" t="s">
        <v>261</v>
      </c>
      <c r="F21" s="201"/>
      <c r="J21" s="42"/>
    </row>
    <row r="22" spans="1:10" x14ac:dyDescent="0.3">
      <c r="A22" s="68" t="s">
        <v>92</v>
      </c>
      <c r="B22" s="202" t="s">
        <v>263</v>
      </c>
      <c r="C22" s="202"/>
      <c r="D22" s="68" t="s">
        <v>97</v>
      </c>
      <c r="E22" s="201" t="s">
        <v>262</v>
      </c>
      <c r="F22" s="201"/>
      <c r="J22" s="42"/>
    </row>
    <row r="23" spans="1:10" x14ac:dyDescent="0.3">
      <c r="A23" s="68" t="s">
        <v>93</v>
      </c>
      <c r="B23" s="202">
        <v>401203</v>
      </c>
      <c r="C23" s="202"/>
      <c r="D23" s="68" t="s">
        <v>98</v>
      </c>
      <c r="E23" s="204" t="s">
        <v>293</v>
      </c>
      <c r="F23" s="204"/>
      <c r="J23" s="42"/>
    </row>
    <row r="24" spans="1:10" x14ac:dyDescent="0.3">
      <c r="A24" s="68" t="s">
        <v>354</v>
      </c>
      <c r="B24" s="209" t="s">
        <v>355</v>
      </c>
      <c r="C24" s="202"/>
      <c r="D24" s="202"/>
      <c r="E24" s="202"/>
      <c r="F24" s="202"/>
      <c r="J24" s="42"/>
    </row>
    <row r="25" spans="1:10" ht="24" x14ac:dyDescent="0.3">
      <c r="A25" s="68" t="s">
        <v>94</v>
      </c>
      <c r="B25" s="200" t="s">
        <v>295</v>
      </c>
      <c r="C25" s="200"/>
      <c r="D25" s="68" t="s">
        <v>99</v>
      </c>
      <c r="E25" s="201" t="s">
        <v>296</v>
      </c>
      <c r="F25" s="201"/>
      <c r="J25" s="42"/>
    </row>
    <row r="26" spans="1:10" x14ac:dyDescent="0.3">
      <c r="A26" s="196" t="s">
        <v>110</v>
      </c>
      <c r="B26" s="196"/>
      <c r="C26" s="196"/>
      <c r="D26" s="196"/>
      <c r="E26" s="196"/>
      <c r="F26" s="196"/>
    </row>
    <row r="27" spans="1:10" x14ac:dyDescent="0.3">
      <c r="A27" s="143"/>
      <c r="B27" s="143"/>
      <c r="C27" s="88" t="s">
        <v>104</v>
      </c>
      <c r="D27" s="88" t="s">
        <v>105</v>
      </c>
      <c r="E27" s="88" t="s">
        <v>106</v>
      </c>
      <c r="F27" s="88" t="s">
        <v>107</v>
      </c>
    </row>
    <row r="28" spans="1:10" ht="30" customHeight="1" x14ac:dyDescent="0.3">
      <c r="A28" s="143" t="s">
        <v>108</v>
      </c>
      <c r="B28" s="143"/>
      <c r="C28" s="65" t="s">
        <v>259</v>
      </c>
      <c r="D28" s="65" t="s">
        <v>259</v>
      </c>
      <c r="E28" s="65" t="s">
        <v>259</v>
      </c>
      <c r="F28" s="65" t="s">
        <v>259</v>
      </c>
      <c r="G28" s="146"/>
      <c r="H28" s="147"/>
    </row>
    <row r="29" spans="1:10" ht="30" customHeight="1" x14ac:dyDescent="0.3">
      <c r="A29" s="143" t="s">
        <v>351</v>
      </c>
      <c r="B29" s="143"/>
      <c r="C29" s="65" t="s">
        <v>352</v>
      </c>
      <c r="D29" s="65" t="s">
        <v>353</v>
      </c>
      <c r="E29" s="65" t="s">
        <v>352</v>
      </c>
      <c r="F29" s="65" t="s">
        <v>352</v>
      </c>
      <c r="G29" s="146"/>
      <c r="H29" s="147"/>
    </row>
    <row r="30" spans="1:10" ht="44.25" customHeight="1" x14ac:dyDescent="0.3">
      <c r="A30" s="143" t="s">
        <v>109</v>
      </c>
      <c r="B30" s="143"/>
      <c r="C30" s="65" t="s">
        <v>299</v>
      </c>
      <c r="D30" s="65" t="s">
        <v>300</v>
      </c>
      <c r="E30" s="64" t="s">
        <v>297</v>
      </c>
      <c r="F30" s="65" t="s">
        <v>298</v>
      </c>
      <c r="G30" s="146"/>
      <c r="H30" s="147"/>
    </row>
    <row r="31" spans="1:10" x14ac:dyDescent="0.3">
      <c r="A31" s="196" t="s">
        <v>111</v>
      </c>
      <c r="B31" s="196"/>
      <c r="C31" s="196"/>
      <c r="D31" s="196"/>
      <c r="E31" s="196"/>
      <c r="F31" s="196"/>
      <c r="G31" s="146"/>
      <c r="H31" s="147"/>
    </row>
    <row r="32" spans="1:10" x14ac:dyDescent="0.3">
      <c r="A32" s="152" t="s">
        <v>112</v>
      </c>
      <c r="B32" s="152"/>
      <c r="C32" s="179" t="s">
        <v>264</v>
      </c>
      <c r="D32" s="179"/>
      <c r="E32" s="179"/>
      <c r="F32" s="179"/>
      <c r="G32" s="146"/>
      <c r="H32" s="147"/>
    </row>
    <row r="33" spans="1:8" ht="15" customHeight="1" x14ac:dyDescent="0.3">
      <c r="A33" s="152" t="s">
        <v>113</v>
      </c>
      <c r="B33" s="152"/>
      <c r="C33" s="179" t="s">
        <v>264</v>
      </c>
      <c r="D33" s="179"/>
      <c r="E33" s="179"/>
      <c r="F33" s="179"/>
      <c r="G33" s="146"/>
      <c r="H33" s="147"/>
    </row>
    <row r="34" spans="1:8" ht="15" customHeight="1" x14ac:dyDescent="0.3">
      <c r="A34" s="152" t="s">
        <v>114</v>
      </c>
      <c r="B34" s="152"/>
      <c r="C34" s="179" t="s">
        <v>294</v>
      </c>
      <c r="D34" s="179"/>
      <c r="E34" s="179"/>
      <c r="F34" s="179"/>
      <c r="G34" s="146"/>
      <c r="H34" s="147"/>
    </row>
    <row r="35" spans="1:8" x14ac:dyDescent="0.3">
      <c r="A35" s="152" t="s">
        <v>115</v>
      </c>
      <c r="B35" s="152"/>
      <c r="C35" s="179" t="s">
        <v>276</v>
      </c>
      <c r="D35" s="179"/>
      <c r="E35" s="179"/>
      <c r="F35" s="179"/>
      <c r="G35" s="146"/>
      <c r="H35" s="147"/>
    </row>
    <row r="36" spans="1:8" ht="15" customHeight="1" x14ac:dyDescent="0.3">
      <c r="A36" s="152" t="s">
        <v>116</v>
      </c>
      <c r="B36" s="152"/>
      <c r="C36" s="179" t="s">
        <v>277</v>
      </c>
      <c r="D36" s="179"/>
      <c r="E36" s="179"/>
      <c r="F36" s="179"/>
      <c r="G36" s="146"/>
      <c r="H36" s="147"/>
    </row>
    <row r="37" spans="1:8" x14ac:dyDescent="0.3">
      <c r="A37" s="152" t="s">
        <v>117</v>
      </c>
      <c r="B37" s="152"/>
      <c r="C37" s="207">
        <f ca="1">C116</f>
        <v>0.90490196078431373</v>
      </c>
      <c r="D37" s="208"/>
      <c r="E37" s="208"/>
      <c r="F37" s="208"/>
      <c r="G37" s="146"/>
      <c r="H37" s="147"/>
    </row>
    <row r="38" spans="1:8" ht="15" customHeight="1" x14ac:dyDescent="0.3">
      <c r="A38" s="152" t="s">
        <v>118</v>
      </c>
      <c r="B38" s="152"/>
      <c r="C38" s="179" t="s">
        <v>278</v>
      </c>
      <c r="D38" s="179"/>
      <c r="E38" s="179"/>
      <c r="F38" s="179"/>
      <c r="G38" s="146"/>
      <c r="H38" s="147"/>
    </row>
    <row r="39" spans="1:8" x14ac:dyDescent="0.3">
      <c r="A39" s="152" t="s">
        <v>119</v>
      </c>
      <c r="B39" s="152"/>
      <c r="C39" s="179" t="s">
        <v>278</v>
      </c>
      <c r="D39" s="179"/>
      <c r="E39" s="179"/>
      <c r="F39" s="179"/>
      <c r="G39" s="146"/>
      <c r="H39" s="147"/>
    </row>
    <row r="40" spans="1:8" x14ac:dyDescent="0.3">
      <c r="A40" s="152" t="s">
        <v>120</v>
      </c>
      <c r="B40" s="152"/>
      <c r="C40" s="179" t="s">
        <v>301</v>
      </c>
      <c r="D40" s="179"/>
      <c r="E40" s="179"/>
      <c r="F40" s="179"/>
      <c r="G40" s="146"/>
      <c r="H40" s="147"/>
    </row>
    <row r="41" spans="1:8" x14ac:dyDescent="0.3">
      <c r="A41" s="196" t="s">
        <v>122</v>
      </c>
      <c r="B41" s="196"/>
      <c r="C41" s="196"/>
      <c r="D41" s="196"/>
      <c r="E41" s="196"/>
      <c r="F41" s="196"/>
      <c r="G41" s="146"/>
      <c r="H41" s="147"/>
    </row>
    <row r="42" spans="1:8" x14ac:dyDescent="0.3">
      <c r="A42" s="152" t="s">
        <v>123</v>
      </c>
      <c r="B42" s="152"/>
      <c r="C42" s="152" t="s">
        <v>121</v>
      </c>
      <c r="D42" s="152"/>
      <c r="E42" s="152"/>
      <c r="F42" s="152"/>
      <c r="G42" s="146"/>
      <c r="H42" s="147"/>
    </row>
    <row r="43" spans="1:8" x14ac:dyDescent="0.3">
      <c r="A43" s="152" t="s">
        <v>124</v>
      </c>
      <c r="B43" s="152"/>
      <c r="C43" s="128">
        <v>2730</v>
      </c>
      <c r="D43" s="128"/>
      <c r="E43" s="128"/>
      <c r="F43" s="128"/>
      <c r="G43" s="146"/>
      <c r="H43" s="147"/>
    </row>
    <row r="44" spans="1:8" ht="15" customHeight="1" x14ac:dyDescent="0.3">
      <c r="A44" s="152" t="s">
        <v>125</v>
      </c>
      <c r="B44" s="152"/>
      <c r="C44" s="128">
        <v>14598.39</v>
      </c>
      <c r="D44" s="128"/>
      <c r="E44" s="128"/>
      <c r="F44" s="128"/>
      <c r="G44" s="146"/>
      <c r="H44" s="147"/>
    </row>
    <row r="45" spans="1:8" ht="15" customHeight="1" x14ac:dyDescent="0.3">
      <c r="A45" s="152" t="s">
        <v>126</v>
      </c>
      <c r="B45" s="152"/>
      <c r="C45" s="128">
        <v>11187.84</v>
      </c>
      <c r="D45" s="128"/>
      <c r="E45" s="128"/>
      <c r="F45" s="128"/>
      <c r="G45" s="146"/>
      <c r="H45" s="147"/>
    </row>
    <row r="46" spans="1:8" ht="15" customHeight="1" x14ac:dyDescent="0.3">
      <c r="A46" s="152" t="s">
        <v>127</v>
      </c>
      <c r="B46" s="152"/>
      <c r="C46" s="128">
        <v>3410.55</v>
      </c>
      <c r="D46" s="128"/>
      <c r="E46" s="128"/>
      <c r="F46" s="128"/>
      <c r="G46" s="146"/>
      <c r="H46" s="147"/>
    </row>
    <row r="47" spans="1:8" x14ac:dyDescent="0.3">
      <c r="A47" s="152" t="s">
        <v>128</v>
      </c>
      <c r="B47" s="152"/>
      <c r="C47" s="128" t="s">
        <v>275</v>
      </c>
      <c r="D47" s="128"/>
      <c r="E47" s="128"/>
      <c r="F47" s="128"/>
      <c r="G47" s="146"/>
      <c r="H47" s="147"/>
    </row>
    <row r="48" spans="1:8" ht="15" customHeight="1" x14ac:dyDescent="0.3">
      <c r="A48" s="152" t="s">
        <v>129</v>
      </c>
      <c r="B48" s="152"/>
      <c r="C48" s="128" t="s">
        <v>275</v>
      </c>
      <c r="D48" s="128"/>
      <c r="E48" s="128"/>
      <c r="F48" s="128"/>
      <c r="G48" s="146"/>
      <c r="H48" s="147"/>
    </row>
    <row r="49" spans="1:13" ht="15" customHeight="1" x14ac:dyDescent="0.3">
      <c r="A49" s="152" t="s">
        <v>130</v>
      </c>
      <c r="B49" s="152"/>
      <c r="C49" s="128" t="s">
        <v>275</v>
      </c>
      <c r="D49" s="128"/>
      <c r="E49" s="128"/>
      <c r="F49" s="128"/>
      <c r="G49" s="146"/>
      <c r="H49" s="147"/>
    </row>
    <row r="50" spans="1:13" x14ac:dyDescent="0.3">
      <c r="A50" s="180" t="s">
        <v>131</v>
      </c>
      <c r="B50" s="180"/>
      <c r="C50" s="180"/>
      <c r="D50" s="180"/>
      <c r="E50" s="180"/>
      <c r="F50" s="180"/>
      <c r="G50" s="146"/>
      <c r="H50" s="147"/>
    </row>
    <row r="51" spans="1:13" x14ac:dyDescent="0.3">
      <c r="A51" s="152" t="s">
        <v>132</v>
      </c>
      <c r="B51" s="152"/>
      <c r="C51" s="128">
        <v>1.1000000000000001</v>
      </c>
      <c r="D51" s="128"/>
      <c r="E51" s="128"/>
      <c r="F51" s="128"/>
      <c r="G51" s="146"/>
      <c r="H51" s="147"/>
    </row>
    <row r="52" spans="1:13" x14ac:dyDescent="0.3">
      <c r="A52" s="152" t="s">
        <v>133</v>
      </c>
      <c r="B52" s="152"/>
      <c r="C52" s="128">
        <v>0.5</v>
      </c>
      <c r="D52" s="128"/>
      <c r="E52" s="128"/>
      <c r="F52" s="128"/>
      <c r="G52" s="146"/>
      <c r="H52" s="147"/>
    </row>
    <row r="53" spans="1:13" x14ac:dyDescent="0.3">
      <c r="A53" s="152" t="s">
        <v>2</v>
      </c>
      <c r="B53" s="152"/>
      <c r="C53" s="128">
        <v>1.1499999999999999</v>
      </c>
      <c r="D53" s="128"/>
      <c r="E53" s="128"/>
      <c r="F53" s="128"/>
      <c r="G53" s="146"/>
      <c r="H53" s="147"/>
    </row>
    <row r="54" spans="1:13" x14ac:dyDescent="0.3">
      <c r="A54" s="152" t="s">
        <v>356</v>
      </c>
      <c r="B54" s="152"/>
      <c r="C54" s="128">
        <v>0.51</v>
      </c>
      <c r="D54" s="128"/>
      <c r="E54" s="128"/>
      <c r="F54" s="128"/>
      <c r="G54" s="146"/>
      <c r="H54" s="147"/>
    </row>
    <row r="55" spans="1:13" x14ac:dyDescent="0.3">
      <c r="A55" s="152" t="s">
        <v>357</v>
      </c>
      <c r="B55" s="152"/>
      <c r="C55" s="128">
        <v>0.55000000000000004</v>
      </c>
      <c r="D55" s="128"/>
      <c r="E55" s="128"/>
      <c r="F55" s="128"/>
      <c r="G55" s="146"/>
      <c r="H55" s="147"/>
    </row>
    <row r="56" spans="1:13" x14ac:dyDescent="0.3">
      <c r="A56" s="152" t="s">
        <v>358</v>
      </c>
      <c r="B56" s="152"/>
      <c r="C56" s="128">
        <v>1.54</v>
      </c>
      <c r="D56" s="128"/>
      <c r="E56" s="128"/>
      <c r="F56" s="128"/>
      <c r="G56" s="146"/>
      <c r="H56" s="147"/>
    </row>
    <row r="57" spans="1:13" x14ac:dyDescent="0.3">
      <c r="A57" s="152" t="s">
        <v>134</v>
      </c>
      <c r="B57" s="152"/>
      <c r="C57" s="128">
        <f>SUM(C51:F56)</f>
        <v>5.35</v>
      </c>
      <c r="D57" s="128"/>
      <c r="E57" s="128"/>
      <c r="F57" s="128"/>
      <c r="G57" s="146"/>
      <c r="H57" s="147"/>
    </row>
    <row r="58" spans="1:13" x14ac:dyDescent="0.3">
      <c r="A58" s="152" t="s">
        <v>135</v>
      </c>
      <c r="B58" s="152"/>
      <c r="C58" s="160"/>
      <c r="D58" s="160"/>
      <c r="E58" s="160"/>
      <c r="F58" s="160"/>
      <c r="G58" s="146"/>
      <c r="H58" s="147"/>
    </row>
    <row r="59" spans="1:13" x14ac:dyDescent="0.3">
      <c r="A59" s="195"/>
      <c r="B59" s="195"/>
      <c r="C59" s="195"/>
      <c r="D59" s="195"/>
      <c r="E59" s="195"/>
      <c r="F59" s="195"/>
    </row>
    <row r="60" spans="1:13" x14ac:dyDescent="0.3">
      <c r="A60" s="152" t="s">
        <v>136</v>
      </c>
      <c r="B60" s="152"/>
      <c r="C60" s="153" t="str">
        <f>D115</f>
        <v>Sale Shops - 79
Rehab Shops - 29
Sale Flats - 92
Rehab Flats - 64</v>
      </c>
      <c r="D60" s="153"/>
      <c r="E60" s="153"/>
      <c r="F60" s="153"/>
      <c r="G60" s="146"/>
      <c r="H60" s="147"/>
      <c r="I60" s="48"/>
      <c r="J60" s="49"/>
    </row>
    <row r="61" spans="1:13" x14ac:dyDescent="0.3">
      <c r="A61" s="152" t="s">
        <v>137</v>
      </c>
      <c r="B61" s="152"/>
      <c r="C61" s="153" t="s">
        <v>359</v>
      </c>
      <c r="D61" s="153"/>
      <c r="E61" s="153"/>
      <c r="F61" s="153"/>
      <c r="G61" s="146"/>
      <c r="H61" s="147"/>
    </row>
    <row r="62" spans="1:13" x14ac:dyDescent="0.3">
      <c r="A62" s="152" t="s">
        <v>138</v>
      </c>
      <c r="B62" s="152"/>
      <c r="C62" s="154" t="s">
        <v>367</v>
      </c>
      <c r="D62" s="154"/>
      <c r="E62" s="154"/>
      <c r="F62" s="154"/>
      <c r="G62" s="146"/>
      <c r="H62" s="147"/>
    </row>
    <row r="63" spans="1:13" x14ac:dyDescent="0.3">
      <c r="A63" s="149" t="s">
        <v>139</v>
      </c>
      <c r="B63" s="149"/>
      <c r="C63" s="149"/>
      <c r="D63" s="149"/>
      <c r="E63" s="149"/>
      <c r="F63" s="149"/>
      <c r="G63" s="146"/>
      <c r="H63" s="147"/>
    </row>
    <row r="64" spans="1:13" ht="24" x14ac:dyDescent="0.3">
      <c r="A64" s="64"/>
      <c r="B64" s="88" t="s">
        <v>140</v>
      </c>
      <c r="C64" s="88" t="s">
        <v>141</v>
      </c>
      <c r="D64" s="88" t="s">
        <v>146</v>
      </c>
      <c r="E64" s="88" t="s">
        <v>142</v>
      </c>
      <c r="F64" s="88" t="s">
        <v>145</v>
      </c>
      <c r="G64" s="61"/>
      <c r="H64" s="50"/>
      <c r="I64" s="50"/>
      <c r="J64" s="50"/>
      <c r="K64" s="50"/>
      <c r="L64" s="50"/>
      <c r="M64" s="50"/>
    </row>
    <row r="65" spans="1:12" ht="43.2" x14ac:dyDescent="0.3">
      <c r="A65" s="88" t="s">
        <v>143</v>
      </c>
      <c r="B65" s="64" t="s">
        <v>302</v>
      </c>
      <c r="C65" s="65" t="s">
        <v>304</v>
      </c>
      <c r="D65" s="65" t="s">
        <v>306</v>
      </c>
      <c r="E65" s="65" t="s">
        <v>308</v>
      </c>
      <c r="F65" s="64" t="s">
        <v>310</v>
      </c>
      <c r="G65" s="61"/>
    </row>
    <row r="66" spans="1:12" ht="24" x14ac:dyDescent="0.3">
      <c r="A66" s="88" t="s">
        <v>144</v>
      </c>
      <c r="B66" s="64" t="s">
        <v>303</v>
      </c>
      <c r="C66" s="64" t="s">
        <v>305</v>
      </c>
      <c r="D66" s="64" t="s">
        <v>307</v>
      </c>
      <c r="E66" s="64" t="s">
        <v>309</v>
      </c>
      <c r="F66" s="64" t="s">
        <v>305</v>
      </c>
      <c r="G66" s="61"/>
    </row>
    <row r="67" spans="1:12" x14ac:dyDescent="0.3">
      <c r="A67" s="149" t="s">
        <v>147</v>
      </c>
      <c r="B67" s="149"/>
      <c r="C67" s="149"/>
      <c r="D67" s="149"/>
      <c r="E67" s="149"/>
      <c r="F67" s="149"/>
      <c r="G67" s="61"/>
    </row>
    <row r="68" spans="1:12" ht="24" x14ac:dyDescent="0.3">
      <c r="A68" s="64"/>
      <c r="B68" s="88" t="s">
        <v>148</v>
      </c>
      <c r="C68" s="88" t="s">
        <v>149</v>
      </c>
      <c r="D68" s="88" t="s">
        <v>150</v>
      </c>
      <c r="E68" s="88" t="s">
        <v>151</v>
      </c>
      <c r="F68" s="88" t="s">
        <v>152</v>
      </c>
      <c r="G68" s="61"/>
      <c r="H68" s="50"/>
      <c r="I68" s="50"/>
      <c r="J68" s="50"/>
      <c r="K68" s="50"/>
      <c r="L68" s="50"/>
    </row>
    <row r="69" spans="1:12" x14ac:dyDescent="0.3">
      <c r="A69" s="88" t="s">
        <v>153</v>
      </c>
      <c r="B69" s="59" t="s">
        <v>279</v>
      </c>
      <c r="C69" s="59" t="s">
        <v>280</v>
      </c>
      <c r="D69" s="59" t="s">
        <v>281</v>
      </c>
      <c r="E69" s="59" t="s">
        <v>281</v>
      </c>
      <c r="F69" s="59" t="s">
        <v>281</v>
      </c>
      <c r="G69" s="61"/>
      <c r="H69" s="50"/>
      <c r="I69" s="50"/>
      <c r="J69" s="50"/>
      <c r="K69" s="50"/>
      <c r="L69" s="50"/>
    </row>
    <row r="70" spans="1:12" hidden="1" x14ac:dyDescent="0.3">
      <c r="A70" s="42" t="s">
        <v>3</v>
      </c>
      <c r="B70" s="41"/>
      <c r="C70" s="41"/>
      <c r="D70" s="41"/>
      <c r="E70" s="41"/>
      <c r="F70" s="41"/>
      <c r="G70" s="61"/>
      <c r="H70" s="50"/>
      <c r="I70" s="50"/>
      <c r="J70" s="50"/>
      <c r="K70" s="50"/>
      <c r="L70" s="50"/>
    </row>
    <row r="71" spans="1:12" ht="24" x14ac:dyDescent="0.3">
      <c r="A71" s="64"/>
      <c r="B71" s="88" t="s">
        <v>154</v>
      </c>
      <c r="C71" s="88" t="s">
        <v>155</v>
      </c>
      <c r="D71" s="88" t="s">
        <v>156</v>
      </c>
      <c r="E71" s="88" t="s">
        <v>157</v>
      </c>
      <c r="F71" s="88" t="s">
        <v>158</v>
      </c>
      <c r="G71" s="61"/>
      <c r="H71" s="50"/>
      <c r="I71" s="50"/>
      <c r="J71" s="50"/>
      <c r="K71" s="50"/>
      <c r="L71" s="50"/>
    </row>
    <row r="72" spans="1:12" x14ac:dyDescent="0.3">
      <c r="A72" s="88" t="s">
        <v>153</v>
      </c>
      <c r="B72" s="60" t="s">
        <v>281</v>
      </c>
      <c r="C72" s="60" t="s">
        <v>281</v>
      </c>
      <c r="D72" s="60" t="s">
        <v>281</v>
      </c>
      <c r="E72" s="60" t="s">
        <v>281</v>
      </c>
      <c r="F72" s="60" t="s">
        <v>281</v>
      </c>
      <c r="G72" s="61"/>
      <c r="H72" s="50"/>
      <c r="I72" s="50"/>
      <c r="J72" s="50"/>
      <c r="K72" s="50"/>
      <c r="L72" s="50"/>
    </row>
    <row r="73" spans="1:12" hidden="1" x14ac:dyDescent="0.3">
      <c r="A73" s="88" t="s">
        <v>3</v>
      </c>
      <c r="B73" s="64"/>
      <c r="C73" s="64"/>
      <c r="D73" s="64"/>
      <c r="E73" s="64"/>
      <c r="F73" s="64"/>
      <c r="G73" s="61"/>
      <c r="H73" s="50"/>
      <c r="I73" s="50"/>
      <c r="J73" s="50"/>
      <c r="K73" s="50"/>
      <c r="L73" s="50"/>
    </row>
    <row r="74" spans="1:12" x14ac:dyDescent="0.3">
      <c r="A74" s="64"/>
      <c r="B74" s="88" t="s">
        <v>159</v>
      </c>
      <c r="C74" s="88" t="s">
        <v>160</v>
      </c>
      <c r="D74" s="88" t="s">
        <v>161</v>
      </c>
      <c r="E74" s="88" t="s">
        <v>162</v>
      </c>
      <c r="F74" s="88" t="s">
        <v>163</v>
      </c>
      <c r="G74" s="61"/>
      <c r="H74" s="50"/>
      <c r="I74" s="50"/>
      <c r="J74" s="50"/>
      <c r="K74" s="50"/>
      <c r="L74" s="50"/>
    </row>
    <row r="75" spans="1:12" x14ac:dyDescent="0.3">
      <c r="A75" s="88" t="s">
        <v>153</v>
      </c>
      <c r="B75" s="64" t="s">
        <v>282</v>
      </c>
      <c r="C75" s="64" t="s">
        <v>282</v>
      </c>
      <c r="D75" s="64" t="s">
        <v>282</v>
      </c>
      <c r="E75" s="64" t="s">
        <v>282</v>
      </c>
      <c r="F75" s="64" t="s">
        <v>282</v>
      </c>
      <c r="G75" s="61"/>
      <c r="H75" s="50"/>
      <c r="I75" s="50"/>
      <c r="J75" s="50"/>
      <c r="K75" s="50"/>
      <c r="L75" s="50"/>
    </row>
    <row r="76" spans="1:12" hidden="1" x14ac:dyDescent="0.3">
      <c r="A76" s="42" t="s">
        <v>3</v>
      </c>
      <c r="B76" s="86"/>
      <c r="C76" s="86"/>
      <c r="D76" s="86"/>
      <c r="E76" s="86"/>
      <c r="F76" s="86"/>
      <c r="G76" s="61"/>
    </row>
    <row r="77" spans="1:12" x14ac:dyDescent="0.3">
      <c r="A77" s="128"/>
      <c r="B77" s="128"/>
      <c r="C77" s="128"/>
      <c r="D77" s="128"/>
      <c r="E77" s="128"/>
      <c r="F77" s="128"/>
      <c r="G77" s="61"/>
    </row>
    <row r="78" spans="1:12" ht="36" x14ac:dyDescent="0.3">
      <c r="A78" s="42" t="s">
        <v>164</v>
      </c>
      <c r="B78" s="150" t="s">
        <v>311</v>
      </c>
      <c r="C78" s="151"/>
      <c r="D78" s="151"/>
      <c r="E78" s="151"/>
      <c r="F78" s="151"/>
      <c r="G78" s="61"/>
    </row>
    <row r="79" spans="1:12" x14ac:dyDescent="0.3">
      <c r="A79" s="149" t="s">
        <v>165</v>
      </c>
      <c r="B79" s="149"/>
      <c r="C79" s="149"/>
      <c r="D79" s="149"/>
      <c r="E79" s="149"/>
      <c r="F79" s="149"/>
      <c r="G79" s="61"/>
    </row>
    <row r="80" spans="1:12" ht="24" x14ac:dyDescent="0.3">
      <c r="A80" s="88" t="s">
        <v>180</v>
      </c>
      <c r="B80" s="195" t="s">
        <v>264</v>
      </c>
      <c r="C80" s="195"/>
      <c r="D80" s="195"/>
      <c r="E80" s="195"/>
      <c r="F80" s="195"/>
      <c r="G80" s="61"/>
    </row>
    <row r="81" spans="1:12" ht="24" x14ac:dyDescent="0.3">
      <c r="A81" s="88" t="s">
        <v>166</v>
      </c>
      <c r="B81" s="88" t="s">
        <v>181</v>
      </c>
      <c r="C81" s="88" t="s">
        <v>182</v>
      </c>
      <c r="D81" s="143" t="s">
        <v>183</v>
      </c>
      <c r="E81" s="143"/>
      <c r="F81" s="143"/>
      <c r="G81" s="61"/>
      <c r="H81" s="50"/>
      <c r="I81" s="50"/>
      <c r="J81" s="145"/>
      <c r="K81" s="129"/>
      <c r="L81" s="129"/>
    </row>
    <row r="82" spans="1:12" ht="28.8" x14ac:dyDescent="0.3">
      <c r="A82" s="88" t="s">
        <v>167</v>
      </c>
      <c r="B82" s="65" t="s">
        <v>360</v>
      </c>
      <c r="C82" s="65" t="s">
        <v>272</v>
      </c>
      <c r="D82" s="148" t="s">
        <v>312</v>
      </c>
      <c r="E82" s="148"/>
      <c r="F82" s="148"/>
      <c r="G82" s="61"/>
    </row>
    <row r="83" spans="1:12" ht="28.8" x14ac:dyDescent="0.3">
      <c r="A83" s="88" t="s">
        <v>168</v>
      </c>
      <c r="B83" s="65" t="s">
        <v>360</v>
      </c>
      <c r="C83" s="65" t="s">
        <v>272</v>
      </c>
      <c r="D83" s="148" t="s">
        <v>312</v>
      </c>
      <c r="E83" s="148"/>
      <c r="F83" s="148"/>
      <c r="G83" s="61"/>
    </row>
    <row r="84" spans="1:12" ht="48" x14ac:dyDescent="0.3">
      <c r="A84" s="88" t="s">
        <v>169</v>
      </c>
      <c r="B84" s="65" t="s">
        <v>360</v>
      </c>
      <c r="C84" s="65" t="s">
        <v>272</v>
      </c>
      <c r="D84" s="148" t="s">
        <v>408</v>
      </c>
      <c r="E84" s="148"/>
      <c r="F84" s="148"/>
      <c r="G84" s="61"/>
    </row>
    <row r="85" spans="1:12" ht="36" x14ac:dyDescent="0.3">
      <c r="A85" s="88" t="s">
        <v>170</v>
      </c>
      <c r="B85" s="70" t="s">
        <v>283</v>
      </c>
      <c r="C85" s="71" t="s">
        <v>259</v>
      </c>
      <c r="D85" s="130" t="s">
        <v>259</v>
      </c>
      <c r="E85" s="130"/>
      <c r="F85" s="130"/>
      <c r="G85" s="61"/>
    </row>
    <row r="86" spans="1:12" ht="36" x14ac:dyDescent="0.3">
      <c r="A86" s="88" t="s">
        <v>171</v>
      </c>
      <c r="B86" s="70" t="s">
        <v>283</v>
      </c>
      <c r="C86" s="71" t="s">
        <v>259</v>
      </c>
      <c r="D86" s="130" t="s">
        <v>259</v>
      </c>
      <c r="E86" s="130"/>
      <c r="F86" s="130"/>
      <c r="G86" s="61"/>
    </row>
    <row r="87" spans="1:12" ht="24" x14ac:dyDescent="0.3">
      <c r="A87" s="88" t="s">
        <v>172</v>
      </c>
      <c r="B87" s="70" t="s">
        <v>283</v>
      </c>
      <c r="C87" s="71" t="s">
        <v>259</v>
      </c>
      <c r="D87" s="130" t="s">
        <v>259</v>
      </c>
      <c r="E87" s="130"/>
      <c r="F87" s="130"/>
      <c r="G87" s="61"/>
    </row>
    <row r="88" spans="1:12" ht="24" x14ac:dyDescent="0.3">
      <c r="A88" s="88" t="s">
        <v>173</v>
      </c>
      <c r="B88" s="70" t="s">
        <v>283</v>
      </c>
      <c r="C88" s="71" t="s">
        <v>259</v>
      </c>
      <c r="D88" s="130" t="s">
        <v>259</v>
      </c>
      <c r="E88" s="130"/>
      <c r="F88" s="130"/>
      <c r="G88" s="61"/>
    </row>
    <row r="89" spans="1:12" ht="60.75" customHeight="1" x14ac:dyDescent="0.3">
      <c r="A89" s="88" t="s">
        <v>174</v>
      </c>
      <c r="B89" s="70" t="s">
        <v>273</v>
      </c>
      <c r="C89" s="71" t="s">
        <v>259</v>
      </c>
      <c r="D89" s="130" t="s">
        <v>409</v>
      </c>
      <c r="E89" s="130"/>
      <c r="F89" s="130"/>
      <c r="G89" s="61"/>
    </row>
    <row r="90" spans="1:12" ht="36" x14ac:dyDescent="0.3">
      <c r="A90" s="88" t="s">
        <v>175</v>
      </c>
      <c r="B90" s="70" t="s">
        <v>283</v>
      </c>
      <c r="C90" s="71" t="s">
        <v>259</v>
      </c>
      <c r="D90" s="130" t="s">
        <v>259</v>
      </c>
      <c r="E90" s="130"/>
      <c r="F90" s="130"/>
      <c r="G90" s="61"/>
    </row>
    <row r="91" spans="1:12" ht="36" x14ac:dyDescent="0.3">
      <c r="A91" s="88" t="s">
        <v>176</v>
      </c>
      <c r="B91" s="70" t="s">
        <v>283</v>
      </c>
      <c r="C91" s="71" t="s">
        <v>259</v>
      </c>
      <c r="D91" s="130" t="s">
        <v>259</v>
      </c>
      <c r="E91" s="130"/>
      <c r="F91" s="130"/>
      <c r="G91" s="61"/>
    </row>
    <row r="92" spans="1:12" x14ac:dyDescent="0.3">
      <c r="A92" s="88" t="s">
        <v>177</v>
      </c>
      <c r="B92" s="70" t="s">
        <v>273</v>
      </c>
      <c r="C92" s="71" t="s">
        <v>259</v>
      </c>
      <c r="D92" s="130" t="s">
        <v>361</v>
      </c>
      <c r="E92" s="130"/>
      <c r="F92" s="130"/>
      <c r="G92" s="61"/>
    </row>
    <row r="93" spans="1:12" ht="36" hidden="1" customHeight="1" x14ac:dyDescent="0.3">
      <c r="A93" s="88" t="s">
        <v>178</v>
      </c>
      <c r="B93" s="69"/>
      <c r="C93" s="69"/>
      <c r="D93" s="131"/>
      <c r="E93" s="131"/>
      <c r="F93" s="131"/>
      <c r="G93" s="61"/>
    </row>
    <row r="94" spans="1:12" ht="24" x14ac:dyDescent="0.3">
      <c r="A94" s="88" t="s">
        <v>179</v>
      </c>
      <c r="B94" s="159"/>
      <c r="C94" s="159"/>
      <c r="D94" s="159"/>
      <c r="E94" s="159"/>
      <c r="F94" s="159"/>
      <c r="G94" s="61"/>
    </row>
    <row r="95" spans="1:12" x14ac:dyDescent="0.3">
      <c r="A95" s="149" t="s">
        <v>184</v>
      </c>
      <c r="B95" s="149"/>
      <c r="C95" s="149"/>
      <c r="D95" s="149"/>
      <c r="E95" s="149"/>
      <c r="F95" s="149"/>
      <c r="G95" s="61"/>
      <c r="I95" s="51"/>
    </row>
    <row r="96" spans="1:12" ht="24" x14ac:dyDescent="0.3">
      <c r="A96" s="42" t="s">
        <v>185</v>
      </c>
      <c r="B96" s="132" t="s">
        <v>4</v>
      </c>
      <c r="C96" s="132"/>
      <c r="D96" s="42" t="s">
        <v>189</v>
      </c>
      <c r="E96" s="132" t="s">
        <v>5</v>
      </c>
      <c r="F96" s="132"/>
      <c r="G96" s="61"/>
      <c r="J96" s="51"/>
    </row>
    <row r="97" spans="1:12" x14ac:dyDescent="0.3">
      <c r="A97" s="42" t="s">
        <v>186</v>
      </c>
      <c r="B97" s="132" t="s">
        <v>313</v>
      </c>
      <c r="C97" s="132"/>
      <c r="D97" s="132"/>
      <c r="E97" s="132"/>
      <c r="F97" s="132"/>
      <c r="G97" s="61"/>
      <c r="H97" s="55"/>
      <c r="J97" s="51"/>
    </row>
    <row r="98" spans="1:12" ht="24" x14ac:dyDescent="0.3">
      <c r="A98" s="42" t="s">
        <v>187</v>
      </c>
      <c r="B98" s="140">
        <v>44792</v>
      </c>
      <c r="C98" s="132"/>
      <c r="D98" s="42" t="s">
        <v>190</v>
      </c>
      <c r="E98" s="140">
        <v>45991</v>
      </c>
      <c r="F98" s="132"/>
      <c r="G98" s="61"/>
      <c r="J98" s="51"/>
    </row>
    <row r="99" spans="1:12" ht="24" x14ac:dyDescent="0.3">
      <c r="A99" s="42" t="s">
        <v>188</v>
      </c>
      <c r="B99" s="132" t="s">
        <v>6</v>
      </c>
      <c r="C99" s="132"/>
      <c r="D99" s="42" t="s">
        <v>191</v>
      </c>
      <c r="E99" s="132" t="s">
        <v>6</v>
      </c>
      <c r="F99" s="132"/>
      <c r="G99" s="61"/>
      <c r="J99" s="51"/>
    </row>
    <row r="100" spans="1:12" x14ac:dyDescent="0.3">
      <c r="A100" s="149" t="s">
        <v>192</v>
      </c>
      <c r="B100" s="149"/>
      <c r="C100" s="149"/>
      <c r="D100" s="149"/>
      <c r="E100" s="149"/>
      <c r="F100" s="149"/>
      <c r="G100" s="61"/>
      <c r="I100" s="51"/>
    </row>
    <row r="101" spans="1:12" x14ac:dyDescent="0.3">
      <c r="A101" s="42" t="s">
        <v>199</v>
      </c>
      <c r="B101" s="141" t="s">
        <v>7</v>
      </c>
      <c r="C101" s="141"/>
      <c r="D101" s="42" t="s">
        <v>193</v>
      </c>
      <c r="E101" s="128" t="s">
        <v>6</v>
      </c>
      <c r="F101" s="128"/>
      <c r="G101" s="61"/>
      <c r="J101" s="51"/>
    </row>
    <row r="102" spans="1:12" ht="24" customHeight="1" x14ac:dyDescent="0.3">
      <c r="A102" s="42" t="s">
        <v>200</v>
      </c>
      <c r="B102" s="141" t="s">
        <v>281</v>
      </c>
      <c r="C102" s="141"/>
      <c r="D102" s="42" t="s">
        <v>194</v>
      </c>
      <c r="E102" s="175" t="s">
        <v>8</v>
      </c>
      <c r="F102" s="175"/>
      <c r="G102" s="61"/>
      <c r="J102" s="51"/>
    </row>
    <row r="103" spans="1:12" ht="37.5" customHeight="1" x14ac:dyDescent="0.3">
      <c r="A103" s="42" t="s">
        <v>201</v>
      </c>
      <c r="B103" s="128" t="s">
        <v>6</v>
      </c>
      <c r="C103" s="128"/>
      <c r="D103" s="42" t="s">
        <v>195</v>
      </c>
      <c r="E103" s="128" t="s">
        <v>6</v>
      </c>
      <c r="F103" s="128"/>
      <c r="G103" s="61"/>
      <c r="J103" s="51"/>
    </row>
    <row r="104" spans="1:12" ht="39" customHeight="1" x14ac:dyDescent="0.3">
      <c r="A104" s="42" t="s">
        <v>202</v>
      </c>
      <c r="B104" s="128" t="s">
        <v>6</v>
      </c>
      <c r="C104" s="128"/>
      <c r="D104" s="42" t="s">
        <v>196</v>
      </c>
      <c r="E104" s="128" t="s">
        <v>6</v>
      </c>
      <c r="F104" s="128"/>
      <c r="G104" s="61"/>
      <c r="J104" s="51"/>
    </row>
    <row r="105" spans="1:12" ht="36" x14ac:dyDescent="0.3">
      <c r="A105" s="42" t="s">
        <v>203</v>
      </c>
      <c r="B105" s="128" t="s">
        <v>6</v>
      </c>
      <c r="C105" s="128"/>
      <c r="D105" s="42" t="s">
        <v>197</v>
      </c>
      <c r="E105" s="128" t="s">
        <v>6</v>
      </c>
      <c r="F105" s="128"/>
      <c r="G105" s="61"/>
      <c r="J105" s="51"/>
    </row>
    <row r="106" spans="1:12" ht="24" x14ac:dyDescent="0.3">
      <c r="A106" s="42" t="s">
        <v>204</v>
      </c>
      <c r="B106" s="128" t="s">
        <v>6</v>
      </c>
      <c r="C106" s="128"/>
      <c r="D106" s="42" t="s">
        <v>198</v>
      </c>
      <c r="E106" s="128" t="s">
        <v>6</v>
      </c>
      <c r="F106" s="128"/>
      <c r="G106" s="102"/>
      <c r="J106" s="52" t="str">
        <f t="shared" ref="J106" si="0">PROPER(D106)</f>
        <v>Unit Deviation</v>
      </c>
    </row>
    <row r="107" spans="1:12" ht="27" customHeight="1" x14ac:dyDescent="0.3">
      <c r="A107" s="152" t="s">
        <v>205</v>
      </c>
      <c r="B107" s="152"/>
      <c r="C107" s="162" t="s">
        <v>281</v>
      </c>
      <c r="D107" s="163"/>
      <c r="E107" s="163"/>
      <c r="F107" s="163"/>
      <c r="G107" s="129"/>
      <c r="H107" s="129"/>
    </row>
    <row r="108" spans="1:12" ht="27.75" customHeight="1" x14ac:dyDescent="0.3">
      <c r="A108" s="152" t="s">
        <v>206</v>
      </c>
      <c r="B108" s="152"/>
      <c r="C108" s="164" t="s">
        <v>259</v>
      </c>
      <c r="D108" s="164"/>
      <c r="E108" s="164"/>
      <c r="F108" s="164"/>
      <c r="G108" s="129"/>
      <c r="H108" s="129"/>
    </row>
    <row r="109" spans="1:12" x14ac:dyDescent="0.3">
      <c r="A109" s="143" t="s">
        <v>284</v>
      </c>
      <c r="B109" s="143"/>
      <c r="C109" s="173" t="s">
        <v>362</v>
      </c>
      <c r="D109" s="174"/>
      <c r="E109" s="174"/>
      <c r="F109" s="174"/>
      <c r="G109" s="61"/>
      <c r="I109" s="51"/>
    </row>
    <row r="110" spans="1:12" x14ac:dyDescent="0.3">
      <c r="A110" s="143" t="s">
        <v>285</v>
      </c>
      <c r="B110" s="143"/>
      <c r="C110" s="173" t="s">
        <v>362</v>
      </c>
      <c r="D110" s="174"/>
      <c r="E110" s="174"/>
      <c r="F110" s="174"/>
      <c r="G110" s="61"/>
      <c r="I110" s="51"/>
    </row>
    <row r="111" spans="1:12" x14ac:dyDescent="0.3">
      <c r="A111" s="149" t="s">
        <v>207</v>
      </c>
      <c r="B111" s="149"/>
      <c r="C111" s="149"/>
      <c r="D111" s="149"/>
      <c r="E111" s="149"/>
      <c r="F111" s="149"/>
      <c r="G111" s="102"/>
    </row>
    <row r="112" spans="1:12" x14ac:dyDescent="0.3">
      <c r="A112" s="139" t="s">
        <v>209</v>
      </c>
      <c r="B112" s="139"/>
      <c r="C112" s="139"/>
      <c r="D112" s="139"/>
      <c r="E112" s="139" t="s">
        <v>208</v>
      </c>
      <c r="F112" s="139"/>
      <c r="G112" s="80"/>
      <c r="H112" s="51"/>
      <c r="I112" s="51"/>
      <c r="J112" s="51"/>
      <c r="K112" s="51"/>
      <c r="L112" s="51"/>
    </row>
    <row r="113" spans="1:12" x14ac:dyDescent="0.3">
      <c r="A113" s="159" t="s">
        <v>259</v>
      </c>
      <c r="B113" s="159"/>
      <c r="C113" s="159"/>
      <c r="D113" s="159"/>
      <c r="E113" s="159" t="s">
        <v>282</v>
      </c>
      <c r="F113" s="159"/>
    </row>
    <row r="114" spans="1:12" ht="36" x14ac:dyDescent="0.3">
      <c r="A114" s="88" t="s">
        <v>210</v>
      </c>
      <c r="B114" s="88" t="s">
        <v>211</v>
      </c>
      <c r="C114" s="88" t="s">
        <v>212</v>
      </c>
      <c r="D114" s="88" t="s">
        <v>213</v>
      </c>
      <c r="E114" s="88" t="s">
        <v>214</v>
      </c>
      <c r="F114" s="88" t="s">
        <v>215</v>
      </c>
      <c r="G114" s="80"/>
      <c r="H114" s="51"/>
      <c r="I114" s="51"/>
      <c r="J114" s="51"/>
      <c r="K114" s="51"/>
      <c r="L114" s="51"/>
    </row>
    <row r="115" spans="1:12" ht="69.75" customHeight="1" x14ac:dyDescent="0.3">
      <c r="A115" s="64">
        <v>1</v>
      </c>
      <c r="B115" s="64">
        <v>1</v>
      </c>
      <c r="C115" s="64">
        <v>3</v>
      </c>
      <c r="D115" s="65" t="str">
        <f>D153</f>
        <v>Sale Shops - 79
Rehab Shops - 29
Sale Flats - 92
Rehab Flats - 64</v>
      </c>
      <c r="E115" s="64" t="s">
        <v>275</v>
      </c>
      <c r="F115" s="72">
        <f>F153</f>
        <v>264</v>
      </c>
    </row>
    <row r="116" spans="1:12" x14ac:dyDescent="0.3">
      <c r="A116" s="143" t="s">
        <v>117</v>
      </c>
      <c r="B116" s="143"/>
      <c r="C116" s="165">
        <f ca="1">E149</f>
        <v>0.90490196078431373</v>
      </c>
      <c r="D116" s="159"/>
      <c r="E116" s="159"/>
      <c r="F116" s="159"/>
      <c r="G116" s="78"/>
      <c r="H116" s="78"/>
    </row>
    <row r="117" spans="1:12" x14ac:dyDescent="0.3">
      <c r="A117" s="143" t="s">
        <v>216</v>
      </c>
      <c r="B117" s="143"/>
      <c r="C117" s="159" t="s">
        <v>4</v>
      </c>
      <c r="D117" s="159"/>
      <c r="E117" s="159"/>
      <c r="F117" s="159"/>
      <c r="G117" s="78"/>
      <c r="H117" s="78"/>
    </row>
    <row r="118" spans="1:12" x14ac:dyDescent="0.3">
      <c r="A118" s="143" t="s">
        <v>217</v>
      </c>
      <c r="B118" s="143"/>
      <c r="C118" s="159" t="s">
        <v>4</v>
      </c>
      <c r="D118" s="159"/>
      <c r="E118" s="159"/>
      <c r="F118" s="159"/>
      <c r="G118" s="78"/>
      <c r="H118" s="78"/>
    </row>
    <row r="119" spans="1:12" ht="30.75" customHeight="1" x14ac:dyDescent="0.3">
      <c r="A119" s="143" t="s">
        <v>218</v>
      </c>
      <c r="B119" s="143"/>
      <c r="C119" s="159" t="s">
        <v>365</v>
      </c>
      <c r="D119" s="159"/>
      <c r="E119" s="159"/>
      <c r="F119" s="159"/>
      <c r="G119" s="78"/>
      <c r="H119" s="78"/>
    </row>
    <row r="120" spans="1:12" ht="31.5" customHeight="1" x14ac:dyDescent="0.3">
      <c r="A120" s="143" t="s">
        <v>219</v>
      </c>
      <c r="B120" s="143"/>
      <c r="C120" s="160" t="s">
        <v>366</v>
      </c>
      <c r="D120" s="160"/>
      <c r="E120" s="160"/>
      <c r="F120" s="160"/>
      <c r="G120" s="78"/>
      <c r="H120" s="78"/>
    </row>
    <row r="121" spans="1:12" ht="15" thickBot="1" x14ac:dyDescent="0.35">
      <c r="A121" s="161" t="s">
        <v>9</v>
      </c>
      <c r="B121" s="161"/>
      <c r="C121" s="161"/>
      <c r="D121" s="161"/>
      <c r="E121" s="161"/>
      <c r="F121" s="161"/>
      <c r="G121" s="1"/>
      <c r="H121" s="1"/>
    </row>
    <row r="122" spans="1:12" x14ac:dyDescent="0.3">
      <c r="A122" s="142" t="s">
        <v>413</v>
      </c>
      <c r="B122" s="142"/>
      <c r="C122" s="90" t="s">
        <v>10</v>
      </c>
      <c r="D122" s="90" t="s">
        <v>11</v>
      </c>
      <c r="E122" s="90" t="s">
        <v>12</v>
      </c>
      <c r="F122" s="90" t="s">
        <v>13</v>
      </c>
      <c r="G122" s="89" t="str">
        <f ca="1">(IF(E126&gt;99%,"All work completed. Please provide OC.",IF(E126&lt;94%,(IF(C126=0,"Work not yet Started.",IF(C126=H127,"Excavation Work in process",IF(C126=H128,"Foudation Work in process",IF(C126=H129,"1st Basement Completed",IF(C126=H130,"1st &amp; 2nd Basement Completed",IF(C126=H131,"1st to 3rd Basement Completed",IF(C126=H132,"1st to 4th Basement Completed",IF(C126=H133,"Plinth work is process",IF(C126=H134,"Plinth work completed","0"))))))))))))&amp;(IF(C127=(D123+E123+F123),", RCC Slab",IF(C127&gt;0,", RCC upto "&amp;C127&amp;" Slab",""))&amp;(IF(C128=F123,", Brickwork",IF(C128&gt;0,", Brickwork upto "&amp;C128&amp;" Floor",""))&amp;(IF(C129=F123,", Plaster",IF(C129&gt;0,", Plaster upto "&amp;C129&amp;" Floor",""))&amp;(IF(C130=F123,", Flooring &amp; Fitting",IF(C130&gt;0,", Flooring &amp; Fitting upto "&amp;C130&amp;" Floor",""))&amp;(IF(C131=F123,", Electrical &amp; Plumbing",IF(C131&gt;0,", Electrical &amp; Plumbing upto "&amp;C131&amp;" Floor",""))&amp;(IF(C132=F123,", Painting &amp; Wooden",IF(C132&gt;0,", Painting &amp; Wooden upto "&amp;C132&amp;" Floor",""))&amp;(IF(C133&gt;0,", Finishing upto "&amp;C133&amp;" Floor","")&amp;(IF(C127&gt;0.5," Completed",""))))))))))</f>
        <v>Plinth work completed, RCC Slab, Brickwork, Plaster, Flooring &amp; Fitting upto 14 Floor, Electrical &amp; Plumbing upto 14 Floor, Painting &amp; Wooden upto 12 Floor Completed</v>
      </c>
      <c r="H122" s="2"/>
    </row>
    <row r="123" spans="1:12" x14ac:dyDescent="0.3">
      <c r="A123" s="142"/>
      <c r="B123" s="142"/>
      <c r="C123" s="90">
        <v>0</v>
      </c>
      <c r="D123" s="90">
        <v>1</v>
      </c>
      <c r="E123" s="90">
        <v>0</v>
      </c>
      <c r="F123" s="90">
        <f ca="1">--TRIM(RIGHT(SUBSTITUTE(LEFT(A122,_xlfn.AGGREGATE(16,6,FIND({0,1,2,3,4,5,6,7,8,9},A122,ROW(INDIRECT("1:"&amp;LEN(A122)))),1))," ",REPT(" ",LEN(A122))),LEN(A122)))</f>
        <v>17</v>
      </c>
      <c r="G123" s="91"/>
      <c r="H123" s="3"/>
      <c r="L123" t="s">
        <v>222</v>
      </c>
    </row>
    <row r="124" spans="1:12" ht="35.4" customHeight="1" x14ac:dyDescent="0.3">
      <c r="A124" s="105" t="s">
        <v>14</v>
      </c>
      <c r="B124" s="142" t="str">
        <f ca="1">G122</f>
        <v>Plinth work completed, RCC Slab, Brickwork, Plaster, Flooring &amp; Fitting upto 14 Floor, Electrical &amp; Plumbing upto 14 Floor, Painting &amp; Wooden upto 12 Floor Completed</v>
      </c>
      <c r="C124" s="142"/>
      <c r="D124" s="142"/>
      <c r="E124" s="142"/>
      <c r="F124" s="142"/>
      <c r="G124" s="91" t="s">
        <v>15</v>
      </c>
      <c r="H124" s="3"/>
      <c r="L124" t="s">
        <v>220</v>
      </c>
    </row>
    <row r="125" spans="1:12" x14ac:dyDescent="0.3">
      <c r="A125" s="106" t="s">
        <v>16</v>
      </c>
      <c r="B125" s="92" t="s">
        <v>17</v>
      </c>
      <c r="C125" s="93" t="s">
        <v>18</v>
      </c>
      <c r="D125" s="93" t="s">
        <v>19</v>
      </c>
      <c r="E125" s="113" t="s">
        <v>42</v>
      </c>
      <c r="F125" s="113"/>
      <c r="G125" s="94"/>
      <c r="H125" s="4"/>
      <c r="L125" t="s">
        <v>221</v>
      </c>
    </row>
    <row r="126" spans="1:12" x14ac:dyDescent="0.3">
      <c r="A126" s="106" t="s">
        <v>24</v>
      </c>
      <c r="B126" s="95">
        <v>0.35</v>
      </c>
      <c r="C126" s="96">
        <f ca="1">F123</f>
        <v>17</v>
      </c>
      <c r="D126" s="97">
        <f ca="1">((100/F123)*C126)/100</f>
        <v>1</v>
      </c>
      <c r="E126" s="114">
        <f ca="1">((((C126/F123)*35)+(35/(F123+E123+D123)*C127)+(5/F123*C128)+(5/F123*C129)+(5/F123*C130)+(5/F123*C131)+(5/F123*C132)+(2.5/F123*C133)+(2.5/F123*C134))/100)</f>
        <v>0.91764705882352959</v>
      </c>
      <c r="F126" s="114"/>
      <c r="G126" s="94"/>
      <c r="H126" s="98"/>
    </row>
    <row r="127" spans="1:12" ht="28.8" x14ac:dyDescent="0.3">
      <c r="A127" s="106" t="s">
        <v>26</v>
      </c>
      <c r="B127" s="95">
        <v>0.35</v>
      </c>
      <c r="C127" s="99">
        <v>18</v>
      </c>
      <c r="D127" s="97">
        <f ca="1">((100/(D123+E123+F123))*C127)/100</f>
        <v>1</v>
      </c>
      <c r="E127" s="114"/>
      <c r="F127" s="114"/>
      <c r="G127" s="94" t="s">
        <v>406</v>
      </c>
      <c r="H127" s="5">
        <f ca="1">F123/7</f>
        <v>2.4285714285714284</v>
      </c>
    </row>
    <row r="128" spans="1:12" x14ac:dyDescent="0.3">
      <c r="A128" s="106" t="s">
        <v>28</v>
      </c>
      <c r="B128" s="95">
        <v>0.05</v>
      </c>
      <c r="C128" s="111">
        <v>17</v>
      </c>
      <c r="D128" s="97">
        <f ca="1">((100/F123)*C128)/100</f>
        <v>1</v>
      </c>
      <c r="E128" s="114"/>
      <c r="F128" s="114"/>
      <c r="G128" s="94" t="s">
        <v>407</v>
      </c>
      <c r="H128" s="5">
        <f ca="1">(IF(C123&gt;1,(F123/(C123+2)),F123/3.5))</f>
        <v>4.8571428571428568</v>
      </c>
    </row>
    <row r="129" spans="1:12" x14ac:dyDescent="0.3">
      <c r="A129" s="106" t="s">
        <v>43</v>
      </c>
      <c r="B129" s="95">
        <v>0.05</v>
      </c>
      <c r="C129" s="111">
        <v>17</v>
      </c>
      <c r="D129" s="97">
        <f ca="1">((100/F123)*C129)/100</f>
        <v>1</v>
      </c>
      <c r="E129" s="114"/>
      <c r="F129" s="114"/>
      <c r="G129" s="94" t="s">
        <v>31</v>
      </c>
      <c r="H129" s="5">
        <f>(IF(C123&gt;1,(F123/(C123+2)+H128),0))</f>
        <v>0</v>
      </c>
    </row>
    <row r="130" spans="1:12" x14ac:dyDescent="0.3">
      <c r="A130" s="106" t="s">
        <v>34</v>
      </c>
      <c r="B130" s="95">
        <v>0.05</v>
      </c>
      <c r="C130" s="111">
        <v>14</v>
      </c>
      <c r="D130" s="97">
        <f ca="1">((100/(F123))*C130)/100</f>
        <v>0.82352941176470595</v>
      </c>
      <c r="E130" s="114"/>
      <c r="F130" s="114"/>
      <c r="G130" s="94" t="s">
        <v>33</v>
      </c>
      <c r="H130" s="5">
        <f>(IF(C123&gt;2,(F123/(C123+2)+H129),0))</f>
        <v>0</v>
      </c>
    </row>
    <row r="131" spans="1:12" ht="28.8" x14ac:dyDescent="0.3">
      <c r="A131" s="106" t="s">
        <v>44</v>
      </c>
      <c r="B131" s="95">
        <v>0.05</v>
      </c>
      <c r="C131" s="111">
        <v>14</v>
      </c>
      <c r="D131" s="97">
        <f ca="1">((100/F123)*C131)/100</f>
        <v>0.82352941176470595</v>
      </c>
      <c r="E131" s="114"/>
      <c r="F131" s="114"/>
      <c r="G131" s="94" t="s">
        <v>35</v>
      </c>
      <c r="H131" s="6">
        <f>(IF(C123&gt;3,(F123/(C123+2)+H130),0))</f>
        <v>0</v>
      </c>
    </row>
    <row r="132" spans="1:12" x14ac:dyDescent="0.3">
      <c r="A132" s="106" t="s">
        <v>36</v>
      </c>
      <c r="B132" s="95">
        <v>0.05</v>
      </c>
      <c r="C132" s="111">
        <v>12</v>
      </c>
      <c r="D132" s="97">
        <f ca="1">((100/F123)*C132)/100</f>
        <v>0.70588235294117652</v>
      </c>
      <c r="E132" s="114"/>
      <c r="F132" s="114"/>
      <c r="G132" s="94" t="s">
        <v>37</v>
      </c>
      <c r="H132" s="5">
        <f>(IF(C123&gt;4,(F123/(C123+2)+H131),0))</f>
        <v>0</v>
      </c>
    </row>
    <row r="133" spans="1:12" x14ac:dyDescent="0.3">
      <c r="A133" s="106" t="s">
        <v>45</v>
      </c>
      <c r="B133" s="95">
        <v>2.5000000000000001E-2</v>
      </c>
      <c r="C133" s="111">
        <v>0</v>
      </c>
      <c r="D133" s="97">
        <f ca="1">((100/(F123))*C133)/100</f>
        <v>0</v>
      </c>
      <c r="E133" s="114"/>
      <c r="F133" s="114"/>
      <c r="G133" s="94" t="s">
        <v>39</v>
      </c>
      <c r="H133" s="5">
        <f ca="1">(IF(C123=1,(F123/(C123+3)+H128),IF(C123=0,(F123*2/7+H128),IF(C123&gt;1,0))))</f>
        <v>9.7142857142857135</v>
      </c>
    </row>
    <row r="134" spans="1:12" ht="15" thickBot="1" x14ac:dyDescent="0.35">
      <c r="A134" s="106" t="s">
        <v>40</v>
      </c>
      <c r="B134" s="95">
        <v>2.5000000000000001E-2</v>
      </c>
      <c r="C134" s="100">
        <v>0</v>
      </c>
      <c r="D134" s="97">
        <f ca="1">((100/(F123))*C134)/100</f>
        <v>0</v>
      </c>
      <c r="E134" s="114"/>
      <c r="F134" s="114"/>
      <c r="G134" s="101" t="s">
        <v>41</v>
      </c>
      <c r="H134" s="7">
        <f ca="1">F123</f>
        <v>17</v>
      </c>
    </row>
    <row r="135" spans="1:12" ht="15" thickBot="1" x14ac:dyDescent="0.35">
      <c r="A135" s="161" t="s">
        <v>9</v>
      </c>
      <c r="B135" s="161"/>
      <c r="C135" s="161"/>
      <c r="D135" s="161"/>
      <c r="E135" s="161"/>
      <c r="F135" s="161"/>
      <c r="G135" s="1"/>
      <c r="H135" s="1"/>
    </row>
    <row r="136" spans="1:12" x14ac:dyDescent="0.3">
      <c r="A136" s="142" t="s">
        <v>414</v>
      </c>
      <c r="B136" s="142"/>
      <c r="C136" s="90" t="s">
        <v>10</v>
      </c>
      <c r="D136" s="90" t="s">
        <v>11</v>
      </c>
      <c r="E136" s="90" t="s">
        <v>12</v>
      </c>
      <c r="F136" s="90" t="s">
        <v>13</v>
      </c>
      <c r="G136" s="89" t="str">
        <f ca="1">(IF(E140&gt;99%,"All work completed. Please provide OC.",IF(E140&lt;94%,(IF(C140=0,"Work not yet Started.",IF(C140=H141,"Excavation Work in process",IF(C140=H142,"Foudation Work in process",IF(C140=H143,"1st Basement Completed",IF(C140=H144,"1st &amp; 2nd Basement Completed",IF(C140=H145,"1st to 3rd Basement Completed",IF(C140=H146,"1st to 4th Basement Completed",IF(C140=H147,"Plinth work is process",IF(C140=H148,"Plinth work completed","0"))))))))))))&amp;(IF(C141=(D137+E137+F137),", RCC Slab",IF(C141&gt;0,", RCC upto "&amp;C141&amp;" Slab",""))&amp;(IF(C142=F137,", Brickwork",IF(C142&gt;0,", Brickwork upto "&amp;C142&amp;" Floor",""))&amp;(IF(C143=F137,", Plaster",IF(C143&gt;0,", Plaster upto "&amp;C143&amp;" Floor",""))&amp;(IF(C144=F137,", Flooring &amp; Fitting",IF(C144&gt;0,", Flooring &amp; Fitting upto "&amp;C144&amp;" Floor",""))&amp;(IF(C145=F137,", Electrical &amp; Plumbing",IF(C145&gt;0,", Electrical &amp; Plumbing upto "&amp;C145&amp;" Floor",""))&amp;(IF(C146=F137,", Painting &amp; Wooden",IF(C146&gt;0,", Painting &amp; Wooden upto "&amp;C146&amp;" Floor",""))&amp;(IF(C147&gt;0,", Finishing upto "&amp;C147&amp;" Floor","")&amp;(IF(C141&gt;0.5," Completed",""))))))))))</f>
        <v>Plinth work completed, RCC Slab, Brickwork, Plaster, Flooring &amp; Fitting upto 10 Floor, Electrical &amp; Plumbing upto 10 Floor, Painting &amp; Wooden upto 7 Floor Completed</v>
      </c>
      <c r="H136" s="2"/>
    </row>
    <row r="137" spans="1:12" x14ac:dyDescent="0.3">
      <c r="A137" s="142"/>
      <c r="B137" s="142"/>
      <c r="C137" s="90">
        <v>0</v>
      </c>
      <c r="D137" s="90">
        <v>1</v>
      </c>
      <c r="E137" s="90">
        <v>0</v>
      </c>
      <c r="F137" s="90">
        <f ca="1">--TRIM(RIGHT(SUBSTITUTE(LEFT(A136,_xlfn.AGGREGATE(16,6,FIND({0,1,2,3,4,5,6,7,8,9},A136,ROW(INDIRECT("1:"&amp;LEN(A136)))),1))," ",REPT(" ",LEN(A136))),LEN(A136)))</f>
        <v>17</v>
      </c>
      <c r="G137" s="91"/>
      <c r="H137" s="3"/>
      <c r="L137" t="s">
        <v>222</v>
      </c>
    </row>
    <row r="138" spans="1:12" ht="33" customHeight="1" x14ac:dyDescent="0.3">
      <c r="A138" s="105" t="s">
        <v>14</v>
      </c>
      <c r="B138" s="142" t="str">
        <f ca="1">G136</f>
        <v>Plinth work completed, RCC Slab, Brickwork, Plaster, Flooring &amp; Fitting upto 10 Floor, Electrical &amp; Plumbing upto 10 Floor, Painting &amp; Wooden upto 7 Floor Completed</v>
      </c>
      <c r="C138" s="142"/>
      <c r="D138" s="142"/>
      <c r="E138" s="142"/>
      <c r="F138" s="142"/>
      <c r="G138" s="91" t="s">
        <v>15</v>
      </c>
      <c r="H138" s="3"/>
      <c r="L138" t="s">
        <v>220</v>
      </c>
    </row>
    <row r="139" spans="1:12" x14ac:dyDescent="0.3">
      <c r="A139" s="106" t="s">
        <v>16</v>
      </c>
      <c r="B139" s="92" t="s">
        <v>17</v>
      </c>
      <c r="C139" s="93" t="s">
        <v>18</v>
      </c>
      <c r="D139" s="93" t="s">
        <v>19</v>
      </c>
      <c r="E139" s="113" t="s">
        <v>42</v>
      </c>
      <c r="F139" s="113"/>
      <c r="G139" s="94"/>
      <c r="H139" s="4"/>
      <c r="L139" t="s">
        <v>221</v>
      </c>
    </row>
    <row r="140" spans="1:12" x14ac:dyDescent="0.3">
      <c r="A140" s="106" t="s">
        <v>24</v>
      </c>
      <c r="B140" s="95">
        <v>0.35</v>
      </c>
      <c r="C140" s="96">
        <f ca="1">F137</f>
        <v>17</v>
      </c>
      <c r="D140" s="97">
        <f ca="1">((100/F137)*C140)/100</f>
        <v>1</v>
      </c>
      <c r="E140" s="114">
        <f ca="1">((((C140/F137)*35)+(35/(F137+E137+D137)*C141)+(5/F137*C142)+(5/F137*C143)+(5/F137*C144)+(5/F137*C145)+(5/F137*C146)+(2.5/F137*C147)+(2.5/F137*C148))/100)</f>
        <v>0.87941176470588234</v>
      </c>
      <c r="F140" s="114"/>
      <c r="G140" s="94"/>
      <c r="H140" s="98"/>
    </row>
    <row r="141" spans="1:12" ht="28.8" x14ac:dyDescent="0.3">
      <c r="A141" s="106" t="s">
        <v>26</v>
      </c>
      <c r="B141" s="95">
        <v>0.35</v>
      </c>
      <c r="C141" s="99">
        <v>18</v>
      </c>
      <c r="D141" s="97">
        <f ca="1">((100/(D137+E137+F137))*C141)/100</f>
        <v>1</v>
      </c>
      <c r="E141" s="114"/>
      <c r="F141" s="114"/>
      <c r="G141" s="94" t="s">
        <v>406</v>
      </c>
      <c r="H141" s="5">
        <f ca="1">F137/7</f>
        <v>2.4285714285714284</v>
      </c>
    </row>
    <row r="142" spans="1:12" x14ac:dyDescent="0.3">
      <c r="A142" s="106" t="s">
        <v>28</v>
      </c>
      <c r="B142" s="95">
        <v>0.05</v>
      </c>
      <c r="C142" s="111">
        <v>17</v>
      </c>
      <c r="D142" s="97">
        <f ca="1">((100/F137)*C142)/100</f>
        <v>1</v>
      </c>
      <c r="E142" s="114"/>
      <c r="F142" s="114"/>
      <c r="G142" s="94" t="s">
        <v>407</v>
      </c>
      <c r="H142" s="5">
        <f ca="1">(IF(C137&gt;1,(F137/(C137+2)),F137/3.5))</f>
        <v>4.8571428571428568</v>
      </c>
    </row>
    <row r="143" spans="1:12" x14ac:dyDescent="0.3">
      <c r="A143" s="106" t="s">
        <v>43</v>
      </c>
      <c r="B143" s="95">
        <v>0.05</v>
      </c>
      <c r="C143" s="111">
        <v>17</v>
      </c>
      <c r="D143" s="97">
        <f ca="1">((100/F137)*C143)/100</f>
        <v>1</v>
      </c>
      <c r="E143" s="114"/>
      <c r="F143" s="114"/>
      <c r="G143" s="94" t="s">
        <v>31</v>
      </c>
      <c r="H143" s="5">
        <f>(IF(C137&gt;1,(F137/(C137+2)+H142),0))</f>
        <v>0</v>
      </c>
    </row>
    <row r="144" spans="1:12" x14ac:dyDescent="0.3">
      <c r="A144" s="106" t="s">
        <v>34</v>
      </c>
      <c r="B144" s="95">
        <v>0.05</v>
      </c>
      <c r="C144" s="111">
        <v>10</v>
      </c>
      <c r="D144" s="97">
        <f ca="1">((100/(F137))*C144)/100</f>
        <v>0.58823529411764708</v>
      </c>
      <c r="E144" s="114"/>
      <c r="F144" s="114"/>
      <c r="G144" s="94" t="s">
        <v>33</v>
      </c>
      <c r="H144" s="5">
        <f>(IF(C137&gt;2,(F137/(C137+2)+H143),0))</f>
        <v>0</v>
      </c>
    </row>
    <row r="145" spans="1:13" ht="28.8" x14ac:dyDescent="0.3">
      <c r="A145" s="106" t="s">
        <v>44</v>
      </c>
      <c r="B145" s="95">
        <v>0.05</v>
      </c>
      <c r="C145" s="111">
        <v>10</v>
      </c>
      <c r="D145" s="97">
        <f ca="1">((100/F137)*C145)/100</f>
        <v>0.58823529411764708</v>
      </c>
      <c r="E145" s="114"/>
      <c r="F145" s="114"/>
      <c r="G145" s="94" t="s">
        <v>35</v>
      </c>
      <c r="H145" s="6">
        <f>(IF(C137&gt;3,(F137/(C137+2)+H144),0))</f>
        <v>0</v>
      </c>
    </row>
    <row r="146" spans="1:13" x14ac:dyDescent="0.3">
      <c r="A146" s="106" t="s">
        <v>36</v>
      </c>
      <c r="B146" s="95">
        <v>0.05</v>
      </c>
      <c r="C146" s="111">
        <v>7</v>
      </c>
      <c r="D146" s="97">
        <f ca="1">((100/F137)*C146)/100</f>
        <v>0.41176470588235298</v>
      </c>
      <c r="E146" s="114"/>
      <c r="F146" s="114"/>
      <c r="G146" s="94" t="s">
        <v>37</v>
      </c>
      <c r="H146" s="5">
        <f>(IF(C137&gt;4,(F137/(C137+2)+H145),0))</f>
        <v>0</v>
      </c>
    </row>
    <row r="147" spans="1:13" x14ac:dyDescent="0.3">
      <c r="A147" s="106" t="s">
        <v>45</v>
      </c>
      <c r="B147" s="95">
        <v>2.5000000000000001E-2</v>
      </c>
      <c r="C147" s="111">
        <v>0</v>
      </c>
      <c r="D147" s="97">
        <f ca="1">((100/(F137))*C147)/100</f>
        <v>0</v>
      </c>
      <c r="E147" s="114"/>
      <c r="F147" s="114"/>
      <c r="G147" s="94" t="s">
        <v>39</v>
      </c>
      <c r="H147" s="5">
        <f ca="1">(IF(C137=1,(F137/(C137+3)+H142),IF(C137=0,(F137*2/7+H142),IF(C137&gt;1,0))))</f>
        <v>9.7142857142857135</v>
      </c>
    </row>
    <row r="148" spans="1:13" ht="15" thickBot="1" x14ac:dyDescent="0.35">
      <c r="A148" s="106" t="s">
        <v>40</v>
      </c>
      <c r="B148" s="95">
        <v>2.5000000000000001E-2</v>
      </c>
      <c r="C148" s="100">
        <v>0</v>
      </c>
      <c r="D148" s="97">
        <f ca="1">((100/(F137))*C148)/100</f>
        <v>0</v>
      </c>
      <c r="E148" s="114"/>
      <c r="F148" s="114"/>
      <c r="G148" s="101" t="s">
        <v>41</v>
      </c>
      <c r="H148" s="7">
        <f ca="1">F137</f>
        <v>17</v>
      </c>
    </row>
    <row r="149" spans="1:13" s="237" customFormat="1" x14ac:dyDescent="0.3">
      <c r="A149" s="233" t="s">
        <v>117</v>
      </c>
      <c r="B149" s="234"/>
      <c r="C149" s="234"/>
      <c r="D149" s="234"/>
      <c r="E149" s="235">
        <f ca="1">AVERAGE(E126,E126,E140)</f>
        <v>0.90490196078431373</v>
      </c>
      <c r="F149" s="236"/>
    </row>
    <row r="150" spans="1:13" s="237" customFormat="1" ht="15" thickBot="1" x14ac:dyDescent="0.35">
      <c r="A150" s="238"/>
      <c r="B150" s="239"/>
      <c r="C150" s="239"/>
      <c r="D150" s="239"/>
      <c r="E150" s="240"/>
      <c r="F150" s="241"/>
      <c r="G150" s="242"/>
      <c r="H150" s="243"/>
    </row>
    <row r="151" spans="1:13" x14ac:dyDescent="0.3">
      <c r="A151" s="138" t="s">
        <v>50</v>
      </c>
      <c r="B151" s="138"/>
      <c r="C151" s="138"/>
      <c r="D151" s="138"/>
      <c r="E151" s="138"/>
      <c r="F151" s="138"/>
    </row>
    <row r="152" spans="1:13" ht="36" x14ac:dyDescent="0.3">
      <c r="A152" s="88" t="s">
        <v>210</v>
      </c>
      <c r="B152" s="88" t="s">
        <v>211</v>
      </c>
      <c r="C152" s="88" t="s">
        <v>212</v>
      </c>
      <c r="D152" s="88" t="s">
        <v>213</v>
      </c>
      <c r="E152" s="88" t="s">
        <v>214</v>
      </c>
      <c r="F152" s="88" t="s">
        <v>215</v>
      </c>
    </row>
    <row r="153" spans="1:13" ht="63" customHeight="1" x14ac:dyDescent="0.3">
      <c r="A153" s="64">
        <v>1</v>
      </c>
      <c r="B153" s="64">
        <v>1</v>
      </c>
      <c r="C153" s="64">
        <v>3</v>
      </c>
      <c r="D153" s="65" t="s">
        <v>405</v>
      </c>
      <c r="E153" s="64" t="s">
        <v>275</v>
      </c>
      <c r="F153" s="72">
        <f>B159+B165+B171</f>
        <v>264</v>
      </c>
    </row>
    <row r="154" spans="1:13" s="30" customFormat="1" ht="15.75" customHeight="1" x14ac:dyDescent="0.3">
      <c r="A154" s="137" t="s">
        <v>363</v>
      </c>
      <c r="B154" s="137"/>
      <c r="C154" s="137"/>
      <c r="D154" s="137"/>
      <c r="E154" s="137"/>
      <c r="F154" s="137"/>
      <c r="G154" s="35"/>
      <c r="H154" s="35"/>
      <c r="I154"/>
      <c r="J154"/>
      <c r="K154"/>
      <c r="L154"/>
      <c r="M154"/>
    </row>
    <row r="155" spans="1:13" s="30" customFormat="1" ht="15.75" customHeight="1" x14ac:dyDescent="0.3">
      <c r="A155" s="44" t="s">
        <v>51</v>
      </c>
      <c r="B155" s="44" t="s">
        <v>52</v>
      </c>
      <c r="C155" s="166" t="s">
        <v>53</v>
      </c>
      <c r="D155" s="166"/>
      <c r="E155" s="186" t="s">
        <v>54</v>
      </c>
      <c r="F155" s="186"/>
      <c r="G155" s="187"/>
      <c r="H155" s="187"/>
      <c r="I155" s="182"/>
      <c r="J155" s="182"/>
      <c r="K155" s="182"/>
      <c r="L155" s="182"/>
    </row>
    <row r="156" spans="1:13" s="30" customFormat="1" ht="33" customHeight="1" x14ac:dyDescent="0.3">
      <c r="A156" s="75" t="s">
        <v>402</v>
      </c>
      <c r="B156" s="76">
        <f>COUNT(C187,C189,C191,C193,C195,C197,C199,C201,C203,C209,C211,C216,C217,C218,C219,C222:C226)+COUNT(C228:C258)+COUNT(C260:C287)</f>
        <v>79</v>
      </c>
      <c r="C156" s="117">
        <f>SUM(C187,C189,C191,C193,C195,C197,C199,C201,C203,C209,C211,C216,C217,C218,C219,C222:C226)+SUM(C228:C258)+SUM(C260:C287)</f>
        <v>17592.638543999998</v>
      </c>
      <c r="D156" s="118"/>
      <c r="E156" s="117">
        <f>SUM(F187,F189,F191,F193,F195,F197,F199,F201,F203,F209,F211,F216,F217,F218,F219,F222:F226)+SUM(F228:F258)+SUM(F260:F287)</f>
        <v>28148.221670399995</v>
      </c>
      <c r="F156" s="118"/>
      <c r="G156" s="127"/>
      <c r="H156" s="185"/>
      <c r="I156" s="182"/>
      <c r="J156" s="182"/>
      <c r="K156" s="182"/>
      <c r="L156" s="182"/>
    </row>
    <row r="157" spans="1:13" s="30" customFormat="1" ht="33" customHeight="1" x14ac:dyDescent="0.3">
      <c r="A157" s="75" t="s">
        <v>401</v>
      </c>
      <c r="B157" s="76">
        <f>COUNT(C178:C186,C188,C190,C192,C194,C196,C198,C200,C202,C204:C208,C210,C212:C215,C220:C221)</f>
        <v>29</v>
      </c>
      <c r="C157" s="117">
        <f>SUM(C178:C186,C188,C190,C192,C194,C196,C198,C200,C202,C204:C208,C210,C212:C215,C220:C221)</f>
        <v>7498.6329599999999</v>
      </c>
      <c r="D157" s="118"/>
      <c r="E157" s="117">
        <f>SUM(F178:F186,F188,F190,F192,F194,F196,F198,F200,F202,F204:F208,F210,F212:F215,F220:F221)</f>
        <v>11997.812735999996</v>
      </c>
      <c r="F157" s="118"/>
      <c r="G157" s="127"/>
      <c r="H157" s="185"/>
      <c r="I157" s="182"/>
      <c r="J157" s="182"/>
      <c r="K157" s="182"/>
      <c r="L157" s="182"/>
    </row>
    <row r="158" spans="1:13" s="30" customFormat="1" ht="15.6" hidden="1" x14ac:dyDescent="0.3">
      <c r="A158" s="58" t="s">
        <v>265</v>
      </c>
      <c r="B158" s="56"/>
      <c r="C158" s="183"/>
      <c r="D158" s="184"/>
      <c r="E158" s="183"/>
      <c r="F158" s="184"/>
      <c r="G158" s="127"/>
      <c r="H158" s="185"/>
      <c r="I158" s="182"/>
      <c r="J158" s="182"/>
      <c r="K158" s="182"/>
      <c r="L158" s="182"/>
    </row>
    <row r="159" spans="1:13" s="83" customFormat="1" x14ac:dyDescent="0.3">
      <c r="A159" s="82" t="s">
        <v>56</v>
      </c>
      <c r="B159" s="79">
        <f>SUM(B156:B158)</f>
        <v>108</v>
      </c>
      <c r="C159" s="133">
        <f>SUM(C156:C158)</f>
        <v>25091.271503999997</v>
      </c>
      <c r="D159" s="134"/>
      <c r="E159" s="135">
        <f>SUM(E156:E158)</f>
        <v>40146.034406399995</v>
      </c>
      <c r="F159" s="136"/>
      <c r="G159" s="190"/>
      <c r="H159" s="191"/>
      <c r="J159" s="84"/>
    </row>
    <row r="160" spans="1:13" s="30" customFormat="1" ht="15.75" customHeight="1" x14ac:dyDescent="0.3">
      <c r="A160" s="137" t="s">
        <v>403</v>
      </c>
      <c r="B160" s="137"/>
      <c r="C160" s="137"/>
      <c r="D160" s="137"/>
      <c r="E160" s="137"/>
      <c r="F160" s="137"/>
      <c r="G160" s="35"/>
      <c r="H160" s="35"/>
    </row>
    <row r="161" spans="1:8" s="30" customFormat="1" ht="15.75" customHeight="1" x14ac:dyDescent="0.3">
      <c r="A161" s="57" t="s">
        <v>51</v>
      </c>
      <c r="B161" s="44" t="s">
        <v>52</v>
      </c>
      <c r="C161" s="166" t="s">
        <v>53</v>
      </c>
      <c r="D161" s="166"/>
      <c r="E161" s="167" t="s">
        <v>54</v>
      </c>
      <c r="F161" s="167"/>
      <c r="G161" s="187"/>
      <c r="H161" s="187"/>
    </row>
    <row r="162" spans="1:8" s="30" customFormat="1" ht="15.6" x14ac:dyDescent="0.3">
      <c r="A162" s="75" t="s">
        <v>370</v>
      </c>
      <c r="B162" s="76">
        <f>COUNT(C297)+COUNT(C316:C317)+COUNT(C322)+COUNT(C324:C325)+COUNT(C329:C332)+COUNT(C334:C337)+COUNT(C339:C342)+COUNT(C344:C347)+COUNT(C349:C352)+COUNT(C354:C357)+COUNT(C359:C362)+COUNT(C365:C366)</f>
        <v>36</v>
      </c>
      <c r="C162" s="117">
        <f>SUM(C297)+SUM(C316:C317)+SUM(C322)+SUM(C324:C325)+SUM(C329:C332)+SUM(C334:C337)+SUM(C339:C342)+SUM(C344:C347)+SUM(C349:C352)+SUM(C354:C357)+SUM(C359:C362)+SUM(C365:C366)</f>
        <v>22744.224359999997</v>
      </c>
      <c r="D162" s="118"/>
      <c r="E162" s="117">
        <f>SUM(F297)+SUM(F316:F317)+SUM(F322)+SUM(F324:F325)+SUM(F329:F332)+SUM(F334:F337)+SUM(F339:F342)+SUM(F344:F347)+SUM(F349:F352)+SUM(F354:F357)+SUM(F359:F362)+SUM(F365:F366)</f>
        <v>34627.5794475</v>
      </c>
      <c r="F162" s="118"/>
      <c r="G162" s="127"/>
      <c r="H162" s="127"/>
    </row>
    <row r="163" spans="1:8" s="30" customFormat="1" ht="15.6" x14ac:dyDescent="0.3">
      <c r="A163" s="75" t="s">
        <v>55</v>
      </c>
      <c r="B163" s="76">
        <f>COUNT(C385:C386)+COUNT(C389:C390)+COUNT(C393:C394)+COUNT(C397:C398)+COUNT(C401:C402)+COUNT(C409:C410)+COUNT(C413:C415)+COUNT(C417:C419)+COUNT(C421:C423)+COUNT(C425:C426)</f>
        <v>23</v>
      </c>
      <c r="C163" s="117">
        <f>SUM(C385:C386)+SUM(C389:C390)+SUM(C393:C394)+SUM(C397:C398)+SUM(C401:C402)+SUM(C409:C410)+SUM(C413:C415)+SUM(C417:C419)+SUM(C421:C423)+SUM(C425:C426)</f>
        <v>13995.890999999998</v>
      </c>
      <c r="D163" s="118"/>
      <c r="E163" s="117">
        <f>SUM(F385:F386)+SUM(F389:F390)+SUM(F393:F394)+SUM(F397:F398)+SUM(F401:F402)+SUM(F409:F410)+SUM(F413:F415)+SUM(F417:F419)+SUM(F421:F423)+SUM(F425:F426)</f>
        <v>21236.263308000001</v>
      </c>
      <c r="F163" s="118"/>
      <c r="G163" s="127"/>
      <c r="H163" s="127"/>
    </row>
    <row r="164" spans="1:8" s="30" customFormat="1" ht="15.6" x14ac:dyDescent="0.3">
      <c r="A164" s="75" t="s">
        <v>269</v>
      </c>
      <c r="B164" s="76">
        <f>COUNT(C431:C433)+COUNT(C438)+COUNT(C443)+COUNT(C448)+COUNT(C453)+COUNT(C458)+COUNT(C463)+COUNT(C467:C468)+COUNT(C471,C473)+COUNT(C476:C478)+COUNT(C481:C483)+COUNT(C485:C488)+COUNT(C490:C493)+COUNT(C495:C496,C498)+COUNT(C500:C502)</f>
        <v>33</v>
      </c>
      <c r="C164" s="117">
        <f>SUM(C431:C433)+SUM(C438)+SUM(C443)+SUM(C448)+SUM(C453)+SUM(C458)+SUM(C463)+SUM(C467:C468)+SUM(C471,C473)+SUM(C476:C478)+SUM(C481:C483)+SUM(C485:C488)+SUM(C490:C493)+SUM(C495:C496,C498)+SUM(C500:C502)</f>
        <v>17939.928240000001</v>
      </c>
      <c r="D164" s="118"/>
      <c r="E164" s="117">
        <f>SUM(F431:F433)+SUM(F438)+SUM(F443)+SUM(F448)+SUM(F453)+SUM(F458)+SUM(F463)+SUM(F467:F468)+SUM(F471,F473)+SUM(F476:F478)+SUM(F481:F483)+SUM(F485:F488)+SUM(F490:F493)+SUM(F495:F496,F498)+SUM(F500:F502)</f>
        <v>27772.213218749992</v>
      </c>
      <c r="F164" s="118"/>
      <c r="G164" s="127"/>
      <c r="H164" s="127"/>
    </row>
    <row r="165" spans="1:8" s="30" customFormat="1" ht="15.6" x14ac:dyDescent="0.3">
      <c r="A165" s="44" t="s">
        <v>56</v>
      </c>
      <c r="B165" s="79">
        <f>SUM(B162:B164)</f>
        <v>92</v>
      </c>
      <c r="C165" s="133">
        <f>SUM(C162:D164)</f>
        <v>54680.043599999997</v>
      </c>
      <c r="D165" s="134"/>
      <c r="E165" s="171">
        <f>SUM(E162:E164)</f>
        <v>83636.05597424999</v>
      </c>
      <c r="F165" s="172"/>
      <c r="G165" s="188"/>
      <c r="H165" s="189"/>
    </row>
    <row r="166" spans="1:8" s="30" customFormat="1" ht="15.75" customHeight="1" x14ac:dyDescent="0.3">
      <c r="A166" s="137" t="s">
        <v>404</v>
      </c>
      <c r="B166" s="137"/>
      <c r="C166" s="137"/>
      <c r="D166" s="137"/>
      <c r="E166" s="137"/>
      <c r="F166" s="137"/>
      <c r="G166" s="35"/>
      <c r="H166" s="35"/>
    </row>
    <row r="167" spans="1:8" s="30" customFormat="1" ht="15.75" customHeight="1" x14ac:dyDescent="0.3">
      <c r="A167" s="57" t="s">
        <v>51</v>
      </c>
      <c r="B167" s="44" t="s">
        <v>52</v>
      </c>
      <c r="C167" s="166" t="s">
        <v>53</v>
      </c>
      <c r="D167" s="166"/>
      <c r="E167" s="167" t="s">
        <v>54</v>
      </c>
      <c r="F167" s="167"/>
      <c r="G167" s="187"/>
      <c r="H167" s="187"/>
    </row>
    <row r="168" spans="1:8" s="30" customFormat="1" ht="15.6" x14ac:dyDescent="0.3">
      <c r="A168" s="75" t="s">
        <v>370</v>
      </c>
      <c r="B168" s="76">
        <f>COUNT(C294:C296,C299:C302,C304:C307,C309:C312,C314:C315,C319:C321,C326:C327)</f>
        <v>22</v>
      </c>
      <c r="C168" s="117">
        <f>SUM(C294:C296,C299:C302,C304:C307,C309:C312,C314:C315,C319:C321,C326:C327)</f>
        <v>12184.33671</v>
      </c>
      <c r="D168" s="118"/>
      <c r="E168" s="117">
        <f>SUM(F294:F296,F299:F302,F304:F307,F309:F312,F314:F315,F319:F321,F326:F327)</f>
        <v>18336.245265000001</v>
      </c>
      <c r="F168" s="118"/>
      <c r="G168" s="127"/>
      <c r="H168" s="127"/>
    </row>
    <row r="169" spans="1:8" s="30" customFormat="1" ht="15.6" x14ac:dyDescent="0.3">
      <c r="A169" s="75" t="s">
        <v>55</v>
      </c>
      <c r="B169" s="76">
        <f>COUNT(C371,C373:C375,C377:C379,C381:C383,C387,C391,C395,C399,C403,C405:C407,C411)</f>
        <v>19</v>
      </c>
      <c r="C169" s="117">
        <f>SUM(C371,C373:C375,C377:C379,C381:C383,C387,C391,C395,C399,C403,C405:C407,C411)</f>
        <v>11316.38157</v>
      </c>
      <c r="D169" s="118"/>
      <c r="E169" s="117">
        <f>SUM(F371,F373:F375,F377:F379,F381:F383,F387,F391,F395,F399,F403,F405:F407,F411,)</f>
        <v>16974.572355000004</v>
      </c>
      <c r="F169" s="118"/>
      <c r="G169" s="127"/>
      <c r="H169" s="127"/>
    </row>
    <row r="170" spans="1:8" s="30" customFormat="1" ht="15.6" x14ac:dyDescent="0.3">
      <c r="A170" s="75" t="s">
        <v>269</v>
      </c>
      <c r="B170" s="76">
        <f>COUNT(C430,C435:C437,C440:C442,C445:C446,C450:C452,C455:C457,C460:C462,C465:C466,C470,C475,C480)</f>
        <v>23</v>
      </c>
      <c r="C170" s="117">
        <f>SUM(C430,C435:C437,C440:C442,C445:C446,C450:C452,C455:C457,C460:C462,C465:C466,C470,C475,C480)</f>
        <v>12550.339619999999</v>
      </c>
      <c r="D170" s="118"/>
      <c r="E170" s="117">
        <f>SUM(F430,F435:F437,F440:F442,F445:F446,F450:F452,F455:F457,F460:F462,F465:F466,F470,F475,F480)</f>
        <v>18825.509430000002</v>
      </c>
      <c r="F170" s="118"/>
      <c r="G170" s="127"/>
      <c r="H170" s="127"/>
    </row>
    <row r="171" spans="1:8" s="30" customFormat="1" ht="15.6" x14ac:dyDescent="0.3">
      <c r="A171" s="44" t="s">
        <v>56</v>
      </c>
      <c r="B171" s="79">
        <f>SUM(B168:B170)</f>
        <v>64</v>
      </c>
      <c r="C171" s="133">
        <f>SUM(C168:D170)</f>
        <v>36051.0579</v>
      </c>
      <c r="D171" s="134"/>
      <c r="E171" s="171">
        <f>SUM(E168:E170)</f>
        <v>54136.327050000007</v>
      </c>
      <c r="F171" s="172"/>
      <c r="G171" s="188"/>
      <c r="H171" s="189"/>
    </row>
    <row r="172" spans="1:8" s="31" customFormat="1" ht="15.6" x14ac:dyDescent="0.3">
      <c r="A172" s="170" t="s">
        <v>57</v>
      </c>
      <c r="B172" s="170"/>
      <c r="C172" s="170"/>
      <c r="D172" s="170"/>
      <c r="E172" s="170"/>
      <c r="F172" s="170"/>
      <c r="G172" s="37"/>
      <c r="H172" s="37"/>
    </row>
    <row r="173" spans="1:8" s="32" customFormat="1" ht="15.6" x14ac:dyDescent="0.3">
      <c r="A173" s="121" t="s">
        <v>65</v>
      </c>
      <c r="B173" s="121"/>
      <c r="C173" s="121"/>
      <c r="D173" s="121"/>
      <c r="E173" s="121"/>
      <c r="F173" s="121"/>
      <c r="G173" s="37"/>
      <c r="H173" s="37"/>
    </row>
    <row r="174" spans="1:8" s="32" customFormat="1" ht="25.5" customHeight="1" x14ac:dyDescent="0.3">
      <c r="A174" s="168" t="s">
        <v>73</v>
      </c>
      <c r="B174" s="169" t="s">
        <v>59</v>
      </c>
      <c r="C174" s="169" t="s">
        <v>60</v>
      </c>
      <c r="D174" s="169" t="s">
        <v>63</v>
      </c>
      <c r="E174" s="169" t="s">
        <v>61</v>
      </c>
      <c r="F174" s="107" t="s">
        <v>64</v>
      </c>
      <c r="G174" s="125"/>
      <c r="H174" s="125"/>
    </row>
    <row r="175" spans="1:8" s="32" customFormat="1" ht="15.6" x14ac:dyDescent="0.3">
      <c r="A175" s="168"/>
      <c r="B175" s="169"/>
      <c r="C175" s="169"/>
      <c r="D175" s="169"/>
      <c r="E175" s="169"/>
      <c r="F175" s="108">
        <v>0.6</v>
      </c>
      <c r="G175" s="125"/>
      <c r="H175" s="125"/>
    </row>
    <row r="176" spans="1:8" s="31" customFormat="1" ht="15.6" x14ac:dyDescent="0.3">
      <c r="A176" s="115" t="s">
        <v>328</v>
      </c>
      <c r="B176" s="115"/>
      <c r="C176" s="115"/>
      <c r="D176" s="115"/>
      <c r="E176" s="115"/>
      <c r="F176" s="115"/>
      <c r="G176" s="37"/>
      <c r="H176" s="37"/>
    </row>
    <row r="177" spans="1:14" s="33" customFormat="1" ht="15.75" customHeight="1" x14ac:dyDescent="0.3">
      <c r="A177" s="123" t="s">
        <v>314</v>
      </c>
      <c r="B177" s="123"/>
      <c r="C177" s="123"/>
      <c r="D177" s="123"/>
      <c r="E177" s="123"/>
      <c r="F177" s="123"/>
      <c r="G177" s="38"/>
      <c r="H177" s="38"/>
      <c r="K177" s="36">
        <v>10.763999999999999</v>
      </c>
    </row>
    <row r="178" spans="1:14" s="33" customFormat="1" ht="15.6" x14ac:dyDescent="0.3">
      <c r="A178" s="74" t="s">
        <v>372</v>
      </c>
      <c r="B178" s="74" t="s">
        <v>62</v>
      </c>
      <c r="C178" s="73">
        <f>(12.27+2.5*1.2+4.2*1.2)*10.764</f>
        <v>218.61683999999997</v>
      </c>
      <c r="D178" s="73">
        <f>C178*1.2</f>
        <v>262.34020799999996</v>
      </c>
      <c r="E178" s="74">
        <v>0</v>
      </c>
      <c r="F178" s="74">
        <f>(C178+E178)*(($F$175)+1)</f>
        <v>349.78694399999995</v>
      </c>
      <c r="G178" s="124">
        <f>3.2*3.93</f>
        <v>12.576000000000001</v>
      </c>
      <c r="H178" s="124"/>
      <c r="I178" s="34"/>
      <c r="J178" s="39"/>
      <c r="L178" s="120"/>
      <c r="M178" s="120"/>
      <c r="N178" s="34"/>
    </row>
    <row r="179" spans="1:14" s="33" customFormat="1" ht="15.6" x14ac:dyDescent="0.3">
      <c r="A179" s="74" t="s">
        <v>382</v>
      </c>
      <c r="B179" s="74" t="s">
        <v>62</v>
      </c>
      <c r="C179" s="73">
        <f>(12+3*1.2)*10.764</f>
        <v>167.91839999999999</v>
      </c>
      <c r="D179" s="73">
        <f>C179*1.2</f>
        <v>201.50207999999998</v>
      </c>
      <c r="E179" s="74">
        <v>0</v>
      </c>
      <c r="F179" s="74">
        <f>(C179+E179)*(($F$175)+1)</f>
        <v>268.66944000000001</v>
      </c>
      <c r="G179" s="124">
        <f>3.2*3.93</f>
        <v>12.576000000000001</v>
      </c>
      <c r="H179" s="124"/>
      <c r="I179" s="34"/>
      <c r="J179" s="39"/>
      <c r="L179" s="120"/>
      <c r="M179" s="120"/>
      <c r="N179" s="34"/>
    </row>
    <row r="180" spans="1:14" x14ac:dyDescent="0.3">
      <c r="A180" s="74" t="s">
        <v>373</v>
      </c>
      <c r="B180" s="74" t="s">
        <v>62</v>
      </c>
      <c r="C180" s="73">
        <f>(24.19+3.5*1.2)*10.764</f>
        <v>305.58995999999996</v>
      </c>
      <c r="D180" s="73">
        <f t="shared" ref="D180:D192" si="1">C180*1.2</f>
        <v>366.70795199999992</v>
      </c>
      <c r="E180" s="74">
        <v>0</v>
      </c>
      <c r="F180" s="74">
        <f t="shared" ref="F180:F192" si="2">(C180+E180)*(($F$175)+1)</f>
        <v>488.94393599999995</v>
      </c>
      <c r="G180">
        <f>4.35*2.77</f>
        <v>12.049499999999998</v>
      </c>
    </row>
    <row r="181" spans="1:14" x14ac:dyDescent="0.3">
      <c r="A181" s="74" t="s">
        <v>374</v>
      </c>
      <c r="B181" s="74" t="s">
        <v>62</v>
      </c>
      <c r="C181" s="73">
        <f>(21.48+3.08*1.2)*10.764</f>
        <v>270.99446399999999</v>
      </c>
      <c r="D181" s="73">
        <f t="shared" si="1"/>
        <v>325.1933568</v>
      </c>
      <c r="E181" s="74">
        <v>0</v>
      </c>
      <c r="F181" s="74">
        <f t="shared" si="2"/>
        <v>433.59114240000002</v>
      </c>
    </row>
    <row r="182" spans="1:14" x14ac:dyDescent="0.3">
      <c r="A182" s="74" t="s">
        <v>375</v>
      </c>
      <c r="B182" s="74" t="s">
        <v>62</v>
      </c>
      <c r="C182" s="73">
        <f>(21.48+3.08*1.2)*10.764</f>
        <v>270.99446399999999</v>
      </c>
      <c r="D182" s="73">
        <f t="shared" si="1"/>
        <v>325.1933568</v>
      </c>
      <c r="E182" s="74">
        <v>0</v>
      </c>
      <c r="F182" s="74">
        <f t="shared" si="2"/>
        <v>433.59114240000002</v>
      </c>
    </row>
    <row r="183" spans="1:14" x14ac:dyDescent="0.3">
      <c r="A183" s="74" t="s">
        <v>377</v>
      </c>
      <c r="B183" s="74" t="s">
        <v>62</v>
      </c>
      <c r="C183" s="73">
        <f>(26.48+3.8*1.2)*10.764</f>
        <v>334.11455999999998</v>
      </c>
      <c r="D183" s="73">
        <f t="shared" si="1"/>
        <v>400.93747199999996</v>
      </c>
      <c r="E183" s="74">
        <v>0</v>
      </c>
      <c r="F183" s="74">
        <f t="shared" si="2"/>
        <v>534.58329600000002</v>
      </c>
    </row>
    <row r="184" spans="1:14" x14ac:dyDescent="0.3">
      <c r="A184" s="74" t="s">
        <v>378</v>
      </c>
      <c r="B184" s="74" t="s">
        <v>62</v>
      </c>
      <c r="C184" s="73">
        <f>(24.82+3.56*1.2)*10.764</f>
        <v>313.14628799999997</v>
      </c>
      <c r="D184" s="73">
        <f t="shared" si="1"/>
        <v>375.77554559999993</v>
      </c>
      <c r="E184" s="74">
        <v>0</v>
      </c>
      <c r="F184" s="74">
        <f t="shared" si="2"/>
        <v>501.03406079999996</v>
      </c>
    </row>
    <row r="185" spans="1:14" x14ac:dyDescent="0.3">
      <c r="A185" s="74" t="s">
        <v>376</v>
      </c>
      <c r="B185" s="74" t="s">
        <v>62</v>
      </c>
      <c r="C185" s="73">
        <f>(32.2+4.47*1.2)*10.764</f>
        <v>404.33889599999998</v>
      </c>
      <c r="D185" s="73">
        <f t="shared" si="1"/>
        <v>485.20667519999995</v>
      </c>
      <c r="E185" s="74">
        <v>0</v>
      </c>
      <c r="F185" s="74">
        <f t="shared" si="2"/>
        <v>646.94223360000001</v>
      </c>
    </row>
    <row r="186" spans="1:14" x14ac:dyDescent="0.3">
      <c r="A186" s="74" t="s">
        <v>379</v>
      </c>
      <c r="B186" s="74" t="s">
        <v>62</v>
      </c>
      <c r="C186" s="73">
        <f>(18.03+2.98*1.2)*10.764</f>
        <v>232.56698399999999</v>
      </c>
      <c r="D186" s="73">
        <f t="shared" ref="D186" si="3">C186*1.2</f>
        <v>279.0803808</v>
      </c>
      <c r="E186" s="74">
        <v>0</v>
      </c>
      <c r="F186" s="74">
        <f t="shared" ref="F186" si="4">(C186+E186)*(($F$175)+1)</f>
        <v>372.10717440000002</v>
      </c>
    </row>
    <row r="187" spans="1:14" x14ac:dyDescent="0.3">
      <c r="A187" s="74" t="s">
        <v>315</v>
      </c>
      <c r="B187" s="74" t="s">
        <v>62</v>
      </c>
      <c r="C187" s="73">
        <f>(3.23)*10.764</f>
        <v>34.767719999999997</v>
      </c>
      <c r="D187" s="73">
        <f t="shared" si="1"/>
        <v>41.721263999999998</v>
      </c>
      <c r="E187" s="74">
        <v>0</v>
      </c>
      <c r="F187" s="74">
        <f t="shared" si="2"/>
        <v>55.628352</v>
      </c>
    </row>
    <row r="188" spans="1:14" x14ac:dyDescent="0.3">
      <c r="A188" s="74" t="s">
        <v>380</v>
      </c>
      <c r="B188" s="74" t="s">
        <v>62</v>
      </c>
      <c r="C188" s="73">
        <f>(17.57+3.05*1.2)*10.764</f>
        <v>228.51971999999998</v>
      </c>
      <c r="D188" s="73">
        <f t="shared" ref="D188" si="5">C188*1.2</f>
        <v>274.22366399999999</v>
      </c>
      <c r="E188" s="74">
        <v>0</v>
      </c>
      <c r="F188" s="74">
        <f t="shared" ref="F188" si="6">(C188+E188)*(($F$175)+1)</f>
        <v>365.631552</v>
      </c>
    </row>
    <row r="189" spans="1:14" x14ac:dyDescent="0.3">
      <c r="A189" s="74" t="s">
        <v>316</v>
      </c>
      <c r="B189" s="74" t="s">
        <v>62</v>
      </c>
      <c r="C189" s="73">
        <f>(4.22)*10.764</f>
        <v>45.424079999999996</v>
      </c>
      <c r="D189" s="73">
        <f t="shared" si="1"/>
        <v>54.508895999999993</v>
      </c>
      <c r="E189" s="74">
        <v>0</v>
      </c>
      <c r="F189" s="74">
        <f t="shared" si="2"/>
        <v>72.678528</v>
      </c>
    </row>
    <row r="190" spans="1:14" x14ac:dyDescent="0.3">
      <c r="A190" s="74" t="s">
        <v>381</v>
      </c>
      <c r="B190" s="74" t="s">
        <v>62</v>
      </c>
      <c r="C190" s="73">
        <f>(29.23+4.22*1.2)*10.764</f>
        <v>369.14061599999997</v>
      </c>
      <c r="D190" s="73">
        <f t="shared" ref="D190" si="7">C190*1.2</f>
        <v>442.96873919999996</v>
      </c>
      <c r="E190" s="74">
        <v>0</v>
      </c>
      <c r="F190" s="74">
        <f t="shared" ref="F190" si="8">(C190+E190)*(($F$175)+1)</f>
        <v>590.62498559999995</v>
      </c>
    </row>
    <row r="191" spans="1:14" x14ac:dyDescent="0.3">
      <c r="A191" s="74" t="s">
        <v>317</v>
      </c>
      <c r="B191" s="74" t="s">
        <v>62</v>
      </c>
      <c r="C191" s="73">
        <f>(21.84+3*1.2)*10.764</f>
        <v>273.83615999999995</v>
      </c>
      <c r="D191" s="73">
        <f t="shared" si="1"/>
        <v>328.60339199999993</v>
      </c>
      <c r="E191" s="74">
        <v>0</v>
      </c>
      <c r="F191" s="74">
        <f t="shared" si="2"/>
        <v>438.13785599999994</v>
      </c>
    </row>
    <row r="192" spans="1:14" x14ac:dyDescent="0.3">
      <c r="A192" s="74" t="s">
        <v>383</v>
      </c>
      <c r="B192" s="74" t="s">
        <v>62</v>
      </c>
      <c r="C192" s="73">
        <f>(19.93+3.43*1.2)*10.764</f>
        <v>258.83114399999999</v>
      </c>
      <c r="D192" s="73">
        <f t="shared" si="1"/>
        <v>310.59737279999996</v>
      </c>
      <c r="E192" s="74">
        <v>0</v>
      </c>
      <c r="F192" s="74">
        <f t="shared" si="2"/>
        <v>414.1298304</v>
      </c>
    </row>
    <row r="193" spans="1:6" x14ac:dyDescent="0.3">
      <c r="A193" s="74" t="s">
        <v>318</v>
      </c>
      <c r="B193" s="74" t="s">
        <v>62</v>
      </c>
      <c r="C193" s="73">
        <f>(4.46)*10.764</f>
        <v>48.007439999999995</v>
      </c>
      <c r="D193" s="73">
        <f t="shared" ref="D193:D211" si="9">C193*1.2</f>
        <v>57.608927999999992</v>
      </c>
      <c r="E193" s="74">
        <v>0</v>
      </c>
      <c r="F193" s="74">
        <f t="shared" ref="F193:F211" si="10">(C193+E193)*(($F$175)+1)</f>
        <v>76.811903999999998</v>
      </c>
    </row>
    <row r="194" spans="1:6" x14ac:dyDescent="0.3">
      <c r="A194" s="74" t="s">
        <v>384</v>
      </c>
      <c r="B194" s="74" t="s">
        <v>62</v>
      </c>
      <c r="C194" s="73">
        <f>(21.16+3.45*1.2)*10.764</f>
        <v>272.32920000000001</v>
      </c>
      <c r="D194" s="73">
        <f t="shared" ref="D194" si="11">C194*1.2</f>
        <v>326.79504000000003</v>
      </c>
      <c r="E194" s="74">
        <v>0</v>
      </c>
      <c r="F194" s="74">
        <f t="shared" ref="F194" si="12">(C194+E194)*(($F$175)+1)</f>
        <v>435.72672000000006</v>
      </c>
    </row>
    <row r="195" spans="1:6" x14ac:dyDescent="0.3">
      <c r="A195" s="74" t="s">
        <v>319</v>
      </c>
      <c r="B195" s="74" t="s">
        <v>62</v>
      </c>
      <c r="C195" s="73">
        <f>(3.28)*10.764</f>
        <v>35.305919999999993</v>
      </c>
      <c r="D195" s="73">
        <f t="shared" si="9"/>
        <v>42.367103999999991</v>
      </c>
      <c r="E195" s="74">
        <v>0</v>
      </c>
      <c r="F195" s="74">
        <f t="shared" si="10"/>
        <v>56.489471999999992</v>
      </c>
    </row>
    <row r="196" spans="1:6" x14ac:dyDescent="0.3">
      <c r="A196" s="74" t="s">
        <v>385</v>
      </c>
      <c r="B196" s="74" t="s">
        <v>62</v>
      </c>
      <c r="C196" s="73">
        <f>(13.82+2.27*1.2)*10.764</f>
        <v>178.07961599999999</v>
      </c>
      <c r="D196" s="73">
        <f t="shared" ref="D196" si="13">C196*1.2</f>
        <v>213.69553919999998</v>
      </c>
      <c r="E196" s="74">
        <v>0</v>
      </c>
      <c r="F196" s="74">
        <f t="shared" ref="F196" si="14">(C196+E196)*(($F$175)+1)</f>
        <v>284.92738559999998</v>
      </c>
    </row>
    <row r="197" spans="1:6" x14ac:dyDescent="0.3">
      <c r="A197" s="74" t="s">
        <v>320</v>
      </c>
      <c r="B197" s="74" t="s">
        <v>62</v>
      </c>
      <c r="C197" s="73">
        <f>(2.36)*10.764</f>
        <v>25.403039999999997</v>
      </c>
      <c r="D197" s="73">
        <f t="shared" si="9"/>
        <v>30.483647999999995</v>
      </c>
      <c r="E197" s="74">
        <v>0</v>
      </c>
      <c r="F197" s="74">
        <f t="shared" si="10"/>
        <v>40.644863999999998</v>
      </c>
    </row>
    <row r="198" spans="1:6" x14ac:dyDescent="0.3">
      <c r="A198" s="74" t="s">
        <v>386</v>
      </c>
      <c r="B198" s="74" t="s">
        <v>62</v>
      </c>
      <c r="C198" s="73">
        <f>(18.01+2.97*1.2)*10.764</f>
        <v>232.22253599999999</v>
      </c>
      <c r="D198" s="73">
        <f t="shared" ref="D198" si="15">C198*1.2</f>
        <v>278.66704319999997</v>
      </c>
      <c r="E198" s="74">
        <v>0</v>
      </c>
      <c r="F198" s="74">
        <f t="shared" ref="F198" si="16">(C198+E198)*(($F$175)+1)</f>
        <v>371.55605760000003</v>
      </c>
    </row>
    <row r="199" spans="1:6" x14ac:dyDescent="0.3">
      <c r="A199" s="74" t="s">
        <v>321</v>
      </c>
      <c r="B199" s="74" t="s">
        <v>62</v>
      </c>
      <c r="C199" s="73">
        <f>(3.15)*10.764</f>
        <v>33.906599999999997</v>
      </c>
      <c r="D199" s="73">
        <f t="shared" si="9"/>
        <v>40.687919999999998</v>
      </c>
      <c r="E199" s="74">
        <v>0</v>
      </c>
      <c r="F199" s="74">
        <f t="shared" si="10"/>
        <v>54.25056</v>
      </c>
    </row>
    <row r="200" spans="1:6" x14ac:dyDescent="0.3">
      <c r="A200" s="74" t="s">
        <v>387</v>
      </c>
      <c r="B200" s="74" t="s">
        <v>62</v>
      </c>
      <c r="C200" s="73">
        <f>(15.16+2.5*1.2)*10.764</f>
        <v>195.47423999999998</v>
      </c>
      <c r="D200" s="73">
        <f t="shared" ref="D200" si="17">C200*1.2</f>
        <v>234.56908799999997</v>
      </c>
      <c r="E200" s="74">
        <v>0</v>
      </c>
      <c r="F200" s="74">
        <f t="shared" ref="F200" si="18">(C200+E200)*(($F$175)+1)</f>
        <v>312.75878399999999</v>
      </c>
    </row>
    <row r="201" spans="1:6" x14ac:dyDescent="0.3">
      <c r="A201" s="74" t="s">
        <v>322</v>
      </c>
      <c r="B201" s="74" t="s">
        <v>62</v>
      </c>
      <c r="C201" s="73">
        <f>(2.49)*10.764</f>
        <v>26.80236</v>
      </c>
      <c r="D201" s="73">
        <f t="shared" si="9"/>
        <v>32.162832000000002</v>
      </c>
      <c r="E201" s="74">
        <v>0</v>
      </c>
      <c r="F201" s="74">
        <f t="shared" si="10"/>
        <v>42.883776000000005</v>
      </c>
    </row>
    <row r="202" spans="1:6" x14ac:dyDescent="0.3">
      <c r="A202" s="74" t="s">
        <v>388</v>
      </c>
      <c r="B202" s="74" t="s">
        <v>62</v>
      </c>
      <c r="C202" s="73">
        <f>(19.81+3.35*1.2)*10.764</f>
        <v>256.50611999999995</v>
      </c>
      <c r="D202" s="73">
        <f t="shared" ref="D202" si="19">C202*1.2</f>
        <v>307.80734399999994</v>
      </c>
      <c r="E202" s="74">
        <v>0</v>
      </c>
      <c r="F202" s="74">
        <f t="shared" ref="F202" si="20">(C202+E202)*(($F$175)+1)</f>
        <v>410.40979199999992</v>
      </c>
    </row>
    <row r="203" spans="1:6" x14ac:dyDescent="0.3">
      <c r="A203" s="74" t="s">
        <v>323</v>
      </c>
      <c r="B203" s="74" t="s">
        <v>62</v>
      </c>
      <c r="C203" s="73">
        <f>(3.35*1.19)*10.764</f>
        <v>42.910685999999998</v>
      </c>
      <c r="D203" s="73">
        <f t="shared" si="9"/>
        <v>51.492823199999997</v>
      </c>
      <c r="E203" s="74">
        <v>0</v>
      </c>
      <c r="F203" s="74">
        <f t="shared" si="10"/>
        <v>68.6570976</v>
      </c>
    </row>
    <row r="204" spans="1:6" x14ac:dyDescent="0.3">
      <c r="A204" s="74" t="s">
        <v>389</v>
      </c>
      <c r="B204" s="74" t="s">
        <v>62</v>
      </c>
      <c r="C204" s="73">
        <f>(22.65+3.12*1.2)*10.764</f>
        <v>284.10501599999998</v>
      </c>
      <c r="D204" s="73">
        <f t="shared" si="9"/>
        <v>340.92601919999998</v>
      </c>
      <c r="E204" s="74">
        <v>0</v>
      </c>
      <c r="F204" s="74">
        <f t="shared" si="10"/>
        <v>454.5680256</v>
      </c>
    </row>
    <row r="205" spans="1:6" x14ac:dyDescent="0.3">
      <c r="A205" s="74" t="s">
        <v>390</v>
      </c>
      <c r="B205" s="74" t="s">
        <v>62</v>
      </c>
      <c r="C205" s="73">
        <f>(19.97+2.75*1.2)*10.764</f>
        <v>250.47827999999998</v>
      </c>
      <c r="D205" s="73">
        <f t="shared" si="9"/>
        <v>300.57393599999995</v>
      </c>
      <c r="E205" s="74">
        <v>0</v>
      </c>
      <c r="F205" s="74">
        <f t="shared" si="10"/>
        <v>400.76524799999999</v>
      </c>
    </row>
    <row r="206" spans="1:6" x14ac:dyDescent="0.3">
      <c r="A206" s="74" t="s">
        <v>391</v>
      </c>
      <c r="B206" s="74" t="s">
        <v>62</v>
      </c>
      <c r="C206" s="73">
        <f>(22.99+3.17*1.2)*10.764</f>
        <v>288.41061599999995</v>
      </c>
      <c r="D206" s="73">
        <f t="shared" si="9"/>
        <v>346.09273919999993</v>
      </c>
      <c r="E206" s="74">
        <v>0</v>
      </c>
      <c r="F206" s="74">
        <f t="shared" si="10"/>
        <v>461.45698559999994</v>
      </c>
    </row>
    <row r="207" spans="1:6" x14ac:dyDescent="0.3">
      <c r="A207" s="74" t="s">
        <v>392</v>
      </c>
      <c r="B207" s="74" t="s">
        <v>62</v>
      </c>
      <c r="C207" s="73">
        <f>(28.1+4.8*1.2)*10.764</f>
        <v>364.46903999999995</v>
      </c>
      <c r="D207" s="73">
        <f t="shared" si="9"/>
        <v>437.36284799999993</v>
      </c>
      <c r="E207" s="74">
        <v>0</v>
      </c>
      <c r="F207" s="74">
        <f t="shared" si="10"/>
        <v>583.15046399999994</v>
      </c>
    </row>
    <row r="208" spans="1:6" x14ac:dyDescent="0.3">
      <c r="A208" s="74" t="s">
        <v>393</v>
      </c>
      <c r="B208" s="74" t="s">
        <v>62</v>
      </c>
      <c r="C208" s="73">
        <f>(27.23+4.75*1.2)*10.764</f>
        <v>354.45851999999996</v>
      </c>
      <c r="D208" s="73">
        <f t="shared" si="9"/>
        <v>425.35022399999997</v>
      </c>
      <c r="E208" s="74">
        <v>0</v>
      </c>
      <c r="F208" s="74">
        <f t="shared" si="10"/>
        <v>567.13363199999992</v>
      </c>
    </row>
    <row r="209" spans="1:7" x14ac:dyDescent="0.3">
      <c r="A209" s="74" t="s">
        <v>324</v>
      </c>
      <c r="B209" s="74" t="s">
        <v>62</v>
      </c>
      <c r="C209" s="73">
        <f>(2.9*1.7)*10.764</f>
        <v>53.066519999999997</v>
      </c>
      <c r="D209" s="73">
        <f t="shared" si="9"/>
        <v>63.679823999999996</v>
      </c>
      <c r="E209" s="74">
        <v>0</v>
      </c>
      <c r="F209" s="74">
        <f t="shared" si="10"/>
        <v>84.906431999999995</v>
      </c>
    </row>
    <row r="210" spans="1:7" x14ac:dyDescent="0.3">
      <c r="A210" s="74" t="s">
        <v>394</v>
      </c>
      <c r="B210" s="74" t="s">
        <v>62</v>
      </c>
      <c r="C210" s="73">
        <f>(11.21+2.9*1.2)*10.764</f>
        <v>158.12316000000001</v>
      </c>
      <c r="D210" s="73">
        <f t="shared" ref="D210" si="21">C210*1.2</f>
        <v>189.747792</v>
      </c>
      <c r="E210" s="74">
        <v>0</v>
      </c>
      <c r="F210" s="74">
        <f t="shared" ref="F210" si="22">(C210+E210)*(($F$175)+1)</f>
        <v>252.99705600000004</v>
      </c>
    </row>
    <row r="211" spans="1:7" x14ac:dyDescent="0.3">
      <c r="A211" s="74" t="s">
        <v>325</v>
      </c>
      <c r="B211" s="74" t="s">
        <v>62</v>
      </c>
      <c r="C211" s="73">
        <f>(2.9*0.85+2.9*1.2)*10.764</f>
        <v>63.991979999999998</v>
      </c>
      <c r="D211" s="73">
        <f t="shared" si="9"/>
        <v>76.790375999999995</v>
      </c>
      <c r="E211" s="74">
        <v>0</v>
      </c>
      <c r="F211" s="74">
        <f t="shared" si="10"/>
        <v>102.387168</v>
      </c>
    </row>
    <row r="212" spans="1:7" x14ac:dyDescent="0.3">
      <c r="A212" s="74" t="s">
        <v>395</v>
      </c>
      <c r="B212" s="74" t="s">
        <v>62</v>
      </c>
      <c r="C212" s="73">
        <f>(14.01+2.9*1.2)*10.764</f>
        <v>188.26235999999997</v>
      </c>
      <c r="D212" s="73">
        <f t="shared" ref="D212:D221" si="23">C212*1.2</f>
        <v>225.91483199999996</v>
      </c>
      <c r="E212" s="74">
        <v>0</v>
      </c>
      <c r="F212" s="74">
        <f t="shared" ref="F212:F221" si="24">(C212+E212)*(($F$175)+1)</f>
        <v>301.21977599999997</v>
      </c>
      <c r="G212">
        <f>2.4*3.8+2*1.2+1.2*2.4</f>
        <v>14.399999999999999</v>
      </c>
    </row>
    <row r="213" spans="1:7" x14ac:dyDescent="0.3">
      <c r="A213" s="74" t="s">
        <v>396</v>
      </c>
      <c r="B213" s="74" t="s">
        <v>62</v>
      </c>
      <c r="C213" s="73">
        <f>(30.5+4.05*1.2)*10.764</f>
        <v>380.61503999999996</v>
      </c>
      <c r="D213" s="73">
        <f t="shared" si="23"/>
        <v>456.73804799999994</v>
      </c>
      <c r="E213" s="74">
        <v>0</v>
      </c>
      <c r="F213" s="74">
        <f t="shared" si="24"/>
        <v>608.98406399999999</v>
      </c>
      <c r="G213">
        <f>2.9*5.9</f>
        <v>17.11</v>
      </c>
    </row>
    <row r="214" spans="1:7" x14ac:dyDescent="0.3">
      <c r="A214" s="74" t="s">
        <v>397</v>
      </c>
      <c r="B214" s="74" t="s">
        <v>62</v>
      </c>
      <c r="C214" s="73">
        <f>(24+5.3*1.2)*10.764</f>
        <v>326.79503999999997</v>
      </c>
      <c r="D214" s="73">
        <f t="shared" si="23"/>
        <v>392.15404799999993</v>
      </c>
      <c r="E214" s="74">
        <v>0</v>
      </c>
      <c r="F214" s="74">
        <f t="shared" si="24"/>
        <v>522.87206400000002</v>
      </c>
    </row>
    <row r="215" spans="1:7" x14ac:dyDescent="0.3">
      <c r="A215" s="74" t="s">
        <v>398</v>
      </c>
      <c r="B215" s="74" t="s">
        <v>62</v>
      </c>
      <c r="C215" s="73">
        <f>(14.05+3.2*1.2)*10.764</f>
        <v>192.56796</v>
      </c>
      <c r="D215" s="73">
        <f t="shared" si="23"/>
        <v>231.08155199999999</v>
      </c>
      <c r="E215" s="74">
        <v>0</v>
      </c>
      <c r="F215" s="74">
        <f t="shared" si="24"/>
        <v>308.10873600000002</v>
      </c>
    </row>
    <row r="216" spans="1:7" x14ac:dyDescent="0.3">
      <c r="A216" s="74">
        <v>28</v>
      </c>
      <c r="B216" s="74" t="s">
        <v>62</v>
      </c>
      <c r="C216" s="73">
        <f>(22.55)*10.764</f>
        <v>242.72819999999999</v>
      </c>
      <c r="D216" s="73">
        <f t="shared" si="23"/>
        <v>291.27383999999995</v>
      </c>
      <c r="E216" s="74">
        <v>0</v>
      </c>
      <c r="F216" s="74">
        <f t="shared" si="24"/>
        <v>388.36511999999999</v>
      </c>
    </row>
    <row r="217" spans="1:7" x14ac:dyDescent="0.3">
      <c r="A217" s="74">
        <v>29</v>
      </c>
      <c r="B217" s="74" t="s">
        <v>62</v>
      </c>
      <c r="C217" s="73">
        <f>(13.02)*10.764</f>
        <v>140.14727999999999</v>
      </c>
      <c r="D217" s="73">
        <f t="shared" si="23"/>
        <v>168.17673599999998</v>
      </c>
      <c r="E217" s="74">
        <v>0</v>
      </c>
      <c r="F217" s="74">
        <f t="shared" si="24"/>
        <v>224.235648</v>
      </c>
    </row>
    <row r="218" spans="1:7" x14ac:dyDescent="0.3">
      <c r="A218" s="74">
        <v>30</v>
      </c>
      <c r="B218" s="74" t="s">
        <v>62</v>
      </c>
      <c r="C218" s="73">
        <f>(16.59)*10.764</f>
        <v>178.57476</v>
      </c>
      <c r="D218" s="73">
        <f t="shared" si="23"/>
        <v>214.28971199999998</v>
      </c>
      <c r="E218" s="74">
        <v>0</v>
      </c>
      <c r="F218" s="74">
        <f t="shared" si="24"/>
        <v>285.71961600000003</v>
      </c>
    </row>
    <row r="219" spans="1:7" x14ac:dyDescent="0.3">
      <c r="A219" s="74">
        <v>31</v>
      </c>
      <c r="B219" s="74" t="s">
        <v>62</v>
      </c>
      <c r="C219" s="73">
        <f>(28.94)*10.764</f>
        <v>311.51015999999998</v>
      </c>
      <c r="D219" s="73">
        <f t="shared" si="23"/>
        <v>373.81219199999998</v>
      </c>
      <c r="E219" s="74">
        <v>0</v>
      </c>
      <c r="F219" s="74">
        <f t="shared" si="24"/>
        <v>498.41625599999998</v>
      </c>
    </row>
    <row r="220" spans="1:7" x14ac:dyDescent="0.3">
      <c r="A220" s="74" t="s">
        <v>399</v>
      </c>
      <c r="B220" s="74" t="s">
        <v>62</v>
      </c>
      <c r="C220" s="73">
        <f>(6.87)*10.764</f>
        <v>73.948679999999996</v>
      </c>
      <c r="D220" s="73">
        <f t="shared" si="23"/>
        <v>88.738415999999987</v>
      </c>
      <c r="E220" s="74">
        <v>0</v>
      </c>
      <c r="F220" s="74">
        <f t="shared" si="24"/>
        <v>118.317888</v>
      </c>
    </row>
    <row r="221" spans="1:7" x14ac:dyDescent="0.3">
      <c r="A221" s="74" t="s">
        <v>400</v>
      </c>
      <c r="B221" s="74" t="s">
        <v>62</v>
      </c>
      <c r="C221" s="73">
        <f>(11.8)*10.764</f>
        <v>127.01519999999999</v>
      </c>
      <c r="D221" s="73">
        <f t="shared" si="23"/>
        <v>152.41824</v>
      </c>
      <c r="E221" s="74">
        <v>0</v>
      </c>
      <c r="F221" s="74">
        <f t="shared" si="24"/>
        <v>203.22432000000001</v>
      </c>
    </row>
    <row r="222" spans="1:7" x14ac:dyDescent="0.3">
      <c r="A222" s="74">
        <v>34</v>
      </c>
      <c r="B222" s="74" t="s">
        <v>62</v>
      </c>
      <c r="C222" s="73">
        <f>(20.87)*10.764</f>
        <v>224.64467999999999</v>
      </c>
      <c r="D222" s="73">
        <f t="shared" ref="D222:D226" si="25">C222*1.2</f>
        <v>269.57361599999996</v>
      </c>
      <c r="E222" s="74">
        <v>0</v>
      </c>
      <c r="F222" s="74">
        <f t="shared" ref="F222:F226" si="26">(C222+E222)*(($F$175)+1)</f>
        <v>359.431488</v>
      </c>
      <c r="G222">
        <f>2.4*3.8+2*1.2+1.2*2.4</f>
        <v>14.399999999999999</v>
      </c>
    </row>
    <row r="223" spans="1:7" x14ac:dyDescent="0.3">
      <c r="A223" s="74">
        <v>35</v>
      </c>
      <c r="B223" s="74" t="s">
        <v>62</v>
      </c>
      <c r="C223" s="73">
        <f>(12.74)*10.764</f>
        <v>137.13335999999998</v>
      </c>
      <c r="D223" s="73">
        <f t="shared" si="25"/>
        <v>164.56003199999998</v>
      </c>
      <c r="E223" s="74">
        <v>0</v>
      </c>
      <c r="F223" s="74">
        <f t="shared" si="26"/>
        <v>219.41337599999997</v>
      </c>
      <c r="G223">
        <f>2.9*5.9</f>
        <v>17.11</v>
      </c>
    </row>
    <row r="224" spans="1:7" x14ac:dyDescent="0.3">
      <c r="A224" s="74">
        <v>36</v>
      </c>
      <c r="B224" s="74" t="s">
        <v>62</v>
      </c>
      <c r="C224" s="73">
        <f>(10.59)*10.764</f>
        <v>113.99075999999999</v>
      </c>
      <c r="D224" s="73">
        <f t="shared" si="25"/>
        <v>136.78891199999998</v>
      </c>
      <c r="E224" s="74">
        <v>0</v>
      </c>
      <c r="F224" s="74">
        <f t="shared" si="26"/>
        <v>182.38521600000001</v>
      </c>
    </row>
    <row r="225" spans="1:14" x14ac:dyDescent="0.3">
      <c r="A225" s="74">
        <v>37</v>
      </c>
      <c r="B225" s="74" t="s">
        <v>62</v>
      </c>
      <c r="C225" s="73">
        <f>(21.49)*10.764</f>
        <v>231.31835999999996</v>
      </c>
      <c r="D225" s="73">
        <f t="shared" si="25"/>
        <v>277.58203199999991</v>
      </c>
      <c r="E225" s="74">
        <v>0</v>
      </c>
      <c r="F225" s="74">
        <f t="shared" si="26"/>
        <v>370.10937599999994</v>
      </c>
    </row>
    <row r="226" spans="1:14" x14ac:dyDescent="0.3">
      <c r="A226" s="74">
        <v>38</v>
      </c>
      <c r="B226" s="74" t="s">
        <v>62</v>
      </c>
      <c r="C226" s="73">
        <f>(12.3)*10.764</f>
        <v>132.3972</v>
      </c>
      <c r="D226" s="73">
        <f t="shared" si="25"/>
        <v>158.87663999999998</v>
      </c>
      <c r="E226" s="74">
        <v>0</v>
      </c>
      <c r="F226" s="74">
        <f t="shared" si="26"/>
        <v>211.83552</v>
      </c>
    </row>
    <row r="227" spans="1:14" s="33" customFormat="1" ht="15.75" customHeight="1" x14ac:dyDescent="0.3">
      <c r="A227" s="123" t="s">
        <v>326</v>
      </c>
      <c r="B227" s="123"/>
      <c r="C227" s="123"/>
      <c r="D227" s="123"/>
      <c r="E227" s="123"/>
      <c r="F227" s="123"/>
      <c r="G227" s="38"/>
      <c r="H227" s="38"/>
      <c r="K227" s="36">
        <v>10.763999999999999</v>
      </c>
    </row>
    <row r="228" spans="1:14" s="33" customFormat="1" ht="15.6" x14ac:dyDescent="0.3">
      <c r="A228" s="74">
        <v>101</v>
      </c>
      <c r="B228" s="74" t="s">
        <v>62</v>
      </c>
      <c r="C228" s="73">
        <f>(14.12)*10.764</f>
        <v>151.98767999999998</v>
      </c>
      <c r="D228" s="73">
        <f>C228*1.2</f>
        <v>182.38521599999999</v>
      </c>
      <c r="E228" s="74">
        <v>0</v>
      </c>
      <c r="F228" s="74">
        <f>(C228+E228)*(($F$175)+1)</f>
        <v>243.18028799999999</v>
      </c>
      <c r="G228" s="124">
        <f>3.2*3.93</f>
        <v>12.576000000000001</v>
      </c>
      <c r="H228" s="124"/>
      <c r="I228" s="34"/>
      <c r="J228" s="39"/>
      <c r="L228" s="120"/>
      <c r="M228" s="120"/>
      <c r="N228" s="34"/>
    </row>
    <row r="229" spans="1:14" s="33" customFormat="1" ht="15.6" x14ac:dyDescent="0.3">
      <c r="A229" s="74">
        <v>102</v>
      </c>
      <c r="B229" s="74" t="s">
        <v>62</v>
      </c>
      <c r="C229" s="73">
        <f>(27.95)*10.764</f>
        <v>300.85379999999998</v>
      </c>
      <c r="D229" s="73">
        <f>C229*1.2</f>
        <v>361.02455999999995</v>
      </c>
      <c r="E229" s="74">
        <v>0</v>
      </c>
      <c r="F229" s="74">
        <f>(C229+E229)*(($F$175)+1)</f>
        <v>481.36608000000001</v>
      </c>
      <c r="G229" s="124">
        <f>3.2*3.93</f>
        <v>12.576000000000001</v>
      </c>
      <c r="H229" s="124"/>
      <c r="I229" s="34"/>
      <c r="J229" s="39"/>
      <c r="L229" s="120"/>
      <c r="M229" s="120"/>
      <c r="N229" s="34"/>
    </row>
    <row r="230" spans="1:14" x14ac:dyDescent="0.3">
      <c r="A230" s="74">
        <v>103</v>
      </c>
      <c r="B230" s="74" t="s">
        <v>62</v>
      </c>
      <c r="C230" s="73">
        <f>(25.76)*10.764</f>
        <v>277.28064000000001</v>
      </c>
      <c r="D230" s="73">
        <f t="shared" ref="D230:D258" si="27">C230*1.2</f>
        <v>332.73676799999998</v>
      </c>
      <c r="E230" s="74">
        <v>0</v>
      </c>
      <c r="F230" s="74">
        <f t="shared" ref="F230:F258" si="28">(C230+E230)*(($F$175)+1)</f>
        <v>443.64902400000005</v>
      </c>
      <c r="G230">
        <f>4.35*2.77</f>
        <v>12.049499999999998</v>
      </c>
    </row>
    <row r="231" spans="1:14" x14ac:dyDescent="0.3">
      <c r="A231" s="74">
        <v>104</v>
      </c>
      <c r="B231" s="74" t="s">
        <v>62</v>
      </c>
      <c r="C231" s="73">
        <f>(19.96)*10.764</f>
        <v>214.84943999999999</v>
      </c>
      <c r="D231" s="73">
        <f t="shared" si="27"/>
        <v>257.81932799999998</v>
      </c>
      <c r="E231" s="74">
        <v>0</v>
      </c>
      <c r="F231" s="74">
        <f t="shared" si="28"/>
        <v>343.75910399999998</v>
      </c>
    </row>
    <row r="232" spans="1:14" x14ac:dyDescent="0.3">
      <c r="A232" s="74">
        <v>105</v>
      </c>
      <c r="B232" s="74" t="s">
        <v>62</v>
      </c>
      <c r="C232" s="73">
        <f>(19.96)*10.764</f>
        <v>214.84943999999999</v>
      </c>
      <c r="D232" s="73">
        <f t="shared" si="27"/>
        <v>257.81932799999998</v>
      </c>
      <c r="E232" s="74">
        <v>0</v>
      </c>
      <c r="F232" s="74">
        <f t="shared" si="28"/>
        <v>343.75910399999998</v>
      </c>
    </row>
    <row r="233" spans="1:14" x14ac:dyDescent="0.3">
      <c r="A233" s="74">
        <v>106</v>
      </c>
      <c r="B233" s="74" t="s">
        <v>62</v>
      </c>
      <c r="C233" s="73">
        <f>(21.3)*10.764</f>
        <v>229.2732</v>
      </c>
      <c r="D233" s="73">
        <f t="shared" si="27"/>
        <v>275.12783999999999</v>
      </c>
      <c r="E233" s="74">
        <v>0</v>
      </c>
      <c r="F233" s="74">
        <f t="shared" si="28"/>
        <v>366.83712000000003</v>
      </c>
    </row>
    <row r="234" spans="1:14" x14ac:dyDescent="0.3">
      <c r="A234" s="74">
        <v>107</v>
      </c>
      <c r="B234" s="74" t="s">
        <v>62</v>
      </c>
      <c r="C234" s="73">
        <f>(21.3)*10.764</f>
        <v>229.2732</v>
      </c>
      <c r="D234" s="73">
        <f t="shared" si="27"/>
        <v>275.12783999999999</v>
      </c>
      <c r="E234" s="74">
        <v>0</v>
      </c>
      <c r="F234" s="74">
        <f t="shared" si="28"/>
        <v>366.83712000000003</v>
      </c>
    </row>
    <row r="235" spans="1:14" x14ac:dyDescent="0.3">
      <c r="A235" s="74">
        <v>108</v>
      </c>
      <c r="B235" s="74" t="s">
        <v>62</v>
      </c>
      <c r="C235" s="73">
        <f>(37.59)*10.764</f>
        <v>404.61876000000001</v>
      </c>
      <c r="D235" s="73">
        <f t="shared" si="27"/>
        <v>485.54251199999999</v>
      </c>
      <c r="E235" s="74">
        <v>0</v>
      </c>
      <c r="F235" s="74">
        <f t="shared" si="28"/>
        <v>647.39001600000006</v>
      </c>
    </row>
    <row r="236" spans="1:14" x14ac:dyDescent="0.3">
      <c r="A236" s="74">
        <v>109</v>
      </c>
      <c r="B236" s="74" t="s">
        <v>62</v>
      </c>
      <c r="C236" s="73">
        <f>(19.83)*10.764</f>
        <v>213.45011999999997</v>
      </c>
      <c r="D236" s="73">
        <f t="shared" si="27"/>
        <v>256.14014399999996</v>
      </c>
      <c r="E236" s="74">
        <v>0</v>
      </c>
      <c r="F236" s="74">
        <f t="shared" si="28"/>
        <v>341.52019199999995</v>
      </c>
    </row>
    <row r="237" spans="1:14" x14ac:dyDescent="0.3">
      <c r="A237" s="74">
        <v>110</v>
      </c>
      <c r="B237" s="74" t="s">
        <v>62</v>
      </c>
      <c r="C237" s="73">
        <f>(19.83)*10.764</f>
        <v>213.45011999999997</v>
      </c>
      <c r="D237" s="73">
        <f t="shared" si="27"/>
        <v>256.14014399999996</v>
      </c>
      <c r="E237" s="74">
        <v>0</v>
      </c>
      <c r="F237" s="74">
        <f t="shared" si="28"/>
        <v>341.52019199999995</v>
      </c>
    </row>
    <row r="238" spans="1:14" x14ac:dyDescent="0.3">
      <c r="A238" s="74">
        <v>111</v>
      </c>
      <c r="B238" s="74" t="s">
        <v>62</v>
      </c>
      <c r="C238" s="73">
        <f>(24.2)*10.764</f>
        <v>260.48879999999997</v>
      </c>
      <c r="D238" s="73">
        <f t="shared" si="27"/>
        <v>312.58655999999996</v>
      </c>
      <c r="E238" s="74">
        <v>0</v>
      </c>
      <c r="F238" s="74">
        <f t="shared" si="28"/>
        <v>416.78207999999995</v>
      </c>
    </row>
    <row r="239" spans="1:14" x14ac:dyDescent="0.3">
      <c r="A239" s="74">
        <v>112</v>
      </c>
      <c r="B239" s="74" t="s">
        <v>62</v>
      </c>
      <c r="C239" s="73">
        <f>(24.27)*10.764</f>
        <v>261.24227999999999</v>
      </c>
      <c r="D239" s="73">
        <f t="shared" si="27"/>
        <v>313.49073599999997</v>
      </c>
      <c r="E239" s="74">
        <v>0</v>
      </c>
      <c r="F239" s="74">
        <f t="shared" si="28"/>
        <v>417.98764800000004</v>
      </c>
    </row>
    <row r="240" spans="1:14" x14ac:dyDescent="0.3">
      <c r="A240" s="74">
        <v>113</v>
      </c>
      <c r="B240" s="74" t="s">
        <v>62</v>
      </c>
      <c r="C240" s="73">
        <f>(38.95)*10.764</f>
        <v>419.25780000000003</v>
      </c>
      <c r="D240" s="73">
        <f t="shared" si="27"/>
        <v>503.10936000000004</v>
      </c>
      <c r="E240" s="74">
        <v>0</v>
      </c>
      <c r="F240" s="74">
        <f t="shared" si="28"/>
        <v>670.81248000000005</v>
      </c>
    </row>
    <row r="241" spans="1:6" x14ac:dyDescent="0.3">
      <c r="A241" s="74">
        <v>114</v>
      </c>
      <c r="B241" s="74" t="s">
        <v>62</v>
      </c>
      <c r="C241" s="73">
        <f>(23.91)*10.764</f>
        <v>257.36723999999998</v>
      </c>
      <c r="D241" s="73">
        <f t="shared" si="27"/>
        <v>308.84068799999994</v>
      </c>
      <c r="E241" s="74">
        <v>0</v>
      </c>
      <c r="F241" s="74">
        <f t="shared" si="28"/>
        <v>411.78758399999998</v>
      </c>
    </row>
    <row r="242" spans="1:6" x14ac:dyDescent="0.3">
      <c r="A242" s="74">
        <v>115</v>
      </c>
      <c r="B242" s="74" t="s">
        <v>62</v>
      </c>
      <c r="C242" s="73">
        <f>(23.91)*10.764</f>
        <v>257.36723999999998</v>
      </c>
      <c r="D242" s="73">
        <f t="shared" si="27"/>
        <v>308.84068799999994</v>
      </c>
      <c r="E242" s="74">
        <v>0</v>
      </c>
      <c r="F242" s="74">
        <f t="shared" si="28"/>
        <v>411.78758399999998</v>
      </c>
    </row>
    <row r="243" spans="1:6" x14ac:dyDescent="0.3">
      <c r="A243" s="74">
        <v>116</v>
      </c>
      <c r="B243" s="74" t="s">
        <v>62</v>
      </c>
      <c r="C243" s="73">
        <f>(20.69)*10.764</f>
        <v>222.70715999999999</v>
      </c>
      <c r="D243" s="73">
        <f t="shared" si="27"/>
        <v>267.24859199999997</v>
      </c>
      <c r="E243" s="74">
        <v>0</v>
      </c>
      <c r="F243" s="74">
        <f t="shared" si="28"/>
        <v>356.331456</v>
      </c>
    </row>
    <row r="244" spans="1:6" x14ac:dyDescent="0.3">
      <c r="A244" s="74">
        <v>117</v>
      </c>
      <c r="B244" s="74" t="s">
        <v>62</v>
      </c>
      <c r="C244" s="73">
        <f>(20.04)*10.764</f>
        <v>215.71055999999999</v>
      </c>
      <c r="D244" s="73">
        <f t="shared" si="27"/>
        <v>258.85267199999998</v>
      </c>
      <c r="E244" s="74">
        <v>0</v>
      </c>
      <c r="F244" s="74">
        <f t="shared" si="28"/>
        <v>345.13689599999998</v>
      </c>
    </row>
    <row r="245" spans="1:6" x14ac:dyDescent="0.3">
      <c r="A245" s="74">
        <v>118</v>
      </c>
      <c r="B245" s="74" t="s">
        <v>62</v>
      </c>
      <c r="C245" s="73">
        <f>(20.04)*10.764</f>
        <v>215.71055999999999</v>
      </c>
      <c r="D245" s="73">
        <f t="shared" si="27"/>
        <v>258.85267199999998</v>
      </c>
      <c r="E245" s="74">
        <v>0</v>
      </c>
      <c r="F245" s="74">
        <f t="shared" si="28"/>
        <v>345.13689599999998</v>
      </c>
    </row>
    <row r="246" spans="1:6" x14ac:dyDescent="0.3">
      <c r="A246" s="74">
        <v>119</v>
      </c>
      <c r="B246" s="74" t="s">
        <v>62</v>
      </c>
      <c r="C246" s="73">
        <f>(30.71)*10.764</f>
        <v>330.56243999999998</v>
      </c>
      <c r="D246" s="73">
        <f t="shared" si="27"/>
        <v>396.67492799999997</v>
      </c>
      <c r="E246" s="74">
        <v>0</v>
      </c>
      <c r="F246" s="74">
        <f t="shared" si="28"/>
        <v>528.89990399999999</v>
      </c>
    </row>
    <row r="247" spans="1:6" x14ac:dyDescent="0.3">
      <c r="A247" s="74">
        <v>120</v>
      </c>
      <c r="B247" s="74" t="s">
        <v>62</v>
      </c>
      <c r="C247" s="73">
        <f>(44.68)*10.764</f>
        <v>480.93551999999994</v>
      </c>
      <c r="D247" s="73">
        <f t="shared" si="27"/>
        <v>577.12262399999986</v>
      </c>
      <c r="E247" s="74">
        <v>0</v>
      </c>
      <c r="F247" s="74">
        <f t="shared" si="28"/>
        <v>769.49683199999993</v>
      </c>
    </row>
    <row r="248" spans="1:6" x14ac:dyDescent="0.3">
      <c r="A248" s="74">
        <v>121</v>
      </c>
      <c r="B248" s="74" t="s">
        <v>62</v>
      </c>
      <c r="C248" s="73">
        <f>(38.21)*10.764</f>
        <v>411.29244</v>
      </c>
      <c r="D248" s="73">
        <f t="shared" si="27"/>
        <v>493.550928</v>
      </c>
      <c r="E248" s="74">
        <v>0</v>
      </c>
      <c r="F248" s="74">
        <f t="shared" si="28"/>
        <v>658.067904</v>
      </c>
    </row>
    <row r="249" spans="1:6" x14ac:dyDescent="0.3">
      <c r="A249" s="74">
        <v>122</v>
      </c>
      <c r="B249" s="74" t="s">
        <v>62</v>
      </c>
      <c r="C249" s="73">
        <f>(21.58)*10.764</f>
        <v>232.28711999999996</v>
      </c>
      <c r="D249" s="73">
        <f t="shared" si="27"/>
        <v>278.74454399999996</v>
      </c>
      <c r="E249" s="74">
        <v>0</v>
      </c>
      <c r="F249" s="74">
        <f t="shared" si="28"/>
        <v>371.65939199999997</v>
      </c>
    </row>
    <row r="250" spans="1:6" x14ac:dyDescent="0.3">
      <c r="A250" s="74">
        <v>123</v>
      </c>
      <c r="B250" s="74" t="s">
        <v>62</v>
      </c>
      <c r="C250" s="73">
        <f>(10.6)*10.764</f>
        <v>114.09839999999998</v>
      </c>
      <c r="D250" s="73">
        <f t="shared" si="27"/>
        <v>136.91807999999997</v>
      </c>
      <c r="E250" s="74">
        <v>0</v>
      </c>
      <c r="F250" s="74">
        <f t="shared" si="28"/>
        <v>182.55743999999999</v>
      </c>
    </row>
    <row r="251" spans="1:6" x14ac:dyDescent="0.3">
      <c r="A251" s="74">
        <v>124</v>
      </c>
      <c r="B251" s="74" t="s">
        <v>62</v>
      </c>
      <c r="C251" s="73">
        <f>(12.83)*10.764</f>
        <v>138.10211999999999</v>
      </c>
      <c r="D251" s="73">
        <f t="shared" si="27"/>
        <v>165.72254399999997</v>
      </c>
      <c r="E251" s="74">
        <v>0</v>
      </c>
      <c r="F251" s="74">
        <f t="shared" si="28"/>
        <v>220.963392</v>
      </c>
    </row>
    <row r="252" spans="1:6" x14ac:dyDescent="0.3">
      <c r="A252" s="74">
        <v>125</v>
      </c>
      <c r="B252" s="74" t="s">
        <v>62</v>
      </c>
      <c r="C252" s="73">
        <f>(21.06)*10.764</f>
        <v>226.68983999999998</v>
      </c>
      <c r="D252" s="73">
        <f t="shared" si="27"/>
        <v>272.02780799999994</v>
      </c>
      <c r="E252" s="74">
        <v>0</v>
      </c>
      <c r="F252" s="74">
        <f t="shared" si="28"/>
        <v>362.70374399999997</v>
      </c>
    </row>
    <row r="253" spans="1:6" x14ac:dyDescent="0.3">
      <c r="A253" s="74">
        <v>126</v>
      </c>
      <c r="B253" s="74" t="s">
        <v>62</v>
      </c>
      <c r="C253" s="73">
        <f>(11.8)*10.764</f>
        <v>127.01519999999999</v>
      </c>
      <c r="D253" s="73">
        <f t="shared" si="27"/>
        <v>152.41824</v>
      </c>
      <c r="E253" s="74">
        <v>0</v>
      </c>
      <c r="F253" s="74">
        <f t="shared" si="28"/>
        <v>203.22432000000001</v>
      </c>
    </row>
    <row r="254" spans="1:6" x14ac:dyDescent="0.3">
      <c r="A254" s="74">
        <v>127</v>
      </c>
      <c r="B254" s="74" t="s">
        <v>62</v>
      </c>
      <c r="C254" s="73">
        <f>(6.88)*10.764</f>
        <v>74.056319999999999</v>
      </c>
      <c r="D254" s="73">
        <f t="shared" si="27"/>
        <v>88.867583999999994</v>
      </c>
      <c r="E254" s="74">
        <v>0</v>
      </c>
      <c r="F254" s="74">
        <f t="shared" si="28"/>
        <v>118.49011200000001</v>
      </c>
    </row>
    <row r="255" spans="1:6" x14ac:dyDescent="0.3">
      <c r="A255" s="74">
        <v>128</v>
      </c>
      <c r="B255" s="74" t="s">
        <v>62</v>
      </c>
      <c r="C255" s="73">
        <f>(28.85)*10.764</f>
        <v>310.54140000000001</v>
      </c>
      <c r="D255" s="73">
        <f t="shared" si="27"/>
        <v>372.64967999999999</v>
      </c>
      <c r="E255" s="74">
        <v>0</v>
      </c>
      <c r="F255" s="74">
        <f t="shared" si="28"/>
        <v>496.86624000000006</v>
      </c>
    </row>
    <row r="256" spans="1:6" x14ac:dyDescent="0.3">
      <c r="A256" s="74">
        <v>129</v>
      </c>
      <c r="B256" s="74" t="s">
        <v>62</v>
      </c>
      <c r="C256" s="73">
        <f>(19.27)*10.764</f>
        <v>207.42227999999997</v>
      </c>
      <c r="D256" s="73">
        <f t="shared" si="27"/>
        <v>248.90673599999997</v>
      </c>
      <c r="E256" s="74">
        <v>0</v>
      </c>
      <c r="F256" s="74">
        <f t="shared" si="28"/>
        <v>331.87564799999996</v>
      </c>
    </row>
    <row r="257" spans="1:14" x14ac:dyDescent="0.3">
      <c r="A257" s="74">
        <v>130</v>
      </c>
      <c r="B257" s="74" t="s">
        <v>62</v>
      </c>
      <c r="C257" s="73">
        <f>(12.23)*10.764</f>
        <v>131.64372</v>
      </c>
      <c r="D257" s="73">
        <f t="shared" si="27"/>
        <v>157.972464</v>
      </c>
      <c r="E257" s="74">
        <v>0</v>
      </c>
      <c r="F257" s="74">
        <f t="shared" si="28"/>
        <v>210.629952</v>
      </c>
    </row>
    <row r="258" spans="1:14" x14ac:dyDescent="0.3">
      <c r="A258" s="74">
        <v>131</v>
      </c>
      <c r="B258" s="74" t="s">
        <v>62</v>
      </c>
      <c r="C258" s="73">
        <f>(22.6)*10.764</f>
        <v>243.2664</v>
      </c>
      <c r="D258" s="73">
        <f t="shared" si="27"/>
        <v>291.91967999999997</v>
      </c>
      <c r="E258" s="74">
        <v>0</v>
      </c>
      <c r="F258" s="74">
        <f t="shared" si="28"/>
        <v>389.22624000000002</v>
      </c>
    </row>
    <row r="259" spans="1:14" s="33" customFormat="1" ht="15.75" customHeight="1" x14ac:dyDescent="0.3">
      <c r="A259" s="123" t="s">
        <v>327</v>
      </c>
      <c r="B259" s="123"/>
      <c r="C259" s="123"/>
      <c r="D259" s="123"/>
      <c r="E259" s="123"/>
      <c r="F259" s="123"/>
      <c r="G259" s="38"/>
      <c r="H259" s="38"/>
      <c r="K259" s="36">
        <v>10.763999999999999</v>
      </c>
    </row>
    <row r="260" spans="1:14" s="33" customFormat="1" ht="15.6" x14ac:dyDescent="0.3">
      <c r="A260" s="74">
        <v>201</v>
      </c>
      <c r="B260" s="74" t="s">
        <v>62</v>
      </c>
      <c r="C260" s="73">
        <f>(5.85*4.8+4.42*3.35)*10.764</f>
        <v>461.63566799999995</v>
      </c>
      <c r="D260" s="73">
        <f>C260*1.2</f>
        <v>553.96280159999992</v>
      </c>
      <c r="E260" s="74">
        <v>0</v>
      </c>
      <c r="F260" s="74">
        <f>(C260+E260)*(($F$175)+1)</f>
        <v>738.61706879999997</v>
      </c>
      <c r="G260" s="124"/>
      <c r="H260" s="124"/>
      <c r="I260" s="34"/>
      <c r="J260" s="39"/>
      <c r="L260" s="120"/>
      <c r="M260" s="120"/>
      <c r="N260" s="34"/>
    </row>
    <row r="261" spans="1:14" s="33" customFormat="1" ht="15.6" x14ac:dyDescent="0.3">
      <c r="A261" s="74">
        <v>202</v>
      </c>
      <c r="B261" s="74" t="s">
        <v>62</v>
      </c>
      <c r="C261" s="73">
        <f>(6.75*6.85)*10.764</f>
        <v>497.70044999999993</v>
      </c>
      <c r="D261" s="73">
        <f>C261*1.2</f>
        <v>597.2405399999999</v>
      </c>
      <c r="E261" s="74">
        <v>0</v>
      </c>
      <c r="F261" s="74">
        <f>(C261+E261)*(($F$175)+1)</f>
        <v>796.32071999999994</v>
      </c>
      <c r="G261" s="124"/>
      <c r="H261" s="124"/>
      <c r="I261" s="34"/>
      <c r="J261" s="39"/>
      <c r="L261" s="120"/>
      <c r="M261" s="120"/>
      <c r="N261" s="34"/>
    </row>
    <row r="262" spans="1:14" x14ac:dyDescent="0.3">
      <c r="A262" s="74">
        <v>203</v>
      </c>
      <c r="B262" s="74" t="s">
        <v>62</v>
      </c>
      <c r="C262" s="73">
        <f>(19.96)*10.764</f>
        <v>214.84943999999999</v>
      </c>
      <c r="D262" s="73">
        <f t="shared" ref="D262:D287" si="29">C262*1.2</f>
        <v>257.81932799999998</v>
      </c>
      <c r="E262" s="74">
        <v>0</v>
      </c>
      <c r="F262" s="74">
        <f t="shared" ref="F262:F287" si="30">(C262+E262)*(($F$175)+1)</f>
        <v>343.75910399999998</v>
      </c>
    </row>
    <row r="263" spans="1:14" x14ac:dyDescent="0.3">
      <c r="A263" s="74">
        <v>204</v>
      </c>
      <c r="B263" s="74" t="s">
        <v>62</v>
      </c>
      <c r="C263" s="73">
        <f>(21.3)*10.764</f>
        <v>229.2732</v>
      </c>
      <c r="D263" s="73">
        <f t="shared" si="29"/>
        <v>275.12783999999999</v>
      </c>
      <c r="E263" s="74">
        <v>0</v>
      </c>
      <c r="F263" s="74">
        <f t="shared" si="30"/>
        <v>366.83712000000003</v>
      </c>
    </row>
    <row r="264" spans="1:14" x14ac:dyDescent="0.3">
      <c r="A264" s="74">
        <v>205</v>
      </c>
      <c r="B264" s="74" t="s">
        <v>62</v>
      </c>
      <c r="C264" s="73">
        <f>(21.3)*10.764</f>
        <v>229.2732</v>
      </c>
      <c r="D264" s="73">
        <f t="shared" si="29"/>
        <v>275.12783999999999</v>
      </c>
      <c r="E264" s="74">
        <v>0</v>
      </c>
      <c r="F264" s="74">
        <f t="shared" si="30"/>
        <v>366.83712000000003</v>
      </c>
    </row>
    <row r="265" spans="1:14" x14ac:dyDescent="0.3">
      <c r="A265" s="74">
        <v>206</v>
      </c>
      <c r="B265" s="74" t="s">
        <v>62</v>
      </c>
      <c r="C265" s="73">
        <f>(37.59)*10.764</f>
        <v>404.61876000000001</v>
      </c>
      <c r="D265" s="73">
        <f t="shared" si="29"/>
        <v>485.54251199999999</v>
      </c>
      <c r="E265" s="74">
        <v>0</v>
      </c>
      <c r="F265" s="74">
        <f t="shared" si="30"/>
        <v>647.39001600000006</v>
      </c>
    </row>
    <row r="266" spans="1:14" x14ac:dyDescent="0.3">
      <c r="A266" s="74">
        <v>207</v>
      </c>
      <c r="B266" s="74" t="s">
        <v>62</v>
      </c>
      <c r="C266" s="73">
        <f>(19.83)*10.764</f>
        <v>213.45011999999997</v>
      </c>
      <c r="D266" s="73">
        <f t="shared" si="29"/>
        <v>256.14014399999996</v>
      </c>
      <c r="E266" s="74">
        <v>0</v>
      </c>
      <c r="F266" s="74">
        <f t="shared" si="30"/>
        <v>341.52019199999995</v>
      </c>
    </row>
    <row r="267" spans="1:14" x14ac:dyDescent="0.3">
      <c r="A267" s="74">
        <v>208</v>
      </c>
      <c r="B267" s="74" t="s">
        <v>62</v>
      </c>
      <c r="C267" s="73">
        <f>(19.83)*10.764</f>
        <v>213.45011999999997</v>
      </c>
      <c r="D267" s="73">
        <f t="shared" si="29"/>
        <v>256.14014399999996</v>
      </c>
      <c r="E267" s="74">
        <v>0</v>
      </c>
      <c r="F267" s="74">
        <f t="shared" si="30"/>
        <v>341.52019199999995</v>
      </c>
    </row>
    <row r="268" spans="1:14" x14ac:dyDescent="0.3">
      <c r="A268" s="74">
        <v>209</v>
      </c>
      <c r="B268" s="74" t="s">
        <v>62</v>
      </c>
      <c r="C268" s="73">
        <f>(24.2)*10.764</f>
        <v>260.48879999999997</v>
      </c>
      <c r="D268" s="73">
        <f t="shared" si="29"/>
        <v>312.58655999999996</v>
      </c>
      <c r="E268" s="74">
        <v>0</v>
      </c>
      <c r="F268" s="74">
        <f t="shared" si="30"/>
        <v>416.78207999999995</v>
      </c>
    </row>
    <row r="269" spans="1:14" x14ac:dyDescent="0.3">
      <c r="A269" s="74">
        <v>210</v>
      </c>
      <c r="B269" s="74" t="s">
        <v>62</v>
      </c>
      <c r="C269" s="73">
        <f>(24.27)*10.764</f>
        <v>261.24227999999999</v>
      </c>
      <c r="D269" s="73">
        <f t="shared" si="29"/>
        <v>313.49073599999997</v>
      </c>
      <c r="E269" s="74">
        <v>0</v>
      </c>
      <c r="F269" s="74">
        <f t="shared" si="30"/>
        <v>417.98764800000004</v>
      </c>
    </row>
    <row r="270" spans="1:14" x14ac:dyDescent="0.3">
      <c r="A270" s="74">
        <v>211</v>
      </c>
      <c r="B270" s="74" t="s">
        <v>62</v>
      </c>
      <c r="C270" s="73">
        <f>(38.95)*10.764</f>
        <v>419.25780000000003</v>
      </c>
      <c r="D270" s="73">
        <f t="shared" si="29"/>
        <v>503.10936000000004</v>
      </c>
      <c r="E270" s="74">
        <v>0</v>
      </c>
      <c r="F270" s="74">
        <f t="shared" si="30"/>
        <v>670.81248000000005</v>
      </c>
    </row>
    <row r="271" spans="1:14" x14ac:dyDescent="0.3">
      <c r="A271" s="74">
        <v>212</v>
      </c>
      <c r="B271" s="74" t="s">
        <v>62</v>
      </c>
      <c r="C271" s="73">
        <f>(28.48)*10.764</f>
        <v>306.55871999999999</v>
      </c>
      <c r="D271" s="73">
        <f t="shared" si="29"/>
        <v>367.87046399999997</v>
      </c>
      <c r="E271" s="74">
        <v>0</v>
      </c>
      <c r="F271" s="74">
        <f t="shared" si="30"/>
        <v>490.49395200000004</v>
      </c>
    </row>
    <row r="272" spans="1:14" x14ac:dyDescent="0.3">
      <c r="A272" s="74">
        <v>213</v>
      </c>
      <c r="B272" s="74" t="s">
        <v>62</v>
      </c>
      <c r="C272" s="73">
        <f>(23.91)*10.764</f>
        <v>257.36723999999998</v>
      </c>
      <c r="D272" s="73">
        <f t="shared" si="29"/>
        <v>308.84068799999994</v>
      </c>
      <c r="E272" s="74">
        <v>0</v>
      </c>
      <c r="F272" s="74">
        <f t="shared" si="30"/>
        <v>411.78758399999998</v>
      </c>
    </row>
    <row r="273" spans="1:8" x14ac:dyDescent="0.3">
      <c r="A273" s="74">
        <v>214</v>
      </c>
      <c r="B273" s="74" t="s">
        <v>62</v>
      </c>
      <c r="C273" s="73">
        <f>(23.91)*10.764</f>
        <v>257.36723999999998</v>
      </c>
      <c r="D273" s="73">
        <f t="shared" si="29"/>
        <v>308.84068799999994</v>
      </c>
      <c r="E273" s="74">
        <v>0</v>
      </c>
      <c r="F273" s="74">
        <f t="shared" si="30"/>
        <v>411.78758399999998</v>
      </c>
    </row>
    <row r="274" spans="1:8" x14ac:dyDescent="0.3">
      <c r="A274" s="74">
        <v>215</v>
      </c>
      <c r="B274" s="74" t="s">
        <v>62</v>
      </c>
      <c r="C274" s="73">
        <f>(20.69)*10.764</f>
        <v>222.70715999999999</v>
      </c>
      <c r="D274" s="73">
        <f t="shared" si="29"/>
        <v>267.24859199999997</v>
      </c>
      <c r="E274" s="74">
        <v>0</v>
      </c>
      <c r="F274" s="74">
        <f t="shared" si="30"/>
        <v>356.331456</v>
      </c>
    </row>
    <row r="275" spans="1:8" x14ac:dyDescent="0.3">
      <c r="A275" s="74">
        <v>216</v>
      </c>
      <c r="B275" s="74" t="s">
        <v>62</v>
      </c>
      <c r="C275" s="73">
        <f>(41.11)*10.764</f>
        <v>442.50803999999999</v>
      </c>
      <c r="D275" s="73">
        <f t="shared" si="29"/>
        <v>531.00964799999997</v>
      </c>
      <c r="E275" s="74">
        <v>0</v>
      </c>
      <c r="F275" s="74">
        <f t="shared" si="30"/>
        <v>708.01286400000004</v>
      </c>
    </row>
    <row r="276" spans="1:8" x14ac:dyDescent="0.3">
      <c r="A276" s="74">
        <v>217</v>
      </c>
      <c r="B276" s="74" t="s">
        <v>62</v>
      </c>
      <c r="C276" s="73">
        <f>(30.71)*10.764</f>
        <v>330.56243999999998</v>
      </c>
      <c r="D276" s="73">
        <f t="shared" si="29"/>
        <v>396.67492799999997</v>
      </c>
      <c r="E276" s="74">
        <v>0</v>
      </c>
      <c r="F276" s="74">
        <f t="shared" si="30"/>
        <v>528.89990399999999</v>
      </c>
    </row>
    <row r="277" spans="1:8" x14ac:dyDescent="0.3">
      <c r="A277" s="74">
        <v>218</v>
      </c>
      <c r="B277" s="74" t="s">
        <v>62</v>
      </c>
      <c r="C277" s="73">
        <f>(44.68)*10.764</f>
        <v>480.93551999999994</v>
      </c>
      <c r="D277" s="73">
        <f t="shared" si="29"/>
        <v>577.12262399999986</v>
      </c>
      <c r="E277" s="74">
        <v>0</v>
      </c>
      <c r="F277" s="74">
        <f t="shared" si="30"/>
        <v>769.49683199999993</v>
      </c>
    </row>
    <row r="278" spans="1:8" x14ac:dyDescent="0.3">
      <c r="A278" s="74">
        <v>219</v>
      </c>
      <c r="B278" s="74" t="s">
        <v>62</v>
      </c>
      <c r="C278" s="73">
        <f>(38.21)*10.764</f>
        <v>411.29244</v>
      </c>
      <c r="D278" s="73">
        <f t="shared" si="29"/>
        <v>493.550928</v>
      </c>
      <c r="E278" s="74">
        <v>0</v>
      </c>
      <c r="F278" s="74">
        <f t="shared" si="30"/>
        <v>658.067904</v>
      </c>
    </row>
    <row r="279" spans="1:8" x14ac:dyDescent="0.3">
      <c r="A279" s="74">
        <v>220</v>
      </c>
      <c r="B279" s="74" t="s">
        <v>62</v>
      </c>
      <c r="C279" s="73">
        <f>(21.58)*10.764</f>
        <v>232.28711999999996</v>
      </c>
      <c r="D279" s="73">
        <f t="shared" si="29"/>
        <v>278.74454399999996</v>
      </c>
      <c r="E279" s="74">
        <v>0</v>
      </c>
      <c r="F279" s="74">
        <f t="shared" si="30"/>
        <v>371.65939199999997</v>
      </c>
    </row>
    <row r="280" spans="1:8" x14ac:dyDescent="0.3">
      <c r="A280" s="74">
        <v>221</v>
      </c>
      <c r="B280" s="74" t="s">
        <v>62</v>
      </c>
      <c r="C280" s="73">
        <f>(10.6)*10.764</f>
        <v>114.09839999999998</v>
      </c>
      <c r="D280" s="73">
        <f t="shared" si="29"/>
        <v>136.91807999999997</v>
      </c>
      <c r="E280" s="74">
        <v>0</v>
      </c>
      <c r="F280" s="74">
        <f t="shared" si="30"/>
        <v>182.55743999999999</v>
      </c>
    </row>
    <row r="281" spans="1:8" x14ac:dyDescent="0.3">
      <c r="A281" s="74">
        <v>222</v>
      </c>
      <c r="B281" s="74" t="s">
        <v>62</v>
      </c>
      <c r="C281" s="73">
        <f>(12.83)*10.764</f>
        <v>138.10211999999999</v>
      </c>
      <c r="D281" s="73">
        <f t="shared" si="29"/>
        <v>165.72254399999997</v>
      </c>
      <c r="E281" s="74">
        <v>0</v>
      </c>
      <c r="F281" s="74">
        <f t="shared" si="30"/>
        <v>220.963392</v>
      </c>
    </row>
    <row r="282" spans="1:8" x14ac:dyDescent="0.3">
      <c r="A282" s="74">
        <v>223</v>
      </c>
      <c r="B282" s="74" t="s">
        <v>62</v>
      </c>
      <c r="C282" s="73">
        <f>(21.06)*10.764</f>
        <v>226.68983999999998</v>
      </c>
      <c r="D282" s="73">
        <f t="shared" si="29"/>
        <v>272.02780799999994</v>
      </c>
      <c r="E282" s="74">
        <v>0</v>
      </c>
      <c r="F282" s="74">
        <f t="shared" si="30"/>
        <v>362.70374399999997</v>
      </c>
    </row>
    <row r="283" spans="1:8" x14ac:dyDescent="0.3">
      <c r="A283" s="74">
        <v>224</v>
      </c>
      <c r="B283" s="74" t="s">
        <v>62</v>
      </c>
      <c r="C283" s="73">
        <f>(11.8)*10.764</f>
        <v>127.01519999999999</v>
      </c>
      <c r="D283" s="73">
        <f t="shared" si="29"/>
        <v>152.41824</v>
      </c>
      <c r="E283" s="74">
        <v>0</v>
      </c>
      <c r="F283" s="74">
        <f t="shared" si="30"/>
        <v>203.22432000000001</v>
      </c>
    </row>
    <row r="284" spans="1:8" x14ac:dyDescent="0.3">
      <c r="A284" s="74">
        <v>225</v>
      </c>
      <c r="B284" s="74" t="s">
        <v>62</v>
      </c>
      <c r="C284" s="73">
        <f>(6.88)*10.764</f>
        <v>74.056319999999999</v>
      </c>
      <c r="D284" s="73">
        <f t="shared" si="29"/>
        <v>88.867583999999994</v>
      </c>
      <c r="E284" s="74">
        <v>0</v>
      </c>
      <c r="F284" s="74">
        <f t="shared" si="30"/>
        <v>118.49011200000001</v>
      </c>
    </row>
    <row r="285" spans="1:8" x14ac:dyDescent="0.3">
      <c r="A285" s="74">
        <v>226</v>
      </c>
      <c r="B285" s="74" t="s">
        <v>62</v>
      </c>
      <c r="C285" s="73">
        <f>(19.27)*10.764</f>
        <v>207.42227999999997</v>
      </c>
      <c r="D285" s="73">
        <f t="shared" si="29"/>
        <v>248.90673599999997</v>
      </c>
      <c r="E285" s="74">
        <v>0</v>
      </c>
      <c r="F285" s="74">
        <f t="shared" si="30"/>
        <v>331.87564799999996</v>
      </c>
    </row>
    <row r="286" spans="1:8" x14ac:dyDescent="0.3">
      <c r="A286" s="74">
        <v>227</v>
      </c>
      <c r="B286" s="74" t="s">
        <v>62</v>
      </c>
      <c r="C286" s="73">
        <f>(12.23)*10.764</f>
        <v>131.64372</v>
      </c>
      <c r="D286" s="73">
        <f t="shared" si="29"/>
        <v>157.972464</v>
      </c>
      <c r="E286" s="74">
        <v>0</v>
      </c>
      <c r="F286" s="74">
        <f t="shared" si="30"/>
        <v>210.629952</v>
      </c>
    </row>
    <row r="287" spans="1:8" x14ac:dyDescent="0.3">
      <c r="A287" s="74">
        <v>228</v>
      </c>
      <c r="B287" s="74" t="s">
        <v>62</v>
      </c>
      <c r="C287" s="73">
        <f>(22.6)*10.764</f>
        <v>243.2664</v>
      </c>
      <c r="D287" s="73">
        <f t="shared" si="29"/>
        <v>291.91967999999997</v>
      </c>
      <c r="E287" s="74">
        <v>0</v>
      </c>
      <c r="F287" s="74">
        <f t="shared" si="30"/>
        <v>389.22624000000002</v>
      </c>
    </row>
    <row r="288" spans="1:8" s="32" customFormat="1" ht="15.6" x14ac:dyDescent="0.3">
      <c r="A288" s="126"/>
      <c r="B288" s="126"/>
      <c r="C288" s="126"/>
      <c r="D288" s="126"/>
      <c r="E288" s="126"/>
      <c r="F288" s="126"/>
      <c r="G288" s="37"/>
      <c r="H288" s="37"/>
    </row>
    <row r="289" spans="1:8" s="32" customFormat="1" ht="15.6" x14ac:dyDescent="0.3">
      <c r="A289" s="121" t="s">
        <v>58</v>
      </c>
      <c r="B289" s="121"/>
      <c r="C289" s="121"/>
      <c r="D289" s="121"/>
      <c r="E289" s="121"/>
      <c r="F289" s="121"/>
      <c r="G289" s="37"/>
      <c r="H289" s="37"/>
    </row>
    <row r="290" spans="1:8" s="32" customFormat="1" ht="28.5" customHeight="1" x14ac:dyDescent="0.3">
      <c r="A290" s="122" t="s">
        <v>364</v>
      </c>
      <c r="B290" s="122" t="s">
        <v>59</v>
      </c>
      <c r="C290" s="122" t="s">
        <v>60</v>
      </c>
      <c r="D290" s="122" t="s">
        <v>63</v>
      </c>
      <c r="E290" s="122" t="s">
        <v>61</v>
      </c>
      <c r="F290" s="109" t="s">
        <v>64</v>
      </c>
      <c r="G290" s="125"/>
      <c r="H290" s="125"/>
    </row>
    <row r="291" spans="1:8" s="32" customFormat="1" ht="15.6" x14ac:dyDescent="0.3">
      <c r="A291" s="122"/>
      <c r="B291" s="122"/>
      <c r="C291" s="122"/>
      <c r="D291" s="122"/>
      <c r="E291" s="122"/>
      <c r="F291" s="110">
        <v>0.5</v>
      </c>
      <c r="G291" s="125"/>
      <c r="H291" s="125"/>
    </row>
    <row r="292" spans="1:8" s="31" customFormat="1" ht="15.6" x14ac:dyDescent="0.3">
      <c r="A292" s="115" t="s">
        <v>369</v>
      </c>
      <c r="B292" s="115"/>
      <c r="C292" s="115"/>
      <c r="D292" s="115"/>
      <c r="E292" s="115"/>
      <c r="F292" s="115"/>
      <c r="G292" s="37"/>
      <c r="H292" s="37"/>
    </row>
    <row r="293" spans="1:8" x14ac:dyDescent="0.3">
      <c r="A293" s="116" t="s">
        <v>331</v>
      </c>
      <c r="B293" s="116"/>
      <c r="C293" s="116"/>
      <c r="D293" s="116"/>
      <c r="E293" s="116"/>
      <c r="F293" s="116"/>
      <c r="H293" s="62">
        <v>10.763999999999999</v>
      </c>
    </row>
    <row r="294" spans="1:8" x14ac:dyDescent="0.3">
      <c r="A294" s="73" t="s">
        <v>372</v>
      </c>
      <c r="B294" s="73" t="s">
        <v>266</v>
      </c>
      <c r="C294" s="73">
        <f>(29.94+0.75*(2.75+2.45+2.75))*10.764</f>
        <v>386.45451000000003</v>
      </c>
      <c r="D294" s="73">
        <f t="shared" ref="D294:D297" si="31">C294*1.2</f>
        <v>463.74541199999999</v>
      </c>
      <c r="E294" s="74">
        <v>0</v>
      </c>
      <c r="F294" s="74">
        <f t="shared" ref="F294:F297" si="32">C294*(($F$291)+1)+(IF(E294&lt;101,E294,IF(E294&lt;201,E294/2,IF(E294&lt;=301,E294/3,E294/4))))</f>
        <v>579.68176500000004</v>
      </c>
      <c r="G294" s="63">
        <f>3.95*2.75+2.45*2.45+2.75*2.75+1.95*1.2+1.2*2.1</f>
        <v>29.287500000000001</v>
      </c>
    </row>
    <row r="295" spans="1:8" x14ac:dyDescent="0.3">
      <c r="A295" s="73" t="s">
        <v>373</v>
      </c>
      <c r="B295" s="73" t="s">
        <v>266</v>
      </c>
      <c r="C295" s="73">
        <f>(34.81+0.75*(2.9+2.45+2.75+0.6))*10.764</f>
        <v>444.92993999999999</v>
      </c>
      <c r="D295" s="73">
        <f t="shared" si="31"/>
        <v>533.91592800000001</v>
      </c>
      <c r="E295" s="74">
        <v>0</v>
      </c>
      <c r="F295" s="74">
        <f t="shared" si="32"/>
        <v>667.39490999999998</v>
      </c>
      <c r="G295" s="63">
        <f>4.75*2.9+2.75*2.45+2.75*2.75+1.75*0.6+2.1*1.25+1.2*2.1</f>
        <v>34.270000000000003</v>
      </c>
    </row>
    <row r="296" spans="1:8" x14ac:dyDescent="0.3">
      <c r="A296" s="73" t="s">
        <v>374</v>
      </c>
      <c r="B296" s="73" t="s">
        <v>267</v>
      </c>
      <c r="C296" s="73">
        <f>(49.85+0.75*(2.9+2.4+2.35))*10.764</f>
        <v>598.34384999999997</v>
      </c>
      <c r="D296" s="73">
        <f t="shared" si="31"/>
        <v>718.01261999999997</v>
      </c>
      <c r="E296" s="73">
        <f>(1.85*3)*10.764</f>
        <v>59.740200000000002</v>
      </c>
      <c r="F296" s="74">
        <f t="shared" si="32"/>
        <v>957.25597499999992</v>
      </c>
      <c r="G296" s="103">
        <f>4.75*2.9+1.95*0.65+2.45*2.4+2.6*2.75+3.65*2.9+1.2*0.3+1.2*2.1+1.2*2.1+0.9*(2.75+2.4)</f>
        <v>48.692500000000003</v>
      </c>
    </row>
    <row r="297" spans="1:8" x14ac:dyDescent="0.3">
      <c r="A297" s="73">
        <v>4</v>
      </c>
      <c r="B297" s="73" t="s">
        <v>268</v>
      </c>
      <c r="C297" s="73">
        <f>(80.02)*10.764</f>
        <v>861.3352799999999</v>
      </c>
      <c r="D297" s="73">
        <f t="shared" si="31"/>
        <v>1033.6023359999999</v>
      </c>
      <c r="E297" s="73">
        <f>(18.25*7.45+1.2*1.25)*10.764</f>
        <v>1479.64635</v>
      </c>
      <c r="F297" s="74">
        <f t="shared" si="32"/>
        <v>1661.9145074999999</v>
      </c>
    </row>
    <row r="298" spans="1:8" x14ac:dyDescent="0.3">
      <c r="A298" s="116" t="s">
        <v>330</v>
      </c>
      <c r="B298" s="116"/>
      <c r="C298" s="116"/>
      <c r="D298" s="116"/>
      <c r="E298" s="116"/>
      <c r="F298" s="116"/>
      <c r="H298" s="62">
        <v>10.763999999999999</v>
      </c>
    </row>
    <row r="299" spans="1:8" x14ac:dyDescent="0.3">
      <c r="A299" s="73" t="s">
        <v>372</v>
      </c>
      <c r="B299" s="73" t="s">
        <v>266</v>
      </c>
      <c r="C299" s="73">
        <f>(29.94+0.75*(2.75+2.45+2.75))*10.764</f>
        <v>386.45451000000003</v>
      </c>
      <c r="D299" s="73">
        <f t="shared" ref="D299:D302" si="33">C299*1.2</f>
        <v>463.74541199999999</v>
      </c>
      <c r="E299" s="73">
        <v>0</v>
      </c>
      <c r="F299" s="73">
        <f t="shared" ref="F299:F302" si="34">C299*(($F$291)+1)+(IF(E299&lt;101,E299,IF(E299&lt;201,E299/2,IF(E299&lt;=301,E299/3,E299/4))))</f>
        <v>579.68176500000004</v>
      </c>
      <c r="G299" s="63"/>
    </row>
    <row r="300" spans="1:8" x14ac:dyDescent="0.3">
      <c r="A300" s="73" t="s">
        <v>373</v>
      </c>
      <c r="B300" s="73" t="s">
        <v>266</v>
      </c>
      <c r="C300" s="73">
        <f>(34.81+0.75*(2.9+2.45+2.75+0.6))*10.764</f>
        <v>444.92993999999999</v>
      </c>
      <c r="D300" s="73">
        <f t="shared" si="33"/>
        <v>533.91592800000001</v>
      </c>
      <c r="E300" s="73">
        <v>0</v>
      </c>
      <c r="F300" s="73">
        <f t="shared" si="34"/>
        <v>667.39490999999998</v>
      </c>
      <c r="G300" s="63"/>
    </row>
    <row r="301" spans="1:8" x14ac:dyDescent="0.3">
      <c r="A301" s="73" t="s">
        <v>374</v>
      </c>
      <c r="B301" s="73" t="s">
        <v>267</v>
      </c>
      <c r="C301" s="73">
        <f>(49.85+0.75*(2.9+2.4+2.75+2.9))*10.764</f>
        <v>624.98474999999996</v>
      </c>
      <c r="D301" s="73">
        <f t="shared" si="33"/>
        <v>749.98169999999993</v>
      </c>
      <c r="E301" s="73">
        <v>0</v>
      </c>
      <c r="F301" s="73">
        <f t="shared" si="34"/>
        <v>937.47712499999989</v>
      </c>
      <c r="G301" s="103"/>
    </row>
    <row r="302" spans="1:8" x14ac:dyDescent="0.3">
      <c r="A302" s="73" t="s">
        <v>375</v>
      </c>
      <c r="B302" s="73" t="s">
        <v>268</v>
      </c>
      <c r="C302" s="73">
        <f>(66.64+0.75*(2.4+3.05+2.9+2.9+2.9))*10.764</f>
        <v>831.54590999999994</v>
      </c>
      <c r="D302" s="73">
        <f t="shared" si="33"/>
        <v>997.8550919999999</v>
      </c>
      <c r="E302" s="73">
        <v>0</v>
      </c>
      <c r="F302" s="73">
        <f t="shared" si="34"/>
        <v>1247.318865</v>
      </c>
    </row>
    <row r="303" spans="1:8" x14ac:dyDescent="0.3">
      <c r="A303" s="112" t="s">
        <v>335</v>
      </c>
      <c r="B303" s="112"/>
      <c r="C303" s="112"/>
      <c r="D303" s="112"/>
      <c r="E303" s="112"/>
      <c r="F303" s="112"/>
      <c r="H303" s="62">
        <v>10.763999999999999</v>
      </c>
    </row>
    <row r="304" spans="1:8" x14ac:dyDescent="0.3">
      <c r="A304" s="73" t="s">
        <v>372</v>
      </c>
      <c r="B304" s="73" t="s">
        <v>266</v>
      </c>
      <c r="C304" s="73">
        <f>(29.94+0.75*(2.75+2.45+2.75))*10.764</f>
        <v>386.45451000000003</v>
      </c>
      <c r="D304" s="73">
        <f t="shared" ref="D304:D307" si="35">C304*1.2</f>
        <v>463.74541199999999</v>
      </c>
      <c r="E304" s="73">
        <v>0</v>
      </c>
      <c r="F304" s="73">
        <f t="shared" ref="F304:F307" si="36">C304*(($F$291)+1)+(IF(E304&lt;101,E304,IF(E304&lt;201,E304/2,IF(E304&lt;=301,E304/3,E304/4))))</f>
        <v>579.68176500000004</v>
      </c>
      <c r="G304" s="63"/>
    </row>
    <row r="305" spans="1:8" x14ac:dyDescent="0.3">
      <c r="A305" s="73" t="s">
        <v>373</v>
      </c>
      <c r="B305" s="73" t="s">
        <v>266</v>
      </c>
      <c r="C305" s="73">
        <f>(34.81+0.75*(2.9+2.45+2.75+0.6))*10.764</f>
        <v>444.92993999999999</v>
      </c>
      <c r="D305" s="73">
        <f t="shared" si="35"/>
        <v>533.91592800000001</v>
      </c>
      <c r="E305" s="73">
        <v>0</v>
      </c>
      <c r="F305" s="73">
        <f t="shared" si="36"/>
        <v>667.39490999999998</v>
      </c>
      <c r="G305" s="63"/>
    </row>
    <row r="306" spans="1:8" x14ac:dyDescent="0.3">
      <c r="A306" s="73" t="s">
        <v>374</v>
      </c>
      <c r="B306" s="73" t="s">
        <v>267</v>
      </c>
      <c r="C306" s="73">
        <f>(49.85+0.75*(2.9+2.4+2.75+2.9))*10.764</f>
        <v>624.98474999999996</v>
      </c>
      <c r="D306" s="73">
        <f t="shared" si="35"/>
        <v>749.98169999999993</v>
      </c>
      <c r="E306" s="73">
        <v>0</v>
      </c>
      <c r="F306" s="73">
        <f t="shared" si="36"/>
        <v>937.47712499999989</v>
      </c>
      <c r="G306" s="103"/>
    </row>
    <row r="307" spans="1:8" x14ac:dyDescent="0.3">
      <c r="A307" s="73" t="s">
        <v>375</v>
      </c>
      <c r="B307" s="73" t="s">
        <v>268</v>
      </c>
      <c r="C307" s="73">
        <f>(66.64+0.75*(2.4+3.05+2.9+2.9+2.9))*10.764</f>
        <v>831.54590999999994</v>
      </c>
      <c r="D307" s="73">
        <f t="shared" si="35"/>
        <v>997.8550919999999</v>
      </c>
      <c r="E307" s="73">
        <v>0</v>
      </c>
      <c r="F307" s="73">
        <f t="shared" si="36"/>
        <v>1247.318865</v>
      </c>
    </row>
    <row r="308" spans="1:8" x14ac:dyDescent="0.3">
      <c r="A308" s="112" t="s">
        <v>334</v>
      </c>
      <c r="B308" s="112"/>
      <c r="C308" s="112"/>
      <c r="D308" s="112"/>
      <c r="E308" s="112"/>
      <c r="F308" s="112"/>
      <c r="H308" s="62">
        <v>10.763999999999999</v>
      </c>
    </row>
    <row r="309" spans="1:8" x14ac:dyDescent="0.3">
      <c r="A309" s="73" t="s">
        <v>372</v>
      </c>
      <c r="B309" s="73" t="s">
        <v>266</v>
      </c>
      <c r="C309" s="73">
        <f>(31.79+0.75*(2.9+2.45+2.75))*10.764</f>
        <v>407.57885999999991</v>
      </c>
      <c r="D309" s="73">
        <f t="shared" ref="D309:D312" si="37">C309*1.2</f>
        <v>489.09463199999988</v>
      </c>
      <c r="E309" s="73">
        <v>0</v>
      </c>
      <c r="F309" s="73">
        <f t="shared" ref="F309:F312" si="38">C309*(($F$291)+1)+(IF(E309&lt;101,E309,IF(E309&lt;201,E309/2,IF(E309&lt;=301,E309/3,E309/4))))</f>
        <v>611.36828999999989</v>
      </c>
      <c r="G309" s="63"/>
    </row>
    <row r="310" spans="1:8" x14ac:dyDescent="0.3">
      <c r="A310" s="73" t="s">
        <v>373</v>
      </c>
      <c r="B310" s="73" t="s">
        <v>266</v>
      </c>
      <c r="C310" s="73">
        <f>(34.81+0.75*(2.9+2.45+2.75+0.6))*10.764</f>
        <v>444.92993999999999</v>
      </c>
      <c r="D310" s="73">
        <f t="shared" si="37"/>
        <v>533.91592800000001</v>
      </c>
      <c r="E310" s="73">
        <v>0</v>
      </c>
      <c r="F310" s="73">
        <f t="shared" si="38"/>
        <v>667.39490999999998</v>
      </c>
      <c r="G310" s="63"/>
    </row>
    <row r="311" spans="1:8" x14ac:dyDescent="0.3">
      <c r="A311" s="73" t="s">
        <v>374</v>
      </c>
      <c r="B311" s="73" t="s">
        <v>267</v>
      </c>
      <c r="C311" s="73">
        <f>(51.47+0.75*(2.9+2.4+2.75+2.9))*10.764</f>
        <v>642.42242999999996</v>
      </c>
      <c r="D311" s="73">
        <f t="shared" si="37"/>
        <v>770.90691599999991</v>
      </c>
      <c r="E311" s="73">
        <v>0</v>
      </c>
      <c r="F311" s="73">
        <f t="shared" si="38"/>
        <v>963.63364499999989</v>
      </c>
      <c r="G311" s="103"/>
    </row>
    <row r="312" spans="1:8" x14ac:dyDescent="0.3">
      <c r="A312" s="73" t="s">
        <v>375</v>
      </c>
      <c r="B312" s="73" t="s">
        <v>268</v>
      </c>
      <c r="C312" s="73">
        <f>(66.64+0.75*(2.4+3.05+2.9+2.9+2.9))*10.764</f>
        <v>831.54590999999994</v>
      </c>
      <c r="D312" s="73">
        <f t="shared" si="37"/>
        <v>997.8550919999999</v>
      </c>
      <c r="E312" s="73">
        <v>0</v>
      </c>
      <c r="F312" s="73">
        <f t="shared" si="38"/>
        <v>1247.318865</v>
      </c>
    </row>
    <row r="313" spans="1:8" x14ac:dyDescent="0.3">
      <c r="A313" s="112" t="s">
        <v>333</v>
      </c>
      <c r="B313" s="112"/>
      <c r="C313" s="112"/>
      <c r="D313" s="112"/>
      <c r="E313" s="112"/>
      <c r="F313" s="112"/>
      <c r="H313" s="62">
        <v>10.763999999999999</v>
      </c>
    </row>
    <row r="314" spans="1:8" x14ac:dyDescent="0.3">
      <c r="A314" s="73" t="s">
        <v>372</v>
      </c>
      <c r="B314" s="73" t="s">
        <v>266</v>
      </c>
      <c r="C314" s="73">
        <f>(31.79+0.75*(2.9+2.45+2.75))*10.764</f>
        <v>407.57885999999991</v>
      </c>
      <c r="D314" s="73">
        <f t="shared" ref="D314:D317" si="39">C314*1.2</f>
        <v>489.09463199999988</v>
      </c>
      <c r="E314" s="73">
        <v>0</v>
      </c>
      <c r="F314" s="73">
        <f t="shared" ref="F314:F317" si="40">C314*(($F$291)+1)+(IF(E314&lt;101,E314,IF(E314&lt;201,E314/2,IF(E314&lt;=301,E314/3,E314/4))))</f>
        <v>611.36828999999989</v>
      </c>
      <c r="G314" s="63"/>
    </row>
    <row r="315" spans="1:8" x14ac:dyDescent="0.3">
      <c r="A315" s="73" t="s">
        <v>373</v>
      </c>
      <c r="B315" s="73" t="s">
        <v>266</v>
      </c>
      <c r="C315" s="73">
        <f>(34.81+0.75*(2.9+2.45+2.75+0.6))*10.764</f>
        <v>444.92993999999999</v>
      </c>
      <c r="D315" s="73">
        <f t="shared" si="39"/>
        <v>533.91592800000001</v>
      </c>
      <c r="E315" s="73">
        <v>0</v>
      </c>
      <c r="F315" s="73">
        <f t="shared" si="40"/>
        <v>667.39490999999998</v>
      </c>
      <c r="G315" s="63"/>
    </row>
    <row r="316" spans="1:8" x14ac:dyDescent="0.3">
      <c r="A316" s="73">
        <v>3</v>
      </c>
      <c r="B316" s="73" t="s">
        <v>267</v>
      </c>
      <c r="C316" s="73">
        <f>(51.47+0.75*(2.9+2.4+2.75+2.9))*10.764</f>
        <v>642.42242999999996</v>
      </c>
      <c r="D316" s="73">
        <f t="shared" si="39"/>
        <v>770.90691599999991</v>
      </c>
      <c r="E316" s="73">
        <v>0</v>
      </c>
      <c r="F316" s="73">
        <f t="shared" si="40"/>
        <v>963.63364499999989</v>
      </c>
      <c r="G316" s="103"/>
    </row>
    <row r="317" spans="1:8" x14ac:dyDescent="0.3">
      <c r="A317" s="73">
        <v>4</v>
      </c>
      <c r="B317" s="73" t="s">
        <v>268</v>
      </c>
      <c r="C317" s="73">
        <f>(69.44+0.75*(2.4+3.05+2.9+2.9+2.9))*10.764</f>
        <v>861.6851099999999</v>
      </c>
      <c r="D317" s="73">
        <f t="shared" si="39"/>
        <v>1034.0221319999998</v>
      </c>
      <c r="E317" s="73">
        <v>0</v>
      </c>
      <c r="F317" s="73">
        <f t="shared" si="40"/>
        <v>1292.5276649999998</v>
      </c>
    </row>
    <row r="318" spans="1:8" x14ac:dyDescent="0.3">
      <c r="A318" s="112" t="s">
        <v>336</v>
      </c>
      <c r="B318" s="112"/>
      <c r="C318" s="112"/>
      <c r="D318" s="112"/>
      <c r="E318" s="112"/>
      <c r="F318" s="112"/>
      <c r="H318" s="62">
        <v>10.763999999999999</v>
      </c>
    </row>
    <row r="319" spans="1:8" x14ac:dyDescent="0.3">
      <c r="A319" s="73" t="s">
        <v>372</v>
      </c>
      <c r="B319" s="73" t="s">
        <v>266</v>
      </c>
      <c r="C319" s="73">
        <f>(31.79+0.75*(2.9+2.45+2.75))*10.764</f>
        <v>407.57885999999991</v>
      </c>
      <c r="D319" s="73">
        <f t="shared" ref="D319:D322" si="41">C319*1.2</f>
        <v>489.09463199999988</v>
      </c>
      <c r="E319" s="73">
        <v>0</v>
      </c>
      <c r="F319" s="73">
        <f t="shared" ref="F319:F322" si="42">C319*(($F$291)+1)+(IF(E319&lt;101,E319,IF(E319&lt;201,E319/2,IF(E319&lt;=301,E319/3,E319/4))))</f>
        <v>611.36828999999989</v>
      </c>
      <c r="G319" s="63"/>
    </row>
    <row r="320" spans="1:8" x14ac:dyDescent="0.3">
      <c r="A320" s="73" t="s">
        <v>373</v>
      </c>
      <c r="B320" s="73" t="s">
        <v>266</v>
      </c>
      <c r="C320" s="73">
        <f>(34.81+0.75*(2.9+2.45+2.75+0.6))*10.764</f>
        <v>444.92993999999999</v>
      </c>
      <c r="D320" s="73">
        <f t="shared" si="41"/>
        <v>533.91592800000001</v>
      </c>
      <c r="E320" s="73">
        <v>0</v>
      </c>
      <c r="F320" s="73">
        <f t="shared" si="42"/>
        <v>667.39490999999998</v>
      </c>
      <c r="G320" s="63"/>
    </row>
    <row r="321" spans="1:8" x14ac:dyDescent="0.3">
      <c r="A321" s="73" t="s">
        <v>374</v>
      </c>
      <c r="B321" s="73" t="s">
        <v>267</v>
      </c>
      <c r="C321" s="73">
        <f>(51.47+0.75*(2.9+2.4+2.75+2.9))*10.764</f>
        <v>642.42242999999996</v>
      </c>
      <c r="D321" s="73">
        <f t="shared" si="41"/>
        <v>770.90691599999991</v>
      </c>
      <c r="E321" s="73">
        <v>0</v>
      </c>
      <c r="F321" s="73">
        <f t="shared" si="42"/>
        <v>963.63364499999989</v>
      </c>
      <c r="G321" s="103"/>
    </row>
    <row r="322" spans="1:8" x14ac:dyDescent="0.3">
      <c r="A322" s="73">
        <v>4</v>
      </c>
      <c r="B322" s="73" t="s">
        <v>268</v>
      </c>
      <c r="C322" s="73">
        <f>(69.35+0.75*(2.4+3.05+2.9+2.9+2.9))*10.764</f>
        <v>860.71634999999981</v>
      </c>
      <c r="D322" s="73">
        <f t="shared" si="41"/>
        <v>1032.8596199999997</v>
      </c>
      <c r="E322" s="73">
        <v>0</v>
      </c>
      <c r="F322" s="73">
        <f t="shared" si="42"/>
        <v>1291.0745249999998</v>
      </c>
    </row>
    <row r="323" spans="1:8" x14ac:dyDescent="0.3">
      <c r="A323" s="112" t="s">
        <v>337</v>
      </c>
      <c r="B323" s="112"/>
      <c r="C323" s="112"/>
      <c r="D323" s="112"/>
      <c r="E323" s="112"/>
      <c r="F323" s="112"/>
      <c r="H323" s="62">
        <v>10.763999999999999</v>
      </c>
    </row>
    <row r="324" spans="1:8" x14ac:dyDescent="0.3">
      <c r="A324" s="73">
        <v>1</v>
      </c>
      <c r="B324" s="73" t="s">
        <v>266</v>
      </c>
      <c r="C324" s="73">
        <f>(37.31+0.75*(2.9+2.45+2.75))*10.764</f>
        <v>466.99614000000003</v>
      </c>
      <c r="D324" s="73">
        <f t="shared" ref="D324:D327" si="43">C324*1.2</f>
        <v>560.39536799999996</v>
      </c>
      <c r="E324" s="73">
        <v>0</v>
      </c>
      <c r="F324" s="73">
        <f t="shared" ref="F324:F327" si="44">C324*(($F$291)+1)+(IF(E324&lt;101,E324,IF(E324&lt;201,E324/2,IF(E324&lt;=301,E324/3,E324/4))))</f>
        <v>700.49421000000007</v>
      </c>
      <c r="G324" s="63"/>
    </row>
    <row r="325" spans="1:8" x14ac:dyDescent="0.3">
      <c r="A325" s="73">
        <v>2</v>
      </c>
      <c r="B325" s="73" t="s">
        <v>266</v>
      </c>
      <c r="C325" s="73">
        <f>(38.11+0.75*(2.9+2.45+2.75+0.6))*10.764</f>
        <v>480.45113999999995</v>
      </c>
      <c r="D325" s="73">
        <f t="shared" si="43"/>
        <v>576.54136799999992</v>
      </c>
      <c r="E325" s="73">
        <v>0</v>
      </c>
      <c r="F325" s="73">
        <f t="shared" si="44"/>
        <v>720.67670999999996</v>
      </c>
      <c r="G325" s="63"/>
    </row>
    <row r="326" spans="1:8" x14ac:dyDescent="0.3">
      <c r="A326" s="73" t="s">
        <v>374</v>
      </c>
      <c r="B326" s="73" t="s">
        <v>267</v>
      </c>
      <c r="C326" s="73">
        <f>(51.54+0.75*(2.9+2.4+2.75+2.9))*10.764</f>
        <v>643.17590999999993</v>
      </c>
      <c r="D326" s="73">
        <f t="shared" si="43"/>
        <v>771.81109199999992</v>
      </c>
      <c r="E326" s="73">
        <v>0</v>
      </c>
      <c r="F326" s="73">
        <f t="shared" si="44"/>
        <v>964.7638649999999</v>
      </c>
      <c r="G326" s="103"/>
    </row>
    <row r="327" spans="1:8" x14ac:dyDescent="0.3">
      <c r="A327" s="73" t="s">
        <v>375</v>
      </c>
      <c r="B327" s="73" t="s">
        <v>268</v>
      </c>
      <c r="C327" s="73">
        <f>(69.44+0.75*(2.4+3.05+2.9+2.9+2.9))*10.764</f>
        <v>861.6851099999999</v>
      </c>
      <c r="D327" s="73">
        <f t="shared" si="43"/>
        <v>1034.0221319999998</v>
      </c>
      <c r="E327" s="73">
        <v>0</v>
      </c>
      <c r="F327" s="73">
        <f t="shared" si="44"/>
        <v>1292.5276649999998</v>
      </c>
    </row>
    <row r="328" spans="1:8" x14ac:dyDescent="0.3">
      <c r="A328" s="112" t="s">
        <v>338</v>
      </c>
      <c r="B328" s="112"/>
      <c r="C328" s="112"/>
      <c r="D328" s="112"/>
      <c r="E328" s="112"/>
      <c r="F328" s="112"/>
      <c r="H328" s="62">
        <v>10.763999999999999</v>
      </c>
    </row>
    <row r="329" spans="1:8" x14ac:dyDescent="0.3">
      <c r="A329" s="73">
        <v>1</v>
      </c>
      <c r="B329" s="73" t="s">
        <v>266</v>
      </c>
      <c r="C329" s="73">
        <f>(37.31+0.75*(2.9+2.45+2.75))*10.764</f>
        <v>466.99614000000003</v>
      </c>
      <c r="D329" s="73">
        <f t="shared" ref="D329:D332" si="45">C329*1.2</f>
        <v>560.39536799999996</v>
      </c>
      <c r="E329" s="73">
        <v>0</v>
      </c>
      <c r="F329" s="73">
        <f t="shared" ref="F329:F332" si="46">C329*(($F$291)+1)+(IF(E329&lt;101,E329,IF(E329&lt;201,E329/2,IF(E329&lt;=301,E329/3,E329/4))))</f>
        <v>700.49421000000007</v>
      </c>
      <c r="G329" s="63"/>
    </row>
    <row r="330" spans="1:8" x14ac:dyDescent="0.3">
      <c r="A330" s="73">
        <v>2</v>
      </c>
      <c r="B330" s="73" t="s">
        <v>266</v>
      </c>
      <c r="C330" s="73">
        <f>(38.11+0.75*(2.9+2.45+2.75+0.6))*10.764</f>
        <v>480.45113999999995</v>
      </c>
      <c r="D330" s="73">
        <f t="shared" si="45"/>
        <v>576.54136799999992</v>
      </c>
      <c r="E330" s="73">
        <v>0</v>
      </c>
      <c r="F330" s="73">
        <f t="shared" si="46"/>
        <v>720.67670999999996</v>
      </c>
      <c r="G330" s="63"/>
    </row>
    <row r="331" spans="1:8" x14ac:dyDescent="0.3">
      <c r="A331" s="73">
        <v>3</v>
      </c>
      <c r="B331" s="73" t="s">
        <v>267</v>
      </c>
      <c r="C331" s="73">
        <f>(52.54+0.75*(2.9+2.4+2.75+2.9))*10.764</f>
        <v>653.93990999999994</v>
      </c>
      <c r="D331" s="73">
        <f t="shared" si="45"/>
        <v>784.72789199999988</v>
      </c>
      <c r="E331" s="73">
        <v>0</v>
      </c>
      <c r="F331" s="73">
        <f t="shared" si="46"/>
        <v>980.90986499999985</v>
      </c>
      <c r="G331" s="103"/>
    </row>
    <row r="332" spans="1:8" x14ac:dyDescent="0.3">
      <c r="A332" s="73">
        <v>4</v>
      </c>
      <c r="B332" s="73" t="s">
        <v>268</v>
      </c>
      <c r="C332" s="73">
        <f>(69.44+0.75*(2.4+3.05+2.9+2.9+2.9))*10.764</f>
        <v>861.6851099999999</v>
      </c>
      <c r="D332" s="73">
        <f t="shared" si="45"/>
        <v>1034.0221319999998</v>
      </c>
      <c r="E332" s="73">
        <v>0</v>
      </c>
      <c r="F332" s="73">
        <f t="shared" si="46"/>
        <v>1292.5276649999998</v>
      </c>
    </row>
    <row r="333" spans="1:8" x14ac:dyDescent="0.3">
      <c r="A333" s="112" t="s">
        <v>339</v>
      </c>
      <c r="B333" s="112"/>
      <c r="C333" s="112"/>
      <c r="D333" s="112"/>
      <c r="E333" s="112"/>
      <c r="F333" s="112"/>
      <c r="H333" s="62">
        <v>10.763999999999999</v>
      </c>
    </row>
    <row r="334" spans="1:8" x14ac:dyDescent="0.3">
      <c r="A334" s="73">
        <v>1</v>
      </c>
      <c r="B334" s="73" t="s">
        <v>266</v>
      </c>
      <c r="C334" s="73">
        <f>(37.31+0.75*(2.9+2.45+2.75))*10.764</f>
        <v>466.99614000000003</v>
      </c>
      <c r="D334" s="73">
        <f t="shared" ref="D334:D337" si="47">C334*1.2</f>
        <v>560.39536799999996</v>
      </c>
      <c r="E334" s="73">
        <v>0</v>
      </c>
      <c r="F334" s="73">
        <f t="shared" ref="F334:F337" si="48">C334*(($F$291)+1)+(IF(E334&lt;101,E334,IF(E334&lt;201,E334/2,IF(E334&lt;=301,E334/3,E334/4))))</f>
        <v>700.49421000000007</v>
      </c>
      <c r="G334" s="63"/>
    </row>
    <row r="335" spans="1:8" x14ac:dyDescent="0.3">
      <c r="A335" s="73">
        <v>2</v>
      </c>
      <c r="B335" s="73" t="s">
        <v>266</v>
      </c>
      <c r="C335" s="73">
        <f>(38.11+0.75*(2.9+2.45+2.75+0.6))*10.764</f>
        <v>480.45113999999995</v>
      </c>
      <c r="D335" s="73">
        <f t="shared" si="47"/>
        <v>576.54136799999992</v>
      </c>
      <c r="E335" s="73">
        <v>0</v>
      </c>
      <c r="F335" s="73">
        <f t="shared" si="48"/>
        <v>720.67670999999996</v>
      </c>
      <c r="G335" s="63"/>
    </row>
    <row r="336" spans="1:8" x14ac:dyDescent="0.3">
      <c r="A336" s="73">
        <v>3</v>
      </c>
      <c r="B336" s="73" t="s">
        <v>267</v>
      </c>
      <c r="C336" s="73">
        <f>(52.54+0.75*(2.9+2.4+2.75+2.9))*10.764</f>
        <v>653.93990999999994</v>
      </c>
      <c r="D336" s="73">
        <f t="shared" si="47"/>
        <v>784.72789199999988</v>
      </c>
      <c r="E336" s="73">
        <v>0</v>
      </c>
      <c r="F336" s="73">
        <f t="shared" si="48"/>
        <v>980.90986499999985</v>
      </c>
      <c r="G336" s="103"/>
    </row>
    <row r="337" spans="1:8" x14ac:dyDescent="0.3">
      <c r="A337" s="73">
        <v>4</v>
      </c>
      <c r="B337" s="73" t="s">
        <v>268</v>
      </c>
      <c r="C337" s="73">
        <f>(69.44+0.75*(2.4+3.05+2.9+2.9+2.9))*10.764</f>
        <v>861.6851099999999</v>
      </c>
      <c r="D337" s="73">
        <f t="shared" si="47"/>
        <v>1034.0221319999998</v>
      </c>
      <c r="E337" s="73">
        <v>0</v>
      </c>
      <c r="F337" s="73">
        <f t="shared" si="48"/>
        <v>1292.5276649999998</v>
      </c>
    </row>
    <row r="338" spans="1:8" x14ac:dyDescent="0.3">
      <c r="A338" s="112" t="s">
        <v>341</v>
      </c>
      <c r="B338" s="112"/>
      <c r="C338" s="112"/>
      <c r="D338" s="112"/>
      <c r="E338" s="112"/>
      <c r="F338" s="112"/>
      <c r="H338" s="62">
        <v>10.763999999999999</v>
      </c>
    </row>
    <row r="339" spans="1:8" x14ac:dyDescent="0.3">
      <c r="A339" s="73">
        <v>1</v>
      </c>
      <c r="B339" s="73" t="s">
        <v>266</v>
      </c>
      <c r="C339" s="73">
        <f>(37.31+0.75*(2.9+2.45+2.75))*10.764</f>
        <v>466.99614000000003</v>
      </c>
      <c r="D339" s="73">
        <f t="shared" ref="D339:D342" si="49">C339*1.2</f>
        <v>560.39536799999996</v>
      </c>
      <c r="E339" s="73">
        <v>0</v>
      </c>
      <c r="F339" s="73">
        <f t="shared" ref="F339:F342" si="50">C339*(($F$291)+1)+(IF(E339&lt;101,E339,IF(E339&lt;201,E339/2,IF(E339&lt;=301,E339/3,E339/4))))</f>
        <v>700.49421000000007</v>
      </c>
      <c r="G339" s="63"/>
    </row>
    <row r="340" spans="1:8" x14ac:dyDescent="0.3">
      <c r="A340" s="73">
        <v>2</v>
      </c>
      <c r="B340" s="73" t="s">
        <v>266</v>
      </c>
      <c r="C340" s="73">
        <f>(38.11+0.75*(2.9+2.45+2.75+0.6))*10.764</f>
        <v>480.45113999999995</v>
      </c>
      <c r="D340" s="73">
        <f t="shared" si="49"/>
        <v>576.54136799999992</v>
      </c>
      <c r="E340" s="73">
        <v>0</v>
      </c>
      <c r="F340" s="73">
        <f t="shared" si="50"/>
        <v>720.67670999999996</v>
      </c>
      <c r="G340" s="63"/>
    </row>
    <row r="341" spans="1:8" x14ac:dyDescent="0.3">
      <c r="A341" s="73">
        <v>3</v>
      </c>
      <c r="B341" s="73" t="s">
        <v>267</v>
      </c>
      <c r="C341" s="73">
        <f>(52.52+0.75*(2.9+2.4+2.75+2.9))*10.764</f>
        <v>653.72462999999993</v>
      </c>
      <c r="D341" s="73">
        <f t="shared" si="49"/>
        <v>784.4695559999999</v>
      </c>
      <c r="E341" s="73">
        <v>0</v>
      </c>
      <c r="F341" s="73">
        <f t="shared" si="50"/>
        <v>980.5869449999999</v>
      </c>
      <c r="G341" s="103"/>
    </row>
    <row r="342" spans="1:8" x14ac:dyDescent="0.3">
      <c r="A342" s="73">
        <v>4</v>
      </c>
      <c r="B342" s="73" t="s">
        <v>268</v>
      </c>
      <c r="C342" s="73">
        <f>(69.44+0.75*(2.4+3.05+2.9+2.9+2.9))*10.764</f>
        <v>861.6851099999999</v>
      </c>
      <c r="D342" s="73">
        <f t="shared" si="49"/>
        <v>1034.0221319999998</v>
      </c>
      <c r="E342" s="73">
        <v>0</v>
      </c>
      <c r="F342" s="73">
        <f t="shared" si="50"/>
        <v>1292.5276649999998</v>
      </c>
    </row>
    <row r="343" spans="1:8" x14ac:dyDescent="0.3">
      <c r="A343" s="112" t="s">
        <v>342</v>
      </c>
      <c r="B343" s="112"/>
      <c r="C343" s="112"/>
      <c r="D343" s="112"/>
      <c r="E343" s="112"/>
      <c r="F343" s="112"/>
      <c r="H343" s="62">
        <v>10.763999999999999</v>
      </c>
    </row>
    <row r="344" spans="1:8" x14ac:dyDescent="0.3">
      <c r="A344" s="73">
        <v>1</v>
      </c>
      <c r="B344" s="73" t="s">
        <v>266</v>
      </c>
      <c r="C344" s="73">
        <f>(37.31+0.75*(2.9+2.45+2.75))*10.764</f>
        <v>466.99614000000003</v>
      </c>
      <c r="D344" s="73">
        <f t="shared" ref="D344:D347" si="51">C344*1.2</f>
        <v>560.39536799999996</v>
      </c>
      <c r="E344" s="73">
        <v>0</v>
      </c>
      <c r="F344" s="73">
        <f t="shared" ref="F344:F347" si="52">C344*(($F$291)+1)+(IF(E344&lt;101,E344,IF(E344&lt;201,E344/2,IF(E344&lt;=301,E344/3,E344/4))))</f>
        <v>700.49421000000007</v>
      </c>
      <c r="G344" s="63"/>
    </row>
    <row r="345" spans="1:8" x14ac:dyDescent="0.3">
      <c r="A345" s="73">
        <v>2</v>
      </c>
      <c r="B345" s="73" t="s">
        <v>266</v>
      </c>
      <c r="C345" s="73">
        <f>(38.11+0.75*(2.9+2.45+2.75+0.6))*10.764</f>
        <v>480.45113999999995</v>
      </c>
      <c r="D345" s="73">
        <f t="shared" si="51"/>
        <v>576.54136799999992</v>
      </c>
      <c r="E345" s="73">
        <v>0</v>
      </c>
      <c r="F345" s="73">
        <f t="shared" si="52"/>
        <v>720.67670999999996</v>
      </c>
      <c r="G345" s="63"/>
    </row>
    <row r="346" spans="1:8" x14ac:dyDescent="0.3">
      <c r="A346" s="73">
        <v>3</v>
      </c>
      <c r="B346" s="73" t="s">
        <v>267</v>
      </c>
      <c r="C346" s="73">
        <f>(52.52+0.75*(2.9+2.4+2.75+2.9))*10.764</f>
        <v>653.72462999999993</v>
      </c>
      <c r="D346" s="73">
        <f t="shared" si="51"/>
        <v>784.4695559999999</v>
      </c>
      <c r="E346" s="73">
        <v>0</v>
      </c>
      <c r="F346" s="73">
        <f t="shared" si="52"/>
        <v>980.5869449999999</v>
      </c>
      <c r="G346" s="103"/>
    </row>
    <row r="347" spans="1:8" x14ac:dyDescent="0.3">
      <c r="A347" s="73">
        <v>4</v>
      </c>
      <c r="B347" s="73" t="s">
        <v>268</v>
      </c>
      <c r="C347" s="73">
        <f>(69.44+0.75*(2.4+3.05+2.9+2.9+2.9))*10.764</f>
        <v>861.6851099999999</v>
      </c>
      <c r="D347" s="73">
        <f t="shared" si="51"/>
        <v>1034.0221319999998</v>
      </c>
      <c r="E347" s="73">
        <v>0</v>
      </c>
      <c r="F347" s="73">
        <f t="shared" si="52"/>
        <v>1292.5276649999998</v>
      </c>
    </row>
    <row r="348" spans="1:8" x14ac:dyDescent="0.3">
      <c r="A348" s="112" t="s">
        <v>343</v>
      </c>
      <c r="B348" s="112"/>
      <c r="C348" s="112"/>
      <c r="D348" s="112"/>
      <c r="E348" s="112"/>
      <c r="F348" s="112"/>
      <c r="H348" s="62">
        <v>10.763999999999999</v>
      </c>
    </row>
    <row r="349" spans="1:8" x14ac:dyDescent="0.3">
      <c r="A349" s="73">
        <v>1</v>
      </c>
      <c r="B349" s="73" t="s">
        <v>266</v>
      </c>
      <c r="C349" s="73">
        <f>(37.31+0.75*(2.9+2.45+2.75))*10.764</f>
        <v>466.99614000000003</v>
      </c>
      <c r="D349" s="73">
        <f t="shared" ref="D349:D352" si="53">C349*1.2</f>
        <v>560.39536799999996</v>
      </c>
      <c r="E349" s="73">
        <v>0</v>
      </c>
      <c r="F349" s="73">
        <f t="shared" ref="F349:F352" si="54">C349*(($F$291)+1)+(IF(E349&lt;101,E349,IF(E349&lt;201,E349/2,IF(E349&lt;=301,E349/3,E349/4))))</f>
        <v>700.49421000000007</v>
      </c>
      <c r="G349" s="63"/>
    </row>
    <row r="350" spans="1:8" x14ac:dyDescent="0.3">
      <c r="A350" s="73">
        <v>2</v>
      </c>
      <c r="B350" s="73" t="s">
        <v>266</v>
      </c>
      <c r="C350" s="73">
        <f>(38.11+0.75*(2.9+2.45+2.75+0.6))*10.764</f>
        <v>480.45113999999995</v>
      </c>
      <c r="D350" s="73">
        <f t="shared" si="53"/>
        <v>576.54136799999992</v>
      </c>
      <c r="E350" s="73">
        <v>0</v>
      </c>
      <c r="F350" s="73">
        <f t="shared" si="54"/>
        <v>720.67670999999996</v>
      </c>
      <c r="G350" s="63"/>
    </row>
    <row r="351" spans="1:8" x14ac:dyDescent="0.3">
      <c r="A351" s="73">
        <v>3</v>
      </c>
      <c r="B351" s="73" t="s">
        <v>267</v>
      </c>
      <c r="C351" s="73">
        <f>(52.52+0.75*(2.9+2.4+2.75+2.9))*10.764</f>
        <v>653.72462999999993</v>
      </c>
      <c r="D351" s="73">
        <f t="shared" si="53"/>
        <v>784.4695559999999</v>
      </c>
      <c r="E351" s="73">
        <v>0</v>
      </c>
      <c r="F351" s="73">
        <f t="shared" si="54"/>
        <v>980.5869449999999</v>
      </c>
      <c r="G351" s="103"/>
    </row>
    <row r="352" spans="1:8" x14ac:dyDescent="0.3">
      <c r="A352" s="73">
        <v>4</v>
      </c>
      <c r="B352" s="73" t="s">
        <v>268</v>
      </c>
      <c r="C352" s="73">
        <f>(69.44+0.75*(2.4+3.05+2.9+2.9+2.9))*10.764</f>
        <v>861.6851099999999</v>
      </c>
      <c r="D352" s="73">
        <f t="shared" si="53"/>
        <v>1034.0221319999998</v>
      </c>
      <c r="E352" s="73">
        <v>0</v>
      </c>
      <c r="F352" s="73">
        <f t="shared" si="54"/>
        <v>1292.5276649999998</v>
      </c>
    </row>
    <row r="353" spans="1:8" x14ac:dyDescent="0.3">
      <c r="A353" s="112" t="s">
        <v>344</v>
      </c>
      <c r="B353" s="112"/>
      <c r="C353" s="112"/>
      <c r="D353" s="112"/>
      <c r="E353" s="112"/>
      <c r="F353" s="112"/>
      <c r="H353" s="62">
        <v>10.763999999999999</v>
      </c>
    </row>
    <row r="354" spans="1:8" x14ac:dyDescent="0.3">
      <c r="A354" s="73">
        <v>1</v>
      </c>
      <c r="B354" s="73" t="s">
        <v>266</v>
      </c>
      <c r="C354" s="73">
        <f>(37.31+0.75*(2.9+2.45+2.75))*10.764</f>
        <v>466.99614000000003</v>
      </c>
      <c r="D354" s="73">
        <f t="shared" ref="D354:D357" si="55">C354*1.2</f>
        <v>560.39536799999996</v>
      </c>
      <c r="E354" s="73">
        <v>0</v>
      </c>
      <c r="F354" s="73">
        <f t="shared" ref="F354:F357" si="56">C354*(($F$291)+1)+(IF(E354&lt;101,E354,IF(E354&lt;201,E354/2,IF(E354&lt;=301,E354/3,E354/4))))</f>
        <v>700.49421000000007</v>
      </c>
      <c r="G354" s="63"/>
    </row>
    <row r="355" spans="1:8" x14ac:dyDescent="0.3">
      <c r="A355" s="73">
        <v>2</v>
      </c>
      <c r="B355" s="73" t="s">
        <v>266</v>
      </c>
      <c r="C355" s="73">
        <f>(38.11+0.75*(2.9+2.45+2.75+0.6))*10.764</f>
        <v>480.45113999999995</v>
      </c>
      <c r="D355" s="73">
        <f t="shared" si="55"/>
        <v>576.54136799999992</v>
      </c>
      <c r="E355" s="73">
        <v>0</v>
      </c>
      <c r="F355" s="73">
        <f t="shared" si="56"/>
        <v>720.67670999999996</v>
      </c>
      <c r="G355" s="63"/>
    </row>
    <row r="356" spans="1:8" x14ac:dyDescent="0.3">
      <c r="A356" s="73">
        <v>3</v>
      </c>
      <c r="B356" s="73" t="s">
        <v>267</v>
      </c>
      <c r="C356" s="73">
        <f>(52.52+0.75*(2.9+2.4+2.75+2.9))*10.764</f>
        <v>653.72462999999993</v>
      </c>
      <c r="D356" s="73">
        <f t="shared" si="55"/>
        <v>784.4695559999999</v>
      </c>
      <c r="E356" s="73">
        <v>0</v>
      </c>
      <c r="F356" s="73">
        <f t="shared" si="56"/>
        <v>980.5869449999999</v>
      </c>
      <c r="G356" s="103"/>
    </row>
    <row r="357" spans="1:8" x14ac:dyDescent="0.3">
      <c r="A357" s="73">
        <v>4</v>
      </c>
      <c r="B357" s="73" t="s">
        <v>268</v>
      </c>
      <c r="C357" s="73">
        <f>(69.44+0.75*(2.4+3.05+2.9+2.9+2.9))*10.764</f>
        <v>861.6851099999999</v>
      </c>
      <c r="D357" s="73">
        <f t="shared" si="55"/>
        <v>1034.0221319999998</v>
      </c>
      <c r="E357" s="73">
        <v>0</v>
      </c>
      <c r="F357" s="73">
        <f t="shared" si="56"/>
        <v>1292.5276649999998</v>
      </c>
    </row>
    <row r="358" spans="1:8" x14ac:dyDescent="0.3">
      <c r="A358" s="112" t="s">
        <v>345</v>
      </c>
      <c r="B358" s="112"/>
      <c r="C358" s="112"/>
      <c r="D358" s="112"/>
      <c r="E358" s="112"/>
      <c r="F358" s="112"/>
      <c r="H358" s="62">
        <v>10.763999999999999</v>
      </c>
    </row>
    <row r="359" spans="1:8" x14ac:dyDescent="0.3">
      <c r="A359" s="73">
        <v>1</v>
      </c>
      <c r="B359" s="73" t="s">
        <v>266</v>
      </c>
      <c r="C359" s="73">
        <f>(37.28+0.75*(2.9+2.45+2.75))*10.764</f>
        <v>466.67322000000001</v>
      </c>
      <c r="D359" s="73">
        <f t="shared" ref="D359:D362" si="57">C359*1.2</f>
        <v>560.00786400000004</v>
      </c>
      <c r="E359" s="73">
        <v>0</v>
      </c>
      <c r="F359" s="73">
        <f t="shared" ref="F359:F362" si="58">C359*(($F$291)+1)+(IF(E359&lt;101,E359,IF(E359&lt;201,E359/2,IF(E359&lt;=301,E359/3,E359/4))))</f>
        <v>700.00982999999997</v>
      </c>
      <c r="G359" s="63"/>
    </row>
    <row r="360" spans="1:8" x14ac:dyDescent="0.3">
      <c r="A360" s="73">
        <v>2</v>
      </c>
      <c r="B360" s="73" t="s">
        <v>266</v>
      </c>
      <c r="C360" s="73">
        <f>(38.1+0.75*(2.9+2.45+2.75+0.6))*10.764</f>
        <v>480.34349999999995</v>
      </c>
      <c r="D360" s="73">
        <f t="shared" si="57"/>
        <v>576.41219999999987</v>
      </c>
      <c r="E360" s="73">
        <v>0</v>
      </c>
      <c r="F360" s="73">
        <f t="shared" si="58"/>
        <v>720.51524999999992</v>
      </c>
      <c r="G360" s="63"/>
    </row>
    <row r="361" spans="1:8" x14ac:dyDescent="0.3">
      <c r="A361" s="73">
        <v>3</v>
      </c>
      <c r="B361" s="73" t="s">
        <v>267</v>
      </c>
      <c r="C361" s="73">
        <f>(52.51+0.75*(2.9+2.4+2.75+2.9))*10.764</f>
        <v>653.61698999999987</v>
      </c>
      <c r="D361" s="73">
        <f t="shared" si="57"/>
        <v>784.34038799999985</v>
      </c>
      <c r="E361" s="73">
        <v>0</v>
      </c>
      <c r="F361" s="73">
        <f t="shared" si="58"/>
        <v>980.42548499999975</v>
      </c>
      <c r="G361" s="103"/>
    </row>
    <row r="362" spans="1:8" x14ac:dyDescent="0.3">
      <c r="A362" s="73">
        <v>4</v>
      </c>
      <c r="B362" s="73" t="s">
        <v>268</v>
      </c>
      <c r="C362" s="73">
        <f>(69.44+0.75*(2.4+3.05+2.9+2.9+2.9))*10.764</f>
        <v>861.6851099999999</v>
      </c>
      <c r="D362" s="73">
        <f t="shared" si="57"/>
        <v>1034.0221319999998</v>
      </c>
      <c r="E362" s="73">
        <v>0</v>
      </c>
      <c r="F362" s="73">
        <f t="shared" si="58"/>
        <v>1292.5276649999998</v>
      </c>
    </row>
    <row r="363" spans="1:8" x14ac:dyDescent="0.3">
      <c r="A363" s="112" t="s">
        <v>346</v>
      </c>
      <c r="B363" s="112"/>
      <c r="C363" s="112"/>
      <c r="D363" s="112"/>
      <c r="E363" s="112"/>
      <c r="F363" s="112"/>
      <c r="H363" s="62">
        <v>10.763999999999999</v>
      </c>
    </row>
    <row r="364" spans="1:8" x14ac:dyDescent="0.3">
      <c r="A364" s="73">
        <v>1</v>
      </c>
      <c r="B364" s="119" t="s">
        <v>347</v>
      </c>
      <c r="C364" s="119"/>
      <c r="D364" s="119"/>
      <c r="E364" s="119"/>
      <c r="F364" s="119"/>
      <c r="G364" s="63"/>
    </row>
    <row r="365" spans="1:8" x14ac:dyDescent="0.3">
      <c r="A365" s="73">
        <v>2</v>
      </c>
      <c r="B365" s="73" t="s">
        <v>266</v>
      </c>
      <c r="C365" s="73">
        <f>(37.05+0.75*(2.9+2.45+3.35))*10.764</f>
        <v>469.04129999999992</v>
      </c>
      <c r="D365" s="73">
        <f t="shared" ref="D365:D366" si="59">C365*1.2</f>
        <v>562.84955999999988</v>
      </c>
      <c r="E365" s="73">
        <v>0</v>
      </c>
      <c r="F365" s="73">
        <f t="shared" ref="F365:F366" si="60">C365*(($F$291)+1)+(IF(E365&lt;101,E365,IF(E365&lt;201,E365/2,IF(E365&lt;=301,E365/3,E365/4))))</f>
        <v>703.56194999999991</v>
      </c>
      <c r="G365" s="63"/>
    </row>
    <row r="366" spans="1:8" x14ac:dyDescent="0.3">
      <c r="A366" s="73">
        <v>4</v>
      </c>
      <c r="B366" s="73" t="s">
        <v>268</v>
      </c>
      <c r="C366" s="73">
        <f>(69.44+0.75*(2.4+3.05+2.9+2.9+2.9))*10.764</f>
        <v>861.6851099999999</v>
      </c>
      <c r="D366" s="73">
        <f t="shared" si="59"/>
        <v>1034.0221319999998</v>
      </c>
      <c r="E366" s="73">
        <f>52.52*10.764</f>
        <v>565.32528000000002</v>
      </c>
      <c r="F366" s="73">
        <f t="shared" si="60"/>
        <v>1433.8589849999998</v>
      </c>
    </row>
    <row r="367" spans="1:8" s="31" customFormat="1" ht="15.6" x14ac:dyDescent="0.3">
      <c r="A367" s="115" t="s">
        <v>55</v>
      </c>
      <c r="B367" s="115"/>
      <c r="C367" s="115"/>
      <c r="D367" s="115"/>
      <c r="E367" s="115"/>
      <c r="F367" s="115"/>
      <c r="G367" s="37"/>
      <c r="H367" s="37"/>
    </row>
    <row r="368" spans="1:8" x14ac:dyDescent="0.3">
      <c r="A368" s="116" t="s">
        <v>331</v>
      </c>
      <c r="B368" s="116"/>
      <c r="C368" s="116"/>
      <c r="D368" s="116"/>
      <c r="E368" s="116"/>
      <c r="F368" s="116"/>
      <c r="H368" s="62">
        <v>10.763999999999999</v>
      </c>
    </row>
    <row r="369" spans="1:8" x14ac:dyDescent="0.3">
      <c r="A369" s="64">
        <v>5</v>
      </c>
      <c r="B369" s="119" t="s">
        <v>329</v>
      </c>
      <c r="C369" s="119"/>
      <c r="D369" s="119"/>
      <c r="E369" s="119"/>
      <c r="F369" s="119"/>
    </row>
    <row r="370" spans="1:8" x14ac:dyDescent="0.3">
      <c r="A370" s="64">
        <v>6</v>
      </c>
      <c r="B370" s="119" t="s">
        <v>270</v>
      </c>
      <c r="C370" s="119"/>
      <c r="D370" s="119"/>
      <c r="E370" s="119"/>
      <c r="F370" s="119"/>
    </row>
    <row r="371" spans="1:8" x14ac:dyDescent="0.3">
      <c r="A371" s="64" t="s">
        <v>376</v>
      </c>
      <c r="B371" s="73" t="s">
        <v>266</v>
      </c>
      <c r="C371" s="73">
        <f>(31.79+0.75*(2.9+2.45+2.75))*10.764</f>
        <v>407.57885999999991</v>
      </c>
      <c r="D371" s="73">
        <f t="shared" ref="D371" si="61">C371*1.2</f>
        <v>489.09463199999988</v>
      </c>
      <c r="E371" s="73">
        <v>0</v>
      </c>
      <c r="F371" s="73">
        <f t="shared" ref="F371" si="62">C371*(($F$291)+1)+(IF(E371&lt;101,E371,IF(E371&lt;201,E371/2,IF(E371&lt;=301,E371/3,E371/4))))</f>
        <v>611.36828999999989</v>
      </c>
    </row>
    <row r="372" spans="1:8" x14ac:dyDescent="0.3">
      <c r="A372" s="116" t="s">
        <v>330</v>
      </c>
      <c r="B372" s="116"/>
      <c r="C372" s="116"/>
      <c r="D372" s="116"/>
      <c r="E372" s="116"/>
      <c r="F372" s="116"/>
      <c r="H372" s="62">
        <v>10.763999999999999</v>
      </c>
    </row>
    <row r="373" spans="1:8" x14ac:dyDescent="0.3">
      <c r="A373" s="64" t="s">
        <v>377</v>
      </c>
      <c r="B373" s="73" t="s">
        <v>268</v>
      </c>
      <c r="C373" s="73">
        <f>(57.78+0.75*(2.9+2.4+2.75+2.75+2.9))*10.764</f>
        <v>732.54402000000005</v>
      </c>
      <c r="D373" s="73">
        <f t="shared" ref="D373:D375" si="63">C373*1.2</f>
        <v>879.05282399999999</v>
      </c>
      <c r="E373" s="73">
        <v>0</v>
      </c>
      <c r="F373" s="73">
        <f t="shared" ref="F373:F375" si="64">C373*(($F$291)+1)+(IF(E373&lt;101,E373,IF(E373&lt;201,E373/2,IF(E373&lt;=301,E373/3,E373/4))))</f>
        <v>1098.81603</v>
      </c>
    </row>
    <row r="374" spans="1:8" x14ac:dyDescent="0.3">
      <c r="A374" s="64" t="s">
        <v>378</v>
      </c>
      <c r="B374" s="73" t="s">
        <v>268</v>
      </c>
      <c r="C374" s="73">
        <f>(57.78+0.75*(2.9+2.4+2.75+2.75+2.9))*10.764</f>
        <v>732.54402000000005</v>
      </c>
      <c r="D374" s="73">
        <f t="shared" si="63"/>
        <v>879.05282399999999</v>
      </c>
      <c r="E374" s="73">
        <v>0</v>
      </c>
      <c r="F374" s="73">
        <f t="shared" si="64"/>
        <v>1098.81603</v>
      </c>
    </row>
    <row r="375" spans="1:8" x14ac:dyDescent="0.3">
      <c r="A375" s="64" t="s">
        <v>376</v>
      </c>
      <c r="B375" s="73" t="s">
        <v>266</v>
      </c>
      <c r="C375" s="73">
        <f>(31.79+0.75*(2.9+2.45+2.75))*10.764</f>
        <v>407.57885999999991</v>
      </c>
      <c r="D375" s="73">
        <f t="shared" si="63"/>
        <v>489.09463199999988</v>
      </c>
      <c r="E375" s="73">
        <v>0</v>
      </c>
      <c r="F375" s="73">
        <f t="shared" si="64"/>
        <v>611.36828999999989</v>
      </c>
    </row>
    <row r="376" spans="1:8" x14ac:dyDescent="0.3">
      <c r="A376" s="112" t="s">
        <v>335</v>
      </c>
      <c r="B376" s="112"/>
      <c r="C376" s="112"/>
      <c r="D376" s="112"/>
      <c r="E376" s="112"/>
      <c r="F376" s="112"/>
      <c r="H376" s="62">
        <v>10.763999999999999</v>
      </c>
    </row>
    <row r="377" spans="1:8" x14ac:dyDescent="0.3">
      <c r="A377" s="64" t="s">
        <v>377</v>
      </c>
      <c r="B377" s="73" t="s">
        <v>268</v>
      </c>
      <c r="C377" s="73">
        <f>(57.78+0.75*(2.9+2.4+2.75+2.75+2.9))*10.764</f>
        <v>732.54402000000005</v>
      </c>
      <c r="D377" s="73">
        <f t="shared" ref="D377:D379" si="65">C377*1.2</f>
        <v>879.05282399999999</v>
      </c>
      <c r="E377" s="73">
        <v>0</v>
      </c>
      <c r="F377" s="73">
        <f t="shared" ref="F377:F379" si="66">C377*(($F$291)+1)+(IF(E377&lt;101,E377,IF(E377&lt;201,E377/2,IF(E377&lt;=301,E377/3,E377/4))))</f>
        <v>1098.81603</v>
      </c>
    </row>
    <row r="378" spans="1:8" x14ac:dyDescent="0.3">
      <c r="A378" s="64" t="s">
        <v>378</v>
      </c>
      <c r="B378" s="73" t="s">
        <v>268</v>
      </c>
      <c r="C378" s="73">
        <f>(57.78+0.75*(2.9+2.4+2.75+2.75+2.9))*10.764</f>
        <v>732.54402000000005</v>
      </c>
      <c r="D378" s="73">
        <f t="shared" si="65"/>
        <v>879.05282399999999</v>
      </c>
      <c r="E378" s="73">
        <v>0</v>
      </c>
      <c r="F378" s="73">
        <f t="shared" si="66"/>
        <v>1098.81603</v>
      </c>
    </row>
    <row r="379" spans="1:8" x14ac:dyDescent="0.3">
      <c r="A379" s="64" t="s">
        <v>376</v>
      </c>
      <c r="B379" s="73" t="s">
        <v>267</v>
      </c>
      <c r="C379" s="73">
        <f>(40.59+0.75*(2.9+2.45+2.75+2.75))*10.764</f>
        <v>524.50281000000007</v>
      </c>
      <c r="D379" s="73">
        <f t="shared" si="65"/>
        <v>629.4033720000001</v>
      </c>
      <c r="E379" s="73">
        <v>0</v>
      </c>
      <c r="F379" s="73">
        <f t="shared" si="66"/>
        <v>786.75421500000016</v>
      </c>
    </row>
    <row r="380" spans="1:8" x14ac:dyDescent="0.3">
      <c r="A380" s="112" t="s">
        <v>334</v>
      </c>
      <c r="B380" s="112"/>
      <c r="C380" s="112"/>
      <c r="D380" s="112"/>
      <c r="E380" s="112"/>
      <c r="F380" s="112"/>
      <c r="H380" s="62">
        <v>10.763999999999999</v>
      </c>
    </row>
    <row r="381" spans="1:8" x14ac:dyDescent="0.3">
      <c r="A381" s="64" t="s">
        <v>377</v>
      </c>
      <c r="B381" s="73" t="s">
        <v>268</v>
      </c>
      <c r="C381" s="73">
        <f>(57.78+0.75*(2.9+2.4+2.75+2.75+2.9))*10.764</f>
        <v>732.54402000000005</v>
      </c>
      <c r="D381" s="73">
        <f t="shared" ref="D381:D383" si="67">C381*1.2</f>
        <v>879.05282399999999</v>
      </c>
      <c r="E381" s="73">
        <v>0</v>
      </c>
      <c r="F381" s="73">
        <f t="shared" ref="F381:F383" si="68">C381*(($F$291)+1)+(IF(E381&lt;101,E381,IF(E381&lt;201,E381/2,IF(E381&lt;=301,E381/3,E381/4))))</f>
        <v>1098.81603</v>
      </c>
    </row>
    <row r="382" spans="1:8" x14ac:dyDescent="0.3">
      <c r="A382" s="64" t="s">
        <v>378</v>
      </c>
      <c r="B382" s="73" t="s">
        <v>268</v>
      </c>
      <c r="C382" s="73">
        <f>(57.78+0.75*(2.9+2.4+2.75+2.75+2.9))*10.764</f>
        <v>732.54402000000005</v>
      </c>
      <c r="D382" s="73">
        <f t="shared" si="67"/>
        <v>879.05282399999999</v>
      </c>
      <c r="E382" s="73">
        <v>0</v>
      </c>
      <c r="F382" s="73">
        <f t="shared" si="68"/>
        <v>1098.81603</v>
      </c>
    </row>
    <row r="383" spans="1:8" x14ac:dyDescent="0.3">
      <c r="A383" s="64" t="s">
        <v>376</v>
      </c>
      <c r="B383" s="73" t="s">
        <v>267</v>
      </c>
      <c r="C383" s="73">
        <f>(40.59+0.75*(2.9+2.45+2.75+2.75))*10.764</f>
        <v>524.50281000000007</v>
      </c>
      <c r="D383" s="73">
        <f t="shared" si="67"/>
        <v>629.4033720000001</v>
      </c>
      <c r="E383" s="73">
        <v>0</v>
      </c>
      <c r="F383" s="73">
        <f t="shared" si="68"/>
        <v>786.75421500000016</v>
      </c>
    </row>
    <row r="384" spans="1:8" x14ac:dyDescent="0.3">
      <c r="A384" s="112" t="s">
        <v>333</v>
      </c>
      <c r="B384" s="112"/>
      <c r="C384" s="112"/>
      <c r="D384" s="112"/>
      <c r="E384" s="112"/>
      <c r="F384" s="112"/>
      <c r="H384" s="62">
        <v>10.763999999999999</v>
      </c>
    </row>
    <row r="385" spans="1:8" x14ac:dyDescent="0.3">
      <c r="A385" s="73">
        <v>5</v>
      </c>
      <c r="B385" s="73" t="s">
        <v>267</v>
      </c>
      <c r="C385" s="73">
        <f>(50.87+0.75*(2.9+2.32+2.75+2.75))*10.764</f>
        <v>634.10723999999993</v>
      </c>
      <c r="D385" s="73">
        <f t="shared" ref="D385:D387" si="69">C385*1.2</f>
        <v>760.92868799999985</v>
      </c>
      <c r="E385" s="73">
        <f>(3.28*4.3)*10.764</f>
        <v>151.81545599999998</v>
      </c>
      <c r="F385" s="73">
        <f t="shared" ref="F385:F387" si="70">C385*(($F$291)+1)+(IF(E385&lt;101,E385,IF(E385&lt;201,E385/2,IF(E385&lt;=301,E385/3,E385/4))))</f>
        <v>1027.0685879999999</v>
      </c>
    </row>
    <row r="386" spans="1:8" x14ac:dyDescent="0.3">
      <c r="A386" s="73">
        <v>6</v>
      </c>
      <c r="B386" s="73" t="s">
        <v>267</v>
      </c>
      <c r="C386" s="73">
        <f>(50.22+0.75*(2.9+2.4+2.75+2.75))*10.764</f>
        <v>627.75648000000001</v>
      </c>
      <c r="D386" s="73">
        <f t="shared" si="69"/>
        <v>753.30777599999999</v>
      </c>
      <c r="E386" s="73">
        <f>(2.9*4.6)*10.764</f>
        <v>143.59175999999997</v>
      </c>
      <c r="F386" s="73">
        <f t="shared" si="70"/>
        <v>1013.4306</v>
      </c>
    </row>
    <row r="387" spans="1:8" x14ac:dyDescent="0.3">
      <c r="A387" s="64" t="s">
        <v>376</v>
      </c>
      <c r="B387" s="73" t="s">
        <v>267</v>
      </c>
      <c r="C387" s="73">
        <f>(40.59+0.75*(2.9+2.45+2.75+2.75))*10.764</f>
        <v>524.50281000000007</v>
      </c>
      <c r="D387" s="73">
        <f t="shared" si="69"/>
        <v>629.4033720000001</v>
      </c>
      <c r="E387" s="73">
        <v>0</v>
      </c>
      <c r="F387" s="73">
        <f t="shared" si="70"/>
        <v>786.75421500000016</v>
      </c>
    </row>
    <row r="388" spans="1:8" x14ac:dyDescent="0.3">
      <c r="A388" s="112" t="s">
        <v>336</v>
      </c>
      <c r="B388" s="112"/>
      <c r="C388" s="112"/>
      <c r="D388" s="112"/>
      <c r="E388" s="112"/>
      <c r="F388" s="112"/>
      <c r="H388" s="62">
        <v>10.763999999999999</v>
      </c>
    </row>
    <row r="389" spans="1:8" x14ac:dyDescent="0.3">
      <c r="A389" s="73">
        <v>5</v>
      </c>
      <c r="B389" s="73" t="s">
        <v>267</v>
      </c>
      <c r="C389" s="73">
        <f>(50.87+0.75*(2.9+2.32+2.75+2.75))*10.764</f>
        <v>634.10723999999993</v>
      </c>
      <c r="D389" s="73">
        <f t="shared" ref="D389:D391" si="71">C389*1.2</f>
        <v>760.92868799999985</v>
      </c>
      <c r="E389" s="73">
        <v>0</v>
      </c>
      <c r="F389" s="73">
        <f t="shared" ref="F389:F391" si="72">C389*(($F$291)+1)+(IF(E389&lt;101,E389,IF(E389&lt;201,E389/2,IF(E389&lt;=301,E389/3,E389/4))))</f>
        <v>951.16085999999996</v>
      </c>
    </row>
    <row r="390" spans="1:8" x14ac:dyDescent="0.3">
      <c r="A390" s="73">
        <v>6</v>
      </c>
      <c r="B390" s="73" t="s">
        <v>267</v>
      </c>
      <c r="C390" s="73">
        <f>(50.22+0.75*(2.9+2.4+2.75+2.75))*10.764</f>
        <v>627.75648000000001</v>
      </c>
      <c r="D390" s="73">
        <f t="shared" si="71"/>
        <v>753.30777599999999</v>
      </c>
      <c r="E390" s="73">
        <v>0</v>
      </c>
      <c r="F390" s="73">
        <f t="shared" si="72"/>
        <v>941.63472000000002</v>
      </c>
    </row>
    <row r="391" spans="1:8" x14ac:dyDescent="0.3">
      <c r="A391" s="64" t="s">
        <v>376</v>
      </c>
      <c r="B391" s="73" t="s">
        <v>267</v>
      </c>
      <c r="C391" s="73">
        <f>(40.59+0.75*(2.9+2.45+2.75+2.75))*10.764</f>
        <v>524.50281000000007</v>
      </c>
      <c r="D391" s="73">
        <f t="shared" si="71"/>
        <v>629.4033720000001</v>
      </c>
      <c r="E391" s="73">
        <v>0</v>
      </c>
      <c r="F391" s="73">
        <f t="shared" si="72"/>
        <v>786.75421500000016</v>
      </c>
    </row>
    <row r="392" spans="1:8" x14ac:dyDescent="0.3">
      <c r="A392" s="112" t="s">
        <v>337</v>
      </c>
      <c r="B392" s="112"/>
      <c r="C392" s="112"/>
      <c r="D392" s="112"/>
      <c r="E392" s="112"/>
      <c r="F392" s="112"/>
      <c r="H392" s="62">
        <v>10.763999999999999</v>
      </c>
    </row>
    <row r="393" spans="1:8" x14ac:dyDescent="0.3">
      <c r="A393" s="73">
        <v>5</v>
      </c>
      <c r="B393" s="73" t="s">
        <v>267</v>
      </c>
      <c r="C393" s="73">
        <f>(50.87+0.75*(2.9+2.32+2.75+2.75))*10.764</f>
        <v>634.10723999999993</v>
      </c>
      <c r="D393" s="73">
        <f t="shared" ref="D393:D395" si="73">C393*1.2</f>
        <v>760.92868799999985</v>
      </c>
      <c r="E393" s="73">
        <v>0</v>
      </c>
      <c r="F393" s="73">
        <f t="shared" ref="F393:F395" si="74">C393*(($F$291)+1)+(IF(E393&lt;101,E393,IF(E393&lt;201,E393/2,IF(E393&lt;=301,E393/3,E393/4))))</f>
        <v>951.16085999999996</v>
      </c>
    </row>
    <row r="394" spans="1:8" x14ac:dyDescent="0.3">
      <c r="A394" s="73">
        <v>6</v>
      </c>
      <c r="B394" s="73" t="s">
        <v>267</v>
      </c>
      <c r="C394" s="73">
        <f>(50.22+0.75*(2.9+2.4+2.75+2.75))*10.764</f>
        <v>627.75648000000001</v>
      </c>
      <c r="D394" s="73">
        <f t="shared" si="73"/>
        <v>753.30777599999999</v>
      </c>
      <c r="E394" s="73">
        <v>0</v>
      </c>
      <c r="F394" s="73">
        <f t="shared" si="74"/>
        <v>941.63472000000002</v>
      </c>
    </row>
    <row r="395" spans="1:8" x14ac:dyDescent="0.3">
      <c r="A395" s="64" t="s">
        <v>376</v>
      </c>
      <c r="B395" s="73" t="s">
        <v>267</v>
      </c>
      <c r="C395" s="73">
        <f>(40.59+0.75*(2.9+2.45+2.75+2.75))*10.764</f>
        <v>524.50281000000007</v>
      </c>
      <c r="D395" s="73">
        <f t="shared" si="73"/>
        <v>629.4033720000001</v>
      </c>
      <c r="E395" s="73">
        <v>0</v>
      </c>
      <c r="F395" s="73">
        <f t="shared" si="74"/>
        <v>786.75421500000016</v>
      </c>
    </row>
    <row r="396" spans="1:8" x14ac:dyDescent="0.3">
      <c r="A396" s="112" t="s">
        <v>338</v>
      </c>
      <c r="B396" s="112"/>
      <c r="C396" s="112"/>
      <c r="D396" s="112"/>
      <c r="E396" s="112"/>
      <c r="F396" s="112"/>
      <c r="H396" s="62">
        <v>10.763999999999999</v>
      </c>
    </row>
    <row r="397" spans="1:8" x14ac:dyDescent="0.3">
      <c r="A397" s="73">
        <v>5</v>
      </c>
      <c r="B397" s="73" t="s">
        <v>267</v>
      </c>
      <c r="C397" s="73">
        <f>(50.87+0.75*(2.9+2.32+2.75+2.75))*10.764</f>
        <v>634.10723999999993</v>
      </c>
      <c r="D397" s="73">
        <f t="shared" ref="D397:D399" si="75">C397*1.2</f>
        <v>760.92868799999985</v>
      </c>
      <c r="E397" s="73">
        <v>0</v>
      </c>
      <c r="F397" s="73">
        <f t="shared" ref="F397:F399" si="76">C397*(($F$291)+1)+(IF(E397&lt;101,E397,IF(E397&lt;201,E397/2,IF(E397&lt;=301,E397/3,E397/4))))</f>
        <v>951.16085999999996</v>
      </c>
    </row>
    <row r="398" spans="1:8" x14ac:dyDescent="0.3">
      <c r="A398" s="73">
        <v>6</v>
      </c>
      <c r="B398" s="73" t="s">
        <v>267</v>
      </c>
      <c r="C398" s="73">
        <f>(50.22+0.75*(2.9+2.4+2.75+2.75))*10.764</f>
        <v>627.75648000000001</v>
      </c>
      <c r="D398" s="73">
        <f t="shared" si="75"/>
        <v>753.30777599999999</v>
      </c>
      <c r="E398" s="73">
        <v>0</v>
      </c>
      <c r="F398" s="73">
        <f t="shared" si="76"/>
        <v>941.63472000000002</v>
      </c>
    </row>
    <row r="399" spans="1:8" x14ac:dyDescent="0.3">
      <c r="A399" s="64" t="s">
        <v>376</v>
      </c>
      <c r="B399" s="73" t="s">
        <v>267</v>
      </c>
      <c r="C399" s="73">
        <f>(40.59+0.75*(2.9+2.45+2.75+2.75))*10.764</f>
        <v>524.50281000000007</v>
      </c>
      <c r="D399" s="73">
        <f t="shared" si="75"/>
        <v>629.4033720000001</v>
      </c>
      <c r="E399" s="73">
        <v>0</v>
      </c>
      <c r="F399" s="73">
        <f t="shared" si="76"/>
        <v>786.75421500000016</v>
      </c>
    </row>
    <row r="400" spans="1:8" x14ac:dyDescent="0.3">
      <c r="A400" s="112" t="s">
        <v>339</v>
      </c>
      <c r="B400" s="112"/>
      <c r="C400" s="112"/>
      <c r="D400" s="112"/>
      <c r="E400" s="112"/>
      <c r="F400" s="112"/>
      <c r="H400" s="62">
        <v>10.763999999999999</v>
      </c>
    </row>
    <row r="401" spans="1:8" x14ac:dyDescent="0.3">
      <c r="A401" s="73">
        <v>5</v>
      </c>
      <c r="B401" s="73" t="s">
        <v>267</v>
      </c>
      <c r="C401" s="73">
        <f>(50.87+0.75*(2.9+2.32+2.75+2.75))*10.764</f>
        <v>634.10723999999993</v>
      </c>
      <c r="D401" s="73">
        <f t="shared" ref="D401:D403" si="77">C401*1.2</f>
        <v>760.92868799999985</v>
      </c>
      <c r="E401" s="73">
        <v>0</v>
      </c>
      <c r="F401" s="73">
        <f t="shared" ref="F401:F403" si="78">C401*(($F$291)+1)+(IF(E401&lt;101,E401,IF(E401&lt;201,E401/2,IF(E401&lt;=301,E401/3,E401/4))))</f>
        <v>951.16085999999996</v>
      </c>
    </row>
    <row r="402" spans="1:8" x14ac:dyDescent="0.3">
      <c r="A402" s="73">
        <v>6</v>
      </c>
      <c r="B402" s="73" t="s">
        <v>267</v>
      </c>
      <c r="C402" s="73">
        <f>(50.22+0.75*(2.9+2.4+2.75+2.75))*10.764</f>
        <v>627.75648000000001</v>
      </c>
      <c r="D402" s="73">
        <f t="shared" si="77"/>
        <v>753.30777599999999</v>
      </c>
      <c r="E402" s="73">
        <v>0</v>
      </c>
      <c r="F402" s="73">
        <f t="shared" si="78"/>
        <v>941.63472000000002</v>
      </c>
    </row>
    <row r="403" spans="1:8" x14ac:dyDescent="0.3">
      <c r="A403" s="64" t="s">
        <v>376</v>
      </c>
      <c r="B403" s="73" t="s">
        <v>267</v>
      </c>
      <c r="C403" s="73">
        <f>(40.59+0.75*(2.9+2.45+2.75+2.75))*10.764</f>
        <v>524.50281000000007</v>
      </c>
      <c r="D403" s="73">
        <f t="shared" si="77"/>
        <v>629.4033720000001</v>
      </c>
      <c r="E403" s="73">
        <v>0</v>
      </c>
      <c r="F403" s="73">
        <f t="shared" si="78"/>
        <v>786.75421500000016</v>
      </c>
    </row>
    <row r="404" spans="1:8" x14ac:dyDescent="0.3">
      <c r="A404" s="112" t="s">
        <v>341</v>
      </c>
      <c r="B404" s="112"/>
      <c r="C404" s="112"/>
      <c r="D404" s="112"/>
      <c r="E404" s="112"/>
      <c r="F404" s="112"/>
      <c r="H404" s="62">
        <v>10.763999999999999</v>
      </c>
    </row>
    <row r="405" spans="1:8" x14ac:dyDescent="0.3">
      <c r="A405" s="64" t="s">
        <v>377</v>
      </c>
      <c r="B405" s="73" t="s">
        <v>267</v>
      </c>
      <c r="C405" s="73">
        <f>(55.79+0.75*(2.9+2.32+2.75+2.75))*10.764</f>
        <v>687.06611999999996</v>
      </c>
      <c r="D405" s="73">
        <f t="shared" ref="D405:D407" si="79">C405*1.2</f>
        <v>824.47934399999997</v>
      </c>
      <c r="E405" s="73">
        <v>0</v>
      </c>
      <c r="F405" s="73">
        <f t="shared" ref="F405:F407" si="80">C405*(($F$291)+1)+(IF(E405&lt;101,E405,IF(E405&lt;201,E405/2,IF(E405&lt;=301,E405/3,E405/4))))</f>
        <v>1030.5991799999999</v>
      </c>
    </row>
    <row r="406" spans="1:8" x14ac:dyDescent="0.3">
      <c r="A406" s="64" t="s">
        <v>378</v>
      </c>
      <c r="B406" s="73" t="s">
        <v>267</v>
      </c>
      <c r="C406" s="73">
        <f>(56+0.75*(2.9+2.4+2.75+2.75))*10.764</f>
        <v>689.97239999999988</v>
      </c>
      <c r="D406" s="73">
        <f t="shared" si="79"/>
        <v>827.96687999999983</v>
      </c>
      <c r="E406" s="73">
        <v>0</v>
      </c>
      <c r="F406" s="73">
        <f t="shared" si="80"/>
        <v>1034.9585999999999</v>
      </c>
    </row>
    <row r="407" spans="1:8" x14ac:dyDescent="0.3">
      <c r="A407" s="64" t="s">
        <v>376</v>
      </c>
      <c r="B407" s="73" t="s">
        <v>267</v>
      </c>
      <c r="C407" s="73">
        <f>(40.98+0.75*(2.9+2.45+2.75+2.75))*10.764</f>
        <v>528.70076999999992</v>
      </c>
      <c r="D407" s="73">
        <f t="shared" si="79"/>
        <v>634.44092399999988</v>
      </c>
      <c r="E407" s="73">
        <v>0</v>
      </c>
      <c r="F407" s="73">
        <f t="shared" si="80"/>
        <v>793.05115499999988</v>
      </c>
    </row>
    <row r="408" spans="1:8" x14ac:dyDescent="0.3">
      <c r="A408" s="112" t="s">
        <v>342</v>
      </c>
      <c r="B408" s="112"/>
      <c r="C408" s="112"/>
      <c r="D408" s="112"/>
      <c r="E408" s="112"/>
      <c r="F408" s="112"/>
      <c r="H408" s="62">
        <v>10.763999999999999</v>
      </c>
    </row>
    <row r="409" spans="1:8" x14ac:dyDescent="0.3">
      <c r="A409" s="73">
        <v>5</v>
      </c>
      <c r="B409" s="73" t="s">
        <v>267</v>
      </c>
      <c r="C409" s="73">
        <f>(50.87+0.75*(2.9+2.3+2.75+2.75))*10.764</f>
        <v>633.9457799999999</v>
      </c>
      <c r="D409" s="73">
        <f t="shared" ref="D409:D411" si="81">C409*1.2</f>
        <v>760.73493599999983</v>
      </c>
      <c r="E409" s="73">
        <v>0</v>
      </c>
      <c r="F409" s="73">
        <f t="shared" ref="F409:F411" si="82">C409*(($F$291)+1)+(IF(E409&lt;101,E409,IF(E409&lt;201,E409/2,IF(E409&lt;=301,E409/3,E409/4))))</f>
        <v>950.91866999999979</v>
      </c>
    </row>
    <row r="410" spans="1:8" x14ac:dyDescent="0.3">
      <c r="A410" s="73">
        <v>6</v>
      </c>
      <c r="B410" s="73" t="s">
        <v>267</v>
      </c>
      <c r="C410" s="73">
        <f>(50.22+0.75*(2.9+2.4+2.75+2.75))*10.764</f>
        <v>627.75648000000001</v>
      </c>
      <c r="D410" s="73">
        <f t="shared" si="81"/>
        <v>753.30777599999999</v>
      </c>
      <c r="E410" s="73">
        <v>0</v>
      </c>
      <c r="F410" s="73">
        <f t="shared" si="82"/>
        <v>941.63472000000002</v>
      </c>
    </row>
    <row r="411" spans="1:8" x14ac:dyDescent="0.3">
      <c r="A411" s="64" t="s">
        <v>376</v>
      </c>
      <c r="B411" s="73" t="s">
        <v>267</v>
      </c>
      <c r="C411" s="73">
        <f>(40.98+0.75*(2.9+2.45+2.75+2.75))*10.764</f>
        <v>528.70076999999992</v>
      </c>
      <c r="D411" s="73">
        <f t="shared" si="81"/>
        <v>634.44092399999988</v>
      </c>
      <c r="E411" s="73">
        <v>0</v>
      </c>
      <c r="F411" s="73">
        <f t="shared" si="82"/>
        <v>793.05115499999988</v>
      </c>
    </row>
    <row r="412" spans="1:8" x14ac:dyDescent="0.3">
      <c r="A412" s="112" t="s">
        <v>343</v>
      </c>
      <c r="B412" s="112"/>
      <c r="C412" s="112"/>
      <c r="D412" s="112"/>
      <c r="E412" s="112"/>
      <c r="F412" s="112"/>
      <c r="H412" s="62">
        <v>10.763999999999999</v>
      </c>
    </row>
    <row r="413" spans="1:8" x14ac:dyDescent="0.3">
      <c r="A413" s="73">
        <v>5</v>
      </c>
      <c r="B413" s="73" t="s">
        <v>267</v>
      </c>
      <c r="C413" s="73">
        <f>(50.87+0.75*(2.9+2.3+2.75+2.75))*10.764</f>
        <v>633.9457799999999</v>
      </c>
      <c r="D413" s="73">
        <f t="shared" ref="D413:D415" si="83">C413*1.2</f>
        <v>760.73493599999983</v>
      </c>
      <c r="E413" s="73">
        <v>0</v>
      </c>
      <c r="F413" s="73">
        <f t="shared" ref="F413:F415" si="84">C413*(($F$291)+1)+(IF(E413&lt;101,E413,IF(E413&lt;201,E413/2,IF(E413&lt;=301,E413/3,E413/4))))</f>
        <v>950.91866999999979</v>
      </c>
    </row>
    <row r="414" spans="1:8" x14ac:dyDescent="0.3">
      <c r="A414" s="73">
        <v>6</v>
      </c>
      <c r="B414" s="73" t="s">
        <v>267</v>
      </c>
      <c r="C414" s="73">
        <f>(50.22+0.75*(2.9+2.4+2.75+2.75))*10.764</f>
        <v>627.75648000000001</v>
      </c>
      <c r="D414" s="73">
        <f t="shared" si="83"/>
        <v>753.30777599999999</v>
      </c>
      <c r="E414" s="73">
        <v>0</v>
      </c>
      <c r="F414" s="73">
        <f t="shared" si="84"/>
        <v>941.63472000000002</v>
      </c>
    </row>
    <row r="415" spans="1:8" x14ac:dyDescent="0.3">
      <c r="A415" s="73">
        <v>7</v>
      </c>
      <c r="B415" s="73" t="s">
        <v>266</v>
      </c>
      <c r="C415" s="73">
        <f>(36.6+0.75*(2.9+2.45+2.75))*10.764</f>
        <v>459.35369999999995</v>
      </c>
      <c r="D415" s="73">
        <f t="shared" si="83"/>
        <v>551.22443999999996</v>
      </c>
      <c r="E415" s="73">
        <f>(2.75*3.2)*10.764</f>
        <v>94.723200000000006</v>
      </c>
      <c r="F415" s="73">
        <f t="shared" si="84"/>
        <v>783.75374999999997</v>
      </c>
    </row>
    <row r="416" spans="1:8" x14ac:dyDescent="0.3">
      <c r="A416" s="112" t="s">
        <v>344</v>
      </c>
      <c r="B416" s="112"/>
      <c r="C416" s="112"/>
      <c r="D416" s="112"/>
      <c r="E416" s="112"/>
      <c r="F416" s="112"/>
      <c r="H416" s="62">
        <v>10.763999999999999</v>
      </c>
    </row>
    <row r="417" spans="1:8" x14ac:dyDescent="0.3">
      <c r="A417" s="73">
        <v>5</v>
      </c>
      <c r="B417" s="73" t="s">
        <v>267</v>
      </c>
      <c r="C417" s="73">
        <f>(50.87+0.75*(2.9+2.3+2.75+2.75))*10.764</f>
        <v>633.9457799999999</v>
      </c>
      <c r="D417" s="73">
        <f t="shared" ref="D417:D419" si="85">C417*1.2</f>
        <v>760.73493599999983</v>
      </c>
      <c r="E417" s="73">
        <v>0</v>
      </c>
      <c r="F417" s="73">
        <f t="shared" ref="F417:F419" si="86">C417*(($F$291)+1)+(IF(E417&lt;101,E417,IF(E417&lt;201,E417/2,IF(E417&lt;=301,E417/3,E417/4))))</f>
        <v>950.91866999999979</v>
      </c>
    </row>
    <row r="418" spans="1:8" x14ac:dyDescent="0.3">
      <c r="A418" s="73">
        <v>6</v>
      </c>
      <c r="B418" s="73" t="s">
        <v>267</v>
      </c>
      <c r="C418" s="73">
        <f>(50.22+0.75*(2.9+2.4+2.75+2.75))*10.764</f>
        <v>627.75648000000001</v>
      </c>
      <c r="D418" s="73">
        <f t="shared" si="85"/>
        <v>753.30777599999999</v>
      </c>
      <c r="E418" s="73">
        <v>0</v>
      </c>
      <c r="F418" s="73">
        <f t="shared" si="86"/>
        <v>941.63472000000002</v>
      </c>
    </row>
    <row r="419" spans="1:8" x14ac:dyDescent="0.3">
      <c r="A419" s="73">
        <v>7</v>
      </c>
      <c r="B419" s="73" t="s">
        <v>266</v>
      </c>
      <c r="C419" s="73">
        <f>(36.6+0.75*(2.9+2.45+2.75))*10.764</f>
        <v>459.35369999999995</v>
      </c>
      <c r="D419" s="73">
        <f t="shared" si="85"/>
        <v>551.22443999999996</v>
      </c>
      <c r="E419" s="73">
        <v>0</v>
      </c>
      <c r="F419" s="73">
        <f t="shared" si="86"/>
        <v>689.03054999999995</v>
      </c>
    </row>
    <row r="420" spans="1:8" x14ac:dyDescent="0.3">
      <c r="A420" s="112" t="s">
        <v>345</v>
      </c>
      <c r="B420" s="112"/>
      <c r="C420" s="112"/>
      <c r="D420" s="112"/>
      <c r="E420" s="112"/>
      <c r="F420" s="112"/>
      <c r="H420" s="62">
        <v>10.763999999999999</v>
      </c>
    </row>
    <row r="421" spans="1:8" x14ac:dyDescent="0.3">
      <c r="A421" s="73">
        <v>5</v>
      </c>
      <c r="B421" s="73" t="s">
        <v>267</v>
      </c>
      <c r="C421" s="73">
        <f>(50.87+0.75*(2.9+2.3+2.75+2.75))*10.764</f>
        <v>633.9457799999999</v>
      </c>
      <c r="D421" s="73">
        <f t="shared" ref="D421:D423" si="87">C421*1.2</f>
        <v>760.73493599999983</v>
      </c>
      <c r="E421" s="73">
        <v>0</v>
      </c>
      <c r="F421" s="73">
        <f t="shared" ref="F421:F423" si="88">C421*(($F$291)+1)+(IF(E421&lt;101,E421,IF(E421&lt;201,E421/2,IF(E421&lt;=301,E421/3,E421/4))))</f>
        <v>950.91866999999979</v>
      </c>
    </row>
    <row r="422" spans="1:8" x14ac:dyDescent="0.3">
      <c r="A422" s="73">
        <v>6</v>
      </c>
      <c r="B422" s="73" t="s">
        <v>267</v>
      </c>
      <c r="C422" s="73">
        <f>(50.22+0.75*(2.9+2.4+2.75+2.75))*10.764</f>
        <v>627.75648000000001</v>
      </c>
      <c r="D422" s="73">
        <f t="shared" si="87"/>
        <v>753.30777599999999</v>
      </c>
      <c r="E422" s="73">
        <v>0</v>
      </c>
      <c r="F422" s="73">
        <f t="shared" si="88"/>
        <v>941.63472000000002</v>
      </c>
    </row>
    <row r="423" spans="1:8" x14ac:dyDescent="0.3">
      <c r="A423" s="73">
        <v>7</v>
      </c>
      <c r="B423" s="73" t="s">
        <v>266</v>
      </c>
      <c r="C423" s="73">
        <f>(36.6+0.75*(2.9+2.45+2.75))*10.764</f>
        <v>459.35369999999995</v>
      </c>
      <c r="D423" s="73">
        <f t="shared" si="87"/>
        <v>551.22443999999996</v>
      </c>
      <c r="E423" s="73">
        <v>0</v>
      </c>
      <c r="F423" s="73">
        <f t="shared" si="88"/>
        <v>689.03054999999995</v>
      </c>
    </row>
    <row r="424" spans="1:8" x14ac:dyDescent="0.3">
      <c r="A424" s="112" t="s">
        <v>346</v>
      </c>
      <c r="B424" s="112"/>
      <c r="C424" s="112"/>
      <c r="D424" s="112"/>
      <c r="E424" s="112"/>
      <c r="F424" s="112"/>
      <c r="H424" s="62">
        <v>10.763999999999999</v>
      </c>
    </row>
    <row r="425" spans="1:8" x14ac:dyDescent="0.3">
      <c r="A425" s="73">
        <v>5</v>
      </c>
      <c r="B425" s="73" t="s">
        <v>267</v>
      </c>
      <c r="C425" s="73">
        <f>(50.87+0.75*(2.9+2.3+2.75+2.75))*10.764</f>
        <v>633.9457799999999</v>
      </c>
      <c r="D425" s="73">
        <f t="shared" ref="D425:D426" si="89">C425*1.2</f>
        <v>760.73493599999983</v>
      </c>
      <c r="E425" s="73">
        <v>0</v>
      </c>
      <c r="F425" s="73">
        <f t="shared" ref="F425:F426" si="90">C425*(($F$291)+1)+(IF(E425&lt;101,E425,IF(E425&lt;201,E425/2,IF(E425&lt;=301,E425/3,E425/4))))</f>
        <v>950.91866999999979</v>
      </c>
    </row>
    <row r="426" spans="1:8" x14ac:dyDescent="0.3">
      <c r="A426" s="73">
        <v>6</v>
      </c>
      <c r="B426" s="73" t="s">
        <v>267</v>
      </c>
      <c r="C426" s="73">
        <f>(50.22+0.75*(2.9+2.4+2.75+2.75))*10.764</f>
        <v>627.75648000000001</v>
      </c>
      <c r="D426" s="73">
        <f t="shared" si="89"/>
        <v>753.30777599999999</v>
      </c>
      <c r="E426" s="73">
        <v>0</v>
      </c>
      <c r="F426" s="73">
        <f t="shared" si="90"/>
        <v>941.63472000000002</v>
      </c>
    </row>
    <row r="427" spans="1:8" x14ac:dyDescent="0.3">
      <c r="A427" s="73">
        <v>7</v>
      </c>
      <c r="B427" s="119" t="s">
        <v>347</v>
      </c>
      <c r="C427" s="119"/>
      <c r="D427" s="119"/>
      <c r="E427" s="119"/>
      <c r="F427" s="119"/>
    </row>
    <row r="428" spans="1:8" s="31" customFormat="1" ht="15.6" x14ac:dyDescent="0.3">
      <c r="A428" s="210" t="s">
        <v>269</v>
      </c>
      <c r="B428" s="210"/>
      <c r="C428" s="210"/>
      <c r="D428" s="210"/>
      <c r="E428" s="210"/>
      <c r="F428" s="210"/>
      <c r="G428" s="37"/>
      <c r="H428" s="37"/>
    </row>
    <row r="429" spans="1:8" x14ac:dyDescent="0.3">
      <c r="A429" s="116" t="s">
        <v>331</v>
      </c>
      <c r="B429" s="116"/>
      <c r="C429" s="116"/>
      <c r="D429" s="116"/>
      <c r="E429" s="116"/>
      <c r="F429" s="116"/>
      <c r="H429" s="62">
        <v>10.763999999999999</v>
      </c>
    </row>
    <row r="430" spans="1:8" x14ac:dyDescent="0.3">
      <c r="A430" s="64" t="s">
        <v>379</v>
      </c>
      <c r="B430" s="73" t="s">
        <v>266</v>
      </c>
      <c r="C430" s="73">
        <f>(31.79+0.75*(2.9+2.45+2.75))*10.764</f>
        <v>407.57885999999991</v>
      </c>
      <c r="D430" s="73">
        <f t="shared" ref="D430:D433" si="91">C430*1.2</f>
        <v>489.09463199999988</v>
      </c>
      <c r="E430" s="73">
        <v>0</v>
      </c>
      <c r="F430" s="73">
        <f t="shared" ref="F430:F433" si="92">C430*(($F$291)+1)+(IF(E430&lt;101,E430,IF(E430&lt;201,E430/2,IF(E430&lt;=301,E430/3,E430/4))))</f>
        <v>611.36828999999989</v>
      </c>
    </row>
    <row r="431" spans="1:8" x14ac:dyDescent="0.3">
      <c r="A431" s="64">
        <v>9</v>
      </c>
      <c r="B431" s="73" t="s">
        <v>267</v>
      </c>
      <c r="C431" s="73">
        <f>(63.84)*10.764</f>
        <v>687.17376000000002</v>
      </c>
      <c r="D431" s="73">
        <f t="shared" si="91"/>
        <v>824.60851200000002</v>
      </c>
      <c r="E431" s="73">
        <f>(11.6*7.2)*10.764</f>
        <v>899.00927999999988</v>
      </c>
      <c r="F431" s="73">
        <f t="shared" si="92"/>
        <v>1255.51296</v>
      </c>
    </row>
    <row r="432" spans="1:8" x14ac:dyDescent="0.3">
      <c r="A432" s="64">
        <v>10</v>
      </c>
      <c r="B432" s="73" t="s">
        <v>267</v>
      </c>
      <c r="C432" s="73">
        <f>(63.64)*10.764</f>
        <v>685.02095999999995</v>
      </c>
      <c r="D432" s="73">
        <f t="shared" si="91"/>
        <v>822.02515199999993</v>
      </c>
      <c r="E432" s="73">
        <f>(13*7+2.45*7*0.5+3.6*8.5+0.6*3.6+8.75*2.75*0.5+5.4*3.4+3.5*1.2*0.5)*10.764</f>
        <v>1774.1897549999996</v>
      </c>
      <c r="F432" s="73">
        <f t="shared" si="92"/>
        <v>1471.0788787499998</v>
      </c>
    </row>
    <row r="433" spans="1:8" x14ac:dyDescent="0.3">
      <c r="A433" s="64">
        <v>11</v>
      </c>
      <c r="B433" s="73" t="s">
        <v>266</v>
      </c>
      <c r="C433" s="73">
        <f>(36.9+0.75*(2.9+2.45+2.75))*10.764</f>
        <v>462.58289999999994</v>
      </c>
      <c r="D433" s="73">
        <f t="shared" si="91"/>
        <v>555.09947999999986</v>
      </c>
      <c r="E433" s="73">
        <v>0</v>
      </c>
      <c r="F433" s="73">
        <f t="shared" si="92"/>
        <v>693.87434999999994</v>
      </c>
    </row>
    <row r="434" spans="1:8" x14ac:dyDescent="0.3">
      <c r="A434" s="116" t="s">
        <v>330</v>
      </c>
      <c r="B434" s="116"/>
      <c r="C434" s="116"/>
      <c r="D434" s="116"/>
      <c r="E434" s="116"/>
      <c r="F434" s="116"/>
      <c r="H434" s="62">
        <v>10.763999999999999</v>
      </c>
    </row>
    <row r="435" spans="1:8" x14ac:dyDescent="0.3">
      <c r="A435" s="64" t="s">
        <v>379</v>
      </c>
      <c r="B435" s="73" t="s">
        <v>266</v>
      </c>
      <c r="C435" s="73">
        <f>(31.79+0.75*(2.9+2.45+2.75))*10.764</f>
        <v>407.57885999999991</v>
      </c>
      <c r="D435" s="73">
        <f t="shared" ref="D435:D438" si="93">C435*1.2</f>
        <v>489.09463199999988</v>
      </c>
      <c r="E435" s="73">
        <v>0</v>
      </c>
      <c r="F435" s="73">
        <f t="shared" ref="F435:F438" si="94">C435*(($F$291)+1)+(IF(E435&lt;101,E435,IF(E435&lt;201,E435/2,IF(E435&lt;=301,E435/3,E435/4))))</f>
        <v>611.36828999999989</v>
      </c>
    </row>
    <row r="436" spans="1:8" x14ac:dyDescent="0.3">
      <c r="A436" s="64" t="s">
        <v>380</v>
      </c>
      <c r="B436" s="73" t="s">
        <v>267</v>
      </c>
      <c r="C436" s="73">
        <f>(46.18+0.75*(2.9+2.4+2.75+2.75))*10.764</f>
        <v>584.26991999999996</v>
      </c>
      <c r="D436" s="73">
        <f t="shared" si="93"/>
        <v>701.12390399999992</v>
      </c>
      <c r="E436" s="73">
        <v>0</v>
      </c>
      <c r="F436" s="73">
        <f t="shared" si="94"/>
        <v>876.40487999999993</v>
      </c>
    </row>
    <row r="437" spans="1:8" x14ac:dyDescent="0.3">
      <c r="A437" s="64" t="s">
        <v>381</v>
      </c>
      <c r="B437" s="73" t="s">
        <v>267</v>
      </c>
      <c r="C437" s="73">
        <f>(46.18+0.75*(2.9+2.4+2.75+2.75))*10.764</f>
        <v>584.26991999999996</v>
      </c>
      <c r="D437" s="73">
        <f t="shared" si="93"/>
        <v>701.12390399999992</v>
      </c>
      <c r="E437" s="73">
        <v>0</v>
      </c>
      <c r="F437" s="73">
        <f t="shared" si="94"/>
        <v>876.40487999999993</v>
      </c>
    </row>
    <row r="438" spans="1:8" x14ac:dyDescent="0.3">
      <c r="A438" s="64">
        <v>11</v>
      </c>
      <c r="B438" s="73" t="s">
        <v>266</v>
      </c>
      <c r="C438" s="73">
        <f>(36.9+0.75*(2.9+2.45+2.75))*10.764</f>
        <v>462.58289999999994</v>
      </c>
      <c r="D438" s="73">
        <f t="shared" si="93"/>
        <v>555.09947999999986</v>
      </c>
      <c r="E438" s="73">
        <v>0</v>
      </c>
      <c r="F438" s="73">
        <f t="shared" si="94"/>
        <v>693.87434999999994</v>
      </c>
    </row>
    <row r="439" spans="1:8" x14ac:dyDescent="0.3">
      <c r="A439" s="112" t="s">
        <v>335</v>
      </c>
      <c r="B439" s="112"/>
      <c r="C439" s="112"/>
      <c r="D439" s="112"/>
      <c r="E439" s="112"/>
      <c r="F439" s="112"/>
      <c r="H439" s="62">
        <v>10.763999999999999</v>
      </c>
    </row>
    <row r="440" spans="1:8" x14ac:dyDescent="0.3">
      <c r="A440" s="64" t="s">
        <v>379</v>
      </c>
      <c r="B440" s="73" t="s">
        <v>266</v>
      </c>
      <c r="C440" s="73">
        <f>(31.79+0.75*(2.9+2.45+2.75))*10.764</f>
        <v>407.57885999999991</v>
      </c>
      <c r="D440" s="73">
        <f t="shared" ref="D440:D443" si="95">C440*1.2</f>
        <v>489.09463199999988</v>
      </c>
      <c r="E440" s="73">
        <v>0</v>
      </c>
      <c r="F440" s="73">
        <f t="shared" ref="F440:F443" si="96">C440*(($F$291)+1)+(IF(E440&lt;101,E440,IF(E440&lt;201,E440/2,IF(E440&lt;=301,E440/3,E440/4))))</f>
        <v>611.36828999999989</v>
      </c>
    </row>
    <row r="441" spans="1:8" x14ac:dyDescent="0.3">
      <c r="A441" s="64" t="s">
        <v>380</v>
      </c>
      <c r="B441" s="73" t="s">
        <v>267</v>
      </c>
      <c r="C441" s="73">
        <f>(46.18+0.75*(2.9+2.4+2.75+2.75))*10.764</f>
        <v>584.26991999999996</v>
      </c>
      <c r="D441" s="73">
        <f t="shared" si="95"/>
        <v>701.12390399999992</v>
      </c>
      <c r="E441" s="73">
        <v>0</v>
      </c>
      <c r="F441" s="73">
        <f t="shared" si="96"/>
        <v>876.40487999999993</v>
      </c>
    </row>
    <row r="442" spans="1:8" x14ac:dyDescent="0.3">
      <c r="A442" s="64" t="s">
        <v>381</v>
      </c>
      <c r="B442" s="73" t="s">
        <v>267</v>
      </c>
      <c r="C442" s="73">
        <f>(46.18+0.75*(2.9+2.4+2.75+2.75))*10.764</f>
        <v>584.26991999999996</v>
      </c>
      <c r="D442" s="73">
        <f t="shared" si="95"/>
        <v>701.12390399999992</v>
      </c>
      <c r="E442" s="73">
        <v>0</v>
      </c>
      <c r="F442" s="73">
        <f t="shared" si="96"/>
        <v>876.40487999999993</v>
      </c>
    </row>
    <row r="443" spans="1:8" x14ac:dyDescent="0.3">
      <c r="A443" s="73">
        <v>11</v>
      </c>
      <c r="B443" s="73" t="s">
        <v>266</v>
      </c>
      <c r="C443" s="73">
        <f>(36.9+0.75*(2.9+2.45+2.75))*10.764</f>
        <v>462.58289999999994</v>
      </c>
      <c r="D443" s="73">
        <f t="shared" si="95"/>
        <v>555.09947999999986</v>
      </c>
      <c r="E443" s="73">
        <v>0</v>
      </c>
      <c r="F443" s="73">
        <f t="shared" si="96"/>
        <v>693.87434999999994</v>
      </c>
    </row>
    <row r="444" spans="1:8" x14ac:dyDescent="0.3">
      <c r="A444" s="112" t="s">
        <v>334</v>
      </c>
      <c r="B444" s="112"/>
      <c r="C444" s="112"/>
      <c r="D444" s="112"/>
      <c r="E444" s="112"/>
      <c r="F444" s="112"/>
      <c r="H444" s="62">
        <v>10.763999999999999</v>
      </c>
    </row>
    <row r="445" spans="1:8" x14ac:dyDescent="0.3">
      <c r="A445" s="64" t="s">
        <v>379</v>
      </c>
      <c r="B445" s="73" t="s">
        <v>267</v>
      </c>
      <c r="C445" s="73">
        <f>(40.59+0.75*(2.9+2.45+2.75+2.75))*10.764</f>
        <v>524.50281000000007</v>
      </c>
      <c r="D445" s="73">
        <f t="shared" ref="D445:D448" si="97">C445*1.2</f>
        <v>629.4033720000001</v>
      </c>
      <c r="E445" s="73">
        <v>0</v>
      </c>
      <c r="F445" s="73">
        <f t="shared" ref="F445:F448" si="98">C445*(($F$291)+1)+(IF(E445&lt;101,E445,IF(E445&lt;201,E445/2,IF(E445&lt;=301,E445/3,E445/4))))</f>
        <v>786.75421500000016</v>
      </c>
    </row>
    <row r="446" spans="1:8" x14ac:dyDescent="0.3">
      <c r="A446" s="64" t="s">
        <v>380</v>
      </c>
      <c r="B446" s="73" t="s">
        <v>267</v>
      </c>
      <c r="C446" s="73">
        <f>(46.18+0.75*(2.9+2.4+2.75+2.75))*10.764</f>
        <v>584.26991999999996</v>
      </c>
      <c r="D446" s="73">
        <f t="shared" si="97"/>
        <v>701.12390399999992</v>
      </c>
      <c r="E446" s="73">
        <v>0</v>
      </c>
      <c r="F446" s="73">
        <f t="shared" si="98"/>
        <v>876.40487999999993</v>
      </c>
    </row>
    <row r="447" spans="1:8" x14ac:dyDescent="0.3">
      <c r="A447" s="73">
        <v>10</v>
      </c>
      <c r="B447" s="119" t="s">
        <v>332</v>
      </c>
      <c r="C447" s="119"/>
      <c r="D447" s="119"/>
      <c r="E447" s="119"/>
      <c r="F447" s="119"/>
    </row>
    <row r="448" spans="1:8" x14ac:dyDescent="0.3">
      <c r="A448" s="73">
        <v>11</v>
      </c>
      <c r="B448" s="73" t="s">
        <v>266</v>
      </c>
      <c r="C448" s="73">
        <f>(36.9+0.75*(2.9+2.45+2.75))*10.764</f>
        <v>462.58289999999994</v>
      </c>
      <c r="D448" s="73">
        <f t="shared" si="97"/>
        <v>555.09947999999986</v>
      </c>
      <c r="E448" s="73">
        <v>0</v>
      </c>
      <c r="F448" s="73">
        <f t="shared" si="98"/>
        <v>693.87434999999994</v>
      </c>
    </row>
    <row r="449" spans="1:8" x14ac:dyDescent="0.3">
      <c r="A449" s="112" t="s">
        <v>333</v>
      </c>
      <c r="B449" s="112"/>
      <c r="C449" s="112"/>
      <c r="D449" s="112"/>
      <c r="E449" s="112"/>
      <c r="F449" s="112"/>
      <c r="H449" s="62">
        <v>10.763999999999999</v>
      </c>
    </row>
    <row r="450" spans="1:8" x14ac:dyDescent="0.3">
      <c r="A450" s="64" t="s">
        <v>379</v>
      </c>
      <c r="B450" s="73" t="s">
        <v>267</v>
      </c>
      <c r="C450" s="73">
        <f>(40.59+0.75*(2.9+2.45+2.75+2.75))*10.764</f>
        <v>524.50281000000007</v>
      </c>
      <c r="D450" s="73">
        <f t="shared" ref="D450:D452" si="99">C450*1.2</f>
        <v>629.4033720000001</v>
      </c>
      <c r="E450" s="73">
        <v>0</v>
      </c>
      <c r="F450" s="73">
        <f t="shared" ref="F450:F453" si="100">C450*(($F$291)+1)+(IF(E450&lt;101,E450,IF(E450&lt;201,E450/2,IF(E450&lt;=301,E450/3,E450/4))))</f>
        <v>786.75421500000016</v>
      </c>
    </row>
    <row r="451" spans="1:8" x14ac:dyDescent="0.3">
      <c r="A451" s="64" t="s">
        <v>380</v>
      </c>
      <c r="B451" s="73" t="s">
        <v>267</v>
      </c>
      <c r="C451" s="73">
        <f>(46.18+0.75*(2.9+2.4+2.75+2.75))*10.764</f>
        <v>584.26991999999996</v>
      </c>
      <c r="D451" s="73">
        <f t="shared" si="99"/>
        <v>701.12390399999992</v>
      </c>
      <c r="E451" s="73">
        <v>0</v>
      </c>
      <c r="F451" s="73">
        <f t="shared" si="100"/>
        <v>876.40487999999993</v>
      </c>
    </row>
    <row r="452" spans="1:8" x14ac:dyDescent="0.3">
      <c r="A452" s="64" t="s">
        <v>381</v>
      </c>
      <c r="B452" s="73" t="s">
        <v>267</v>
      </c>
      <c r="C452" s="73">
        <f>(46.18+0.75*(2.9+2.4+2.75+2.75))*10.764</f>
        <v>584.26991999999996</v>
      </c>
      <c r="D452" s="73">
        <f t="shared" si="99"/>
        <v>701.12390399999992</v>
      </c>
      <c r="E452" s="73">
        <v>0</v>
      </c>
      <c r="F452" s="73">
        <f t="shared" si="100"/>
        <v>876.40487999999993</v>
      </c>
    </row>
    <row r="453" spans="1:8" x14ac:dyDescent="0.3">
      <c r="A453" s="73">
        <v>11</v>
      </c>
      <c r="B453" s="73" t="s">
        <v>266</v>
      </c>
      <c r="C453" s="73">
        <f>(36.9+0.75*(2.9+2.45+2.75))*10.764</f>
        <v>462.58289999999994</v>
      </c>
      <c r="D453" s="73">
        <f t="shared" ref="D453" si="101">C453*1.2</f>
        <v>555.09947999999986</v>
      </c>
      <c r="E453" s="73">
        <v>0</v>
      </c>
      <c r="F453" s="73">
        <f t="shared" si="100"/>
        <v>693.87434999999994</v>
      </c>
    </row>
    <row r="454" spans="1:8" x14ac:dyDescent="0.3">
      <c r="A454" s="112" t="s">
        <v>336</v>
      </c>
      <c r="B454" s="112"/>
      <c r="C454" s="112"/>
      <c r="D454" s="112"/>
      <c r="E454" s="112"/>
      <c r="F454" s="112"/>
      <c r="H454" s="62">
        <v>10.763999999999999</v>
      </c>
    </row>
    <row r="455" spans="1:8" x14ac:dyDescent="0.3">
      <c r="A455" s="64" t="s">
        <v>379</v>
      </c>
      <c r="B455" s="73" t="s">
        <v>267</v>
      </c>
      <c r="C455" s="73">
        <f>(40.59+0.75*(2.9+2.45+2.75+2.75))*10.764</f>
        <v>524.50281000000007</v>
      </c>
      <c r="D455" s="73">
        <f t="shared" ref="D455:D458" si="102">C455*1.2</f>
        <v>629.4033720000001</v>
      </c>
      <c r="E455" s="73">
        <v>0</v>
      </c>
      <c r="F455" s="73">
        <f t="shared" ref="F455:F458" si="103">C455*(($F$291)+1)+(IF(E455&lt;101,E455,IF(E455&lt;201,E455/2,IF(E455&lt;=301,E455/3,E455/4))))</f>
        <v>786.75421500000016</v>
      </c>
    </row>
    <row r="456" spans="1:8" x14ac:dyDescent="0.3">
      <c r="A456" s="64" t="s">
        <v>380</v>
      </c>
      <c r="B456" s="73" t="s">
        <v>267</v>
      </c>
      <c r="C456" s="73">
        <f>(46.18+0.75*(2.9+2.4+2.75+2.75))*10.764</f>
        <v>584.26991999999996</v>
      </c>
      <c r="D456" s="73">
        <f t="shared" si="102"/>
        <v>701.12390399999992</v>
      </c>
      <c r="E456" s="73">
        <v>0</v>
      </c>
      <c r="F456" s="73">
        <f t="shared" si="103"/>
        <v>876.40487999999993</v>
      </c>
    </row>
    <row r="457" spans="1:8" x14ac:dyDescent="0.3">
      <c r="A457" s="64" t="s">
        <v>381</v>
      </c>
      <c r="B457" s="73" t="s">
        <v>267</v>
      </c>
      <c r="C457" s="73">
        <f>(46.18+0.75*(2.9+2.4+2.75+2.75))*10.764</f>
        <v>584.26991999999996</v>
      </c>
      <c r="D457" s="73">
        <f t="shared" si="102"/>
        <v>701.12390399999992</v>
      </c>
      <c r="E457" s="73">
        <v>0</v>
      </c>
      <c r="F457" s="73">
        <f t="shared" si="103"/>
        <v>876.40487999999993</v>
      </c>
    </row>
    <row r="458" spans="1:8" x14ac:dyDescent="0.3">
      <c r="A458" s="73">
        <v>11</v>
      </c>
      <c r="B458" s="73" t="s">
        <v>266</v>
      </c>
      <c r="C458" s="73">
        <f>(36.9+0.75*(2.9+2.45+2.75))*10.764</f>
        <v>462.58289999999994</v>
      </c>
      <c r="D458" s="73">
        <f t="shared" si="102"/>
        <v>555.09947999999986</v>
      </c>
      <c r="E458" s="73">
        <v>0</v>
      </c>
      <c r="F458" s="73">
        <f t="shared" si="103"/>
        <v>693.87434999999994</v>
      </c>
    </row>
    <row r="459" spans="1:8" x14ac:dyDescent="0.3">
      <c r="A459" s="112" t="s">
        <v>337</v>
      </c>
      <c r="B459" s="112"/>
      <c r="C459" s="112"/>
      <c r="D459" s="112"/>
      <c r="E459" s="112"/>
      <c r="F459" s="112"/>
      <c r="H459" s="62">
        <v>10.763999999999999</v>
      </c>
    </row>
    <row r="460" spans="1:8" x14ac:dyDescent="0.3">
      <c r="A460" s="64" t="s">
        <v>379</v>
      </c>
      <c r="B460" s="73" t="s">
        <v>267</v>
      </c>
      <c r="C460" s="73">
        <f>(40.59+0.75*(2.9+2.45+2.75+2.75))*10.764</f>
        <v>524.50281000000007</v>
      </c>
      <c r="D460" s="73">
        <f t="shared" ref="D460:D463" si="104">C460*1.2</f>
        <v>629.4033720000001</v>
      </c>
      <c r="E460" s="73">
        <v>0</v>
      </c>
      <c r="F460" s="73">
        <f t="shared" ref="F460:F463" si="105">C460*(($F$291)+1)+(IF(E460&lt;101,E460,IF(E460&lt;201,E460/2,IF(E460&lt;=301,E460/3,E460/4))))</f>
        <v>786.75421500000016</v>
      </c>
    </row>
    <row r="461" spans="1:8" x14ac:dyDescent="0.3">
      <c r="A461" s="64" t="s">
        <v>380</v>
      </c>
      <c r="B461" s="73" t="s">
        <v>267</v>
      </c>
      <c r="C461" s="73">
        <f>(46.18+0.75*(2.9+2.4+2.75+2.75))*10.764</f>
        <v>584.26991999999996</v>
      </c>
      <c r="D461" s="73">
        <f t="shared" si="104"/>
        <v>701.12390399999992</v>
      </c>
      <c r="E461" s="73">
        <v>0</v>
      </c>
      <c r="F461" s="73">
        <f t="shared" si="105"/>
        <v>876.40487999999993</v>
      </c>
    </row>
    <row r="462" spans="1:8" x14ac:dyDescent="0.3">
      <c r="A462" s="64" t="s">
        <v>381</v>
      </c>
      <c r="B462" s="73" t="s">
        <v>267</v>
      </c>
      <c r="C462" s="73">
        <f>(53.64+0.75*(2.9+2.4+2.75+2.75))*10.764</f>
        <v>664.56935999999996</v>
      </c>
      <c r="D462" s="73">
        <f t="shared" si="104"/>
        <v>797.48323199999993</v>
      </c>
      <c r="E462" s="73">
        <v>0</v>
      </c>
      <c r="F462" s="73">
        <f t="shared" si="105"/>
        <v>996.85403999999994</v>
      </c>
    </row>
    <row r="463" spans="1:8" x14ac:dyDescent="0.3">
      <c r="A463" s="73">
        <v>11</v>
      </c>
      <c r="B463" s="73" t="s">
        <v>266</v>
      </c>
      <c r="C463" s="73">
        <f>(36.9+0.75*(2.9+2.45+2.75))*10.764</f>
        <v>462.58289999999994</v>
      </c>
      <c r="D463" s="73">
        <f t="shared" si="104"/>
        <v>555.09947999999986</v>
      </c>
      <c r="E463" s="73">
        <v>0</v>
      </c>
      <c r="F463" s="73">
        <f t="shared" si="105"/>
        <v>693.87434999999994</v>
      </c>
    </row>
    <row r="464" spans="1:8" x14ac:dyDescent="0.3">
      <c r="A464" s="112" t="s">
        <v>338</v>
      </c>
      <c r="B464" s="112"/>
      <c r="C464" s="112"/>
      <c r="D464" s="112"/>
      <c r="E464" s="112"/>
      <c r="F464" s="112"/>
      <c r="H464" s="62">
        <v>10.763999999999999</v>
      </c>
    </row>
    <row r="465" spans="1:8" x14ac:dyDescent="0.3">
      <c r="A465" s="64" t="s">
        <v>379</v>
      </c>
      <c r="B465" s="73" t="s">
        <v>267</v>
      </c>
      <c r="C465" s="73">
        <f>(40.59+0.75*(2.9+2.45+2.75+2.75))*10.764</f>
        <v>524.50281000000007</v>
      </c>
      <c r="D465" s="73">
        <f t="shared" ref="D465:D468" si="106">C465*1.2</f>
        <v>629.4033720000001</v>
      </c>
      <c r="E465" s="73">
        <v>0</v>
      </c>
      <c r="F465" s="73">
        <f t="shared" ref="F465:F468" si="107">C465*(($F$291)+1)+(IF(E465&lt;101,E465,IF(E465&lt;201,E465/2,IF(E465&lt;=301,E465/3,E465/4))))</f>
        <v>786.75421500000016</v>
      </c>
    </row>
    <row r="466" spans="1:8" x14ac:dyDescent="0.3">
      <c r="A466" s="64" t="s">
        <v>380</v>
      </c>
      <c r="B466" s="73" t="s">
        <v>267</v>
      </c>
      <c r="C466" s="73">
        <f>(46.18+0.75*(2.9+2.4+2.75+2.75))*10.764</f>
        <v>584.26991999999996</v>
      </c>
      <c r="D466" s="73">
        <f t="shared" si="106"/>
        <v>701.12390399999992</v>
      </c>
      <c r="E466" s="73">
        <v>0</v>
      </c>
      <c r="F466" s="73">
        <f t="shared" si="107"/>
        <v>876.40487999999993</v>
      </c>
    </row>
    <row r="467" spans="1:8" x14ac:dyDescent="0.3">
      <c r="A467" s="73">
        <v>10</v>
      </c>
      <c r="B467" s="73" t="s">
        <v>267</v>
      </c>
      <c r="C467" s="73">
        <f>(53.64+0.75*(2.9+2.4+2.75+2.75))*10.764</f>
        <v>664.56935999999996</v>
      </c>
      <c r="D467" s="73">
        <f t="shared" si="106"/>
        <v>797.48323199999993</v>
      </c>
      <c r="E467" s="73">
        <v>0</v>
      </c>
      <c r="F467" s="73">
        <f t="shared" si="107"/>
        <v>996.85403999999994</v>
      </c>
    </row>
    <row r="468" spans="1:8" x14ac:dyDescent="0.3">
      <c r="A468" s="73">
        <v>11</v>
      </c>
      <c r="B468" s="73" t="s">
        <v>266</v>
      </c>
      <c r="C468" s="73">
        <f>(36.9+0.75*(2.9+2.45+2.75))*10.764</f>
        <v>462.58289999999994</v>
      </c>
      <c r="D468" s="73">
        <f t="shared" si="106"/>
        <v>555.09947999999986</v>
      </c>
      <c r="E468" s="73">
        <v>0</v>
      </c>
      <c r="F468" s="73">
        <f t="shared" si="107"/>
        <v>693.87434999999994</v>
      </c>
    </row>
    <row r="469" spans="1:8" x14ac:dyDescent="0.3">
      <c r="A469" s="112" t="s">
        <v>339</v>
      </c>
      <c r="B469" s="112"/>
      <c r="C469" s="112"/>
      <c r="D469" s="112"/>
      <c r="E469" s="112"/>
      <c r="F469" s="112"/>
      <c r="H469" s="62">
        <v>10.763999999999999</v>
      </c>
    </row>
    <row r="470" spans="1:8" x14ac:dyDescent="0.3">
      <c r="A470" s="64" t="s">
        <v>379</v>
      </c>
      <c r="B470" s="73" t="s">
        <v>267</v>
      </c>
      <c r="C470" s="73">
        <f>(41.83+0.75*(2.9+2.45+2.75+2.75))*10.764</f>
        <v>537.85016999999993</v>
      </c>
      <c r="D470" s="73">
        <f t="shared" ref="D470:D473" si="108">C470*1.2</f>
        <v>645.4202039999999</v>
      </c>
      <c r="E470" s="73">
        <v>0</v>
      </c>
      <c r="F470" s="73">
        <f t="shared" ref="F470:F473" si="109">C470*(($F$291)+1)+(IF(E470&lt;101,E470,IF(E470&lt;201,E470/2,IF(E470&lt;=301,E470/3,E470/4))))</f>
        <v>806.7752549999999</v>
      </c>
    </row>
    <row r="471" spans="1:8" x14ac:dyDescent="0.3">
      <c r="A471" s="73">
        <v>9</v>
      </c>
      <c r="B471" s="73" t="s">
        <v>267</v>
      </c>
      <c r="C471" s="73">
        <f>(48.92+0.75*(2.9+2.4+2.75+2.75))*10.764</f>
        <v>613.76328000000001</v>
      </c>
      <c r="D471" s="73">
        <f t="shared" si="108"/>
        <v>736.51593600000001</v>
      </c>
      <c r="E471" s="73">
        <v>0</v>
      </c>
      <c r="F471" s="73">
        <f t="shared" si="109"/>
        <v>920.64491999999996</v>
      </c>
    </row>
    <row r="472" spans="1:8" x14ac:dyDescent="0.3">
      <c r="A472" s="73">
        <v>10</v>
      </c>
      <c r="B472" s="119" t="s">
        <v>340</v>
      </c>
      <c r="C472" s="119"/>
      <c r="D472" s="119"/>
      <c r="E472" s="119"/>
      <c r="F472" s="119"/>
    </row>
    <row r="473" spans="1:8" x14ac:dyDescent="0.3">
      <c r="A473" s="73">
        <v>11</v>
      </c>
      <c r="B473" s="73" t="s">
        <v>266</v>
      </c>
      <c r="C473" s="73">
        <f>(36.9+0.75*(2.9+2.45+2.75))*10.764</f>
        <v>462.58289999999994</v>
      </c>
      <c r="D473" s="73">
        <f t="shared" si="108"/>
        <v>555.09947999999986</v>
      </c>
      <c r="E473" s="73">
        <v>0</v>
      </c>
      <c r="F473" s="73">
        <f t="shared" si="109"/>
        <v>693.87434999999994</v>
      </c>
    </row>
    <row r="474" spans="1:8" x14ac:dyDescent="0.3">
      <c r="A474" s="112" t="s">
        <v>341</v>
      </c>
      <c r="B474" s="112"/>
      <c r="C474" s="112"/>
      <c r="D474" s="112"/>
      <c r="E474" s="112"/>
      <c r="F474" s="112"/>
      <c r="H474" s="62">
        <v>10.763999999999999</v>
      </c>
    </row>
    <row r="475" spans="1:8" x14ac:dyDescent="0.3">
      <c r="A475" s="64" t="s">
        <v>379</v>
      </c>
      <c r="B475" s="73" t="s">
        <v>267</v>
      </c>
      <c r="C475" s="73">
        <f>(41.83+0.75*(2.9+2.45+2.75+2.75))*10.764</f>
        <v>537.85016999999993</v>
      </c>
      <c r="D475" s="73">
        <f t="shared" ref="D475:D478" si="110">C475*1.2</f>
        <v>645.4202039999999</v>
      </c>
      <c r="E475" s="73">
        <v>0</v>
      </c>
      <c r="F475" s="73">
        <f t="shared" ref="F475:F478" si="111">C475*(($F$291)+1)+(IF(E475&lt;101,E475,IF(E475&lt;201,E475/2,IF(E475&lt;=301,E475/3,E475/4))))</f>
        <v>806.7752549999999</v>
      </c>
    </row>
    <row r="476" spans="1:8" x14ac:dyDescent="0.3">
      <c r="A476" s="73">
        <v>9</v>
      </c>
      <c r="B476" s="73" t="s">
        <v>267</v>
      </c>
      <c r="C476" s="73">
        <f>(48.19+0.75*(2.9+2.4+2.75+2.75))*10.764</f>
        <v>605.90555999999992</v>
      </c>
      <c r="D476" s="73">
        <f t="shared" si="110"/>
        <v>727.08667199999991</v>
      </c>
      <c r="E476" s="73">
        <v>0</v>
      </c>
      <c r="F476" s="73">
        <f t="shared" si="111"/>
        <v>908.85833999999988</v>
      </c>
    </row>
    <row r="477" spans="1:8" x14ac:dyDescent="0.3">
      <c r="A477" s="73">
        <v>10</v>
      </c>
      <c r="B477" s="73" t="s">
        <v>267</v>
      </c>
      <c r="C477" s="73">
        <f>(53.53+0.75*(2.9+2.4+2.75+2.75))*10.764</f>
        <v>663.38531999999998</v>
      </c>
      <c r="D477" s="73">
        <f t="shared" si="110"/>
        <v>796.06238399999995</v>
      </c>
      <c r="E477" s="73">
        <v>0</v>
      </c>
      <c r="F477" s="73">
        <f t="shared" si="111"/>
        <v>995.07798000000003</v>
      </c>
    </row>
    <row r="478" spans="1:8" x14ac:dyDescent="0.3">
      <c r="A478" s="73">
        <v>11</v>
      </c>
      <c r="B478" s="73" t="s">
        <v>266</v>
      </c>
      <c r="C478" s="73">
        <f>(36.9+0.75*(2.9+2.45+2.75))*10.764</f>
        <v>462.58289999999994</v>
      </c>
      <c r="D478" s="73">
        <f t="shared" si="110"/>
        <v>555.09947999999986</v>
      </c>
      <c r="E478" s="73">
        <v>0</v>
      </c>
      <c r="F478" s="73">
        <f t="shared" si="111"/>
        <v>693.87434999999994</v>
      </c>
    </row>
    <row r="479" spans="1:8" x14ac:dyDescent="0.3">
      <c r="A479" s="112" t="s">
        <v>342</v>
      </c>
      <c r="B479" s="112"/>
      <c r="C479" s="112"/>
      <c r="D479" s="112"/>
      <c r="E479" s="112"/>
      <c r="F479" s="112"/>
      <c r="H479" s="62">
        <v>10.763999999999999</v>
      </c>
    </row>
    <row r="480" spans="1:8" x14ac:dyDescent="0.3">
      <c r="A480" s="64" t="s">
        <v>379</v>
      </c>
      <c r="B480" s="73" t="s">
        <v>267</v>
      </c>
      <c r="C480" s="73">
        <f>(41.83+0.75*(2.9+2.45+2.75+2.75))*10.764</f>
        <v>537.85016999999993</v>
      </c>
      <c r="D480" s="73">
        <f t="shared" ref="D480:D483" si="112">C480*1.2</f>
        <v>645.4202039999999</v>
      </c>
      <c r="E480" s="73">
        <v>0</v>
      </c>
      <c r="F480" s="73">
        <f t="shared" ref="F480:F483" si="113">C480*(($F$291)+1)+(IF(E480&lt;101,E480,IF(E480&lt;201,E480/2,IF(E480&lt;=301,E480/3,E480/4))))</f>
        <v>806.7752549999999</v>
      </c>
    </row>
    <row r="481" spans="1:8" x14ac:dyDescent="0.3">
      <c r="A481" s="73">
        <v>9</v>
      </c>
      <c r="B481" s="73" t="s">
        <v>267</v>
      </c>
      <c r="C481" s="73">
        <f>(48.19+0.75*(2.9+2.4+2.75+2.75))*10.764</f>
        <v>605.90555999999992</v>
      </c>
      <c r="D481" s="73">
        <f t="shared" si="112"/>
        <v>727.08667199999991</v>
      </c>
      <c r="E481" s="73">
        <v>0</v>
      </c>
      <c r="F481" s="73">
        <f t="shared" si="113"/>
        <v>908.85833999999988</v>
      </c>
    </row>
    <row r="482" spans="1:8" x14ac:dyDescent="0.3">
      <c r="A482" s="73">
        <v>10</v>
      </c>
      <c r="B482" s="73" t="s">
        <v>267</v>
      </c>
      <c r="C482" s="73">
        <f>(53.53+0.75*(2.9+2.4+2.75+2.75))*10.764</f>
        <v>663.38531999999998</v>
      </c>
      <c r="D482" s="73">
        <f t="shared" si="112"/>
        <v>796.06238399999995</v>
      </c>
      <c r="E482" s="73">
        <v>0</v>
      </c>
      <c r="F482" s="73">
        <f t="shared" si="113"/>
        <v>995.07798000000003</v>
      </c>
    </row>
    <row r="483" spans="1:8" x14ac:dyDescent="0.3">
      <c r="A483" s="73">
        <v>11</v>
      </c>
      <c r="B483" s="73" t="s">
        <v>266</v>
      </c>
      <c r="C483" s="73">
        <f>(36.9+0.75*(2.9+2.45+2.75))*10.764</f>
        <v>462.58289999999994</v>
      </c>
      <c r="D483" s="73">
        <f t="shared" si="112"/>
        <v>555.09947999999986</v>
      </c>
      <c r="E483" s="73">
        <v>0</v>
      </c>
      <c r="F483" s="73">
        <f t="shared" si="113"/>
        <v>693.87434999999994</v>
      </c>
    </row>
    <row r="484" spans="1:8" x14ac:dyDescent="0.3">
      <c r="A484" s="112" t="s">
        <v>343</v>
      </c>
      <c r="B484" s="112"/>
      <c r="C484" s="112"/>
      <c r="D484" s="112"/>
      <c r="E484" s="112"/>
      <c r="F484" s="112"/>
      <c r="H484" s="62">
        <v>10.763999999999999</v>
      </c>
    </row>
    <row r="485" spans="1:8" x14ac:dyDescent="0.3">
      <c r="A485" s="73">
        <v>8</v>
      </c>
      <c r="B485" s="73" t="s">
        <v>266</v>
      </c>
      <c r="C485" s="73">
        <f>(36.6+0.75*(2.9+2.45+2.75))*10.764</f>
        <v>459.35369999999995</v>
      </c>
      <c r="D485" s="73">
        <f t="shared" ref="D485:D488" si="114">C485*1.2</f>
        <v>551.22443999999996</v>
      </c>
      <c r="E485" s="73">
        <f>(2.75*3.2)*10.764</f>
        <v>94.723200000000006</v>
      </c>
      <c r="F485" s="73">
        <f t="shared" ref="F485:F488" si="115">C485*(($F$291)+1)+(IF(E485&lt;101,E485,IF(E485&lt;201,E485/2,IF(E485&lt;=301,E485/3,E485/4))))</f>
        <v>783.75374999999997</v>
      </c>
    </row>
    <row r="486" spans="1:8" x14ac:dyDescent="0.3">
      <c r="A486" s="73">
        <v>9</v>
      </c>
      <c r="B486" s="73" t="s">
        <v>267</v>
      </c>
      <c r="C486" s="73">
        <f>(48.19+0.75*(2.9+2.4+2.75+2.75))*10.764</f>
        <v>605.90555999999992</v>
      </c>
      <c r="D486" s="73">
        <f t="shared" si="114"/>
        <v>727.08667199999991</v>
      </c>
      <c r="E486" s="73">
        <v>0</v>
      </c>
      <c r="F486" s="73">
        <f t="shared" si="115"/>
        <v>908.85833999999988</v>
      </c>
    </row>
    <row r="487" spans="1:8" x14ac:dyDescent="0.3">
      <c r="A487" s="73">
        <v>10</v>
      </c>
      <c r="B487" s="73" t="s">
        <v>267</v>
      </c>
      <c r="C487" s="73">
        <f>(53.53+0.75*(2.9+2.4+2.75+2.75))*10.764</f>
        <v>663.38531999999998</v>
      </c>
      <c r="D487" s="73">
        <f t="shared" si="114"/>
        <v>796.06238399999995</v>
      </c>
      <c r="E487" s="73">
        <v>0</v>
      </c>
      <c r="F487" s="73">
        <f t="shared" si="115"/>
        <v>995.07798000000003</v>
      </c>
    </row>
    <row r="488" spans="1:8" x14ac:dyDescent="0.3">
      <c r="A488" s="73">
        <v>11</v>
      </c>
      <c r="B488" s="73" t="s">
        <v>266</v>
      </c>
      <c r="C488" s="73">
        <f>(36.9+0.75*(2.9+2.45+2.75))*10.764</f>
        <v>462.58289999999994</v>
      </c>
      <c r="D488" s="73">
        <f t="shared" si="114"/>
        <v>555.09947999999986</v>
      </c>
      <c r="E488" s="73">
        <v>0</v>
      </c>
      <c r="F488" s="73">
        <f t="shared" si="115"/>
        <v>693.87434999999994</v>
      </c>
    </row>
    <row r="489" spans="1:8" x14ac:dyDescent="0.3">
      <c r="A489" s="112" t="s">
        <v>344</v>
      </c>
      <c r="B489" s="112"/>
      <c r="C489" s="112"/>
      <c r="D489" s="112"/>
      <c r="E489" s="112"/>
      <c r="F489" s="112"/>
      <c r="H489" s="62">
        <v>10.763999999999999</v>
      </c>
    </row>
    <row r="490" spans="1:8" x14ac:dyDescent="0.3">
      <c r="A490" s="73">
        <v>8</v>
      </c>
      <c r="B490" s="73" t="s">
        <v>266</v>
      </c>
      <c r="C490" s="73">
        <f>(36.6+0.75*(2.9+2.45+2.75))*10.764</f>
        <v>459.35369999999995</v>
      </c>
      <c r="D490" s="73">
        <f t="shared" ref="D490:D493" si="116">C490*1.2</f>
        <v>551.22443999999996</v>
      </c>
      <c r="E490" s="73">
        <v>0</v>
      </c>
      <c r="F490" s="73">
        <f t="shared" ref="F490:F493" si="117">C490*(($F$291)+1)+(IF(E490&lt;101,E490,IF(E490&lt;201,E490/2,IF(E490&lt;=301,E490/3,E490/4))))</f>
        <v>689.03054999999995</v>
      </c>
    </row>
    <row r="491" spans="1:8" x14ac:dyDescent="0.3">
      <c r="A491" s="73">
        <v>9</v>
      </c>
      <c r="B491" s="73" t="s">
        <v>267</v>
      </c>
      <c r="C491" s="73">
        <f>(48.91+0.75*(2.9+2.4+2.75+2.75))*10.764</f>
        <v>613.65563999999995</v>
      </c>
      <c r="D491" s="73">
        <f t="shared" si="116"/>
        <v>736.38676799999996</v>
      </c>
      <c r="E491" s="73">
        <v>0</v>
      </c>
      <c r="F491" s="73">
        <f t="shared" si="117"/>
        <v>920.48345999999992</v>
      </c>
    </row>
    <row r="492" spans="1:8" x14ac:dyDescent="0.3">
      <c r="A492" s="73">
        <v>10</v>
      </c>
      <c r="B492" s="73" t="s">
        <v>267</v>
      </c>
      <c r="C492" s="73">
        <f>(53.53+0.75*(2.9+2.4+2.75+2.75))*10.764</f>
        <v>663.38531999999998</v>
      </c>
      <c r="D492" s="73">
        <f t="shared" si="116"/>
        <v>796.06238399999995</v>
      </c>
      <c r="E492" s="73">
        <v>0</v>
      </c>
      <c r="F492" s="73">
        <f t="shared" si="117"/>
        <v>995.07798000000003</v>
      </c>
    </row>
    <row r="493" spans="1:8" x14ac:dyDescent="0.3">
      <c r="A493" s="73">
        <v>11</v>
      </c>
      <c r="B493" s="73" t="s">
        <v>266</v>
      </c>
      <c r="C493" s="73">
        <f>(36.9+0.75*(2.9+2.45+2.75))*10.764</f>
        <v>462.58289999999994</v>
      </c>
      <c r="D493" s="73">
        <f t="shared" si="116"/>
        <v>555.09947999999986</v>
      </c>
      <c r="E493" s="73">
        <v>0</v>
      </c>
      <c r="F493" s="73">
        <f t="shared" si="117"/>
        <v>693.87434999999994</v>
      </c>
    </row>
    <row r="494" spans="1:8" x14ac:dyDescent="0.3">
      <c r="A494" s="112" t="s">
        <v>345</v>
      </c>
      <c r="B494" s="112"/>
      <c r="C494" s="112"/>
      <c r="D494" s="112"/>
      <c r="E494" s="112"/>
      <c r="F494" s="112"/>
      <c r="H494" s="62">
        <v>10.763999999999999</v>
      </c>
    </row>
    <row r="495" spans="1:8" x14ac:dyDescent="0.3">
      <c r="A495" s="73">
        <v>8</v>
      </c>
      <c r="B495" s="73" t="s">
        <v>266</v>
      </c>
      <c r="C495" s="73">
        <f>(36.6+0.75*(2.9+2.45+2.75))*10.764</f>
        <v>459.35369999999995</v>
      </c>
      <c r="D495" s="73">
        <f t="shared" ref="D495:D498" si="118">C495*1.2</f>
        <v>551.22443999999996</v>
      </c>
      <c r="E495" s="73">
        <v>0</v>
      </c>
      <c r="F495" s="73">
        <f t="shared" ref="F495:F498" si="119">C495*(($F$291)+1)+(IF(E495&lt;101,E495,IF(E495&lt;201,E495/2,IF(E495&lt;=301,E495/3,E495/4))))</f>
        <v>689.03054999999995</v>
      </c>
    </row>
    <row r="496" spans="1:8" x14ac:dyDescent="0.3">
      <c r="A496" s="73">
        <v>9</v>
      </c>
      <c r="B496" s="73" t="s">
        <v>267</v>
      </c>
      <c r="C496" s="73">
        <f>(48.91+0.75*(2.9+2.4+2.75+2.75))*10.764</f>
        <v>613.65563999999995</v>
      </c>
      <c r="D496" s="73">
        <f t="shared" si="118"/>
        <v>736.38676799999996</v>
      </c>
      <c r="E496" s="73">
        <v>0</v>
      </c>
      <c r="F496" s="73">
        <f t="shared" si="119"/>
        <v>920.48345999999992</v>
      </c>
    </row>
    <row r="497" spans="1:12" x14ac:dyDescent="0.3">
      <c r="A497" s="73">
        <v>10</v>
      </c>
      <c r="B497" s="119" t="s">
        <v>332</v>
      </c>
      <c r="C497" s="119"/>
      <c r="D497" s="119"/>
      <c r="E497" s="119"/>
      <c r="F497" s="119"/>
    </row>
    <row r="498" spans="1:12" x14ac:dyDescent="0.3">
      <c r="A498" s="73">
        <v>11</v>
      </c>
      <c r="B498" s="73" t="s">
        <v>266</v>
      </c>
      <c r="C498" s="73">
        <f>(36.92+0.75*(2.9+2.45+2.75))*10.764</f>
        <v>462.79818</v>
      </c>
      <c r="D498" s="73">
        <f t="shared" si="118"/>
        <v>555.35781599999996</v>
      </c>
      <c r="E498" s="73">
        <v>0</v>
      </c>
      <c r="F498" s="73">
        <f t="shared" si="119"/>
        <v>694.19727</v>
      </c>
    </row>
    <row r="499" spans="1:12" x14ac:dyDescent="0.3">
      <c r="A499" s="112" t="s">
        <v>346</v>
      </c>
      <c r="B499" s="112"/>
      <c r="C499" s="112"/>
      <c r="D499" s="112"/>
      <c r="E499" s="112"/>
      <c r="F499" s="112"/>
      <c r="H499" s="62">
        <v>10.763999999999999</v>
      </c>
    </row>
    <row r="500" spans="1:12" x14ac:dyDescent="0.3">
      <c r="A500" s="73">
        <v>8</v>
      </c>
      <c r="B500" s="73" t="s">
        <v>266</v>
      </c>
      <c r="C500" s="73">
        <f>(36.6+0.75*(2.9+2.45+2.75))*10.764</f>
        <v>459.35369999999995</v>
      </c>
      <c r="D500" s="73">
        <f t="shared" ref="D500:D502" si="120">C500*1.2</f>
        <v>551.22443999999996</v>
      </c>
      <c r="E500" s="73">
        <v>0</v>
      </c>
      <c r="F500" s="73">
        <f t="shared" ref="F500:F502" si="121">C500*(($F$291)+1)+(IF(E500&lt;101,E500,IF(E500&lt;201,E500/2,IF(E500&lt;=301,E500/3,E500/4))))</f>
        <v>689.03054999999995</v>
      </c>
    </row>
    <row r="501" spans="1:12" x14ac:dyDescent="0.3">
      <c r="A501" s="73">
        <v>9</v>
      </c>
      <c r="B501" s="73" t="s">
        <v>267</v>
      </c>
      <c r="C501" s="73">
        <f>(48.91+0.75*(2.9+2.4+2.75+2.75))*10.764</f>
        <v>613.65563999999995</v>
      </c>
      <c r="D501" s="73">
        <f t="shared" si="120"/>
        <v>736.38676799999996</v>
      </c>
      <c r="E501" s="73">
        <v>0</v>
      </c>
      <c r="F501" s="73">
        <f t="shared" si="121"/>
        <v>920.48345999999992</v>
      </c>
    </row>
    <row r="502" spans="1:12" x14ac:dyDescent="0.3">
      <c r="A502" s="73">
        <v>10</v>
      </c>
      <c r="B502" s="73" t="s">
        <v>267</v>
      </c>
      <c r="C502" s="73">
        <f>(53.53+0.75*(2.9+2.4+2.75+2.75))*10.764</f>
        <v>663.38531999999998</v>
      </c>
      <c r="D502" s="73">
        <f t="shared" si="120"/>
        <v>796.06238399999995</v>
      </c>
      <c r="E502" s="73">
        <f>36.9*10.764</f>
        <v>397.19159999999994</v>
      </c>
      <c r="F502" s="73">
        <f t="shared" si="121"/>
        <v>1094.3758800000001</v>
      </c>
    </row>
    <row r="503" spans="1:12" x14ac:dyDescent="0.3">
      <c r="A503" s="181" t="s">
        <v>66</v>
      </c>
      <c r="B503" s="181"/>
      <c r="C503" s="181"/>
      <c r="D503" s="181"/>
      <c r="E503" s="181"/>
      <c r="F503" s="181"/>
    </row>
    <row r="504" spans="1:12" s="1" customFormat="1" ht="32.25" customHeight="1" x14ac:dyDescent="0.25">
      <c r="A504" s="88" t="s">
        <v>223</v>
      </c>
      <c r="B504" s="143" t="s">
        <v>224</v>
      </c>
      <c r="C504" s="143"/>
      <c r="D504" s="88" t="s">
        <v>225</v>
      </c>
      <c r="E504" s="143" t="s">
        <v>226</v>
      </c>
      <c r="F504" s="143"/>
      <c r="G504" s="51"/>
      <c r="H504" s="144"/>
      <c r="I504" s="144"/>
      <c r="J504" s="51"/>
      <c r="K504" s="144"/>
      <c r="L504" s="144"/>
    </row>
    <row r="505" spans="1:12" s="1" customFormat="1" ht="13.2" x14ac:dyDescent="0.25">
      <c r="A505" s="88">
        <v>1</v>
      </c>
      <c r="B505" s="143" t="s">
        <v>328</v>
      </c>
      <c r="C505" s="143"/>
      <c r="D505" s="88">
        <v>6400</v>
      </c>
      <c r="E505" s="143" t="s">
        <v>286</v>
      </c>
      <c r="F505" s="143"/>
    </row>
    <row r="506" spans="1:12" s="1" customFormat="1" ht="13.2" hidden="1" x14ac:dyDescent="0.25">
      <c r="A506" s="88">
        <v>2</v>
      </c>
      <c r="B506" s="143"/>
      <c r="C506" s="143"/>
      <c r="D506" s="88"/>
      <c r="E506" s="143"/>
      <c r="F506" s="143"/>
    </row>
    <row r="507" spans="1:12" s="1" customFormat="1" ht="13.2" hidden="1" x14ac:dyDescent="0.25">
      <c r="A507" s="88">
        <v>3</v>
      </c>
      <c r="B507" s="143"/>
      <c r="C507" s="143"/>
      <c r="D507" s="88"/>
      <c r="E507" s="143"/>
      <c r="F507" s="143"/>
    </row>
    <row r="508" spans="1:12" s="1" customFormat="1" ht="13.2" hidden="1" x14ac:dyDescent="0.25">
      <c r="A508" s="88">
        <v>4</v>
      </c>
      <c r="B508" s="143"/>
      <c r="C508" s="143"/>
      <c r="D508" s="88"/>
      <c r="E508" s="143"/>
      <c r="F508" s="143"/>
    </row>
    <row r="509" spans="1:12" s="1" customFormat="1" ht="13.2" hidden="1" x14ac:dyDescent="0.25">
      <c r="A509" s="88">
        <v>5</v>
      </c>
      <c r="B509" s="143"/>
      <c r="C509" s="143"/>
      <c r="D509" s="88"/>
      <c r="E509" s="143"/>
      <c r="F509" s="143"/>
    </row>
    <row r="510" spans="1:12" s="1" customFormat="1" ht="13.2" hidden="1" x14ac:dyDescent="0.25">
      <c r="A510" s="88">
        <v>6</v>
      </c>
      <c r="B510" s="143"/>
      <c r="C510" s="143"/>
      <c r="D510" s="88"/>
      <c r="E510" s="143"/>
      <c r="F510" s="143"/>
    </row>
    <row r="511" spans="1:12" s="1" customFormat="1" ht="60" customHeight="1" x14ac:dyDescent="0.25">
      <c r="A511" s="88" t="s">
        <v>227</v>
      </c>
      <c r="B511" s="88" t="s">
        <v>228</v>
      </c>
      <c r="C511" s="88" t="s">
        <v>229</v>
      </c>
      <c r="D511" s="88" t="s">
        <v>230</v>
      </c>
      <c r="E511" s="88" t="s">
        <v>231</v>
      </c>
      <c r="F511" s="88" t="s">
        <v>232</v>
      </c>
      <c r="G511" s="61" t="str">
        <f t="shared" ref="G511" si="122">PROPER(A511)</f>
        <v>Floor Rise
(If Applicable)</v>
      </c>
      <c r="H511" s="50" t="str">
        <f t="shared" ref="H511" si="123">PROPER(B511)</f>
        <v>In Rs. Psf
(If Applicable)</v>
      </c>
      <c r="I511" s="50" t="str">
        <f t="shared" ref="I511" si="124">PROPER(C511)</f>
        <v>In Lumpsum Basis
(If Applicable)</v>
      </c>
      <c r="J511" s="50" t="str">
        <f t="shared" ref="J511" si="125">PROPER(D511)</f>
        <v>Applicable From Floor No.</v>
      </c>
      <c r="K511" s="50" t="str">
        <f t="shared" ref="K511" si="126">PROPER(E511)</f>
        <v>Applicable To Floor No.</v>
      </c>
      <c r="L511" s="50" t="str">
        <f t="shared" ref="L511" si="127">PROPER(F511)</f>
        <v>Applicable To Building /W Ing</v>
      </c>
    </row>
    <row r="512" spans="1:12" s="1" customFormat="1" ht="13.2" x14ac:dyDescent="0.25">
      <c r="A512" s="88" t="s">
        <v>233</v>
      </c>
      <c r="B512" s="88" t="s">
        <v>259</v>
      </c>
      <c r="C512" s="88" t="s">
        <v>259</v>
      </c>
      <c r="D512" s="88"/>
      <c r="E512" s="88"/>
      <c r="F512" s="88"/>
    </row>
    <row r="513" spans="1:12" s="1" customFormat="1" ht="13.2" hidden="1" x14ac:dyDescent="0.25">
      <c r="A513" s="88" t="s">
        <v>234</v>
      </c>
      <c r="B513" s="88"/>
      <c r="C513" s="88"/>
      <c r="D513" s="88"/>
      <c r="E513" s="88"/>
      <c r="F513" s="88"/>
    </row>
    <row r="514" spans="1:12" s="1" customFormat="1" ht="13.2" hidden="1" x14ac:dyDescent="0.25">
      <c r="A514" s="88" t="s">
        <v>235</v>
      </c>
      <c r="B514" s="88"/>
      <c r="C514" s="88"/>
      <c r="D514" s="88"/>
      <c r="E514" s="88"/>
      <c r="F514" s="88"/>
    </row>
    <row r="515" spans="1:12" s="1" customFormat="1" ht="13.2" hidden="1" x14ac:dyDescent="0.25">
      <c r="A515" s="88" t="s">
        <v>236</v>
      </c>
      <c r="B515" s="88"/>
      <c r="C515" s="88"/>
      <c r="D515" s="88"/>
      <c r="E515" s="88"/>
      <c r="F515" s="88"/>
    </row>
    <row r="516" spans="1:12" s="1" customFormat="1" ht="36" x14ac:dyDescent="0.25">
      <c r="A516" s="88" t="s">
        <v>237</v>
      </c>
      <c r="B516" s="88" t="s">
        <v>228</v>
      </c>
      <c r="C516" s="88" t="s">
        <v>229</v>
      </c>
      <c r="D516" s="143" t="s">
        <v>238</v>
      </c>
      <c r="E516" s="143"/>
      <c r="F516" s="88" t="s">
        <v>239</v>
      </c>
      <c r="G516" s="53"/>
      <c r="H516" s="53"/>
      <c r="I516" s="53"/>
      <c r="J516" s="53"/>
      <c r="K516" s="53"/>
      <c r="L516" s="53"/>
    </row>
    <row r="517" spans="1:12" s="1" customFormat="1" ht="13.2" x14ac:dyDescent="0.25">
      <c r="A517" s="88" t="s">
        <v>240</v>
      </c>
      <c r="B517" s="88" t="s">
        <v>259</v>
      </c>
      <c r="C517" s="88" t="s">
        <v>259</v>
      </c>
      <c r="D517" s="143"/>
      <c r="E517" s="143"/>
      <c r="F517" s="88"/>
    </row>
    <row r="518" spans="1:12" s="1" customFormat="1" ht="13.2" hidden="1" x14ac:dyDescent="0.25">
      <c r="A518" s="88" t="s">
        <v>241</v>
      </c>
      <c r="B518" s="88"/>
      <c r="C518" s="88"/>
      <c r="D518" s="143"/>
      <c r="E518" s="143"/>
      <c r="F518" s="88"/>
    </row>
    <row r="519" spans="1:12" s="1" customFormat="1" ht="13.2" hidden="1" x14ac:dyDescent="0.25">
      <c r="A519" s="88" t="s">
        <v>242</v>
      </c>
      <c r="B519" s="88"/>
      <c r="C519" s="88"/>
      <c r="D519" s="143"/>
      <c r="E519" s="143"/>
      <c r="F519" s="88"/>
    </row>
    <row r="520" spans="1:12" s="1" customFormat="1" ht="47.25" customHeight="1" x14ac:dyDescent="0.25">
      <c r="A520" s="88" t="s">
        <v>243</v>
      </c>
      <c r="B520" s="88" t="s">
        <v>228</v>
      </c>
      <c r="C520" s="88" t="s">
        <v>229</v>
      </c>
      <c r="D520" s="143" t="s">
        <v>244</v>
      </c>
      <c r="E520" s="143"/>
      <c r="F520" s="88" t="s">
        <v>245</v>
      </c>
      <c r="G520" s="51"/>
      <c r="H520" s="51"/>
      <c r="I520" s="51"/>
      <c r="J520" s="144"/>
      <c r="K520" s="144"/>
      <c r="L520" s="51"/>
    </row>
    <row r="521" spans="1:12" s="1" customFormat="1" ht="24" hidden="1" x14ac:dyDescent="0.25">
      <c r="A521" s="88" t="s">
        <v>246</v>
      </c>
      <c r="B521" s="88"/>
      <c r="C521" s="88"/>
      <c r="D521" s="143"/>
      <c r="E521" s="143"/>
      <c r="F521" s="88"/>
      <c r="G521" s="51"/>
    </row>
    <row r="522" spans="1:12" s="1" customFormat="1" ht="13.2" x14ac:dyDescent="0.25">
      <c r="A522" s="88" t="s">
        <v>158</v>
      </c>
      <c r="B522" s="88" t="s">
        <v>259</v>
      </c>
      <c r="C522" s="88">
        <v>200000</v>
      </c>
      <c r="D522" s="143"/>
      <c r="E522" s="143"/>
      <c r="F522" s="88"/>
      <c r="G522" s="51"/>
    </row>
    <row r="523" spans="1:12" s="1" customFormat="1" ht="24" hidden="1" x14ac:dyDescent="0.25">
      <c r="A523" s="88" t="s">
        <v>247</v>
      </c>
      <c r="B523" s="88"/>
      <c r="C523" s="88"/>
      <c r="D523" s="143"/>
      <c r="E523" s="143"/>
      <c r="F523" s="88"/>
      <c r="G523" s="51"/>
    </row>
    <row r="524" spans="1:12" s="1" customFormat="1" ht="13.2" hidden="1" x14ac:dyDescent="0.25">
      <c r="A524" s="88" t="s">
        <v>248</v>
      </c>
      <c r="B524" s="88"/>
      <c r="C524" s="88"/>
      <c r="D524" s="143"/>
      <c r="E524" s="143"/>
      <c r="F524" s="88"/>
      <c r="G524" s="51"/>
    </row>
    <row r="525" spans="1:12" s="1" customFormat="1" ht="41.25" customHeight="1" x14ac:dyDescent="0.25">
      <c r="A525" s="88" t="s">
        <v>249</v>
      </c>
      <c r="B525" s="88" t="s">
        <v>259</v>
      </c>
      <c r="C525" s="88" t="s">
        <v>259</v>
      </c>
      <c r="D525" s="143" t="s">
        <v>368</v>
      </c>
      <c r="E525" s="143"/>
      <c r="F525" s="88"/>
      <c r="G525" s="51"/>
    </row>
    <row r="526" spans="1:12" s="1" customFormat="1" ht="13.2" hidden="1" x14ac:dyDescent="0.25">
      <c r="A526" s="88" t="s">
        <v>250</v>
      </c>
      <c r="B526" s="88"/>
      <c r="C526" s="88"/>
      <c r="D526" s="143"/>
      <c r="E526" s="143"/>
      <c r="F526" s="88"/>
      <c r="G526" s="51"/>
    </row>
    <row r="527" spans="1:12" s="1" customFormat="1" ht="13.2" hidden="1" x14ac:dyDescent="0.25">
      <c r="A527" s="88" t="s">
        <v>251</v>
      </c>
      <c r="B527" s="88"/>
      <c r="C527" s="88"/>
      <c r="D527" s="143"/>
      <c r="E527" s="143"/>
      <c r="F527" s="88"/>
      <c r="G527" s="51"/>
    </row>
    <row r="528" spans="1:12" s="1" customFormat="1" ht="13.2" hidden="1" x14ac:dyDescent="0.25">
      <c r="A528" s="88" t="s">
        <v>252</v>
      </c>
      <c r="B528" s="88"/>
      <c r="C528" s="88"/>
      <c r="D528" s="143"/>
      <c r="E528" s="143"/>
      <c r="F528" s="88"/>
      <c r="G528" s="51"/>
    </row>
    <row r="529" spans="1:7" s="1" customFormat="1" ht="13.2" hidden="1" x14ac:dyDescent="0.25">
      <c r="A529" s="88" t="s">
        <v>253</v>
      </c>
      <c r="B529" s="88"/>
      <c r="C529" s="88"/>
      <c r="D529" s="143"/>
      <c r="E529" s="143"/>
      <c r="F529" s="88"/>
      <c r="G529" s="51"/>
    </row>
    <row r="530" spans="1:7" s="40" customFormat="1" x14ac:dyDescent="0.3">
      <c r="A530" s="176" t="s">
        <v>67</v>
      </c>
      <c r="B530" s="176"/>
      <c r="C530" s="176"/>
      <c r="D530" s="176"/>
      <c r="E530" s="176"/>
      <c r="F530" s="176"/>
    </row>
    <row r="531" spans="1:7" s="40" customFormat="1" ht="130.5" customHeight="1" x14ac:dyDescent="0.3">
      <c r="A531" s="177" t="s">
        <v>410</v>
      </c>
      <c r="B531" s="178"/>
      <c r="C531" s="178"/>
      <c r="D531" s="178"/>
      <c r="E531" s="178"/>
      <c r="F531" s="178"/>
    </row>
    <row r="532" spans="1:7" x14ac:dyDescent="0.3">
      <c r="A532" s="155" t="s">
        <v>68</v>
      </c>
      <c r="B532" s="155"/>
      <c r="C532" s="156" t="str">
        <f>B2</f>
        <v>Imperial Paramount</v>
      </c>
      <c r="D532" s="156"/>
      <c r="E532" s="156"/>
      <c r="F532" s="156"/>
    </row>
    <row r="578" spans="1:1" x14ac:dyDescent="0.3">
      <c r="A578" s="45" t="s">
        <v>69</v>
      </c>
    </row>
    <row r="624" spans="1:1" x14ac:dyDescent="0.3">
      <c r="A624" s="45" t="s">
        <v>70</v>
      </c>
    </row>
    <row r="666" spans="1:6" ht="57" customHeight="1" x14ac:dyDescent="0.3">
      <c r="A666" s="46" t="s">
        <v>71</v>
      </c>
      <c r="B666" s="77" t="s">
        <v>271</v>
      </c>
      <c r="C666" s="157" t="s">
        <v>72</v>
      </c>
      <c r="D666" s="157"/>
      <c r="E666" s="158"/>
      <c r="F666" s="158"/>
    </row>
  </sheetData>
  <mergeCells count="398">
    <mergeCell ref="B138:F138"/>
    <mergeCell ref="E139:F139"/>
    <mergeCell ref="E140:F148"/>
    <mergeCell ref="A149:D150"/>
    <mergeCell ref="E149:F150"/>
    <mergeCell ref="G171:H171"/>
    <mergeCell ref="C168:D168"/>
    <mergeCell ref="E168:F168"/>
    <mergeCell ref="G168:H168"/>
    <mergeCell ref="C169:D169"/>
    <mergeCell ref="E169:F169"/>
    <mergeCell ref="G169:H169"/>
    <mergeCell ref="C170:D170"/>
    <mergeCell ref="E170:F170"/>
    <mergeCell ref="G170:H170"/>
    <mergeCell ref="G175:H175"/>
    <mergeCell ref="B24:F24"/>
    <mergeCell ref="A77:F77"/>
    <mergeCell ref="B497:F497"/>
    <mergeCell ref="B447:F447"/>
    <mergeCell ref="B472:F472"/>
    <mergeCell ref="A484:F484"/>
    <mergeCell ref="A489:F489"/>
    <mergeCell ref="A434:F434"/>
    <mergeCell ref="A439:F439"/>
    <mergeCell ref="A444:F444"/>
    <mergeCell ref="A449:F449"/>
    <mergeCell ref="A454:F454"/>
    <mergeCell ref="A59:F59"/>
    <mergeCell ref="E165:F165"/>
    <mergeCell ref="A176:F176"/>
    <mergeCell ref="A177:F177"/>
    <mergeCell ref="A428:F428"/>
    <mergeCell ref="A429:F429"/>
    <mergeCell ref="A53:B53"/>
    <mergeCell ref="A166:F166"/>
    <mergeCell ref="C167:D167"/>
    <mergeCell ref="E167:F167"/>
    <mergeCell ref="G167:H167"/>
    <mergeCell ref="G53:H53"/>
    <mergeCell ref="G54:H54"/>
    <mergeCell ref="G55:H55"/>
    <mergeCell ref="G56:H56"/>
    <mergeCell ref="G57:H57"/>
    <mergeCell ref="A58:B58"/>
    <mergeCell ref="C58:F58"/>
    <mergeCell ref="G58:H58"/>
    <mergeCell ref="A54:B54"/>
    <mergeCell ref="C54:F54"/>
    <mergeCell ref="A55:B55"/>
    <mergeCell ref="C55:F55"/>
    <mergeCell ref="A56:B56"/>
    <mergeCell ref="C56:F56"/>
    <mergeCell ref="C53:F53"/>
    <mergeCell ref="G47:H47"/>
    <mergeCell ref="G48:H48"/>
    <mergeCell ref="G49:H49"/>
    <mergeCell ref="G50:H50"/>
    <mergeCell ref="G51:H51"/>
    <mergeCell ref="G52:H52"/>
    <mergeCell ref="G35:H35"/>
    <mergeCell ref="G36:H36"/>
    <mergeCell ref="G37:H37"/>
    <mergeCell ref="G38:H38"/>
    <mergeCell ref="G39:H39"/>
    <mergeCell ref="G40:H40"/>
    <mergeCell ref="G41:H41"/>
    <mergeCell ref="G42:H42"/>
    <mergeCell ref="G43:H43"/>
    <mergeCell ref="G44:H44"/>
    <mergeCell ref="G45:H45"/>
    <mergeCell ref="G46:H46"/>
    <mergeCell ref="C44:F44"/>
    <mergeCell ref="I12:J12"/>
    <mergeCell ref="I13:J13"/>
    <mergeCell ref="G28:H28"/>
    <mergeCell ref="G29:H29"/>
    <mergeCell ref="G30:H30"/>
    <mergeCell ref="G31:H31"/>
    <mergeCell ref="G32:H32"/>
    <mergeCell ref="G33:H33"/>
    <mergeCell ref="G34:H34"/>
    <mergeCell ref="E22:F22"/>
    <mergeCell ref="A16:F16"/>
    <mergeCell ref="A26:F26"/>
    <mergeCell ref="C37:F37"/>
    <mergeCell ref="B18:C18"/>
    <mergeCell ref="E18:F18"/>
    <mergeCell ref="A31:F31"/>
    <mergeCell ref="B19:C19"/>
    <mergeCell ref="E23:F23"/>
    <mergeCell ref="B23:C23"/>
    <mergeCell ref="E13:F13"/>
    <mergeCell ref="A36:B36"/>
    <mergeCell ref="C36:F36"/>
    <mergeCell ref="A37:B37"/>
    <mergeCell ref="A8:B8"/>
    <mergeCell ref="C7:F7"/>
    <mergeCell ref="C8:F8"/>
    <mergeCell ref="A9:B9"/>
    <mergeCell ref="C9:F9"/>
    <mergeCell ref="A15:B15"/>
    <mergeCell ref="A43:B43"/>
    <mergeCell ref="C43:F43"/>
    <mergeCell ref="A42:B42"/>
    <mergeCell ref="C42:F42"/>
    <mergeCell ref="C15:F15"/>
    <mergeCell ref="B25:C25"/>
    <mergeCell ref="E25:F25"/>
    <mergeCell ref="B20:C20"/>
    <mergeCell ref="E20:F20"/>
    <mergeCell ref="E19:F19"/>
    <mergeCell ref="B21:C21"/>
    <mergeCell ref="E21:F21"/>
    <mergeCell ref="B22:C22"/>
    <mergeCell ref="B17:F17"/>
    <mergeCell ref="G174:H174"/>
    <mergeCell ref="G165:H165"/>
    <mergeCell ref="G163:H163"/>
    <mergeCell ref="G164:H164"/>
    <mergeCell ref="G161:H161"/>
    <mergeCell ref="G159:H159"/>
    <mergeCell ref="A1:F1"/>
    <mergeCell ref="B2:D2"/>
    <mergeCell ref="A3:F3"/>
    <mergeCell ref="A10:F10"/>
    <mergeCell ref="A4:B4"/>
    <mergeCell ref="A79:F79"/>
    <mergeCell ref="B80:F80"/>
    <mergeCell ref="A41:F41"/>
    <mergeCell ref="C4:F4"/>
    <mergeCell ref="A5:B5"/>
    <mergeCell ref="A6:B6"/>
    <mergeCell ref="C5:F5"/>
    <mergeCell ref="C6:F6"/>
    <mergeCell ref="A7:B7"/>
    <mergeCell ref="A14:F14"/>
    <mergeCell ref="C12:D12"/>
    <mergeCell ref="E12:F12"/>
    <mergeCell ref="C13:D13"/>
    <mergeCell ref="I155:L158"/>
    <mergeCell ref="C158:D158"/>
    <mergeCell ref="E158:F158"/>
    <mergeCell ref="G158:H158"/>
    <mergeCell ref="C155:D155"/>
    <mergeCell ref="E155:F155"/>
    <mergeCell ref="G155:H155"/>
    <mergeCell ref="E156:F156"/>
    <mergeCell ref="G156:H156"/>
    <mergeCell ref="C157:D157"/>
    <mergeCell ref="E157:F157"/>
    <mergeCell ref="G157:H157"/>
    <mergeCell ref="A530:F530"/>
    <mergeCell ref="A531:F531"/>
    <mergeCell ref="A32:B32"/>
    <mergeCell ref="C32:F32"/>
    <mergeCell ref="A33:B33"/>
    <mergeCell ref="C33:F33"/>
    <mergeCell ref="A34:B34"/>
    <mergeCell ref="C34:F34"/>
    <mergeCell ref="A38:B38"/>
    <mergeCell ref="C38:F38"/>
    <mergeCell ref="A39:B39"/>
    <mergeCell ref="C39:F39"/>
    <mergeCell ref="A40:B40"/>
    <mergeCell ref="C40:F40"/>
    <mergeCell ref="A35:B35"/>
    <mergeCell ref="C35:F35"/>
    <mergeCell ref="A49:B49"/>
    <mergeCell ref="C49:F49"/>
    <mergeCell ref="A50:F50"/>
    <mergeCell ref="A51:B51"/>
    <mergeCell ref="C51:F51"/>
    <mergeCell ref="A52:B52"/>
    <mergeCell ref="A503:F503"/>
    <mergeCell ref="A45:B45"/>
    <mergeCell ref="E101:F101"/>
    <mergeCell ref="B103:C103"/>
    <mergeCell ref="E103:F103"/>
    <mergeCell ref="A109:B109"/>
    <mergeCell ref="C109:F109"/>
    <mergeCell ref="A110:B110"/>
    <mergeCell ref="A63:F63"/>
    <mergeCell ref="A118:B118"/>
    <mergeCell ref="C118:F118"/>
    <mergeCell ref="A111:F111"/>
    <mergeCell ref="E112:F112"/>
    <mergeCell ref="A113:D113"/>
    <mergeCell ref="E113:F113"/>
    <mergeCell ref="A108:B108"/>
    <mergeCell ref="B94:F94"/>
    <mergeCell ref="A95:F95"/>
    <mergeCell ref="A100:F100"/>
    <mergeCell ref="B99:C99"/>
    <mergeCell ref="E99:F99"/>
    <mergeCell ref="E102:F102"/>
    <mergeCell ref="C110:F110"/>
    <mergeCell ref="D83:F83"/>
    <mergeCell ref="D84:F84"/>
    <mergeCell ref="C45:F45"/>
    <mergeCell ref="A46:B46"/>
    <mergeCell ref="C46:F46"/>
    <mergeCell ref="A47:B47"/>
    <mergeCell ref="C47:F47"/>
    <mergeCell ref="A48:B48"/>
    <mergeCell ref="C48:F48"/>
    <mergeCell ref="C52:F52"/>
    <mergeCell ref="A60:B60"/>
    <mergeCell ref="A494:F494"/>
    <mergeCell ref="C164:D164"/>
    <mergeCell ref="E164:F164"/>
    <mergeCell ref="C161:D161"/>
    <mergeCell ref="E161:F161"/>
    <mergeCell ref="C162:D162"/>
    <mergeCell ref="A174:A175"/>
    <mergeCell ref="B174:B175"/>
    <mergeCell ref="C174:C175"/>
    <mergeCell ref="D174:D175"/>
    <mergeCell ref="E174:E175"/>
    <mergeCell ref="A459:F459"/>
    <mergeCell ref="A464:F464"/>
    <mergeCell ref="A469:F469"/>
    <mergeCell ref="A474:F474"/>
    <mergeCell ref="A479:F479"/>
    <mergeCell ref="C165:D165"/>
    <mergeCell ref="A172:F172"/>
    <mergeCell ref="A173:F173"/>
    <mergeCell ref="C171:D171"/>
    <mergeCell ref="E171:F171"/>
    <mergeCell ref="B427:F427"/>
    <mergeCell ref="A358:F358"/>
    <mergeCell ref="A363:F363"/>
    <mergeCell ref="A499:F499"/>
    <mergeCell ref="A532:B532"/>
    <mergeCell ref="C532:F532"/>
    <mergeCell ref="C666:D666"/>
    <mergeCell ref="E666:F666"/>
    <mergeCell ref="A27:B27"/>
    <mergeCell ref="A28:B28"/>
    <mergeCell ref="A29:B29"/>
    <mergeCell ref="A30:B30"/>
    <mergeCell ref="A119:B119"/>
    <mergeCell ref="A120:B120"/>
    <mergeCell ref="C119:F119"/>
    <mergeCell ref="C120:F120"/>
    <mergeCell ref="A121:F121"/>
    <mergeCell ref="A107:B107"/>
    <mergeCell ref="C107:F107"/>
    <mergeCell ref="C108:F108"/>
    <mergeCell ref="A116:B116"/>
    <mergeCell ref="C116:F116"/>
    <mergeCell ref="A117:B117"/>
    <mergeCell ref="C117:F117"/>
    <mergeCell ref="A57:B57"/>
    <mergeCell ref="C57:F57"/>
    <mergeCell ref="A44:B44"/>
    <mergeCell ref="J81:L81"/>
    <mergeCell ref="G107:H107"/>
    <mergeCell ref="G60:H60"/>
    <mergeCell ref="G61:H61"/>
    <mergeCell ref="G62:H62"/>
    <mergeCell ref="G63:H63"/>
    <mergeCell ref="D81:F81"/>
    <mergeCell ref="D82:F82"/>
    <mergeCell ref="D85:F85"/>
    <mergeCell ref="D86:F86"/>
    <mergeCell ref="A67:F67"/>
    <mergeCell ref="B78:F78"/>
    <mergeCell ref="A61:B61"/>
    <mergeCell ref="A62:B62"/>
    <mergeCell ref="C60:F60"/>
    <mergeCell ref="C61:F61"/>
    <mergeCell ref="C62:F62"/>
    <mergeCell ref="E98:F98"/>
    <mergeCell ref="B104:C104"/>
    <mergeCell ref="E104:F104"/>
    <mergeCell ref="E105:F105"/>
    <mergeCell ref="B106:C106"/>
    <mergeCell ref="E106:F106"/>
    <mergeCell ref="B96:C96"/>
    <mergeCell ref="D524:E524"/>
    <mergeCell ref="D525:E525"/>
    <mergeCell ref="D526:E526"/>
    <mergeCell ref="D527:E527"/>
    <mergeCell ref="D528:E528"/>
    <mergeCell ref="D529:E529"/>
    <mergeCell ref="D516:E516"/>
    <mergeCell ref="D520:E520"/>
    <mergeCell ref="J520:K520"/>
    <mergeCell ref="D517:E517"/>
    <mergeCell ref="D518:E518"/>
    <mergeCell ref="D519:E519"/>
    <mergeCell ref="D521:E521"/>
    <mergeCell ref="D522:E522"/>
    <mergeCell ref="D523:E523"/>
    <mergeCell ref="B510:C510"/>
    <mergeCell ref="E510:F510"/>
    <mergeCell ref="H504:I504"/>
    <mergeCell ref="K504:L504"/>
    <mergeCell ref="B506:C506"/>
    <mergeCell ref="E506:F506"/>
    <mergeCell ref="B507:C507"/>
    <mergeCell ref="E507:F507"/>
    <mergeCell ref="B508:C508"/>
    <mergeCell ref="E508:F508"/>
    <mergeCell ref="B509:C509"/>
    <mergeCell ref="E509:F509"/>
    <mergeCell ref="B504:C504"/>
    <mergeCell ref="E504:F504"/>
    <mergeCell ref="B505:C505"/>
    <mergeCell ref="E505:F505"/>
    <mergeCell ref="G162:H162"/>
    <mergeCell ref="B105:C105"/>
    <mergeCell ref="G108:H108"/>
    <mergeCell ref="D87:F87"/>
    <mergeCell ref="D88:F88"/>
    <mergeCell ref="D89:F89"/>
    <mergeCell ref="D90:F90"/>
    <mergeCell ref="D91:F91"/>
    <mergeCell ref="D92:F92"/>
    <mergeCell ref="D93:F93"/>
    <mergeCell ref="E96:F96"/>
    <mergeCell ref="C159:D159"/>
    <mergeCell ref="E159:F159"/>
    <mergeCell ref="A160:F160"/>
    <mergeCell ref="C156:D156"/>
    <mergeCell ref="A151:F151"/>
    <mergeCell ref="A154:F154"/>
    <mergeCell ref="A112:D112"/>
    <mergeCell ref="B97:F97"/>
    <mergeCell ref="B98:C98"/>
    <mergeCell ref="B102:C102"/>
    <mergeCell ref="A122:B123"/>
    <mergeCell ref="B124:F124"/>
    <mergeCell ref="B101:C101"/>
    <mergeCell ref="L261:M261"/>
    <mergeCell ref="L179:M179"/>
    <mergeCell ref="A289:F289"/>
    <mergeCell ref="A290:A291"/>
    <mergeCell ref="B290:B291"/>
    <mergeCell ref="L178:M178"/>
    <mergeCell ref="A227:F227"/>
    <mergeCell ref="G228:H228"/>
    <mergeCell ref="L228:M228"/>
    <mergeCell ref="G229:H229"/>
    <mergeCell ref="L229:M229"/>
    <mergeCell ref="A259:F259"/>
    <mergeCell ref="G260:H260"/>
    <mergeCell ref="L260:M260"/>
    <mergeCell ref="G290:H290"/>
    <mergeCell ref="G291:H291"/>
    <mergeCell ref="A288:F288"/>
    <mergeCell ref="G261:H261"/>
    <mergeCell ref="G178:H178"/>
    <mergeCell ref="G179:H179"/>
    <mergeCell ref="C290:C291"/>
    <mergeCell ref="D290:D291"/>
    <mergeCell ref="E290:E291"/>
    <mergeCell ref="E125:F125"/>
    <mergeCell ref="E126:F134"/>
    <mergeCell ref="A408:F408"/>
    <mergeCell ref="A412:F412"/>
    <mergeCell ref="A292:F292"/>
    <mergeCell ref="A293:F293"/>
    <mergeCell ref="A298:F298"/>
    <mergeCell ref="A303:F303"/>
    <mergeCell ref="A308:F308"/>
    <mergeCell ref="A313:F313"/>
    <mergeCell ref="C163:D163"/>
    <mergeCell ref="E162:F162"/>
    <mergeCell ref="E163:F163"/>
    <mergeCell ref="B364:F364"/>
    <mergeCell ref="A367:F367"/>
    <mergeCell ref="A368:F368"/>
    <mergeCell ref="B369:F369"/>
    <mergeCell ref="B370:F370"/>
    <mergeCell ref="A372:F372"/>
    <mergeCell ref="A376:F376"/>
    <mergeCell ref="A380:F380"/>
    <mergeCell ref="A384:F384"/>
    <mergeCell ref="A135:F135"/>
    <mergeCell ref="A136:B137"/>
    <mergeCell ref="A416:F416"/>
    <mergeCell ref="A420:F420"/>
    <mergeCell ref="A424:F424"/>
    <mergeCell ref="A318:F318"/>
    <mergeCell ref="A323:F323"/>
    <mergeCell ref="A328:F328"/>
    <mergeCell ref="A333:F333"/>
    <mergeCell ref="A338:F338"/>
    <mergeCell ref="A343:F343"/>
    <mergeCell ref="A348:F348"/>
    <mergeCell ref="A353:F353"/>
    <mergeCell ref="A388:F388"/>
    <mergeCell ref="A392:F392"/>
    <mergeCell ref="A396:F396"/>
    <mergeCell ref="A400:F400"/>
    <mergeCell ref="A404:F404"/>
  </mergeCells>
  <dataValidations count="6">
    <dataValidation type="list" allowBlank="1" showInputMessage="1" showErrorMessage="1" sqref="B39:B40 B36:B37 B33:B34" xr:uid="{00000000-0002-0000-0000-000000000000}">
      <formula1>$C$536:$C$541</formula1>
    </dataValidation>
    <dataValidation type="list" allowBlank="1" showInputMessage="1" showErrorMessage="1" sqref="F33:F34" xr:uid="{00000000-0002-0000-0000-000001000000}">
      <formula1>$G$532:$G$534</formula1>
    </dataValidation>
    <dataValidation type="list" allowBlank="1" showInputMessage="1" showErrorMessage="1" sqref="B101" xr:uid="{00000000-0002-0000-0000-000002000000}">
      <formula1>$E$532:$E$532</formula1>
    </dataValidation>
    <dataValidation type="list" allowBlank="1" showInputMessage="1" showErrorMessage="1" sqref="B96:B97 B99 E103:E106 B103:B106 E101 C117:C118 B93 F36:F37 F39:F40 E99" xr:uid="{00000000-0002-0000-0000-000003000000}">
      <formula1>#REF!</formula1>
    </dataValidation>
    <dataValidation type="list" allowBlank="1" showInputMessage="1" showErrorMessage="1" sqref="E96" xr:uid="{00000000-0002-0000-0000-000004000000}">
      <formula1>$D$532:$D$532</formula1>
    </dataValidation>
    <dataValidation type="list" allowBlank="1" showInputMessage="1" showErrorMessage="1" sqref="E102" xr:uid="{00000000-0002-0000-0000-000005000000}">
      <formula1>$F$532:$F$533</formula1>
    </dataValidation>
  </dataValidations>
  <hyperlinks>
    <hyperlink ref="C6" r:id="rId1" xr:uid="{00000000-0004-0000-0000-000000000000}"/>
    <hyperlink ref="B24" r:id="rId2" xr:uid="{00000000-0004-0000-0000-000001000000}"/>
  </hyperlinks>
  <pageMargins left="0.39370078740157483" right="0.39370078740157483" top="0.78740157480314965" bottom="0.78740157480314965" header="0.31496062992125984" footer="0.31496062992125984"/>
  <pageSetup scale="99" fitToHeight="0" orientation="portrait" r:id="rId3"/>
  <headerFooter>
    <oddHeader>&amp;C&amp;G</oddHeader>
    <oddFooter>&amp;L&amp;"-,Bold"Ref No: &amp;F&amp;R&amp;"-,Bold"&amp;P</oddFooter>
  </headerFooter>
  <rowBreaks count="4" manualBreakCount="4">
    <brk id="113" max="16383" man="1"/>
    <brk id="531" max="16383" man="1"/>
    <brk id="577" max="16383" man="1"/>
    <brk id="623" max="16383" man="1"/>
  </rowBreaks>
  <drawing r:id="rId4"/>
  <legacyDrawingHF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04:K124"/>
  <sheetViews>
    <sheetView topLeftCell="A117" workbookViewId="0">
      <selection activeCell="B124" sqref="B124"/>
    </sheetView>
  </sheetViews>
  <sheetFormatPr defaultRowHeight="14.4" x14ac:dyDescent="0.3"/>
  <sheetData>
    <row r="104" spans="2:11" ht="15" thickBot="1" x14ac:dyDescent="0.35"/>
    <row r="105" spans="2:11" ht="15.6" x14ac:dyDescent="0.3">
      <c r="B105" s="221" t="s">
        <v>9</v>
      </c>
      <c r="C105" s="222"/>
      <c r="D105" s="223" t="s">
        <v>49</v>
      </c>
      <c r="E105" s="224"/>
      <c r="F105" s="224"/>
      <c r="G105" s="224"/>
      <c r="H105" s="224"/>
      <c r="I105" s="225"/>
      <c r="J105" s="8" t="str">
        <f ca="1">(IF(F109&gt;99%,"All work completed. Please provide OC.",IF(F109&gt;89.8%,"Plinth, RCC, Brick, Plaster, Flooring, Painting work Completed. Finishing work is in process.",IF(F109&lt;94%,(IF(D109=0,"Work not yet Started.",IF(E109=25%,"Piling work in process",IF(E109=50%,"Excavation work in process",IF(E109=100%,"Excavation work Completed. ","0")))&amp;(IF(D110=0%,"",IF(D110=K111,"Footing work is process",IF(D110=K112,"Footing work Completed",IF(D110=K113,"1st Basement Completed",IF(D110=K114,"1st &amp; 2nd Basement Completed",IF(D110=K115,"1st to 3rd Basement Completed",IF(D110=K116,"1st to 4th Basement Completed",IF(D110=K117,"Plinth work is process",IF(D110=K118,"Plinth work completed","0")))))))))))&amp;(IF(D111=(D106+E106+F106),", RCC Slab",IF(D111&gt;0,", RCC upto "&amp;D111&amp;" Slab",""))&amp;(IF(D112=F106,", Brickwork",IF(D112&gt;0,", Brickwork upto "&amp;D112&amp;" Floor",""))&amp;(IF(D113=F106,", Internal Plaster",IF(D113&gt;0,", Internal Plaster upto "&amp;D113&amp;" Floor",""))&amp;(IF(D114=F106,", External Plaster",IF(D114&gt;0,", External Plaster upto "&amp;D114&amp;" Floor",""))&amp;(IF(D115=F106,", Flooring",IF(D115&gt;0,", Flooring upto "&amp;D115&amp;" Floor",""))&amp;(IF(D116=F106,", Painting",IF(D116&gt;0,", Painting upto "&amp;D116&amp;" Floor",""))&amp;(IF(D117&gt;0,", Finishing upto "&amp;D117&amp;" Floor","")&amp;(IF(D111&gt;0.5," Completed",""))))))))))))))</f>
        <v>All work completed. Please provide OC.</v>
      </c>
      <c r="K105" s="9"/>
    </row>
    <row r="106" spans="2:11" ht="15.6" x14ac:dyDescent="0.3">
      <c r="B106" s="10" t="s">
        <v>10</v>
      </c>
      <c r="C106" s="11">
        <v>0</v>
      </c>
      <c r="D106" s="27">
        <v>1</v>
      </c>
      <c r="E106" s="28">
        <v>0</v>
      </c>
      <c r="F106" s="28">
        <f ca="1">--TRIM(RIGHT(SUBSTITUTE(LEFT(D105,_xlfn.AGGREGATE(16,6,FIND({0,1,2,3,4,5,6,7,8,9},D105,ROW(INDIRECT("1:"&amp;LEN(D105)))),1))," ",REPT(" ",LEN(D105))),LEN(D105)))</f>
        <v>7</v>
      </c>
      <c r="G106" s="28"/>
      <c r="H106" s="28"/>
      <c r="I106" s="29"/>
      <c r="J106" s="12"/>
      <c r="K106" s="13"/>
    </row>
    <row r="107" spans="2:11" ht="15.6" x14ac:dyDescent="0.3">
      <c r="B107" s="226" t="s">
        <v>14</v>
      </c>
      <c r="C107" s="227"/>
      <c r="D107" s="228" t="str">
        <f>J107</f>
        <v>All work Completed. OC Received.</v>
      </c>
      <c r="E107" s="228"/>
      <c r="F107" s="228"/>
      <c r="G107" s="228"/>
      <c r="H107" s="228"/>
      <c r="I107" s="229"/>
      <c r="J107" s="12" t="s">
        <v>15</v>
      </c>
      <c r="K107" s="13"/>
    </row>
    <row r="108" spans="2:11" ht="31.2" x14ac:dyDescent="0.3">
      <c r="B108" s="211" t="s">
        <v>16</v>
      </c>
      <c r="C108" s="212"/>
      <c r="D108" s="14" t="s">
        <v>18</v>
      </c>
      <c r="E108" s="14" t="s">
        <v>19</v>
      </c>
      <c r="F108" s="212" t="s">
        <v>20</v>
      </c>
      <c r="G108" s="212"/>
      <c r="H108" s="212" t="s">
        <v>46</v>
      </c>
      <c r="I108" s="230"/>
      <c r="J108" s="15" t="s">
        <v>21</v>
      </c>
      <c r="K108" s="16">
        <f ca="1">F106*25%</f>
        <v>1.75</v>
      </c>
    </row>
    <row r="109" spans="2:11" ht="15.6" x14ac:dyDescent="0.3">
      <c r="B109" s="211" t="s">
        <v>22</v>
      </c>
      <c r="C109" s="212"/>
      <c r="D109" s="17">
        <f ca="1">K110</f>
        <v>7</v>
      </c>
      <c r="E109" s="18">
        <f ca="1">((100/F106)*D109)/100</f>
        <v>1</v>
      </c>
      <c r="F109" s="215">
        <f ca="1">(((D110/F106*10)+(40/(D106+E106+F106)*D111)+(7.5/(F106)*D112)+(7.5/(F106)*D113)+(10/F106*D114)+(10/F106*D115)+(5/F106*D116)+(5/F106*D117)+(5/F106*D118))/100)</f>
        <v>1</v>
      </c>
      <c r="G109" s="215"/>
      <c r="H109" s="215">
        <f ca="1">((((D109/F106)*20)+((D110/F106)*25)+(30/(F106+E106+D106)*D111)+(5/F106*D112)+(5/F106*D113)+(5/F106*D114)+(5/F106*D115)+(0/F106*D116)+(0/F106*D117)+(5/F106*D118))/100)</f>
        <v>1</v>
      </c>
      <c r="I109" s="217"/>
      <c r="J109" s="15" t="s">
        <v>23</v>
      </c>
      <c r="K109" s="19">
        <f ca="1">F106*50%</f>
        <v>3.5</v>
      </c>
    </row>
    <row r="110" spans="2:11" ht="15.6" x14ac:dyDescent="0.3">
      <c r="B110" s="211" t="s">
        <v>24</v>
      </c>
      <c r="C110" s="212"/>
      <c r="D110" s="20">
        <f ca="1">K118</f>
        <v>7</v>
      </c>
      <c r="E110" s="18">
        <f ca="1">((100/F106)*D110)/100</f>
        <v>1</v>
      </c>
      <c r="F110" s="215"/>
      <c r="G110" s="215"/>
      <c r="H110" s="215"/>
      <c r="I110" s="217"/>
      <c r="J110" s="15" t="s">
        <v>25</v>
      </c>
      <c r="K110" s="19">
        <f ca="1">F106</f>
        <v>7</v>
      </c>
    </row>
    <row r="111" spans="2:11" ht="15.6" x14ac:dyDescent="0.3">
      <c r="B111" s="219" t="s">
        <v>26</v>
      </c>
      <c r="C111" s="220"/>
      <c r="D111" s="20">
        <v>8</v>
      </c>
      <c r="E111" s="18">
        <f ca="1">((100/(D106+E106+F106))*D111)/100</f>
        <v>1</v>
      </c>
      <c r="F111" s="215"/>
      <c r="G111" s="215"/>
      <c r="H111" s="215"/>
      <c r="I111" s="217"/>
      <c r="J111" s="15" t="s">
        <v>27</v>
      </c>
      <c r="K111" s="21">
        <f ca="1">(IF(C106&gt;1,(F106/(C106+2)),F106/4))</f>
        <v>1.75</v>
      </c>
    </row>
    <row r="112" spans="2:11" ht="15.6" x14ac:dyDescent="0.3">
      <c r="B112" s="211" t="s">
        <v>28</v>
      </c>
      <c r="C112" s="212" t="s">
        <v>47</v>
      </c>
      <c r="D112" s="17">
        <v>7</v>
      </c>
      <c r="E112" s="18">
        <f ca="1">((100/F106)*D112)/100</f>
        <v>1</v>
      </c>
      <c r="F112" s="215"/>
      <c r="G112" s="215"/>
      <c r="H112" s="215"/>
      <c r="I112" s="217"/>
      <c r="J112" s="15" t="s">
        <v>29</v>
      </c>
      <c r="K112" s="21">
        <f ca="1">(IF(C106&gt;1,(F106/(C106+2)+K111),F106/4+K111))</f>
        <v>3.5</v>
      </c>
    </row>
    <row r="113" spans="2:11" ht="15.6" x14ac:dyDescent="0.3">
      <c r="B113" s="211" t="s">
        <v>30</v>
      </c>
      <c r="C113" s="212" t="s">
        <v>47</v>
      </c>
      <c r="D113" s="17">
        <v>7</v>
      </c>
      <c r="E113" s="18">
        <f ca="1">((100/F106)*D113)/100</f>
        <v>1</v>
      </c>
      <c r="F113" s="215"/>
      <c r="G113" s="215"/>
      <c r="H113" s="215"/>
      <c r="I113" s="217"/>
      <c r="J113" s="15" t="s">
        <v>31</v>
      </c>
      <c r="K113" s="21">
        <f>(IF(C106&gt;1,(F106/(C106+2)+K112),0))</f>
        <v>0</v>
      </c>
    </row>
    <row r="114" spans="2:11" ht="15.6" x14ac:dyDescent="0.3">
      <c r="B114" s="211" t="s">
        <v>32</v>
      </c>
      <c r="C114" s="212" t="s">
        <v>48</v>
      </c>
      <c r="D114" s="17">
        <v>7</v>
      </c>
      <c r="E114" s="18">
        <f ca="1">((100/(F106))*D114)/100</f>
        <v>1</v>
      </c>
      <c r="F114" s="215"/>
      <c r="G114" s="215"/>
      <c r="H114" s="215"/>
      <c r="I114" s="217"/>
      <c r="J114" s="15" t="s">
        <v>33</v>
      </c>
      <c r="K114" s="21">
        <f>(IF(C106&gt;2,(F106/(C106+2)+K113),0))</f>
        <v>0</v>
      </c>
    </row>
    <row r="115" spans="2:11" ht="15.6" x14ac:dyDescent="0.3">
      <c r="B115" s="211" t="s">
        <v>34</v>
      </c>
      <c r="C115" s="212" t="s">
        <v>34</v>
      </c>
      <c r="D115" s="17">
        <v>7</v>
      </c>
      <c r="E115" s="18">
        <f ca="1">((100/F106)*D115)/100</f>
        <v>1</v>
      </c>
      <c r="F115" s="215"/>
      <c r="G115" s="215"/>
      <c r="H115" s="215"/>
      <c r="I115" s="217"/>
      <c r="J115" s="15" t="s">
        <v>35</v>
      </c>
      <c r="K115" s="22">
        <f>(IF(C106&gt;3,(F106/(C106+2)+K114),0))</f>
        <v>0</v>
      </c>
    </row>
    <row r="116" spans="2:11" ht="15.6" x14ac:dyDescent="0.3">
      <c r="B116" s="211" t="s">
        <v>36</v>
      </c>
      <c r="C116" s="212"/>
      <c r="D116" s="17">
        <v>7</v>
      </c>
      <c r="E116" s="18">
        <f ca="1">((100/F106)*D116)/100</f>
        <v>1</v>
      </c>
      <c r="F116" s="215"/>
      <c r="G116" s="215"/>
      <c r="H116" s="215"/>
      <c r="I116" s="217"/>
      <c r="J116" s="15" t="s">
        <v>37</v>
      </c>
      <c r="K116" s="21">
        <f>(IF(C106&gt;4,(F106/(C106+2)+K115),0))</f>
        <v>0</v>
      </c>
    </row>
    <row r="117" spans="2:11" ht="15.6" x14ac:dyDescent="0.3">
      <c r="B117" s="211" t="s">
        <v>38</v>
      </c>
      <c r="C117" s="212" t="s">
        <v>38</v>
      </c>
      <c r="D117" s="17">
        <v>7</v>
      </c>
      <c r="E117" s="18">
        <f ca="1">((100/(F106))*D117)/100</f>
        <v>1</v>
      </c>
      <c r="F117" s="215"/>
      <c r="G117" s="215"/>
      <c r="H117" s="215"/>
      <c r="I117" s="217"/>
      <c r="J117" s="15" t="s">
        <v>39</v>
      </c>
      <c r="K117" s="21">
        <f ca="1">(IF(C106=1,(F106/(C106+3)+K112),IF(C106=0,(F106/4+K112),IF(C106&gt;1,0))))</f>
        <v>5.25</v>
      </c>
    </row>
    <row r="118" spans="2:11" ht="16.2" thickBot="1" x14ac:dyDescent="0.35">
      <c r="B118" s="213" t="s">
        <v>40</v>
      </c>
      <c r="C118" s="214"/>
      <c r="D118" s="23">
        <v>7</v>
      </c>
      <c r="E118" s="24">
        <f ca="1">((100/(F106))*D118)/100</f>
        <v>1</v>
      </c>
      <c r="F118" s="216"/>
      <c r="G118" s="216"/>
      <c r="H118" s="216"/>
      <c r="I118" s="218"/>
      <c r="J118" s="25" t="s">
        <v>41</v>
      </c>
      <c r="K118" s="26">
        <f ca="1">(IF(C106&gt;1.5,(F106/(C106+2)+K112+MAX(0,K113-K112)+MAX(0,K114-K113)+MAX(0,K115-K114)+MAX(0,K116-K115)+MAX(0,K117-K116)),IF(C106=1,(F106/(C106+3)+K117),IF(C106=0,F106/4+K117))))</f>
        <v>7</v>
      </c>
    </row>
    <row r="124" spans="2:11" x14ac:dyDescent="0.3">
      <c r="B124" t="str">
        <f>(IF(E125&gt;99%,"All work completed. Please provide OC.",IF(E125&gt;89.8%,"Plinth, RCC, Brick, Plaster, Flooring, Painting work Completed. Finishing work is in process.",IF(E125&lt;94%,(IF(C125=0,"Work not yet Started.",IF(D125=25%,"Piling work in process",IF(D125=50%,"Excavation work in process",IF(D125=100%,"Excavation work Completed. ","0")))&amp;(IF(C126=0%,"",IF(C126=H127,"Footing work is process",IF(C126=H128,"Footing work Completed",IF(C126=H129,"1st Basement Completed",IF(C126=H130,"1st &amp; 2nd Basement Completed",IF(C126=H131,"1st to 3rd Basement Completed",IF(C126=H132,"1st to 4th Basement Completed",IF(C126=H133,"Plinth work is process",IF(C126=H134,"Plinth work completed","0")))))))))))&amp;(IF(C127=(D122+E122+F122),", RCC Slab",IF(C127&gt;0,", RCC upto "&amp;C127&amp;" Slab",""))&amp;(IF(C128=F122,", Brickwork",IF(C128&gt;0,", Brickwork upto "&amp;C128&amp;" Floor",""))&amp;(IF(C129=F122,", Internal Plaster",IF(C129&gt;0,", Internal Plaster upto "&amp;C129&amp;" Floor",""))&amp;(IF(C130=F122,", External Plaster",IF(C130&gt;0,", External Plaster upto "&amp;C130&amp;" Floor",""))&amp;(IF(C131=F122,", Flooring",IF(C131&gt;0,", Flooring upto "&amp;C131&amp;" Floor",""))&amp;(IF(C132=F122,", Painting",IF(C132&gt;0,", Painting upto "&amp;C132&amp;" Floor",""))&amp;(IF(C133&gt;0,", Finishing upto "&amp;C133&amp;" Floor","")&amp;(IF(C127&gt;0.5," Completed",""))))))))))))))</f>
        <v>Work not yet Started., RCC Slab, Brickwork, Internal Plaster, External Plaster, Flooring, Painting</v>
      </c>
    </row>
  </sheetData>
  <mergeCells count="19">
    <mergeCell ref="B105:C105"/>
    <mergeCell ref="D105:I105"/>
    <mergeCell ref="B107:C107"/>
    <mergeCell ref="D107:I107"/>
    <mergeCell ref="B108:C108"/>
    <mergeCell ref="F108:G108"/>
    <mergeCell ref="H108:I108"/>
    <mergeCell ref="B117:C117"/>
    <mergeCell ref="B118:C118"/>
    <mergeCell ref="B109:C109"/>
    <mergeCell ref="F109:G118"/>
    <mergeCell ref="H109:I118"/>
    <mergeCell ref="B110:C110"/>
    <mergeCell ref="B111:C111"/>
    <mergeCell ref="B112:C112"/>
    <mergeCell ref="B113:C113"/>
    <mergeCell ref="B114:C114"/>
    <mergeCell ref="B115:C115"/>
    <mergeCell ref="B116:C11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Sheet1</vt:lpstr>
      <vt:lpstr>Sheet2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SACHIN</dc:creator>
  <cp:lastModifiedBy>Kunal Kadam</cp:lastModifiedBy>
  <cp:lastPrinted>2025-08-08T09:21:01Z</cp:lastPrinted>
  <dcterms:created xsi:type="dcterms:W3CDTF">2023-05-19T08:34:56Z</dcterms:created>
  <dcterms:modified xsi:type="dcterms:W3CDTF">2025-08-08T09:28:21Z</dcterms:modified>
</cp:coreProperties>
</file>