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K:\VSJ Work\Aug 25\Old\"/>
    </mc:Choice>
  </mc:AlternateContent>
  <xr:revisionPtr revIDLastSave="0" documentId="13_ncr:1_{3E16C4BF-BC1D-49D2-9A52-0AF9C61AAD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Sheet1!$A$1:$F$423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8" i="1" l="1"/>
  <c r="C139" i="1" s="1"/>
  <c r="B18" i="1" l="1"/>
  <c r="H227" i="1" l="1"/>
  <c r="G227" i="1"/>
  <c r="H219" i="1"/>
  <c r="H218" i="1"/>
  <c r="G219" i="1"/>
  <c r="G218" i="1"/>
  <c r="C196" i="1"/>
  <c r="G51" i="1"/>
  <c r="C54" i="1"/>
  <c r="C53" i="1"/>
  <c r="C49" i="1"/>
  <c r="K65" i="1"/>
  <c r="J65" i="1"/>
  <c r="J64" i="1"/>
  <c r="F175" i="1"/>
  <c r="C248" i="1"/>
  <c r="D248" i="1" s="1"/>
  <c r="C247" i="1"/>
  <c r="F247" i="1" s="1"/>
  <c r="C246" i="1"/>
  <c r="F246" i="1" s="1"/>
  <c r="C245" i="1"/>
  <c r="C244" i="1"/>
  <c r="C243" i="1"/>
  <c r="C242" i="1"/>
  <c r="C241" i="1"/>
  <c r="C240" i="1"/>
  <c r="D247" i="1"/>
  <c r="C237" i="1"/>
  <c r="F237" i="1" s="1"/>
  <c r="C236" i="1"/>
  <c r="F236" i="1" s="1"/>
  <c r="C235" i="1"/>
  <c r="F235" i="1" s="1"/>
  <c r="C234" i="1"/>
  <c r="C233" i="1"/>
  <c r="C232" i="1"/>
  <c r="C231" i="1"/>
  <c r="C230" i="1"/>
  <c r="C229" i="1"/>
  <c r="D236" i="1"/>
  <c r="C227" i="1"/>
  <c r="F227" i="1" s="1"/>
  <c r="C226" i="1"/>
  <c r="F226" i="1" s="1"/>
  <c r="C225" i="1"/>
  <c r="D225" i="1" s="1"/>
  <c r="C224" i="1"/>
  <c r="F224" i="1" s="1"/>
  <c r="C223" i="1"/>
  <c r="C222" i="1"/>
  <c r="C221" i="1"/>
  <c r="C220" i="1"/>
  <c r="C219" i="1"/>
  <c r="C218" i="1"/>
  <c r="C209" i="1"/>
  <c r="D209" i="1" s="1"/>
  <c r="C208" i="1"/>
  <c r="F208" i="1" s="1"/>
  <c r="C207" i="1"/>
  <c r="D207" i="1" s="1"/>
  <c r="C206" i="1"/>
  <c r="F206" i="1" s="1"/>
  <c r="C205" i="1"/>
  <c r="C204" i="1"/>
  <c r="C203" i="1"/>
  <c r="C202" i="1"/>
  <c r="C201" i="1"/>
  <c r="C200" i="1"/>
  <c r="F207" i="1"/>
  <c r="C198" i="1"/>
  <c r="C197" i="1"/>
  <c r="C195" i="1"/>
  <c r="C194" i="1"/>
  <c r="F225" i="1" l="1"/>
  <c r="B178" i="1"/>
  <c r="C184" i="1"/>
  <c r="C181" i="1"/>
  <c r="F248" i="1"/>
  <c r="B181" i="1"/>
  <c r="B184" i="1"/>
  <c r="H223" i="1"/>
  <c r="I227" i="1"/>
  <c r="C178" i="1"/>
  <c r="D246" i="1"/>
  <c r="D235" i="1"/>
  <c r="D226" i="1"/>
  <c r="D227" i="1"/>
  <c r="D237" i="1"/>
  <c r="D208" i="1"/>
  <c r="D224" i="1"/>
  <c r="F209" i="1"/>
  <c r="D206" i="1"/>
  <c r="C185" i="1" l="1"/>
  <c r="B185" i="1"/>
  <c r="A132" i="1"/>
  <c r="D84" i="1"/>
  <c r="C34" i="1" l="1"/>
  <c r="F122" i="1" l="1"/>
  <c r="D122" i="1"/>
  <c r="C122" i="1"/>
  <c r="B122" i="1"/>
  <c r="A122" i="1"/>
  <c r="A158" i="1" l="1"/>
  <c r="A145" i="1"/>
  <c r="H168" i="1"/>
  <c r="H167" i="1"/>
  <c r="H166" i="1"/>
  <c r="C162" i="1" s="1"/>
  <c r="H165" i="1"/>
  <c r="H155" i="1"/>
  <c r="H154" i="1"/>
  <c r="H153" i="1"/>
  <c r="C149" i="1" s="1"/>
  <c r="H152" i="1"/>
  <c r="H142" i="1"/>
  <c r="H141" i="1"/>
  <c r="F146" i="1"/>
  <c r="F159" i="1"/>
  <c r="H170" i="1" l="1"/>
  <c r="H164" i="1"/>
  <c r="H169" i="1" s="1"/>
  <c r="D170" i="1"/>
  <c r="D164" i="1"/>
  <c r="D168" i="1"/>
  <c r="D162" i="1"/>
  <c r="D167" i="1"/>
  <c r="H163" i="1"/>
  <c r="D169" i="1"/>
  <c r="D163" i="1"/>
  <c r="D166" i="1"/>
  <c r="D165" i="1"/>
  <c r="E162" i="1"/>
  <c r="G158" i="1" s="1"/>
  <c r="B160" i="1" s="1"/>
  <c r="H157" i="1"/>
  <c r="H151" i="1"/>
  <c r="H156" i="1" s="1"/>
  <c r="D149" i="1"/>
  <c r="D154" i="1"/>
  <c r="D153" i="1"/>
  <c r="D157" i="1"/>
  <c r="D151" i="1"/>
  <c r="H150" i="1"/>
  <c r="D156" i="1"/>
  <c r="D150" i="1"/>
  <c r="D155" i="1"/>
  <c r="D152" i="1"/>
  <c r="E149" i="1"/>
  <c r="G145" i="1" s="1"/>
  <c r="B147" i="1" s="1"/>
  <c r="B81" i="1" l="1"/>
  <c r="B281" i="1" l="1"/>
  <c r="B131" i="2" l="1"/>
  <c r="C36" i="1" l="1"/>
  <c r="A280" i="1" l="1"/>
  <c r="A281" i="1" s="1"/>
  <c r="A282" i="1" s="1"/>
  <c r="A283" i="1" s="1"/>
  <c r="A284" i="1" s="1"/>
  <c r="A241" i="1"/>
  <c r="A242" i="1" s="1"/>
  <c r="A243" i="1" s="1"/>
  <c r="A244" i="1" s="1"/>
  <c r="A245" i="1" s="1"/>
  <c r="A246" i="1" s="1"/>
  <c r="A247" i="1" s="1"/>
  <c r="A248" i="1" s="1"/>
  <c r="A230" i="1"/>
  <c r="A231" i="1" s="1"/>
  <c r="A232" i="1" s="1"/>
  <c r="A233" i="1" s="1"/>
  <c r="A234" i="1" s="1"/>
  <c r="A235" i="1" s="1"/>
  <c r="A236" i="1" s="1"/>
  <c r="A237" i="1" s="1"/>
  <c r="A238" i="1" s="1"/>
  <c r="A219" i="1"/>
  <c r="A220" i="1" s="1"/>
  <c r="A221" i="1" s="1"/>
  <c r="A222" i="1" s="1"/>
  <c r="A223" i="1" s="1"/>
  <c r="A224" i="1" s="1"/>
  <c r="A225" i="1" s="1"/>
  <c r="A226" i="1" s="1"/>
  <c r="A227" i="1" s="1"/>
  <c r="A285" i="1" l="1"/>
  <c r="A286" i="1" s="1"/>
  <c r="A287" i="1" s="1"/>
  <c r="A288" i="1" s="1"/>
  <c r="A201" i="1"/>
  <c r="A202" i="1" s="1"/>
  <c r="A203" i="1" s="1"/>
  <c r="A204" i="1" s="1"/>
  <c r="A205" i="1" s="1"/>
  <c r="A206" i="1" s="1"/>
  <c r="A207" i="1" s="1"/>
  <c r="A208" i="1" s="1"/>
  <c r="A209" i="1" s="1"/>
  <c r="A195" i="1"/>
  <c r="A196" i="1" s="1"/>
  <c r="A197" i="1" s="1"/>
  <c r="A198" i="1" s="1"/>
  <c r="F194" i="1"/>
  <c r="C62" i="1" l="1"/>
  <c r="C59" i="1"/>
  <c r="B13" i="1" l="1"/>
  <c r="F245" i="1" l="1"/>
  <c r="D244" i="1"/>
  <c r="F243" i="1"/>
  <c r="F242" i="1"/>
  <c r="F241" i="1"/>
  <c r="D240" i="1"/>
  <c r="F234" i="1"/>
  <c r="F233" i="1"/>
  <c r="D232" i="1"/>
  <c r="F231" i="1"/>
  <c r="F230" i="1"/>
  <c r="F229" i="1"/>
  <c r="F223" i="1"/>
  <c r="F222" i="1"/>
  <c r="F221" i="1"/>
  <c r="D220" i="1"/>
  <c r="D219" i="1"/>
  <c r="F205" i="1"/>
  <c r="D204" i="1"/>
  <c r="F203" i="1"/>
  <c r="F202" i="1"/>
  <c r="F201" i="1"/>
  <c r="F200" i="1"/>
  <c r="D198" i="1"/>
  <c r="D197" i="1"/>
  <c r="D196" i="1"/>
  <c r="D195" i="1"/>
  <c r="F240" i="1" l="1"/>
  <c r="F244" i="1"/>
  <c r="D243" i="1"/>
  <c r="D242" i="1"/>
  <c r="D241" i="1"/>
  <c r="D245" i="1"/>
  <c r="D223" i="1"/>
  <c r="F219" i="1"/>
  <c r="D233" i="1"/>
  <c r="D222" i="1"/>
  <c r="D229" i="1"/>
  <c r="F232" i="1"/>
  <c r="F220" i="1"/>
  <c r="D231" i="1"/>
  <c r="D221" i="1"/>
  <c r="D230" i="1"/>
  <c r="D234" i="1"/>
  <c r="D201" i="1"/>
  <c r="D202" i="1"/>
  <c r="D205" i="1"/>
  <c r="F196" i="1"/>
  <c r="F198" i="1"/>
  <c r="D200" i="1"/>
  <c r="F197" i="1"/>
  <c r="F195" i="1"/>
  <c r="D203" i="1"/>
  <c r="F204" i="1"/>
  <c r="E181" i="1" s="1"/>
  <c r="E178" i="1" l="1"/>
  <c r="B124" i="2"/>
  <c r="M66" i="1" l="1"/>
  <c r="C289" i="1" l="1"/>
  <c r="F218" i="1" l="1"/>
  <c r="I218" i="1" l="1"/>
  <c r="J218" i="1"/>
  <c r="E184" i="1"/>
  <c r="E185" i="1" s="1"/>
  <c r="D218" i="1"/>
  <c r="D194" i="1"/>
  <c r="K116" i="2" l="1"/>
  <c r="K115" i="2"/>
  <c r="K114" i="2"/>
  <c r="K113" i="2"/>
  <c r="D107" i="2"/>
  <c r="F106" i="2"/>
  <c r="E116" i="2" l="1"/>
  <c r="E115" i="2"/>
  <c r="K109" i="2"/>
  <c r="E111" i="2"/>
  <c r="E114" i="2"/>
  <c r="E113" i="2"/>
  <c r="K108" i="2"/>
  <c r="E112" i="2"/>
  <c r="E118" i="2"/>
  <c r="K111" i="2"/>
  <c r="K112" i="2" s="1"/>
  <c r="K117" i="2" s="1"/>
  <c r="K118" i="2" s="1"/>
  <c r="D110" i="2" s="1"/>
  <c r="E117" i="2"/>
  <c r="K110" i="2"/>
  <c r="D109" i="2" s="1"/>
  <c r="H109" i="2" l="1"/>
  <c r="F109" i="2"/>
  <c r="J105" i="2" s="1"/>
  <c r="E110" i="2"/>
  <c r="E109" i="2"/>
  <c r="F133" i="1"/>
  <c r="H137" i="1" l="1"/>
  <c r="H144" i="1"/>
  <c r="C136" i="1" s="1"/>
  <c r="H138" i="1"/>
  <c r="D143" i="1"/>
  <c r="D137" i="1"/>
  <c r="D142" i="1"/>
  <c r="D141" i="1"/>
  <c r="D139" i="1"/>
  <c r="D140" i="1"/>
  <c r="D138" i="1"/>
  <c r="D144" i="1"/>
  <c r="H143" i="1" l="1"/>
  <c r="H139" i="1"/>
  <c r="H140" i="1" l="1"/>
  <c r="E136" i="1" l="1"/>
  <c r="E171" i="1" s="1"/>
  <c r="D136" i="1"/>
  <c r="C38" i="1" l="1"/>
  <c r="G132" i="1"/>
  <c r="B134" i="1" s="1"/>
  <c r="E1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SACHIN</author>
    <author>Sachin</author>
  </authors>
  <commentList>
    <comment ref="D10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SACHIN:</t>
        </r>
        <r>
          <rPr>
            <sz val="9"/>
            <color indexed="81"/>
            <rFont val="Tahoma"/>
            <family val="2"/>
          </rPr>
          <t xml:space="preserve">
Title certifcate lawyer name</t>
        </r>
      </text>
    </comment>
    <comment ref="C129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Sachin:</t>
        </r>
        <r>
          <rPr>
            <sz val="9"/>
            <color indexed="81"/>
            <rFont val="Tahoma"/>
            <family val="2"/>
          </rPr>
          <t xml:space="preserve">
Builder"s recent project names 
take from builder documents
</t>
        </r>
      </text>
    </comment>
    <comment ref="C130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Sachin:</t>
        </r>
        <r>
          <rPr>
            <sz val="9"/>
            <color indexed="81"/>
            <rFont val="Tahoma"/>
            <family val="2"/>
          </rPr>
          <t xml:space="preserve">
Approved by authority name
Positive or negavtive points
Surrounding buildings or mall etc or less distance from stn</t>
        </r>
      </text>
    </comment>
  </commentList>
</comments>
</file>

<file path=xl/sharedStrings.xml><?xml version="1.0" encoding="utf-8"?>
<sst xmlns="http://schemas.openxmlformats.org/spreadsheetml/2006/main" count="613" uniqueCount="374">
  <si>
    <t>PROJECT TECHNICAL REPORT</t>
  </si>
  <si>
    <t>RBL BRANCH NAME</t>
  </si>
  <si>
    <t>TDR FSI</t>
  </si>
  <si>
    <t>QUALITY, SPECS</t>
  </si>
  <si>
    <t>Construction details:</t>
  </si>
  <si>
    <t>Basement</t>
  </si>
  <si>
    <t>Ground</t>
  </si>
  <si>
    <t>Podium</t>
  </si>
  <si>
    <t>Floors</t>
  </si>
  <si>
    <t xml:space="preserve">Stage of construction: </t>
  </si>
  <si>
    <t>All work Completed. OC Received.</t>
  </si>
  <si>
    <t>Type of Work</t>
  </si>
  <si>
    <t>Project Progress %</t>
  </si>
  <si>
    <t>Slab/Floor</t>
  </si>
  <si>
    <t>Complition %</t>
  </si>
  <si>
    <t>Progress %</t>
  </si>
  <si>
    <t>Piling Work in process</t>
  </si>
  <si>
    <t>Excavation</t>
  </si>
  <si>
    <t>Excavation in process</t>
  </si>
  <si>
    <t>Plinth</t>
  </si>
  <si>
    <t>Excavation Completed</t>
  </si>
  <si>
    <t>RCC (Including podiums)</t>
  </si>
  <si>
    <t>Footing in Process</t>
  </si>
  <si>
    <t>Brickwork</t>
  </si>
  <si>
    <t>Footing Completed</t>
  </si>
  <si>
    <t>Internal Plaster</t>
  </si>
  <si>
    <t>Basement 1</t>
  </si>
  <si>
    <t>Ext. Plaster &amp; Plumbing</t>
  </si>
  <si>
    <t>Basement 2</t>
  </si>
  <si>
    <t>Flooring &amp; Fitting</t>
  </si>
  <si>
    <t>Basement 3</t>
  </si>
  <si>
    <t>Painting &amp; Wooden</t>
  </si>
  <si>
    <t>Basement 4</t>
  </si>
  <si>
    <t>Building Common Amenities</t>
  </si>
  <si>
    <t>Plinth in process</t>
  </si>
  <si>
    <t>Possession</t>
  </si>
  <si>
    <t>Plinth completed</t>
  </si>
  <si>
    <t>Completion %</t>
  </si>
  <si>
    <t>Plaster</t>
  </si>
  <si>
    <t>Electrical &amp; Plumbing</t>
  </si>
  <si>
    <t>Finishing</t>
  </si>
  <si>
    <t>Disbursement %</t>
  </si>
  <si>
    <t>Brickwork &amp; Internal Plaster</t>
  </si>
  <si>
    <t>External Plaster &amp; Plumbing</t>
  </si>
  <si>
    <t>g +7</t>
  </si>
  <si>
    <t>BUILDING/TOWERWISE UNIT - AREA DETAILS</t>
  </si>
  <si>
    <t>Building &amp; Wing</t>
  </si>
  <si>
    <t>No. of Units</t>
  </si>
  <si>
    <t>Total Carpet Area</t>
  </si>
  <si>
    <t>Total Saleable Area</t>
  </si>
  <si>
    <t>Building details Floor Wise</t>
  </si>
  <si>
    <t xml:space="preserve">Details of Flats in Building   </t>
  </si>
  <si>
    <t>Description</t>
  </si>
  <si>
    <t>Gross Carpet area</t>
  </si>
  <si>
    <t>Attached Terrace area</t>
  </si>
  <si>
    <t>Builtup Area</t>
  </si>
  <si>
    <t>Saleable area
Loading:</t>
  </si>
  <si>
    <t xml:space="preserve">Details of Commercial in Building   </t>
  </si>
  <si>
    <t>VALUE PARAMETERS</t>
  </si>
  <si>
    <t>Remarks:</t>
  </si>
  <si>
    <t>Photographs Of Property :</t>
  </si>
  <si>
    <t>Layout Of Property :</t>
  </si>
  <si>
    <t xml:space="preserve">Google Map : </t>
  </si>
  <si>
    <t>Name of Engineer Visited the property</t>
  </si>
  <si>
    <t xml:space="preserve">Authorized Signatory
Name &amp; Seal of the agency
                                               </t>
  </si>
  <si>
    <r>
      <t xml:space="preserve">Shop No.
</t>
    </r>
    <r>
      <rPr>
        <b/>
        <sz val="9"/>
        <color rgb="FF000000"/>
        <rFont val="Garamond"/>
        <family val="1"/>
      </rPr>
      <t>(Approved Plan)</t>
    </r>
  </si>
  <si>
    <t>Project Name</t>
  </si>
  <si>
    <t>Valuer Details</t>
  </si>
  <si>
    <t xml:space="preserve">Name Of Valuer </t>
  </si>
  <si>
    <t>Official Email Id</t>
  </si>
  <si>
    <t>Rvo Name Of Which Valuer Is Member</t>
  </si>
  <si>
    <t>Address Of Valution Agency</t>
  </si>
  <si>
    <t>Contact Person Name  &amp; Number</t>
  </si>
  <si>
    <t>Name Of Valuation Agency/Firm</t>
  </si>
  <si>
    <t>Apf Technical Report Assignment Details</t>
  </si>
  <si>
    <t>Builder Company/Entity Details - Seller Of The Project</t>
  </si>
  <si>
    <t>Name Of Entity Formed For Current Project</t>
  </si>
  <si>
    <t>Project Address Details</t>
  </si>
  <si>
    <t>Plot No.</t>
  </si>
  <si>
    <t>Date of Assignment</t>
  </si>
  <si>
    <t>Date of Visit</t>
  </si>
  <si>
    <t>Date of Valuation</t>
  </si>
  <si>
    <t>Street Name &amp;/No.</t>
  </si>
  <si>
    <t>State</t>
  </si>
  <si>
    <t>Pincode</t>
  </si>
  <si>
    <t>Nearest Rbl Bank Location</t>
  </si>
  <si>
    <t>Landmark</t>
  </si>
  <si>
    <t>District</t>
  </si>
  <si>
    <t>Country</t>
  </si>
  <si>
    <t>Lat, Long</t>
  </si>
  <si>
    <t>Distance From Rbl Bank Location (Kms.)</t>
  </si>
  <si>
    <t>Assigned By</t>
  </si>
  <si>
    <t>Property Visited By (Name)</t>
  </si>
  <si>
    <t>Report Prepared By (Name)</t>
  </si>
  <si>
    <t>North</t>
  </si>
  <si>
    <t>South</t>
  </si>
  <si>
    <t>East</t>
  </si>
  <si>
    <t>West</t>
  </si>
  <si>
    <t>As Per Ownership Docs</t>
  </si>
  <si>
    <t>As Per Site Investigation</t>
  </si>
  <si>
    <t>Project Boundaries Verification</t>
  </si>
  <si>
    <t>General Details</t>
  </si>
  <si>
    <t>Municipal Limit</t>
  </si>
  <si>
    <t>Municipal Authority (Name)</t>
  </si>
  <si>
    <t>Approach Road To Project</t>
  </si>
  <si>
    <t>Location Type*</t>
  </si>
  <si>
    <t>Quality Of Construction*</t>
  </si>
  <si>
    <t>Overall % Completion Of Project</t>
  </si>
  <si>
    <t>Project Falling In Caution Area</t>
  </si>
  <si>
    <t>Reason For Caution</t>
  </si>
  <si>
    <t>Project Architect Name</t>
  </si>
  <si>
    <t>Square Meter</t>
  </si>
  <si>
    <t>Project Area Details ( As Per Approved Plan )</t>
  </si>
  <si>
    <t>Area Type</t>
  </si>
  <si>
    <t>Total Plot Area</t>
  </si>
  <si>
    <t>Total Built Up Area</t>
  </si>
  <si>
    <t>Area Under Road</t>
  </si>
  <si>
    <t>Area Under R.G./Garden</t>
  </si>
  <si>
    <t>FSI / FAR Details</t>
  </si>
  <si>
    <t>Plot FSI / FAR</t>
  </si>
  <si>
    <t>Premium FSI / FAR</t>
  </si>
  <si>
    <t>Fungible FSI</t>
  </si>
  <si>
    <t>Addl .FSI Under any Other Regulation(1)</t>
  </si>
  <si>
    <t>Addl .FSI Under any Other Regulation(2)</t>
  </si>
  <si>
    <t>Total FSI/FAR</t>
  </si>
  <si>
    <t>Overall Remarks on Project Area &amp; FSI /FAR</t>
  </si>
  <si>
    <t>Total No. Of Units/Tenaments</t>
  </si>
  <si>
    <t>Total No. Of Parking</t>
  </si>
  <si>
    <t>Residential /Commercial Ratio</t>
  </si>
  <si>
    <t>Surrounding External Amenities</t>
  </si>
  <si>
    <t>Nearestr Bus Stop</t>
  </si>
  <si>
    <t>Nearest Bank</t>
  </si>
  <si>
    <t>Nearest Hospital</t>
  </si>
  <si>
    <t>Name Of The Premises/Description</t>
  </si>
  <si>
    <t>Approx. Distance From Property (In Kms)</t>
  </si>
  <si>
    <t>Nearest Multiplex / Mall/ Market</t>
  </si>
  <si>
    <t>Nearest School/ College</t>
  </si>
  <si>
    <t>Internal Project Specs - Comment On Availability &amp; Quality</t>
  </si>
  <si>
    <t>Structural Elements &amp; Wall Thickness</t>
  </si>
  <si>
    <t>Plaster &amp; Painting</t>
  </si>
  <si>
    <t>Electrification</t>
  </si>
  <si>
    <t>Plumbing &amp; Bath Fittings</t>
  </si>
  <si>
    <t>Door, Windows</t>
  </si>
  <si>
    <t>Availability (Y/N)</t>
  </si>
  <si>
    <t>Potable Water Connection</t>
  </si>
  <si>
    <t>Sewerage System</t>
  </si>
  <si>
    <t>Lift</t>
  </si>
  <si>
    <t>Power Backup</t>
  </si>
  <si>
    <t>Parking</t>
  </si>
  <si>
    <t>Clubhouse</t>
  </si>
  <si>
    <t>Gym</t>
  </si>
  <si>
    <t>Swimming Pool</t>
  </si>
  <si>
    <t>Garden</t>
  </si>
  <si>
    <t>Community Hall</t>
  </si>
  <si>
    <t>Any Additional Amenities, To Above, Pls Specify</t>
  </si>
  <si>
    <t>Technical Documents Details</t>
  </si>
  <si>
    <t>Document Name</t>
  </si>
  <si>
    <t>Approved Layout Plan</t>
  </si>
  <si>
    <t>Approved Floor Plan</t>
  </si>
  <si>
    <t>Construction  / Building Permission / Commencement Certificate</t>
  </si>
  <si>
    <t>Non Agricultural Permission / Land Conversion / Diversion</t>
  </si>
  <si>
    <t>Building Completion / Occupation Permission / Use Permission</t>
  </si>
  <si>
    <t>Location Sketch/ Certificate</t>
  </si>
  <si>
    <t>Authority Allotment Letter</t>
  </si>
  <si>
    <t>Ownership Doc 1</t>
  </si>
  <si>
    <t>Ownership Doc 2</t>
  </si>
  <si>
    <t>Remarks On Documents Verified</t>
  </si>
  <si>
    <t>Approving Authority Name</t>
  </si>
  <si>
    <t>Applicability &amp; Availability</t>
  </si>
  <si>
    <t>Approving Authority</t>
  </si>
  <si>
    <t>Details Of Approval</t>
  </si>
  <si>
    <t>Rera Details ( If Applicable)</t>
  </si>
  <si>
    <t>Rera Applicable</t>
  </si>
  <si>
    <t>Rera Registration No</t>
  </si>
  <si>
    <t>Project Start Date As Per Rera</t>
  </si>
  <si>
    <t>If Any Litigation Record On Project As Per Rera</t>
  </si>
  <si>
    <t>If Applicable, Rera Registration Status</t>
  </si>
  <si>
    <t>Project Completion Date As Per Rera</t>
  </si>
  <si>
    <t xml:space="preserve">Litigation Details As Per Rera Website </t>
  </si>
  <si>
    <t>Critical Parameters</t>
  </si>
  <si>
    <t>Flood Prone Area</t>
  </si>
  <si>
    <t>Coastal Regulatory Zone</t>
  </si>
  <si>
    <t>Falling In Present Or Proposed Road Widening</t>
  </si>
  <si>
    <t>Property Near High/Low Tension (Ht)/(Lt) Lines ?</t>
  </si>
  <si>
    <t>Presence Of Nallah/ Lake / Water Body Nearby</t>
  </si>
  <si>
    <t>Unit Deviation</t>
  </si>
  <si>
    <t>Seismic Zone</t>
  </si>
  <si>
    <t>Zoning As Per Development Plan</t>
  </si>
  <si>
    <t>Falling In Reservation As Per Development Plan</t>
  </si>
  <si>
    <t>Property Within 30 Mtrs From Railway Boundary ?</t>
  </si>
  <si>
    <t>Fsi Deviation</t>
  </si>
  <si>
    <t>Vertical Deviation</t>
  </si>
  <si>
    <t>Habitation In ( % ) Within 1 Kms Around Project</t>
  </si>
  <si>
    <t>Remarks In Case Project Affected By Any Of Critical Parameter</t>
  </si>
  <si>
    <t>Technical Deviations Observed In Project</t>
  </si>
  <si>
    <t>Demolition Risk</t>
  </si>
  <si>
    <t>Detail Of Deviation, If Any</t>
  </si>
  <si>
    <t>Total Phases</t>
  </si>
  <si>
    <t>Total No. Of Buildings</t>
  </si>
  <si>
    <t>Total No. Of Wings</t>
  </si>
  <si>
    <t>Total No. Of Approved Units (A)</t>
  </si>
  <si>
    <t>Total No. Of Unapproved Units (B)</t>
  </si>
  <si>
    <t>Total No. Of (A+B) Units</t>
  </si>
  <si>
    <t>Is The Project Technically Acceptable ?</t>
  </si>
  <si>
    <t>Is The Project Marketable ?</t>
  </si>
  <si>
    <t>Comment On Builder Group Involved In Project Development</t>
  </si>
  <si>
    <t>Overall Comments On Project Acceptability &amp; Marketablity</t>
  </si>
  <si>
    <t>FOUNDATION WIP</t>
  </si>
  <si>
    <t>PLINTH WIP</t>
  </si>
  <si>
    <t>YET TO START</t>
  </si>
  <si>
    <t>Sr.No.</t>
  </si>
  <si>
    <t>Base Rate Psf Rs.</t>
  </si>
  <si>
    <t>Floor Rise
(If Applicable)</t>
  </si>
  <si>
    <t>In Rs. Psf
(If Applicable)</t>
  </si>
  <si>
    <t>In Lumpsum Basis
(If Applicable)</t>
  </si>
  <si>
    <t>Applicable From Floor No.</t>
  </si>
  <si>
    <t>Applicable To Floor No.</t>
  </si>
  <si>
    <t>Applicable To Building /W ing</t>
  </si>
  <si>
    <t xml:space="preserve">Floor Rise 1 </t>
  </si>
  <si>
    <t>Floor Rise 2</t>
  </si>
  <si>
    <t>Floor Rise 3</t>
  </si>
  <si>
    <t>Floor Rise 4</t>
  </si>
  <si>
    <t>Plc Charges
(If Applicable)</t>
  </si>
  <si>
    <t>Details Of Plc/View</t>
  </si>
  <si>
    <t>List Of Unit Nos - Plc Applicable</t>
  </si>
  <si>
    <t>PLC Type 1</t>
  </si>
  <si>
    <t>PLC Type 2</t>
  </si>
  <si>
    <t>PLC Type 3</t>
  </si>
  <si>
    <t>Amenities Details</t>
  </si>
  <si>
    <t>Details Of Amenity Cost - Optional/Compulsory To Buyer, No Of Years, Etc</t>
  </si>
  <si>
    <t>Remarks, If Any</t>
  </si>
  <si>
    <t>Clubhouse &amp; 
Recreational</t>
  </si>
  <si>
    <t>Electricity &amp; Water Con.</t>
  </si>
  <si>
    <t>Infra</t>
  </si>
  <si>
    <t>Development</t>
  </si>
  <si>
    <t>Maintenance</t>
  </si>
  <si>
    <t>Any Other Amenity 1</t>
  </si>
  <si>
    <t>Any Other Amenity 2</t>
  </si>
  <si>
    <t>Any Other Amenity 3</t>
  </si>
  <si>
    <t>Maharashtra</t>
  </si>
  <si>
    <t>India</t>
  </si>
  <si>
    <t>Yes</t>
  </si>
  <si>
    <t>V.S Jadon &amp; Co.Valuers LLP</t>
  </si>
  <si>
    <t>Mr. Vishwajeet Singh Jadon</t>
  </si>
  <si>
    <t>vsjc.apf@gmail.com</t>
  </si>
  <si>
    <t>Mr. Sachin Sawant - 9820058999</t>
  </si>
  <si>
    <t>NA</t>
  </si>
  <si>
    <t>Taluka</t>
  </si>
  <si>
    <t>City</t>
  </si>
  <si>
    <t>Village</t>
  </si>
  <si>
    <t>As Per Layout Plan</t>
  </si>
  <si>
    <t>Same</t>
  </si>
  <si>
    <t>Location Link</t>
  </si>
  <si>
    <t>Good</t>
  </si>
  <si>
    <t>No</t>
  </si>
  <si>
    <t>Fire Noc &amp; Plans</t>
  </si>
  <si>
    <t>Environmental Clearance</t>
  </si>
  <si>
    <t>Coastal Regulatory Zonex ( Crz ) Noc</t>
  </si>
  <si>
    <t>Registered</t>
  </si>
  <si>
    <t>Zone III</t>
  </si>
  <si>
    <t>Not Appicable</t>
  </si>
  <si>
    <t>Approved no of Floors</t>
  </si>
  <si>
    <t>Proposed no of Floors</t>
  </si>
  <si>
    <t>Commercial Area Details : Shops</t>
  </si>
  <si>
    <t>Commercial Area Details : Office</t>
  </si>
  <si>
    <t>Grand Total</t>
  </si>
  <si>
    <t>Residential Area Details : Flats</t>
  </si>
  <si>
    <r>
      <t xml:space="preserve">Flat No.
</t>
    </r>
    <r>
      <rPr>
        <b/>
        <sz val="9"/>
        <color rgb="FF000000"/>
        <rFont val="Garamond"/>
        <family val="1"/>
      </rPr>
      <t>(Approved Plan)</t>
    </r>
  </si>
  <si>
    <t>Building /Wing - Name /No</t>
  </si>
  <si>
    <t xml:space="preserve">Base Rate Considered On Area - 
Carpet/ Bua/ Saleale </t>
  </si>
  <si>
    <t>Saleable Area</t>
  </si>
  <si>
    <t>Construction Work is in process at the time of visit.</t>
  </si>
  <si>
    <t>We have considered rate by verifying it from market inquire.</t>
  </si>
  <si>
    <t>Car parking is subjected to authentic documentation.</t>
  </si>
  <si>
    <t>Recommended rate should be considered as all inclusive rate if other charges are not mentioned. (Excluding GST &amp; other government Taxes)</t>
  </si>
  <si>
    <t>Documents received on:</t>
  </si>
  <si>
    <t>Yes &amp; 0.15m</t>
  </si>
  <si>
    <t>Excavation in Process</t>
  </si>
  <si>
    <t>Foundation in Process</t>
  </si>
  <si>
    <t>Building No. 1 = Gr. + 1st to 17th Floor</t>
  </si>
  <si>
    <t xml:space="preserve">Labours &amp; Materials were found on site at the time of visit. </t>
  </si>
  <si>
    <t>Saleable area Loading :</t>
  </si>
  <si>
    <t>Office No. 1031, Wing J, Akshar Business Park, Plot No. 03 Sector 25, Near APMC Market, Vashi, Navi Mumbai, Maharashtra 400703 TEL: 022-46090378/79/80</t>
  </si>
  <si>
    <t>Project Location details</t>
  </si>
  <si>
    <t>Locality</t>
  </si>
  <si>
    <t>Res+Comm=total</t>
  </si>
  <si>
    <t>total/res : total:com</t>
  </si>
  <si>
    <t>Larkins 315 Rio B</t>
  </si>
  <si>
    <t>Airoli</t>
  </si>
  <si>
    <t>Mr. Abhishek Manjrekar</t>
  </si>
  <si>
    <t>Kunal Kadam</t>
  </si>
  <si>
    <t>Pushpak Developers</t>
  </si>
  <si>
    <t>Larkins 315 Rio B (Sale Wing B)</t>
  </si>
  <si>
    <t>315, TPS -1</t>
  </si>
  <si>
    <t>Thane</t>
  </si>
  <si>
    <t>Thane West</t>
  </si>
  <si>
    <t>Atlantis Society</t>
  </si>
  <si>
    <t>Panchpakhadi</t>
  </si>
  <si>
    <t>19.197275,72.964352</t>
  </si>
  <si>
    <t>https://maps.app.goo.gl/TXuKC4LXLnSFRxXZ7</t>
  </si>
  <si>
    <t>1.3Km</t>
  </si>
  <si>
    <t>RBL Bank Ltd - Naupada, Thane Branch</t>
  </si>
  <si>
    <t>12.20 M. Wide Road</t>
  </si>
  <si>
    <t>Namdeo Wadi Road</t>
  </si>
  <si>
    <t>Pipeline Road</t>
  </si>
  <si>
    <t>Internal Road</t>
  </si>
  <si>
    <t>6.00 M. Wide Road</t>
  </si>
  <si>
    <t>Ramchandra Tower Road</t>
  </si>
  <si>
    <t>Slum Rehabilitation Authority (SRA)</t>
  </si>
  <si>
    <t>Eastern Express Highway</t>
  </si>
  <si>
    <t>Nexstep Consultant (Ar. Nilesh Sawant)</t>
  </si>
  <si>
    <t>Net Plot Area</t>
  </si>
  <si>
    <t>Nitin Company</t>
  </si>
  <si>
    <t>250m</t>
  </si>
  <si>
    <t>Saraswat Bank</t>
  </si>
  <si>
    <t>300m</t>
  </si>
  <si>
    <t>Saraswati Education Society’s</t>
  </si>
  <si>
    <t>600m</t>
  </si>
  <si>
    <t>Aayush Multispecialty Hospital</t>
  </si>
  <si>
    <t>270m</t>
  </si>
  <si>
    <t>Korum Mall</t>
  </si>
  <si>
    <t>800m</t>
  </si>
  <si>
    <t>Table Tennis, Carrom, Kids’ Play Area, Pool Table, Multipurpose Hall, Karaoke Lounge, Crèche, Kids Rock Climbing, Foosball, Café/Flip Space</t>
  </si>
  <si>
    <t>Applicable and Received</t>
  </si>
  <si>
    <t>SRA</t>
  </si>
  <si>
    <t>Not Applicable</t>
  </si>
  <si>
    <t>To be obtained</t>
  </si>
  <si>
    <t>SEIAA</t>
  </si>
  <si>
    <t>SIA/MH/MIS/243356/2021
Date : 31/03/2022
Valid For : Plot Area = 11390.68
Total Built Up Area = 127313.84</t>
  </si>
  <si>
    <t>Verified By Santosh J. Kashid
Adv High Court</t>
  </si>
  <si>
    <t>SRA/ENG/3274/THANE/STGL/AP
Date : 03/05/2023</t>
  </si>
  <si>
    <t>P51700052258</t>
  </si>
  <si>
    <t>Larkins Nest, Larkins One, etc</t>
  </si>
  <si>
    <t>Project Name is approved by SRA. Surrounded by Residential Buildings. School, College, Mall, etc within 1.00Km from project.</t>
  </si>
  <si>
    <t>Sale Building (Wing B) = B + Gr/st + 1st to 3rd Floor + 4th Floor (Service Floor) + 5th to 27th Floor + 28th Floor (Recreational Floor) + 29th Floor (Recreational Floor) + 30th to 33rd Floor</t>
  </si>
  <si>
    <t>Sale Building</t>
  </si>
  <si>
    <t>B Wing</t>
  </si>
  <si>
    <t>Basement for Parking</t>
  </si>
  <si>
    <t>Ground Floor for Commercial, Meter Room, Socirty Office, Entrance Lobby &amp; Parking</t>
  </si>
  <si>
    <t>Shop</t>
  </si>
  <si>
    <t>Office</t>
  </si>
  <si>
    <t>4th Floor (Service Floor)</t>
  </si>
  <si>
    <t>5th, 6th, 8th to 10th, 12th to 14th, 17th to 20th, 22nd to 25th, 
27th, 30th, 32nd &amp; 33rd Floor For Residential</t>
  </si>
  <si>
    <t>3BHK</t>
  </si>
  <si>
    <t>2BHK</t>
  </si>
  <si>
    <t>7th, 11th, 16th, 21st, 26th &amp; 31st Floor (Part Refuge Area &amp; Sale Area)</t>
  </si>
  <si>
    <t>Refuge Area</t>
  </si>
  <si>
    <t>15th Floor (Part Refuge Area &amp; Sale Area)</t>
  </si>
  <si>
    <t>3.5BHK</t>
  </si>
  <si>
    <t>28th Floor (Recreational Floor)</t>
  </si>
  <si>
    <t>29th Floor For Fitness Centre, Seating Area, Kids Play Area &amp; Café</t>
  </si>
  <si>
    <t>Sale Wing B</t>
  </si>
  <si>
    <t>Ajay Songare</t>
  </si>
  <si>
    <t>We considered Gross carpet area = Net carpet + Balcony Area.</t>
  </si>
  <si>
    <t>On Site, we meet Mr Kuldeep.</t>
  </si>
  <si>
    <t>Cars = 233, Bike = 412</t>
  </si>
  <si>
    <t>88 : 12</t>
  </si>
  <si>
    <t>Residential Built Up Area Sale Wing B</t>
  </si>
  <si>
    <t>Total Commercial Built Up Area Wing B</t>
  </si>
  <si>
    <t>Area Not in Possesion</t>
  </si>
  <si>
    <t>1st to 3rd Floor For Commercial</t>
  </si>
  <si>
    <t>Wing B</t>
  </si>
  <si>
    <t>Shops = 05, 
Office = 30, 
Flats = 263</t>
  </si>
  <si>
    <t>Namdeo Vadi</t>
  </si>
  <si>
    <t xml:space="preserve">SRA/ENG/3274/THANE/STGL/AP
Date : 06/03/2024
</t>
  </si>
  <si>
    <t>Valid Upto: Sale Building Wing B = This C.C. is Further extended from Basement  + Gr.(pt) Stilt (Pt) + 1st to 4th floor of Sale Building Wing - B as per approved amended plans dtd.03/05/2023.</t>
  </si>
  <si>
    <t xml:space="preserve">SRA/ENG/3274/THANE/STGL/AP
Date : 29/10/2024
</t>
  </si>
  <si>
    <t>Valid Upto: Sale Building Wing B = This Further CC is Re-endorsed upto 4th floor of sale Building Wing B as per approved plans dtd 29/10/2024.</t>
  </si>
  <si>
    <t xml:space="preserve">SRA/ENG/3274/THANE/STGL/AP
Date : 08/11/2024
</t>
  </si>
  <si>
    <t>Valid Upto: Sale Building Wing B = This Further CC is extended from 5th to 15th floor of sale Building Wing B as per approved amended plans dtd.29/10/2024</t>
  </si>
  <si>
    <t xml:space="preserve">SRA/ENG/3274/THANE/STGL/AP
Date : 28/03/2025
</t>
  </si>
  <si>
    <t>Valid Upto: Sale Building Wing B = This further CC is extended from 16th to 26th floors &amp; R.C.C. frame work further CC extended from 27th floors to 33rd floors with LMR &amp; OHWT  of sale Building Wing B as per approved amended plans dtd 29/10/2024</t>
  </si>
  <si>
    <t>We have updated C.C from RERA  (On 08/08/2025)</t>
  </si>
  <si>
    <t>Please provide revised approved plans.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</si>
</sst>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Garamond"/>
      <family val="1"/>
    </font>
    <font>
      <sz val="11"/>
      <color theme="1"/>
      <name val="Garamond"/>
      <family val="1"/>
    </font>
    <font>
      <sz val="11"/>
      <color rgb="FF000000"/>
      <name val="Book Antiqua"/>
      <family val="1"/>
    </font>
    <font>
      <sz val="9"/>
      <color rgb="FF000000"/>
      <name val="Garamond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10"/>
      <color theme="1"/>
      <name val="Garamond"/>
      <family val="1"/>
    </font>
    <font>
      <b/>
      <sz val="9"/>
      <color theme="1"/>
      <name val="Garamond"/>
      <family val="1"/>
    </font>
    <font>
      <b/>
      <sz val="9"/>
      <color indexed="8"/>
      <name val="Garamond"/>
      <family val="1"/>
    </font>
    <font>
      <u/>
      <sz val="11"/>
      <color theme="10"/>
      <name val="Calibri"/>
      <family val="2"/>
      <scheme val="minor"/>
    </font>
    <font>
      <b/>
      <sz val="10"/>
      <color rgb="FF000000"/>
      <name val="Garamond"/>
      <family val="1"/>
    </font>
    <font>
      <b/>
      <sz val="11"/>
      <color rgb="FF000000"/>
      <name val="Garamond"/>
      <family val="1"/>
    </font>
    <font>
      <sz val="11"/>
      <color rgb="FFFF0000"/>
      <name val="Garamond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Garamond"/>
      <family val="1"/>
    </font>
    <font>
      <b/>
      <sz val="11"/>
      <color theme="1"/>
      <name val="Garamond"/>
      <family val="1"/>
    </font>
    <font>
      <sz val="11"/>
      <color indexed="8"/>
      <name val="Garamond"/>
      <family val="1"/>
    </font>
    <font>
      <b/>
      <sz val="11"/>
      <color indexed="8"/>
      <name val="Garamond"/>
      <family val="1"/>
    </font>
    <font>
      <sz val="11"/>
      <name val="Garamond"/>
      <family val="1"/>
    </font>
    <font>
      <b/>
      <sz val="9"/>
      <name val="Garamond"/>
      <family val="1"/>
    </font>
    <font>
      <b/>
      <sz val="11"/>
      <name val="Garamond"/>
      <family val="1"/>
    </font>
    <font>
      <sz val="9"/>
      <name val="Garamond"/>
      <family val="1"/>
    </font>
    <font>
      <sz val="10"/>
      <name val="Garamond"/>
      <family val="1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10"/>
      <name val="Garamond"/>
      <family val="1"/>
    </font>
    <font>
      <b/>
      <sz val="12"/>
      <color theme="1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1" fillId="0" borderId="0"/>
    <xf numFmtId="0" fontId="14" fillId="0" borderId="0"/>
    <xf numFmtId="0" fontId="20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88">
    <xf numFmtId="0" fontId="0" fillId="0" borderId="0" xfId="0"/>
    <xf numFmtId="0" fontId="6" fillId="0" borderId="0" xfId="0" applyFont="1"/>
    <xf numFmtId="0" fontId="6" fillId="0" borderId="13" xfId="2" applyFont="1" applyBorder="1" applyProtection="1">
      <protection hidden="1"/>
    </xf>
    <xf numFmtId="0" fontId="6" fillId="0" borderId="14" xfId="2" applyFont="1" applyBorder="1" applyProtection="1">
      <protection hidden="1"/>
    </xf>
    <xf numFmtId="0" fontId="6" fillId="0" borderId="0" xfId="2" applyFont="1" applyProtection="1">
      <protection hidden="1"/>
    </xf>
    <xf numFmtId="0" fontId="6" fillId="0" borderId="1" xfId="2" applyFont="1" applyBorder="1" applyProtection="1">
      <protection hidden="1"/>
    </xf>
    <xf numFmtId="0" fontId="7" fillId="0" borderId="0" xfId="0" applyFont="1" applyProtection="1">
      <protection hidden="1"/>
    </xf>
    <xf numFmtId="0" fontId="6" fillId="0" borderId="1" xfId="2" applyFont="1" applyBorder="1"/>
    <xf numFmtId="0" fontId="7" fillId="0" borderId="1" xfId="0" applyFont="1" applyBorder="1" applyProtection="1">
      <protection hidden="1"/>
    </xf>
    <xf numFmtId="1" fontId="6" fillId="0" borderId="1" xfId="0" applyNumberFormat="1" applyFont="1" applyBorder="1"/>
    <xf numFmtId="1" fontId="6" fillId="0" borderId="1" xfId="0" applyNumberFormat="1" applyFont="1" applyBorder="1" applyAlignment="1">
      <alignment horizontal="right"/>
    </xf>
    <xf numFmtId="0" fontId="7" fillId="0" borderId="18" xfId="0" applyFont="1" applyBorder="1" applyProtection="1">
      <protection hidden="1"/>
    </xf>
    <xf numFmtId="1" fontId="6" fillId="0" borderId="17" xfId="0" applyNumberFormat="1" applyFont="1" applyBorder="1"/>
    <xf numFmtId="0" fontId="9" fillId="0" borderId="13" xfId="2" applyFont="1" applyBorder="1" applyProtection="1">
      <protection hidden="1"/>
    </xf>
    <xf numFmtId="0" fontId="9" fillId="0" borderId="14" xfId="2" applyFont="1" applyBorder="1" applyProtection="1">
      <protection hidden="1"/>
    </xf>
    <xf numFmtId="0" fontId="9" fillId="0" borderId="4" xfId="2" applyFont="1" applyBorder="1" applyAlignment="1" applyProtection="1">
      <alignment horizontal="center" vertical="top"/>
      <protection locked="0"/>
    </xf>
    <xf numFmtId="0" fontId="9" fillId="0" borderId="5" xfId="2" applyFont="1" applyBorder="1" applyAlignment="1" applyProtection="1">
      <alignment horizontal="center" vertical="top"/>
      <protection locked="0"/>
    </xf>
    <xf numFmtId="0" fontId="9" fillId="0" borderId="0" xfId="2" applyFont="1" applyProtection="1">
      <protection hidden="1"/>
    </xf>
    <xf numFmtId="0" fontId="9" fillId="0" borderId="1" xfId="2" applyFont="1" applyBorder="1" applyProtection="1">
      <protection hidden="1"/>
    </xf>
    <xf numFmtId="0" fontId="9" fillId="0" borderId="5" xfId="2" applyFont="1" applyBorder="1" applyAlignment="1" applyProtection="1">
      <alignment horizontal="center" vertical="top" wrapText="1"/>
      <protection locked="0"/>
    </xf>
    <xf numFmtId="0" fontId="10" fillId="0" borderId="0" xfId="0" applyFont="1" applyProtection="1">
      <protection hidden="1"/>
    </xf>
    <xf numFmtId="0" fontId="9" fillId="0" borderId="1" xfId="2" applyFont="1" applyBorder="1"/>
    <xf numFmtId="0" fontId="9" fillId="0" borderId="5" xfId="2" applyFont="1" applyBorder="1" applyAlignment="1" applyProtection="1">
      <alignment horizontal="center" wrapText="1"/>
      <protection locked="0"/>
    </xf>
    <xf numFmtId="9" fontId="9" fillId="3" borderId="5" xfId="2" applyNumberFormat="1" applyFont="1" applyFill="1" applyBorder="1" applyAlignment="1" applyProtection="1">
      <alignment horizontal="center" vertical="center" wrapText="1"/>
      <protection hidden="1"/>
    </xf>
    <xf numFmtId="0" fontId="10" fillId="0" borderId="1" xfId="0" applyFont="1" applyBorder="1" applyProtection="1">
      <protection hidden="1"/>
    </xf>
    <xf numFmtId="1" fontId="9" fillId="0" borderId="5" xfId="2" applyNumberFormat="1" applyFont="1" applyBorder="1" applyAlignment="1" applyProtection="1">
      <alignment horizontal="center" wrapText="1"/>
      <protection locked="0"/>
    </xf>
    <xf numFmtId="1" fontId="11" fillId="0" borderId="1" xfId="0" applyNumberFormat="1" applyFont="1" applyBorder="1"/>
    <xf numFmtId="1" fontId="11" fillId="0" borderId="1" xfId="0" applyNumberFormat="1" applyFont="1" applyBorder="1" applyAlignment="1">
      <alignment horizontal="right"/>
    </xf>
    <xf numFmtId="0" fontId="9" fillId="0" borderId="16" xfId="2" applyFont="1" applyBorder="1" applyAlignment="1" applyProtection="1">
      <alignment horizontal="center" wrapText="1"/>
      <protection locked="0"/>
    </xf>
    <xf numFmtId="9" fontId="9" fillId="3" borderId="16" xfId="2" applyNumberFormat="1" applyFont="1" applyFill="1" applyBorder="1" applyAlignment="1" applyProtection="1">
      <alignment horizontal="center" vertical="center" wrapText="1"/>
      <protection hidden="1"/>
    </xf>
    <xf numFmtId="0" fontId="10" fillId="0" borderId="18" xfId="0" applyFont="1" applyBorder="1" applyProtection="1">
      <protection hidden="1"/>
    </xf>
    <xf numFmtId="1" fontId="11" fillId="0" borderId="17" xfId="0" applyNumberFormat="1" applyFont="1" applyBorder="1"/>
    <xf numFmtId="0" fontId="9" fillId="0" borderId="8" xfId="2" applyFont="1" applyBorder="1" applyAlignment="1" applyProtection="1">
      <alignment vertical="top"/>
      <protection locked="0"/>
    </xf>
    <xf numFmtId="0" fontId="9" fillId="0" borderId="3" xfId="2" applyFont="1" applyBorder="1" applyAlignment="1" applyProtection="1">
      <alignment vertical="top"/>
      <protection locked="0"/>
    </xf>
    <xf numFmtId="0" fontId="9" fillId="0" borderId="2" xfId="2" applyFont="1" applyBorder="1" applyAlignment="1" applyProtection="1">
      <alignment vertical="top"/>
      <protection locked="0"/>
    </xf>
    <xf numFmtId="0" fontId="9" fillId="0" borderId="0" xfId="0" applyFont="1" applyAlignment="1">
      <alignment horizontal="center" vertical="center"/>
    </xf>
    <xf numFmtId="0" fontId="13" fillId="0" borderId="0" xfId="3" applyFont="1"/>
    <xf numFmtId="0" fontId="9" fillId="0" borderId="0" xfId="2" applyFont="1"/>
    <xf numFmtId="0" fontId="9" fillId="0" borderId="0" xfId="2" applyFont="1" applyAlignment="1">
      <alignment horizontal="center" vertical="center"/>
    </xf>
    <xf numFmtId="1" fontId="9" fillId="0" borderId="0" xfId="2" applyNumberFormat="1" applyFont="1" applyAlignment="1">
      <alignment horizontal="center" vertical="center"/>
    </xf>
    <xf numFmtId="1" fontId="12" fillId="0" borderId="0" xfId="0" applyNumberFormat="1" applyFont="1" applyAlignment="1" applyProtection="1">
      <alignment vertical="center" wrapText="1"/>
      <protection locked="0"/>
    </xf>
    <xf numFmtId="0" fontId="12" fillId="0" borderId="0" xfId="2" applyFont="1" applyAlignment="1" applyProtection="1">
      <alignment vertical="top"/>
      <protection locked="0"/>
    </xf>
    <xf numFmtId="1" fontId="12" fillId="0" borderId="0" xfId="2" applyNumberFormat="1" applyFont="1" applyAlignment="1" applyProtection="1">
      <alignment vertical="center" wrapText="1"/>
      <protection locked="0"/>
    </xf>
    <xf numFmtId="0" fontId="15" fillId="0" borderId="0" xfId="0" applyFont="1"/>
    <xf numFmtId="0" fontId="5" fillId="2" borderId="5" xfId="1" applyFont="1" applyFill="1" applyBorder="1" applyAlignment="1" applyProtection="1">
      <alignment vertical="center" wrapText="1"/>
      <protection locked="0"/>
    </xf>
    <xf numFmtId="0" fontId="2" fillId="4" borderId="5" xfId="0" applyFont="1" applyFill="1" applyBorder="1" applyAlignment="1">
      <alignment horizontal="left" vertical="top" wrapText="1"/>
    </xf>
    <xf numFmtId="0" fontId="2" fillId="4" borderId="5" xfId="1" applyFont="1" applyFill="1" applyBorder="1" applyAlignment="1">
      <alignment vertical="center" wrapText="1"/>
    </xf>
    <xf numFmtId="1" fontId="19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6" fillId="5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4" borderId="0" xfId="0" applyFont="1" applyFill="1" applyAlignment="1">
      <alignment vertical="top" wrapText="1"/>
    </xf>
    <xf numFmtId="2" fontId="9" fillId="0" borderId="0" xfId="2" applyNumberFormat="1" applyFont="1" applyAlignment="1">
      <alignment horizontal="center" vertical="center"/>
    </xf>
    <xf numFmtId="0" fontId="21" fillId="4" borderId="5" xfId="0" applyFont="1" applyFill="1" applyBorder="1" applyAlignment="1">
      <alignment horizontal="left" vertical="top" wrapText="1"/>
    </xf>
    <xf numFmtId="0" fontId="22" fillId="4" borderId="5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hidden="1"/>
    </xf>
    <xf numFmtId="1" fontId="6" fillId="0" borderId="0" xfId="0" applyNumberFormat="1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1" fontId="19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5" xfId="0" applyFont="1" applyFill="1" applyBorder="1" applyAlignment="1">
      <alignment horizontal="left" vertical="center" wrapText="1"/>
    </xf>
    <xf numFmtId="0" fontId="3" fillId="4" borderId="11" xfId="2" applyFont="1" applyFill="1" applyBorder="1" applyAlignment="1" applyProtection="1">
      <alignment horizontal="center" vertical="center"/>
      <protection locked="0"/>
    </xf>
    <xf numFmtId="0" fontId="3" fillId="4" borderId="12" xfId="2" applyFont="1" applyFill="1" applyBorder="1" applyAlignment="1" applyProtection="1">
      <alignment horizontal="center" vertical="center"/>
      <protection locked="0"/>
    </xf>
    <xf numFmtId="0" fontId="3" fillId="4" borderId="5" xfId="2" applyFont="1" applyFill="1" applyBorder="1" applyAlignment="1" applyProtection="1">
      <alignment horizontal="center" vertical="center"/>
      <protection locked="0"/>
    </xf>
    <xf numFmtId="0" fontId="3" fillId="4" borderId="6" xfId="2" applyFont="1" applyFill="1" applyBorder="1" applyAlignment="1" applyProtection="1">
      <alignment horizontal="center" vertical="center"/>
      <protection locked="0"/>
    </xf>
    <xf numFmtId="0" fontId="3" fillId="4" borderId="4" xfId="2" applyFont="1" applyFill="1" applyBorder="1" applyAlignment="1" applyProtection="1">
      <alignment horizontal="left" vertical="top" wrapText="1"/>
      <protection locked="0"/>
    </xf>
    <xf numFmtId="0" fontId="3" fillId="4" borderId="5" xfId="0" applyFont="1" applyFill="1" applyBorder="1" applyAlignment="1">
      <alignment horizontal="center"/>
    </xf>
    <xf numFmtId="0" fontId="3" fillId="4" borderId="5" xfId="2" applyFont="1" applyFill="1" applyBorder="1" applyAlignment="1" applyProtection="1">
      <alignment horizontal="center" vertical="top" wrapText="1"/>
      <protection locked="0"/>
    </xf>
    <xf numFmtId="9" fontId="3" fillId="4" borderId="5" xfId="0" applyNumberFormat="1" applyFont="1" applyFill="1" applyBorder="1" applyAlignment="1">
      <alignment horizontal="center" vertical="center"/>
    </xf>
    <xf numFmtId="0" fontId="3" fillId="4" borderId="5" xfId="2" applyFont="1" applyFill="1" applyBorder="1" applyAlignment="1" applyProtection="1">
      <alignment horizontal="center" wrapText="1"/>
      <protection locked="0"/>
    </xf>
    <xf numFmtId="9" fontId="3" fillId="4" borderId="5" xfId="2" applyNumberFormat="1" applyFont="1" applyFill="1" applyBorder="1" applyAlignment="1" applyProtection="1">
      <alignment horizontal="center" vertical="center" wrapText="1"/>
      <protection hidden="1"/>
    </xf>
    <xf numFmtId="1" fontId="3" fillId="4" borderId="5" xfId="2" applyNumberFormat="1" applyFont="1" applyFill="1" applyBorder="1" applyAlignment="1" applyProtection="1">
      <alignment horizontal="center" wrapText="1"/>
      <protection locked="0"/>
    </xf>
    <xf numFmtId="1" fontId="28" fillId="4" borderId="4" xfId="0" applyNumberFormat="1" applyFont="1" applyFill="1" applyBorder="1" applyAlignment="1" applyProtection="1">
      <alignment horizontal="center" vertical="center" wrapText="1"/>
      <protection locked="0"/>
    </xf>
    <xf numFmtId="1" fontId="28" fillId="0" borderId="5" xfId="0" applyNumberFormat="1" applyFont="1" applyBorder="1" applyAlignment="1" applyProtection="1">
      <alignment horizontal="center" vertical="center" wrapText="1"/>
      <protection locked="0"/>
    </xf>
    <xf numFmtId="1" fontId="29" fillId="4" borderId="15" xfId="0" applyNumberFormat="1" applyFont="1" applyFill="1" applyBorder="1" applyAlignment="1" applyProtection="1">
      <alignment horizontal="center" vertical="center" wrapText="1"/>
      <protection locked="0"/>
    </xf>
    <xf numFmtId="1" fontId="29" fillId="0" borderId="16" xfId="0" applyNumberFormat="1" applyFont="1" applyBorder="1" applyAlignment="1" applyProtection="1">
      <alignment horizontal="center" vertical="center" wrapText="1"/>
      <protection locked="0"/>
    </xf>
    <xf numFmtId="0" fontId="21" fillId="4" borderId="5" xfId="0" applyFont="1" applyFill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1" fillId="4" borderId="5" xfId="0" applyFont="1" applyFill="1" applyBorder="1" applyAlignment="1">
      <alignment horizontal="left" vertical="top" wrapText="1"/>
    </xf>
    <xf numFmtId="0" fontId="31" fillId="4" borderId="5" xfId="0" applyFont="1" applyFill="1" applyBorder="1" applyAlignment="1">
      <alignment horizontal="center" vertical="center" wrapText="1"/>
    </xf>
    <xf numFmtId="1" fontId="3" fillId="4" borderId="5" xfId="2" applyNumberFormat="1" applyFont="1" applyFill="1" applyBorder="1" applyAlignment="1" applyProtection="1">
      <alignment horizontal="center" vertical="center" wrapText="1"/>
      <protection locked="0"/>
    </xf>
    <xf numFmtId="0" fontId="18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 wrapText="1"/>
    </xf>
    <xf numFmtId="0" fontId="3" fillId="0" borderId="0" xfId="0" applyFont="1"/>
    <xf numFmtId="0" fontId="32" fillId="4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0" fillId="0" borderId="5" xfId="0" applyFont="1" applyBorder="1" applyAlignment="1">
      <alignment horizontal="center" vertical="center"/>
    </xf>
    <xf numFmtId="1" fontId="19" fillId="0" borderId="5" xfId="2" applyNumberFormat="1" applyFont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4" borderId="9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left" vertical="top" wrapText="1"/>
    </xf>
    <xf numFmtId="0" fontId="27" fillId="4" borderId="4" xfId="0" applyFont="1" applyFill="1" applyBorder="1" applyAlignment="1">
      <alignment horizontal="left" vertical="top"/>
    </xf>
    <xf numFmtId="0" fontId="3" fillId="4" borderId="15" xfId="2" applyFont="1" applyFill="1" applyBorder="1" applyAlignment="1" applyProtection="1">
      <alignment horizontal="left" vertical="top" wrapText="1"/>
      <protection locked="0"/>
    </xf>
    <xf numFmtId="9" fontId="3" fillId="4" borderId="16" xfId="0" applyNumberFormat="1" applyFont="1" applyFill="1" applyBorder="1" applyAlignment="1">
      <alignment horizontal="center" vertical="center"/>
    </xf>
    <xf numFmtId="0" fontId="3" fillId="4" borderId="16" xfId="2" applyFont="1" applyFill="1" applyBorder="1" applyAlignment="1" applyProtection="1">
      <alignment horizontal="center" wrapText="1"/>
      <protection locked="0"/>
    </xf>
    <xf numFmtId="9" fontId="3" fillId="4" borderId="16" xfId="2" applyNumberFormat="1" applyFont="1" applyFill="1" applyBorder="1" applyAlignment="1" applyProtection="1">
      <alignment horizontal="center" vertical="center" wrapText="1"/>
      <protection hidden="1"/>
    </xf>
    <xf numFmtId="0" fontId="21" fillId="4" borderId="6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24" xfId="0" applyFont="1" applyFill="1" applyBorder="1" applyAlignment="1">
      <alignment horizontal="center" vertical="center" wrapText="1"/>
    </xf>
    <xf numFmtId="1" fontId="28" fillId="0" borderId="5" xfId="2" applyNumberFormat="1" applyFont="1" applyBorder="1" applyAlignment="1" applyProtection="1">
      <alignment horizontal="center" vertical="center" wrapText="1"/>
      <protection locked="0"/>
    </xf>
    <xf numFmtId="1" fontId="3" fillId="0" borderId="5" xfId="2" applyNumberFormat="1" applyFont="1" applyBorder="1" applyAlignment="1">
      <alignment horizontal="center" vertical="center"/>
    </xf>
    <xf numFmtId="1" fontId="19" fillId="0" borderId="9" xfId="2" applyNumberFormat="1" applyFont="1" applyBorder="1" applyAlignment="1" applyProtection="1">
      <alignment horizontal="center" vertical="center" wrapText="1"/>
      <protection locked="0"/>
    </xf>
    <xf numFmtId="14" fontId="5" fillId="2" borderId="5" xfId="1" applyNumberFormat="1" applyFont="1" applyFill="1" applyBorder="1" applyAlignment="1" applyProtection="1">
      <alignment horizontal="left" vertical="center" wrapText="1"/>
      <protection locked="0"/>
    </xf>
    <xf numFmtId="14" fontId="33" fillId="2" borderId="5" xfId="1" applyNumberFormat="1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left" vertical="top"/>
    </xf>
    <xf numFmtId="9" fontId="31" fillId="0" borderId="7" xfId="2" applyNumberFormat="1" applyFont="1" applyBorder="1" applyAlignment="1" applyProtection="1">
      <alignment horizontal="center" vertical="center" wrapText="1"/>
      <protection locked="0"/>
    </xf>
    <xf numFmtId="9" fontId="32" fillId="0" borderId="7" xfId="5" applyFont="1" applyFill="1" applyBorder="1" applyAlignment="1" applyProtection="1">
      <alignment horizontal="center" vertical="top" wrapText="1"/>
      <protection locked="0"/>
    </xf>
    <xf numFmtId="0" fontId="36" fillId="4" borderId="5" xfId="0" applyFont="1" applyFill="1" applyBorder="1" applyAlignment="1">
      <alignment horizontal="center" vertical="center" wrapText="1"/>
    </xf>
    <xf numFmtId="2" fontId="0" fillId="0" borderId="0" xfId="0" applyNumberFormat="1"/>
    <xf numFmtId="2" fontId="13" fillId="0" borderId="0" xfId="2" applyNumberFormat="1" applyFont="1" applyAlignment="1" applyProtection="1">
      <alignment horizontal="center" vertical="center" wrapText="1"/>
      <protection locked="0"/>
    </xf>
    <xf numFmtId="2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left" indent="7"/>
    </xf>
    <xf numFmtId="0" fontId="31" fillId="0" borderId="5" xfId="0" applyFont="1" applyBorder="1" applyAlignment="1">
      <alignment horizontal="center" vertical="center"/>
    </xf>
    <xf numFmtId="0" fontId="21" fillId="4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1" fillId="4" borderId="6" xfId="0" applyFont="1" applyFill="1" applyBorder="1" applyAlignment="1">
      <alignment horizontal="center" vertical="center" wrapText="1"/>
    </xf>
    <xf numFmtId="1" fontId="28" fillId="0" borderId="8" xfId="2" applyNumberFormat="1" applyFont="1" applyBorder="1" applyAlignment="1" applyProtection="1">
      <alignment horizontal="center" vertical="center" wrapText="1"/>
      <protection locked="0"/>
    </xf>
    <xf numFmtId="1" fontId="28" fillId="0" borderId="3" xfId="2" applyNumberFormat="1" applyFont="1" applyBorder="1" applyAlignment="1" applyProtection="1">
      <alignment horizontal="center" vertical="center" wrapText="1"/>
      <protection locked="0"/>
    </xf>
    <xf numFmtId="1" fontId="28" fillId="0" borderId="25" xfId="2" applyNumberFormat="1" applyFont="1" applyBorder="1" applyAlignment="1" applyProtection="1">
      <alignment horizontal="center" vertical="center" wrapText="1"/>
      <protection locked="0"/>
    </xf>
    <xf numFmtId="1" fontId="29" fillId="0" borderId="5" xfId="2" applyNumberFormat="1" applyFont="1" applyBorder="1" applyAlignment="1" applyProtection="1">
      <alignment horizontal="center" vertical="center" wrapText="1"/>
      <protection locked="0"/>
    </xf>
    <xf numFmtId="0" fontId="2" fillId="4" borderId="5" xfId="0" applyFont="1" applyFill="1" applyBorder="1" applyAlignment="1">
      <alignment horizontal="center" vertical="top" wrapText="1"/>
    </xf>
    <xf numFmtId="1" fontId="19" fillId="5" borderId="4" xfId="0" applyNumberFormat="1" applyFont="1" applyFill="1" applyBorder="1" applyAlignment="1" applyProtection="1">
      <alignment horizontal="center" vertical="center" wrapText="1"/>
      <protection locked="0"/>
    </xf>
    <xf numFmtId="1" fontId="19" fillId="5" borderId="5" xfId="0" applyNumberFormat="1" applyFont="1" applyFill="1" applyBorder="1" applyAlignment="1" applyProtection="1">
      <alignment horizontal="center" vertical="center" wrapText="1"/>
      <protection locked="0"/>
    </xf>
    <xf numFmtId="1" fontId="19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18" fillId="4" borderId="5" xfId="0" applyFont="1" applyFill="1" applyBorder="1" applyAlignment="1" applyProtection="1">
      <alignment horizontal="center" vertical="center"/>
      <protection locked="0"/>
    </xf>
    <xf numFmtId="0" fontId="18" fillId="4" borderId="5" xfId="0" applyFont="1" applyFill="1" applyBorder="1" applyAlignment="1" applyProtection="1">
      <alignment horizontal="center" vertical="center" wrapText="1"/>
      <protection locked="0"/>
    </xf>
    <xf numFmtId="0" fontId="18" fillId="4" borderId="6" xfId="0" applyFont="1" applyFill="1" applyBorder="1" applyAlignment="1" applyProtection="1">
      <alignment horizontal="center" vertical="center" wrapText="1"/>
      <protection locked="0"/>
    </xf>
    <xf numFmtId="1" fontId="12" fillId="0" borderId="0" xfId="0" applyNumberFormat="1" applyFont="1" applyAlignment="1" applyProtection="1">
      <alignment horizontal="center" vertical="top" wrapText="1"/>
      <protection locked="0"/>
    </xf>
    <xf numFmtId="0" fontId="9" fillId="0" borderId="0" xfId="0" applyFont="1" applyAlignment="1">
      <alignment horizontal="center" vertical="center" wrapText="1"/>
    </xf>
    <xf numFmtId="1" fontId="3" fillId="0" borderId="5" xfId="0" applyNumberFormat="1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1" fontId="9" fillId="0" borderId="0" xfId="0" applyNumberFormat="1" applyFont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9" fontId="35" fillId="0" borderId="11" xfId="0" applyNumberFormat="1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5" fillId="0" borderId="24" xfId="0" applyFont="1" applyBorder="1" applyAlignment="1">
      <alignment horizontal="center" vertical="center"/>
    </xf>
    <xf numFmtId="0" fontId="27" fillId="4" borderId="10" xfId="2" applyFont="1" applyFill="1" applyBorder="1" applyAlignment="1" applyProtection="1">
      <alignment horizontal="left" vertical="top" wrapText="1"/>
      <protection locked="0"/>
    </xf>
    <xf numFmtId="0" fontId="27" fillId="4" borderId="11" xfId="2" applyFont="1" applyFill="1" applyBorder="1" applyAlignment="1" applyProtection="1">
      <alignment horizontal="left" vertical="top" wrapText="1"/>
      <protection locked="0"/>
    </xf>
    <xf numFmtId="0" fontId="27" fillId="4" borderId="4" xfId="2" applyFont="1" applyFill="1" applyBorder="1" applyAlignment="1" applyProtection="1">
      <alignment horizontal="left" vertical="top" wrapText="1"/>
      <protection locked="0"/>
    </xf>
    <xf numFmtId="0" fontId="27" fillId="4" borderId="5" xfId="2" applyFont="1" applyFill="1" applyBorder="1" applyAlignment="1" applyProtection="1">
      <alignment horizontal="left" vertical="top" wrapText="1"/>
      <protection locked="0"/>
    </xf>
    <xf numFmtId="0" fontId="27" fillId="4" borderId="6" xfId="2" applyFont="1" applyFill="1" applyBorder="1" applyAlignment="1" applyProtection="1">
      <alignment horizontal="left" vertical="top" wrapText="1"/>
      <protection locked="0"/>
    </xf>
    <xf numFmtId="0" fontId="3" fillId="4" borderId="5" xfId="2" applyFont="1" applyFill="1" applyBorder="1" applyAlignment="1" applyProtection="1">
      <alignment horizontal="center" vertical="center" wrapText="1"/>
      <protection locked="0"/>
    </xf>
    <xf numFmtId="0" fontId="3" fillId="4" borderId="6" xfId="2" applyFont="1" applyFill="1" applyBorder="1" applyAlignment="1" applyProtection="1">
      <alignment horizontal="center" vertical="center" wrapText="1"/>
      <protection locked="0"/>
    </xf>
    <xf numFmtId="0" fontId="23" fillId="3" borderId="5" xfId="0" applyFont="1" applyFill="1" applyBorder="1" applyAlignment="1">
      <alignment horizontal="center" vertical="top" wrapText="1"/>
    </xf>
    <xf numFmtId="0" fontId="2" fillId="8" borderId="9" xfId="0" applyFont="1" applyFill="1" applyBorder="1" applyAlignment="1">
      <alignment horizontal="center" vertical="top" wrapText="1"/>
    </xf>
    <xf numFmtId="9" fontId="3" fillId="4" borderId="5" xfId="2" applyNumberFormat="1" applyFont="1" applyFill="1" applyBorder="1" applyAlignment="1" applyProtection="1">
      <alignment horizontal="center" vertical="center" wrapText="1"/>
      <protection hidden="1"/>
    </xf>
    <xf numFmtId="9" fontId="3" fillId="4" borderId="6" xfId="2" applyNumberFormat="1" applyFont="1" applyFill="1" applyBorder="1" applyAlignment="1" applyProtection="1">
      <alignment horizontal="center" vertical="center" wrapText="1"/>
      <protection hidden="1"/>
    </xf>
    <xf numFmtId="9" fontId="3" fillId="4" borderId="16" xfId="2" applyNumberFormat="1" applyFont="1" applyFill="1" applyBorder="1" applyAlignment="1" applyProtection="1">
      <alignment horizontal="center" vertical="center" wrapText="1"/>
      <protection hidden="1"/>
    </xf>
    <xf numFmtId="9" fontId="3" fillId="4" borderId="24" xfId="2" applyNumberFormat="1" applyFont="1" applyFill="1" applyBorder="1" applyAlignment="1" applyProtection="1">
      <alignment horizontal="center" vertical="center" wrapText="1"/>
      <protection hidden="1"/>
    </xf>
    <xf numFmtId="9" fontId="26" fillId="3" borderId="5" xfId="0" applyNumberFormat="1" applyFont="1" applyFill="1" applyBorder="1" applyAlignment="1">
      <alignment horizontal="left" vertical="top" wrapText="1"/>
    </xf>
    <xf numFmtId="0" fontId="26" fillId="3" borderId="5" xfId="0" applyFont="1" applyFill="1" applyBorder="1" applyAlignment="1">
      <alignment horizontal="left" vertical="top" wrapText="1"/>
    </xf>
    <xf numFmtId="0" fontId="30" fillId="3" borderId="5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1" fillId="4" borderId="5" xfId="0" applyFont="1" applyFill="1" applyBorder="1" applyAlignment="1">
      <alignment horizontal="center" vertical="top" wrapText="1"/>
    </xf>
    <xf numFmtId="0" fontId="30" fillId="0" borderId="5" xfId="0" applyFont="1" applyBorder="1" applyAlignment="1">
      <alignment horizontal="center" vertical="top"/>
    </xf>
    <xf numFmtId="0" fontId="2" fillId="0" borderId="0" xfId="1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2" fillId="4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4" borderId="5" xfId="1" applyFont="1" applyFill="1" applyBorder="1" applyAlignment="1">
      <alignment horizontal="left" vertical="center" wrapText="1"/>
    </xf>
    <xf numFmtId="0" fontId="2" fillId="4" borderId="5" xfId="1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20" fillId="0" borderId="5" xfId="4" applyBorder="1" applyAlignment="1">
      <alignment horizontal="left" vertical="center"/>
    </xf>
    <xf numFmtId="0" fontId="17" fillId="6" borderId="5" xfId="0" applyFont="1" applyFill="1" applyBorder="1" applyAlignment="1">
      <alignment horizontal="center" vertical="center"/>
    </xf>
    <xf numFmtId="0" fontId="2" fillId="5" borderId="5" xfId="1" applyFont="1" applyFill="1" applyBorder="1" applyAlignment="1">
      <alignment horizontal="center" vertical="center"/>
    </xf>
    <xf numFmtId="0" fontId="2" fillId="4" borderId="5" xfId="1" applyFont="1" applyFill="1" applyBorder="1" applyAlignment="1">
      <alignment horizontal="left" vertical="top" wrapText="1"/>
    </xf>
    <xf numFmtId="0" fontId="22" fillId="3" borderId="5" xfId="0" applyFont="1" applyFill="1" applyBorder="1" applyAlignment="1">
      <alignment horizontal="center" vertical="top" wrapText="1"/>
    </xf>
    <xf numFmtId="0" fontId="22" fillId="3" borderId="6" xfId="0" applyFont="1" applyFill="1" applyBorder="1" applyAlignment="1">
      <alignment horizontal="center" vertical="top" wrapText="1"/>
    </xf>
    <xf numFmtId="0" fontId="20" fillId="4" borderId="5" xfId="4" applyFill="1" applyBorder="1" applyAlignment="1">
      <alignment horizontal="left" vertical="center" wrapText="1"/>
    </xf>
    <xf numFmtId="0" fontId="5" fillId="2" borderId="5" xfId="1" applyFont="1" applyFill="1" applyBorder="1" applyAlignment="1" applyProtection="1">
      <alignment horizontal="center" vertical="center" wrapText="1"/>
      <protection locked="0"/>
    </xf>
    <xf numFmtId="0" fontId="9" fillId="0" borderId="0" xfId="2" applyFont="1" applyAlignment="1">
      <alignment horizontal="center" vertical="center"/>
    </xf>
    <xf numFmtId="0" fontId="19" fillId="4" borderId="5" xfId="2" applyFont="1" applyFill="1" applyBorder="1" applyAlignment="1" applyProtection="1">
      <alignment horizontal="center" vertical="center"/>
      <protection locked="0"/>
    </xf>
    <xf numFmtId="0" fontId="19" fillId="4" borderId="9" xfId="2" applyFont="1" applyFill="1" applyBorder="1" applyAlignment="1" applyProtection="1">
      <alignment horizontal="center" vertical="center"/>
      <protection locked="0"/>
    </xf>
    <xf numFmtId="1" fontId="19" fillId="0" borderId="5" xfId="2" applyNumberFormat="1" applyFont="1" applyBorder="1" applyAlignment="1" applyProtection="1">
      <alignment horizontal="center" vertical="center" wrapText="1"/>
      <protection locked="0"/>
    </xf>
    <xf numFmtId="1" fontId="19" fillId="0" borderId="8" xfId="2" applyNumberFormat="1" applyFont="1" applyBorder="1" applyAlignment="1" applyProtection="1">
      <alignment horizontal="center" vertical="center" wrapText="1"/>
      <protection locked="0"/>
    </xf>
    <xf numFmtId="1" fontId="12" fillId="0" borderId="0" xfId="2" applyNumberFormat="1" applyFont="1" applyAlignment="1" applyProtection="1">
      <alignment horizontal="center" vertical="top" wrapText="1"/>
      <protection locked="0"/>
    </xf>
    <xf numFmtId="1" fontId="13" fillId="0" borderId="0" xfId="2" applyNumberFormat="1" applyFont="1" applyAlignment="1" applyProtection="1">
      <alignment horizontal="center" vertical="center" wrapText="1"/>
      <protection locked="0"/>
    </xf>
    <xf numFmtId="0" fontId="19" fillId="0" borderId="5" xfId="2" applyFont="1" applyBorder="1" applyAlignment="1" applyProtection="1">
      <alignment horizontal="center" vertical="top"/>
      <protection locked="0"/>
    </xf>
    <xf numFmtId="0" fontId="18" fillId="5" borderId="10" xfId="0" applyFont="1" applyFill="1" applyBorder="1" applyAlignment="1">
      <alignment horizontal="center"/>
    </xf>
    <xf numFmtId="0" fontId="18" fillId="5" borderId="11" xfId="0" applyFont="1" applyFill="1" applyBorder="1" applyAlignment="1">
      <alignment horizontal="center"/>
    </xf>
    <xf numFmtId="0" fontId="18" fillId="5" borderId="1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 wrapText="1"/>
    </xf>
    <xf numFmtId="0" fontId="29" fillId="4" borderId="5" xfId="2" applyFont="1" applyFill="1" applyBorder="1" applyAlignment="1" applyProtection="1">
      <alignment horizontal="center" vertical="center"/>
      <protection locked="0"/>
    </xf>
    <xf numFmtId="0" fontId="29" fillId="4" borderId="7" xfId="2" applyFont="1" applyFill="1" applyBorder="1" applyAlignment="1" applyProtection="1">
      <alignment horizontal="center" vertical="center"/>
      <protection locked="0"/>
    </xf>
    <xf numFmtId="0" fontId="12" fillId="0" borderId="0" xfId="2" applyFont="1" applyAlignment="1" applyProtection="1">
      <alignment horizontal="center" vertical="top"/>
      <protection locked="0"/>
    </xf>
    <xf numFmtId="0" fontId="16" fillId="5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7" fillId="4" borderId="10" xfId="2" applyFont="1" applyFill="1" applyBorder="1" applyAlignment="1" applyProtection="1">
      <alignment horizontal="left" vertical="top" wrapText="1"/>
      <protection locked="0"/>
    </xf>
    <xf numFmtId="0" fontId="17" fillId="4" borderId="11" xfId="2" applyFont="1" applyFill="1" applyBorder="1" applyAlignment="1" applyProtection="1">
      <alignment horizontal="left" vertical="top" wrapText="1"/>
      <protection locked="0"/>
    </xf>
    <xf numFmtId="0" fontId="17" fillId="4" borderId="4" xfId="2" applyFont="1" applyFill="1" applyBorder="1" applyAlignment="1" applyProtection="1">
      <alignment horizontal="left" vertical="top" wrapText="1"/>
      <protection locked="0"/>
    </xf>
    <xf numFmtId="0" fontId="17" fillId="4" borderId="5" xfId="2" applyFont="1" applyFill="1" applyBorder="1" applyAlignment="1" applyProtection="1">
      <alignment horizontal="left" vertical="top" wrapText="1"/>
      <protection locked="0"/>
    </xf>
    <xf numFmtId="0" fontId="18" fillId="5" borderId="7" xfId="0" applyFont="1" applyFill="1" applyBorder="1" applyAlignment="1">
      <alignment horizontal="left"/>
    </xf>
    <xf numFmtId="0" fontId="17" fillId="0" borderId="5" xfId="0" applyFont="1" applyBorder="1" applyAlignment="1">
      <alignment horizontal="left" vertical="center"/>
    </xf>
    <xf numFmtId="0" fontId="37" fillId="0" borderId="5" xfId="0" applyFont="1" applyBorder="1" applyAlignment="1">
      <alignment horizontal="left" vertical="center" wrapText="1"/>
    </xf>
    <xf numFmtId="0" fontId="37" fillId="0" borderId="5" xfId="0" applyFont="1" applyBorder="1" applyAlignment="1">
      <alignment horizontal="left" vertical="center"/>
    </xf>
    <xf numFmtId="1" fontId="27" fillId="0" borderId="16" xfId="0" applyNumberFormat="1" applyFont="1" applyBorder="1" applyAlignment="1" applyProtection="1">
      <alignment horizontal="center" vertical="center"/>
      <protection locked="0"/>
    </xf>
    <xf numFmtId="0" fontId="27" fillId="0" borderId="24" xfId="0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7" fillId="0" borderId="5" xfId="0" applyFont="1" applyBorder="1" applyAlignment="1">
      <alignment horizontal="left" vertical="center" wrapText="1"/>
    </xf>
    <xf numFmtId="0" fontId="27" fillId="0" borderId="16" xfId="0" applyFont="1" applyBorder="1" applyAlignment="1" applyProtection="1">
      <alignment horizontal="center" vertical="center"/>
      <protection locked="0"/>
    </xf>
    <xf numFmtId="0" fontId="21" fillId="4" borderId="1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164" fontId="30" fillId="0" borderId="5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26" fillId="0" borderId="5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top" wrapText="1"/>
    </xf>
    <xf numFmtId="14" fontId="3" fillId="0" borderId="5" xfId="0" applyNumberFormat="1" applyFont="1" applyBorder="1" applyAlignment="1">
      <alignment horizontal="center" vertical="top"/>
    </xf>
    <xf numFmtId="0" fontId="26" fillId="0" borderId="5" xfId="0" applyFont="1" applyBorder="1" applyAlignment="1">
      <alignment horizontal="center" vertical="top" wrapText="1"/>
    </xf>
    <xf numFmtId="0" fontId="26" fillId="0" borderId="6" xfId="0" applyFont="1" applyBorder="1" applyAlignment="1">
      <alignment horizontal="center" vertical="top" wrapText="1"/>
    </xf>
    <xf numFmtId="0" fontId="30" fillId="0" borderId="9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34" fillId="0" borderId="5" xfId="1" applyFont="1" applyBorder="1" applyAlignment="1" applyProtection="1">
      <alignment horizontal="center" vertical="top"/>
      <protection locked="0"/>
    </xf>
    <xf numFmtId="0" fontId="2" fillId="4" borderId="6" xfId="0" applyFont="1" applyFill="1" applyBorder="1" applyAlignment="1">
      <alignment horizontal="center" vertical="top" wrapText="1"/>
    </xf>
    <xf numFmtId="0" fontId="30" fillId="0" borderId="5" xfId="0" applyFont="1" applyBorder="1" applyAlignment="1">
      <alignment horizontal="center" vertical="top" wrapText="1"/>
    </xf>
    <xf numFmtId="0" fontId="30" fillId="0" borderId="6" xfId="0" applyFont="1" applyBorder="1" applyAlignment="1">
      <alignment horizontal="center" vertical="top" wrapText="1"/>
    </xf>
    <xf numFmtId="0" fontId="26" fillId="0" borderId="9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1" fontId="19" fillId="5" borderId="10" xfId="0" applyNumberFormat="1" applyFont="1" applyFill="1" applyBorder="1" applyAlignment="1" applyProtection="1">
      <alignment horizontal="center" vertical="center" wrapText="1"/>
      <protection locked="0"/>
    </xf>
    <xf numFmtId="1" fontId="19" fillId="5" borderId="11" xfId="0" applyNumberFormat="1" applyFont="1" applyFill="1" applyBorder="1" applyAlignment="1" applyProtection="1">
      <alignment horizontal="center" vertical="center" wrapText="1"/>
      <protection locked="0"/>
    </xf>
    <xf numFmtId="1" fontId="19" fillId="5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>
      <alignment horizontal="left" vertical="top"/>
    </xf>
    <xf numFmtId="0" fontId="3" fillId="0" borderId="24" xfId="0" applyFont="1" applyBorder="1" applyAlignment="1">
      <alignment horizontal="left" vertical="top"/>
    </xf>
    <xf numFmtId="1" fontId="19" fillId="7" borderId="10" xfId="0" applyNumberFormat="1" applyFont="1" applyFill="1" applyBorder="1" applyAlignment="1" applyProtection="1">
      <alignment horizontal="center" vertical="center" wrapText="1"/>
      <protection locked="0"/>
    </xf>
    <xf numFmtId="1" fontId="19" fillId="7" borderId="11" xfId="0" applyNumberFormat="1" applyFont="1" applyFill="1" applyBorder="1" applyAlignment="1" applyProtection="1">
      <alignment horizontal="center" vertical="center" wrapText="1"/>
      <protection locked="0"/>
    </xf>
    <xf numFmtId="1" fontId="19" fillId="7" borderId="12" xfId="0" applyNumberFormat="1" applyFont="1" applyFill="1" applyBorder="1" applyAlignment="1" applyProtection="1">
      <alignment horizontal="center" vertical="center" wrapText="1"/>
      <protection locked="0"/>
    </xf>
    <xf numFmtId="0" fontId="19" fillId="5" borderId="7" xfId="2" applyFont="1" applyFill="1" applyBorder="1" applyAlignment="1" applyProtection="1">
      <alignment horizontal="center" vertical="center"/>
      <protection locked="0"/>
    </xf>
    <xf numFmtId="1" fontId="8" fillId="0" borderId="0" xfId="0" applyNumberFormat="1" applyFont="1" applyAlignment="1" applyProtection="1">
      <alignment horizontal="center" vertical="top" wrapText="1"/>
      <protection locked="0"/>
    </xf>
    <xf numFmtId="0" fontId="8" fillId="0" borderId="0" xfId="0" applyFont="1" applyAlignment="1" applyProtection="1">
      <alignment horizontal="center" vertical="top" wrapText="1"/>
      <protection locked="0"/>
    </xf>
    <xf numFmtId="0" fontId="8" fillId="0" borderId="19" xfId="2" applyFont="1" applyBorder="1" applyAlignment="1" applyProtection="1">
      <alignment horizontal="left" vertical="top" wrapText="1"/>
      <protection locked="0"/>
    </xf>
    <xf numFmtId="0" fontId="8" fillId="0" borderId="20" xfId="2" applyFont="1" applyBorder="1" applyAlignment="1" applyProtection="1">
      <alignment horizontal="left" vertical="top" wrapText="1"/>
      <protection locked="0"/>
    </xf>
    <xf numFmtId="0" fontId="8" fillId="0" borderId="21" xfId="2" applyFont="1" applyBorder="1" applyAlignment="1" applyProtection="1">
      <alignment horizontal="left" vertical="top" wrapText="1"/>
      <protection locked="0"/>
    </xf>
    <xf numFmtId="0" fontId="8" fillId="0" borderId="22" xfId="2" applyFont="1" applyBorder="1" applyAlignment="1" applyProtection="1">
      <alignment horizontal="left" vertical="top" wrapText="1"/>
      <protection locked="0"/>
    </xf>
    <xf numFmtId="0" fontId="8" fillId="0" borderId="23" xfId="2" applyFont="1" applyBorder="1" applyAlignment="1" applyProtection="1">
      <alignment horizontal="left" vertical="top" wrapText="1"/>
      <protection locked="0"/>
    </xf>
    <xf numFmtId="0" fontId="8" fillId="0" borderId="4" xfId="2" applyFont="1" applyBorder="1" applyAlignment="1" applyProtection="1">
      <alignment horizontal="left" vertical="top"/>
      <protection locked="0"/>
    </xf>
    <xf numFmtId="0" fontId="8" fillId="0" borderId="5" xfId="2" applyFont="1" applyBorder="1" applyAlignment="1" applyProtection="1">
      <alignment horizontal="left" vertical="top"/>
      <protection locked="0"/>
    </xf>
    <xf numFmtId="0" fontId="8" fillId="0" borderId="5" xfId="2" applyFont="1" applyBorder="1" applyAlignment="1" applyProtection="1">
      <alignment horizontal="left" vertical="top" wrapText="1"/>
      <protection locked="0"/>
    </xf>
    <xf numFmtId="0" fontId="8" fillId="0" borderId="6" xfId="2" applyFont="1" applyBorder="1" applyAlignment="1" applyProtection="1">
      <alignment horizontal="left" vertical="top" wrapText="1"/>
      <protection locked="0"/>
    </xf>
    <xf numFmtId="0" fontId="9" fillId="0" borderId="4" xfId="2" applyFont="1" applyBorder="1" applyAlignment="1" applyProtection="1">
      <alignment horizontal="center" vertical="top" wrapText="1"/>
      <protection locked="0"/>
    </xf>
    <xf numFmtId="0" fontId="9" fillId="0" borderId="5" xfId="2" applyFont="1" applyBorder="1" applyAlignment="1" applyProtection="1">
      <alignment horizontal="center" vertical="top" wrapText="1"/>
      <protection locked="0"/>
    </xf>
    <xf numFmtId="0" fontId="9" fillId="0" borderId="6" xfId="2" applyFont="1" applyBorder="1" applyAlignment="1" applyProtection="1">
      <alignment horizontal="center" vertical="top" wrapText="1"/>
      <protection locked="0"/>
    </xf>
    <xf numFmtId="0" fontId="9" fillId="0" borderId="15" xfId="2" applyFont="1" applyBorder="1" applyAlignment="1" applyProtection="1">
      <alignment horizontal="center" vertical="top" wrapText="1"/>
      <protection locked="0"/>
    </xf>
    <xf numFmtId="0" fontId="9" fillId="0" borderId="16" xfId="2" applyFont="1" applyBorder="1" applyAlignment="1" applyProtection="1">
      <alignment horizontal="center" vertical="top" wrapText="1"/>
      <protection locked="0"/>
    </xf>
    <xf numFmtId="9" fontId="9" fillId="3" borderId="5" xfId="2" applyNumberFormat="1" applyFont="1" applyFill="1" applyBorder="1" applyAlignment="1" applyProtection="1">
      <alignment horizontal="center" vertical="center" wrapText="1"/>
      <protection hidden="1"/>
    </xf>
    <xf numFmtId="9" fontId="9" fillId="3" borderId="16" xfId="2" applyNumberFormat="1" applyFont="1" applyFill="1" applyBorder="1" applyAlignment="1" applyProtection="1">
      <alignment horizontal="center" vertical="center" wrapText="1"/>
      <protection hidden="1"/>
    </xf>
    <xf numFmtId="9" fontId="9" fillId="3" borderId="6" xfId="2" applyNumberFormat="1" applyFont="1" applyFill="1" applyBorder="1" applyAlignment="1" applyProtection="1">
      <alignment horizontal="center" vertical="center" wrapText="1"/>
      <protection hidden="1"/>
    </xf>
    <xf numFmtId="9" fontId="9" fillId="3" borderId="24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4" xfId="2" applyFont="1" applyBorder="1" applyAlignment="1" applyProtection="1">
      <alignment horizontal="center" vertical="top"/>
      <protection locked="0"/>
    </xf>
    <xf numFmtId="0" fontId="9" fillId="0" borderId="5" xfId="2" applyFont="1" applyBorder="1" applyAlignment="1" applyProtection="1">
      <alignment horizontal="center" vertical="top"/>
      <protection locked="0"/>
    </xf>
    <xf numFmtId="0" fontId="38" fillId="0" borderId="5" xfId="0" applyFont="1" applyBorder="1" applyAlignment="1">
      <alignment horizontal="left" vertical="top"/>
    </xf>
  </cellXfs>
  <cellStyles count="6">
    <cellStyle name="Excel Built-in Normal" xfId="3" xr:uid="{00000000-0005-0000-0000-000000000000}"/>
    <cellStyle name="Hyperlink" xfId="4" builtinId="8"/>
    <cellStyle name="Normal" xfId="0" builtinId="0"/>
    <cellStyle name="Normal 2" xfId="1" xr:uid="{00000000-0005-0000-0000-000003000000}"/>
    <cellStyle name="Normal 3" xfId="2" xr:uid="{00000000-0005-0000-0000-000004000000}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jpg"/><Relationship Id="rId2" Type="http://schemas.openxmlformats.org/officeDocument/2006/relationships/image" Target="../media/image2.png"/><Relationship Id="rId16" Type="http://schemas.openxmlformats.org/officeDocument/2006/relationships/image" Target="../media/image16.jp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jp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397565</xdr:colOff>
      <xdr:row>336</xdr:row>
      <xdr:rowOff>33794</xdr:rowOff>
    </xdr:from>
    <xdr:to>
      <xdr:col>5</xdr:col>
      <xdr:colOff>877745</xdr:colOff>
      <xdr:row>378</xdr:row>
      <xdr:rowOff>129602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397565" y="71966594"/>
          <a:ext cx="5928480" cy="7776768"/>
          <a:chOff x="390525" y="118239428"/>
          <a:chExt cx="5764484" cy="8096808"/>
        </a:xfrm>
      </xdr:grpSpPr>
      <xdr:pic>
        <xdr:nvPicPr>
          <xdr:cNvPr id="9" name="Pictur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466850" y="122676957"/>
            <a:ext cx="3547782" cy="3659279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grpSp>
        <xdr:nvGrpSpPr>
          <xdr:cNvPr id="10" name="Group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GrpSpPr/>
        </xdr:nvGrpSpPr>
        <xdr:grpSpPr>
          <a:xfrm>
            <a:off x="390525" y="118239428"/>
            <a:ext cx="5764484" cy="4191156"/>
            <a:chOff x="390525" y="118239428"/>
            <a:chExt cx="5764484" cy="4191156"/>
          </a:xfrm>
        </xdr:grpSpPr>
        <xdr:grpSp>
          <xdr:nvGrpSpPr>
            <xdr:cNvPr id="11" name="Group 10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GrpSpPr/>
          </xdr:nvGrpSpPr>
          <xdr:grpSpPr>
            <a:xfrm>
              <a:off x="390525" y="118239428"/>
              <a:ext cx="5764484" cy="4191156"/>
              <a:chOff x="723900" y="290512"/>
              <a:chExt cx="5760000" cy="4157538"/>
            </a:xfrm>
          </xdr:grpSpPr>
          <xdr:pic>
            <xdr:nvPicPr>
              <xdr:cNvPr id="19" name="Picture 18">
                <a:extLst>
                  <a:ext uri="{FF2B5EF4-FFF2-40B4-BE49-F238E27FC236}">
                    <a16:creationId xmlns:a16="http://schemas.microsoft.com/office/drawing/2014/main" id="{00000000-0008-0000-0000-000013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/>
              <a:stretch>
                <a:fillRect/>
              </a:stretch>
            </xdr:blipFill>
            <xdr:spPr>
              <a:xfrm>
                <a:off x="723900" y="290512"/>
                <a:ext cx="5760000" cy="4157538"/>
              </a:xfrm>
              <a:prstGeom prst="rect">
                <a:avLst/>
              </a:prstGeom>
              <a:ln>
                <a:solidFill>
                  <a:schemeClr val="tx1"/>
                </a:solidFill>
              </a:ln>
            </xdr:spPr>
          </xdr:pic>
          <xdr:sp macro="" textlink="">
            <xdr:nvSpPr>
              <xdr:cNvPr id="20" name="Rectangle 19">
                <a:extLst>
                  <a:ext uri="{FF2B5EF4-FFF2-40B4-BE49-F238E27FC236}">
                    <a16:creationId xmlns:a16="http://schemas.microsoft.com/office/drawing/2014/main" id="{00000000-0008-0000-0000-000014000000}"/>
                  </a:ext>
                </a:extLst>
              </xdr:cNvPr>
              <xdr:cNvSpPr/>
            </xdr:nvSpPr>
            <xdr:spPr>
              <a:xfrm>
                <a:off x="4687067" y="678647"/>
                <a:ext cx="1163827" cy="2061309"/>
              </a:xfrm>
              <a:prstGeom prst="rect">
                <a:avLst/>
              </a:prstGeom>
              <a:noFill/>
              <a:ln w="38100"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IN"/>
              </a:p>
            </xdr:txBody>
          </xdr:sp>
          <xdr:sp macro="" textlink="">
            <xdr:nvSpPr>
              <xdr:cNvPr id="21" name="TextBox 3">
                <a:extLst>
                  <a:ext uri="{FF2B5EF4-FFF2-40B4-BE49-F238E27FC236}">
                    <a16:creationId xmlns:a16="http://schemas.microsoft.com/office/drawing/2014/main" id="{00000000-0008-0000-0000-000015000000}"/>
                  </a:ext>
                </a:extLst>
              </xdr:cNvPr>
              <xdr:cNvSpPr txBox="1"/>
            </xdr:nvSpPr>
            <xdr:spPr>
              <a:xfrm>
                <a:off x="5121111" y="313467"/>
                <a:ext cx="1089888" cy="308997"/>
              </a:xfrm>
              <a:prstGeom prst="rect">
                <a:avLst/>
              </a:prstGeom>
              <a:solidFill>
                <a:schemeClr val="accent4">
                  <a:lumMod val="20000"/>
                  <a:lumOff val="80000"/>
                </a:schemeClr>
              </a:solidFill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400" b="1">
                    <a:solidFill>
                      <a:schemeClr val="tx1"/>
                    </a:solidFill>
                  </a:rPr>
                  <a:t>Sale</a:t>
                </a:r>
                <a:r>
                  <a:rPr lang="en-US" sz="1400" b="1" baseline="0">
                    <a:solidFill>
                      <a:schemeClr val="tx1"/>
                    </a:solidFill>
                  </a:rPr>
                  <a:t> </a:t>
                </a:r>
                <a:r>
                  <a:rPr lang="en-US" sz="1400" b="1">
                    <a:solidFill>
                      <a:schemeClr val="tx1"/>
                    </a:solidFill>
                  </a:rPr>
                  <a:t>Wing B</a:t>
                </a:r>
                <a:endParaRPr lang="en-IN" sz="1400" b="1">
                  <a:solidFill>
                    <a:schemeClr val="tx1"/>
                  </a:solidFill>
                </a:endParaRPr>
              </a:p>
            </xdr:txBody>
          </xdr:sp>
        </xdr:grpSp>
        <xdr:sp macro="" textlink="">
          <xdr:nvSpPr>
            <xdr:cNvPr id="12" name="Rectangle 11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/>
          </xdr:nvSpPr>
          <xdr:spPr>
            <a:xfrm>
              <a:off x="573538" y="118735492"/>
              <a:ext cx="2794339" cy="1564749"/>
            </a:xfrm>
            <a:prstGeom prst="rect">
              <a:avLst/>
            </a:prstGeom>
            <a:noFill/>
            <a:ln w="57150">
              <a:solidFill>
                <a:srgbClr val="FFFF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IN" sz="1100"/>
            </a:p>
          </xdr:txBody>
        </xdr:sp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 txBox="1"/>
          </xdr:nvSpPr>
          <xdr:spPr>
            <a:xfrm>
              <a:off x="596835" y="119137088"/>
              <a:ext cx="1235851" cy="3114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IN" sz="1400" b="1">
                  <a:solidFill>
                    <a:srgbClr val="FF0000"/>
                  </a:solidFill>
                </a:rPr>
                <a:t>Rehab</a:t>
              </a:r>
              <a:r>
                <a:rPr lang="en-IN" sz="1400" b="1" baseline="0">
                  <a:solidFill>
                    <a:srgbClr val="FF0000"/>
                  </a:solidFill>
                </a:rPr>
                <a:t> </a:t>
              </a:r>
              <a:r>
                <a:rPr lang="en-IN" sz="1400" b="1">
                  <a:solidFill>
                    <a:srgbClr val="FF0000"/>
                  </a:solidFill>
                </a:rPr>
                <a:t>Wing</a:t>
              </a:r>
              <a:r>
                <a:rPr lang="en-IN" sz="1400" b="1" baseline="0">
                  <a:solidFill>
                    <a:srgbClr val="FF0000"/>
                  </a:solidFill>
                </a:rPr>
                <a:t> A</a:t>
              </a:r>
              <a:endParaRPr lang="en-IN" sz="1400" b="1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 txBox="1"/>
          </xdr:nvSpPr>
          <xdr:spPr>
            <a:xfrm>
              <a:off x="2080299" y="119687142"/>
              <a:ext cx="1227708" cy="3114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IN" sz="1400" b="1">
                  <a:solidFill>
                    <a:srgbClr val="FF0000"/>
                  </a:solidFill>
                </a:rPr>
                <a:t>Rehab</a:t>
              </a:r>
              <a:r>
                <a:rPr lang="en-IN" sz="1400" b="1" baseline="0">
                  <a:solidFill>
                    <a:srgbClr val="FF0000"/>
                  </a:solidFill>
                </a:rPr>
                <a:t> </a:t>
              </a:r>
              <a:r>
                <a:rPr lang="en-IN" sz="1400" b="1">
                  <a:solidFill>
                    <a:srgbClr val="FF0000"/>
                  </a:solidFill>
                </a:rPr>
                <a:t>Wing</a:t>
              </a:r>
              <a:r>
                <a:rPr lang="en-IN" sz="1400" b="1" baseline="0">
                  <a:solidFill>
                    <a:srgbClr val="FF0000"/>
                  </a:solidFill>
                </a:rPr>
                <a:t> B</a:t>
              </a:r>
              <a:endParaRPr lang="en-IN" sz="1400" b="1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5" name="TextBox 3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 txBox="1"/>
          </xdr:nvSpPr>
          <xdr:spPr>
            <a:xfrm>
              <a:off x="3567148" y="118321591"/>
              <a:ext cx="633377" cy="37271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000" b="1">
                  <a:solidFill>
                    <a:schemeClr val="tx1"/>
                  </a:solidFill>
                </a:rPr>
                <a:t>Sale</a:t>
              </a:r>
            </a:p>
            <a:p>
              <a:pPr algn="ctr"/>
              <a:r>
                <a:rPr lang="en-US" sz="1000" b="1">
                  <a:solidFill>
                    <a:schemeClr val="tx1"/>
                  </a:solidFill>
                </a:rPr>
                <a:t>Wing C</a:t>
              </a:r>
              <a:endParaRPr lang="en-IN" sz="1000" b="1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16" name="TextBox 3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 txBox="1"/>
          </xdr:nvSpPr>
          <xdr:spPr>
            <a:xfrm>
              <a:off x="4334996" y="121685746"/>
              <a:ext cx="610964" cy="363019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000" b="1">
                  <a:solidFill>
                    <a:schemeClr val="tx1"/>
                  </a:solidFill>
                </a:rPr>
                <a:t>Sale</a:t>
              </a:r>
            </a:p>
            <a:p>
              <a:pPr algn="ctr"/>
              <a:r>
                <a:rPr lang="en-US" sz="1000" b="1">
                  <a:solidFill>
                    <a:schemeClr val="tx1"/>
                  </a:solidFill>
                </a:rPr>
                <a:t>Wing A</a:t>
              </a:r>
              <a:endParaRPr lang="en-IN" sz="1000" b="1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17" name="Rectangle 16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/>
          </xdr:nvSpPr>
          <xdr:spPr>
            <a:xfrm>
              <a:off x="3558377" y="120735233"/>
              <a:ext cx="2214689" cy="858778"/>
            </a:xfrm>
            <a:prstGeom prst="rect">
              <a:avLst/>
            </a:prstGeom>
            <a:noFill/>
            <a:ln w="3810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IN"/>
            </a:p>
          </xdr:txBody>
        </xdr:sp>
        <xdr:sp macro="" textlink="">
          <xdr:nvSpPr>
            <xdr:cNvPr id="18" name="Rectangle 17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/>
          </xdr:nvSpPr>
          <xdr:spPr>
            <a:xfrm>
              <a:off x="3402515" y="118752810"/>
              <a:ext cx="974912" cy="657072"/>
            </a:xfrm>
            <a:prstGeom prst="rect">
              <a:avLst/>
            </a:prstGeom>
            <a:noFill/>
            <a:ln w="3810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IN"/>
            </a:p>
          </xdr:txBody>
        </xdr:sp>
      </xdr:grpSp>
    </xdr:grpSp>
    <xdr:clientData/>
  </xdr:twoCellAnchor>
  <xdr:twoCellAnchor>
    <xdr:from>
      <xdr:col>0</xdr:col>
      <xdr:colOff>604631</xdr:colOff>
      <xdr:row>382</xdr:row>
      <xdr:rowOff>16565</xdr:rowOff>
    </xdr:from>
    <xdr:to>
      <xdr:col>5</xdr:col>
      <xdr:colOff>553315</xdr:colOff>
      <xdr:row>421</xdr:row>
      <xdr:rowOff>97550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/>
      </xdr:nvGrpSpPr>
      <xdr:grpSpPr>
        <a:xfrm>
          <a:off x="604631" y="80361845"/>
          <a:ext cx="5396984" cy="7213305"/>
          <a:chOff x="628650" y="127124012"/>
          <a:chExt cx="5232988" cy="7510485"/>
        </a:xfrm>
      </xdr:grpSpPr>
      <xdr:pic>
        <xdr:nvPicPr>
          <xdr:cNvPr id="23" name="Picture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686707" y="127124012"/>
            <a:ext cx="5116874" cy="360077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grpSp>
        <xdr:nvGrpSpPr>
          <xdr:cNvPr id="24" name="Group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GrpSpPr/>
        </xdr:nvGrpSpPr>
        <xdr:grpSpPr>
          <a:xfrm>
            <a:off x="628650" y="130886904"/>
            <a:ext cx="5232988" cy="3747593"/>
            <a:chOff x="994500" y="3930631"/>
            <a:chExt cx="5225144" cy="3715657"/>
          </a:xfrm>
        </xdr:grpSpPr>
        <xdr:pic>
          <xdr:nvPicPr>
            <xdr:cNvPr id="25" name="Picture 24">
              <a:extLs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4" cstate="screen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/>
          </xdr:blipFill>
          <xdr:spPr>
            <a:xfrm>
              <a:off x="994500" y="3930631"/>
              <a:ext cx="5225144" cy="3715657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26" name="Rectangle 25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SpPr/>
          </xdr:nvSpPr>
          <xdr:spPr>
            <a:xfrm rot="791016">
              <a:off x="2984740" y="4494496"/>
              <a:ext cx="1587261" cy="2587925"/>
            </a:xfrm>
            <a:prstGeom prst="rect">
              <a:avLst/>
            </a:prstGeom>
            <a:noFill/>
            <a:ln w="57150">
              <a:solidFill>
                <a:srgbClr val="FFFF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IN"/>
            </a:p>
          </xdr:txBody>
        </xdr:sp>
      </xdr:grpSp>
    </xdr:grpSp>
    <xdr:clientData/>
  </xdr:twoCellAnchor>
  <xdr:twoCellAnchor>
    <xdr:from>
      <xdr:col>8</xdr:col>
      <xdr:colOff>352178</xdr:colOff>
      <xdr:row>290</xdr:row>
      <xdr:rowOff>162670</xdr:rowOff>
    </xdr:from>
    <xdr:to>
      <xdr:col>17</xdr:col>
      <xdr:colOff>281280</xdr:colOff>
      <xdr:row>325</xdr:row>
      <xdr:rowOff>4637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pSpPr/>
      </xdr:nvGrpSpPr>
      <xdr:grpSpPr>
        <a:xfrm>
          <a:off x="8376038" y="63682990"/>
          <a:ext cx="6467062" cy="6242767"/>
          <a:chOff x="149851" y="169066"/>
          <a:chExt cx="6450611" cy="6679353"/>
        </a:xfrm>
      </xdr:grpSpPr>
      <xdr:pic>
        <xdr:nvPicPr>
          <xdr:cNvPr id="28" name="Picture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95156" y="169066"/>
            <a:ext cx="5760000" cy="4324004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grpSp>
        <xdr:nvGrpSpPr>
          <xdr:cNvPr id="29" name="Group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GrpSpPr/>
        </xdr:nvGrpSpPr>
        <xdr:grpSpPr>
          <a:xfrm>
            <a:off x="149851" y="4688419"/>
            <a:ext cx="6450611" cy="2160000"/>
            <a:chOff x="149851" y="4783669"/>
            <a:chExt cx="6450611" cy="2160000"/>
          </a:xfrm>
        </xdr:grpSpPr>
        <xdr:pic>
          <xdr:nvPicPr>
            <xdr:cNvPr id="30" name="Picture 29">
              <a:extLst>
                <a:ext uri="{FF2B5EF4-FFF2-40B4-BE49-F238E27FC236}">
                  <a16:creationId xmlns:a16="http://schemas.microsoft.com/office/drawing/2014/main" id="{00000000-0008-0000-0000-00001E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3195510" y="4783669"/>
              <a:ext cx="1618313" cy="216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31" name="Picture 30">
              <a:extLst>
                <a:ext uri="{FF2B5EF4-FFF2-40B4-BE49-F238E27FC236}">
                  <a16:creationId xmlns:a16="http://schemas.microsoft.com/office/drawing/2014/main" id="{00000000-0008-0000-0000-00001F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4982149" y="4783669"/>
              <a:ext cx="1618313" cy="216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32" name="Picture 31">
              <a:extLs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149851" y="4783669"/>
              <a:ext cx="2877333" cy="216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</xdr:grpSp>
    </xdr:grpSp>
    <xdr:clientData/>
  </xdr:twoCellAnchor>
  <xdr:twoCellAnchor editAs="oneCell">
    <xdr:from>
      <xdr:col>6</xdr:col>
      <xdr:colOff>281608</xdr:colOff>
      <xdr:row>52</xdr:row>
      <xdr:rowOff>57988</xdr:rowOff>
    </xdr:from>
    <xdr:to>
      <xdr:col>11</xdr:col>
      <xdr:colOff>338282</xdr:colOff>
      <xdr:row>61</xdr:row>
      <xdr:rowOff>73271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816586" y="11893836"/>
          <a:ext cx="4140000" cy="967783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6</xdr:col>
      <xdr:colOff>426720</xdr:colOff>
      <xdr:row>84</xdr:row>
      <xdr:rowOff>236220</xdr:rowOff>
    </xdr:from>
    <xdr:to>
      <xdr:col>10</xdr:col>
      <xdr:colOff>460560</xdr:colOff>
      <xdr:row>86</xdr:row>
      <xdr:rowOff>221322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807E62-B909-9F0F-AA01-C05D746A2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155180" y="19377660"/>
          <a:ext cx="3600000" cy="1120482"/>
        </a:xfrm>
        <a:prstGeom prst="rect">
          <a:avLst/>
        </a:prstGeom>
      </xdr:spPr>
    </xdr:pic>
    <xdr:clientData/>
  </xdr:twoCellAnchor>
  <xdr:twoCellAnchor editAs="oneCell">
    <xdr:from>
      <xdr:col>6</xdr:col>
      <xdr:colOff>434340</xdr:colOff>
      <xdr:row>86</xdr:row>
      <xdr:rowOff>327661</xdr:rowOff>
    </xdr:from>
    <xdr:to>
      <xdr:col>10</xdr:col>
      <xdr:colOff>468180</xdr:colOff>
      <xdr:row>88</xdr:row>
      <xdr:rowOff>313162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6671A4-D05C-D00E-798C-ECFD0C318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162800" y="20604481"/>
          <a:ext cx="3600000" cy="983721"/>
        </a:xfrm>
        <a:prstGeom prst="rect">
          <a:avLst/>
        </a:prstGeom>
      </xdr:spPr>
    </xdr:pic>
    <xdr:clientData/>
  </xdr:twoCellAnchor>
  <xdr:twoCellAnchor editAs="oneCell">
    <xdr:from>
      <xdr:col>6</xdr:col>
      <xdr:colOff>411480</xdr:colOff>
      <xdr:row>89</xdr:row>
      <xdr:rowOff>213360</xdr:rowOff>
    </xdr:from>
    <xdr:to>
      <xdr:col>10</xdr:col>
      <xdr:colOff>445320</xdr:colOff>
      <xdr:row>91</xdr:row>
      <xdr:rowOff>363778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3A2FF66-0AE1-3175-57F4-2D5133EC2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139940" y="21854160"/>
          <a:ext cx="3600000" cy="1148638"/>
        </a:xfrm>
        <a:prstGeom prst="rect">
          <a:avLst/>
        </a:prstGeom>
      </xdr:spPr>
    </xdr:pic>
    <xdr:clientData/>
  </xdr:twoCellAnchor>
  <xdr:twoCellAnchor>
    <xdr:from>
      <xdr:col>0</xdr:col>
      <xdr:colOff>358140</xdr:colOff>
      <xdr:row>290</xdr:row>
      <xdr:rowOff>15240</xdr:rowOff>
    </xdr:from>
    <xdr:to>
      <xdr:col>5</xdr:col>
      <xdr:colOff>883374</xdr:colOff>
      <xdr:row>331</xdr:row>
      <xdr:rowOff>77160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6546FD7B-834B-A345-AD61-F3CB0889988F}"/>
            </a:ext>
          </a:extLst>
        </xdr:cNvPr>
        <xdr:cNvGrpSpPr/>
      </xdr:nvGrpSpPr>
      <xdr:grpSpPr>
        <a:xfrm>
          <a:off x="358140" y="63535560"/>
          <a:ext cx="5973534" cy="7560000"/>
          <a:chOff x="268002" y="242228"/>
          <a:chExt cx="5973534" cy="7560000"/>
        </a:xfrm>
      </xdr:grpSpPr>
      <xdr:grpSp>
        <xdr:nvGrpSpPr>
          <xdr:cNvPr id="7" name="Group 6">
            <a:extLst>
              <a:ext uri="{FF2B5EF4-FFF2-40B4-BE49-F238E27FC236}">
                <a16:creationId xmlns:a16="http://schemas.microsoft.com/office/drawing/2014/main" id="{D1899184-6790-F145-F698-963938CF5CF1}"/>
              </a:ext>
            </a:extLst>
          </xdr:cNvPr>
          <xdr:cNvGrpSpPr/>
        </xdr:nvGrpSpPr>
        <xdr:grpSpPr>
          <a:xfrm>
            <a:off x="919656" y="5642228"/>
            <a:ext cx="4670226" cy="2160000"/>
            <a:chOff x="935830" y="5642228"/>
            <a:chExt cx="4670226" cy="2160000"/>
          </a:xfrm>
        </xdr:grpSpPr>
        <xdr:pic>
          <xdr:nvPicPr>
            <xdr:cNvPr id="38" name="Picture 37">
              <a:extLst>
                <a:ext uri="{FF2B5EF4-FFF2-40B4-BE49-F238E27FC236}">
                  <a16:creationId xmlns:a16="http://schemas.microsoft.com/office/drawing/2014/main" id="{AF501B27-A33A-E8AE-8F69-6B24188EC91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3" cstate="hqprint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3987744" y="5642228"/>
              <a:ext cx="1618312" cy="216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39" name="Picture 38">
              <a:extLst>
                <a:ext uri="{FF2B5EF4-FFF2-40B4-BE49-F238E27FC236}">
                  <a16:creationId xmlns:a16="http://schemas.microsoft.com/office/drawing/2014/main" id="{3CAE64E1-25EC-7DD8-25E5-D7A89D00152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4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935830" y="5642228"/>
              <a:ext cx="2877333" cy="216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</xdr:grpSp>
      <xdr:grpSp>
        <xdr:nvGrpSpPr>
          <xdr:cNvPr id="34" name="Group 33">
            <a:extLst>
              <a:ext uri="{FF2B5EF4-FFF2-40B4-BE49-F238E27FC236}">
                <a16:creationId xmlns:a16="http://schemas.microsoft.com/office/drawing/2014/main" id="{05FBF7B0-B630-BE98-C7EE-195D2352EBC7}"/>
              </a:ext>
            </a:extLst>
          </xdr:cNvPr>
          <xdr:cNvGrpSpPr/>
        </xdr:nvGrpSpPr>
        <xdr:grpSpPr>
          <a:xfrm>
            <a:off x="268002" y="242228"/>
            <a:ext cx="5973534" cy="5220000"/>
            <a:chOff x="268002" y="242228"/>
            <a:chExt cx="5973534" cy="5220000"/>
          </a:xfrm>
        </xdr:grpSpPr>
        <xdr:pic>
          <xdr:nvPicPr>
            <xdr:cNvPr id="35" name="Picture 34">
              <a:extLst>
                <a:ext uri="{FF2B5EF4-FFF2-40B4-BE49-F238E27FC236}">
                  <a16:creationId xmlns:a16="http://schemas.microsoft.com/office/drawing/2014/main" id="{CDBD0169-5AFF-2290-D938-202A1BB3BC3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5" cstate="hqprint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4353505" y="242228"/>
              <a:ext cx="1888031" cy="252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36" name="Picture 35">
              <a:extLst>
                <a:ext uri="{FF2B5EF4-FFF2-40B4-BE49-F238E27FC236}">
                  <a16:creationId xmlns:a16="http://schemas.microsoft.com/office/drawing/2014/main" id="{40D05B4E-513F-472D-58C6-30D55CC359B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6" cstate="hqprint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268002" y="242228"/>
              <a:ext cx="3910921" cy="522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37" name="Picture 36">
              <a:extLst>
                <a:ext uri="{FF2B5EF4-FFF2-40B4-BE49-F238E27FC236}">
                  <a16:creationId xmlns:a16="http://schemas.microsoft.com/office/drawing/2014/main" id="{150D553E-264A-86DB-B03B-3853D687F8D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7" cstate="hqprint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4353504" y="2942228"/>
              <a:ext cx="1888031" cy="252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132</xdr:row>
      <xdr:rowOff>0</xdr:rowOff>
    </xdr:from>
    <xdr:to>
      <xdr:col>22</xdr:col>
      <xdr:colOff>209550</xdr:colOff>
      <xdr:row>170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5498425"/>
          <a:ext cx="13011150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omments" Target="../comments1.xml"/><Relationship Id="rId2" Type="http://schemas.openxmlformats.org/officeDocument/2006/relationships/hyperlink" Target="https://maps.app.goo.gl/TXuKC4LXLnSFRxXZ7" TargetMode="External"/><Relationship Id="rId1" Type="http://schemas.openxmlformats.org/officeDocument/2006/relationships/hyperlink" Target="mailto:vsjc.apf@gmail.com" TargetMode="External"/><Relationship Id="rId6" Type="http://schemas.openxmlformats.org/officeDocument/2006/relationships/vmlDrawing" Target="../drawings/vmlDrawing2.v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3"/>
  <sheetViews>
    <sheetView tabSelected="1" showWhiteSpace="0" view="pageBreakPreview" topLeftCell="A84" zoomScaleNormal="100" zoomScaleSheetLayoutView="100" zoomScalePageLayoutView="145" workbookViewId="0">
      <selection activeCell="I5" sqref="I5"/>
    </sheetView>
  </sheetViews>
  <sheetFormatPr defaultRowHeight="14.4" x14ac:dyDescent="0.3"/>
  <cols>
    <col min="1" max="1" width="18.33203125" style="51" customWidth="1"/>
    <col min="2" max="2" width="16.33203125" customWidth="1"/>
    <col min="3" max="3" width="13.109375" style="92" customWidth="1"/>
    <col min="4" max="4" width="17.33203125" customWidth="1"/>
    <col min="5" max="5" width="14.33203125" customWidth="1"/>
    <col min="6" max="6" width="18.6640625" customWidth="1"/>
    <col min="7" max="7" width="9.5546875" bestFit="1" customWidth="1"/>
    <col min="8" max="8" width="9.33203125" bestFit="1" customWidth="1"/>
    <col min="9" max="9" width="23.5546875" customWidth="1"/>
    <col min="10" max="10" width="9.5546875" bestFit="1" customWidth="1"/>
  </cols>
  <sheetData>
    <row r="1" spans="1:12" x14ac:dyDescent="0.3">
      <c r="A1" s="199" t="s">
        <v>0</v>
      </c>
      <c r="B1" s="199"/>
      <c r="C1" s="199"/>
      <c r="D1" s="199"/>
      <c r="E1" s="199"/>
      <c r="F1" s="199"/>
    </row>
    <row r="2" spans="1:12" ht="29.25" customHeight="1" x14ac:dyDescent="0.3">
      <c r="A2" s="58" t="s">
        <v>66</v>
      </c>
      <c r="B2" s="287" t="s">
        <v>287</v>
      </c>
      <c r="C2" s="287"/>
      <c r="D2" s="287"/>
      <c r="E2" s="57" t="s">
        <v>1</v>
      </c>
      <c r="F2" s="94" t="s">
        <v>288</v>
      </c>
    </row>
    <row r="3" spans="1:12" x14ac:dyDescent="0.3">
      <c r="A3" s="200" t="s">
        <v>67</v>
      </c>
      <c r="B3" s="200"/>
      <c r="C3" s="200"/>
      <c r="D3" s="200"/>
      <c r="E3" s="200"/>
      <c r="F3" s="200"/>
    </row>
    <row r="4" spans="1:12" ht="15" customHeight="1" x14ac:dyDescent="0.3">
      <c r="A4" s="201" t="s">
        <v>73</v>
      </c>
      <c r="B4" s="201"/>
      <c r="C4" s="189" t="s">
        <v>242</v>
      </c>
      <c r="D4" s="189"/>
      <c r="E4" s="189"/>
      <c r="F4" s="189"/>
    </row>
    <row r="5" spans="1:12" ht="15" customHeight="1" x14ac:dyDescent="0.3">
      <c r="A5" s="190" t="s">
        <v>68</v>
      </c>
      <c r="B5" s="190"/>
      <c r="C5" s="189" t="s">
        <v>243</v>
      </c>
      <c r="D5" s="189"/>
      <c r="E5" s="189"/>
      <c r="F5" s="189"/>
    </row>
    <row r="6" spans="1:12" ht="15" customHeight="1" x14ac:dyDescent="0.3">
      <c r="A6" s="190" t="s">
        <v>69</v>
      </c>
      <c r="B6" s="190"/>
      <c r="C6" s="204" t="s">
        <v>244</v>
      </c>
      <c r="D6" s="204"/>
      <c r="E6" s="204"/>
      <c r="F6" s="204"/>
    </row>
    <row r="7" spans="1:12" ht="15" customHeight="1" x14ac:dyDescent="0.3">
      <c r="A7" s="190" t="s">
        <v>72</v>
      </c>
      <c r="B7" s="190"/>
      <c r="C7" s="189" t="s">
        <v>245</v>
      </c>
      <c r="D7" s="189"/>
      <c r="E7" s="189"/>
      <c r="F7" s="189"/>
    </row>
    <row r="8" spans="1:12" ht="15" customHeight="1" x14ac:dyDescent="0.3">
      <c r="A8" s="190" t="s">
        <v>70</v>
      </c>
      <c r="B8" s="190"/>
      <c r="C8" s="189"/>
      <c r="D8" s="189"/>
      <c r="E8" s="189"/>
      <c r="F8" s="189"/>
    </row>
    <row r="9" spans="1:12" ht="33" customHeight="1" x14ac:dyDescent="0.3">
      <c r="A9" s="190" t="s">
        <v>71</v>
      </c>
      <c r="B9" s="190"/>
      <c r="C9" s="189" t="s">
        <v>282</v>
      </c>
      <c r="D9" s="189"/>
      <c r="E9" s="189"/>
      <c r="F9" s="189"/>
    </row>
    <row r="10" spans="1:12" x14ac:dyDescent="0.3">
      <c r="A10" s="200" t="s">
        <v>74</v>
      </c>
      <c r="B10" s="200"/>
      <c r="C10" s="200"/>
      <c r="D10" s="200"/>
      <c r="E10" s="200"/>
      <c r="F10" s="200"/>
    </row>
    <row r="11" spans="1:12" ht="24" x14ac:dyDescent="0.3">
      <c r="A11" s="46" t="s">
        <v>79</v>
      </c>
      <c r="B11" s="116">
        <v>45874</v>
      </c>
      <c r="C11" s="46" t="s">
        <v>91</v>
      </c>
      <c r="D11" s="44" t="s">
        <v>289</v>
      </c>
      <c r="E11" s="46" t="s">
        <v>275</v>
      </c>
      <c r="F11" s="117">
        <v>45430</v>
      </c>
      <c r="I11" s="83"/>
      <c r="J11" s="83"/>
      <c r="K11" s="83"/>
      <c r="L11" s="83"/>
    </row>
    <row r="12" spans="1:12" x14ac:dyDescent="0.3">
      <c r="A12" s="46" t="s">
        <v>80</v>
      </c>
      <c r="B12" s="116">
        <v>45875</v>
      </c>
      <c r="C12" s="201" t="s">
        <v>92</v>
      </c>
      <c r="D12" s="201"/>
      <c r="E12" s="205" t="s">
        <v>352</v>
      </c>
      <c r="F12" s="205"/>
      <c r="I12" s="179"/>
      <c r="J12" s="179"/>
      <c r="K12" s="83"/>
      <c r="L12" s="83"/>
    </row>
    <row r="13" spans="1:12" x14ac:dyDescent="0.3">
      <c r="A13" s="46" t="s">
        <v>81</v>
      </c>
      <c r="B13" s="116" t="str">
        <f ca="1">TEXT(TODAY(),"DD/MM/YYYY")</f>
        <v>08/08/2025</v>
      </c>
      <c r="C13" s="201" t="s">
        <v>93</v>
      </c>
      <c r="D13" s="201"/>
      <c r="E13" s="205" t="s">
        <v>290</v>
      </c>
      <c r="F13" s="205"/>
      <c r="I13" s="179"/>
      <c r="J13" s="179"/>
      <c r="K13" s="83"/>
      <c r="L13" s="83"/>
    </row>
    <row r="14" spans="1:12" x14ac:dyDescent="0.3">
      <c r="A14" s="181" t="s">
        <v>75</v>
      </c>
      <c r="B14" s="181"/>
      <c r="C14" s="181"/>
      <c r="D14" s="181"/>
      <c r="E14" s="181"/>
      <c r="F14" s="181"/>
    </row>
    <row r="15" spans="1:12" ht="18.75" customHeight="1" x14ac:dyDescent="0.3">
      <c r="A15" s="139" t="s">
        <v>76</v>
      </c>
      <c r="B15" s="139"/>
      <c r="C15" s="176" t="s">
        <v>291</v>
      </c>
      <c r="D15" s="176"/>
      <c r="E15" s="176"/>
      <c r="F15" s="176"/>
    </row>
    <row r="16" spans="1:12" x14ac:dyDescent="0.3">
      <c r="A16" s="181" t="s">
        <v>77</v>
      </c>
      <c r="B16" s="181"/>
      <c r="C16" s="181"/>
      <c r="D16" s="181"/>
      <c r="E16" s="181"/>
      <c r="F16" s="181"/>
    </row>
    <row r="17" spans="1:10" x14ac:dyDescent="0.3">
      <c r="A17" s="66" t="s">
        <v>66</v>
      </c>
      <c r="B17" s="186" t="s">
        <v>292</v>
      </c>
      <c r="C17" s="186"/>
      <c r="D17" s="186"/>
      <c r="E17" s="186"/>
      <c r="F17" s="186"/>
    </row>
    <row r="18" spans="1:10" ht="41.25" customHeight="1" x14ac:dyDescent="0.3">
      <c r="A18" s="66" t="s">
        <v>283</v>
      </c>
      <c r="B18" s="197" t="str">
        <f>CONCATENATE((IF(OR(B2="",B2="NA"),"",B2)),", ",(IF(OR(A19="",A19="NA"),"",A19)),".",(IF(OR(B19="",B19="NA"),"",B19)),", near ",(IF(OR(E21="",E21="NA"),"",E21)),", ",(IF(OR(B20="",B20="NA"),"",B20)),", ",(IF(OR(B21="",B21="NA"),"",B21)),", ",(IF(OR(E19="",E19="NA"),"",E19)),", ",(IF(OR(E20="",E20="NA"),"",E20)),", ",(IF(OR(B22="",B22="NA"),"",B22)),", ",(IF(OR(E22="",E22="NA"),"",E22))," - ",(IF(OR(B24="",B24="NA"),"",B24)),".")</f>
        <v>Larkins 315 Rio B, Plot No..315, TPS -1, near Atlantis Society, Namdeo Wadi Road, Panchpakhadi, Namdeo Vadi, Thane West, Thane, Thane - 400602.</v>
      </c>
      <c r="C18" s="197"/>
      <c r="D18" s="197"/>
      <c r="E18" s="197"/>
      <c r="F18" s="197"/>
      <c r="J18" s="53"/>
    </row>
    <row r="19" spans="1:10" x14ac:dyDescent="0.3">
      <c r="A19" s="66" t="s">
        <v>78</v>
      </c>
      <c r="B19" s="186" t="s">
        <v>293</v>
      </c>
      <c r="C19" s="186"/>
      <c r="D19" s="66" t="s">
        <v>284</v>
      </c>
      <c r="E19" s="186" t="s">
        <v>363</v>
      </c>
      <c r="F19" s="186"/>
      <c r="J19" s="53"/>
    </row>
    <row r="20" spans="1:10" x14ac:dyDescent="0.3">
      <c r="A20" s="66" t="s">
        <v>82</v>
      </c>
      <c r="B20" s="186" t="s">
        <v>303</v>
      </c>
      <c r="C20" s="186"/>
      <c r="D20" s="66" t="s">
        <v>248</v>
      </c>
      <c r="E20" s="186" t="s">
        <v>295</v>
      </c>
      <c r="F20" s="186"/>
      <c r="J20" s="53"/>
    </row>
    <row r="21" spans="1:10" x14ac:dyDescent="0.3">
      <c r="A21" s="66" t="s">
        <v>249</v>
      </c>
      <c r="B21" s="186" t="s">
        <v>297</v>
      </c>
      <c r="C21" s="186"/>
      <c r="D21" s="66" t="s">
        <v>86</v>
      </c>
      <c r="E21" s="186" t="s">
        <v>296</v>
      </c>
      <c r="F21" s="186"/>
      <c r="J21" s="53"/>
    </row>
    <row r="22" spans="1:10" x14ac:dyDescent="0.3">
      <c r="A22" s="66" t="s">
        <v>247</v>
      </c>
      <c r="B22" s="186" t="s">
        <v>294</v>
      </c>
      <c r="C22" s="186"/>
      <c r="D22" s="66" t="s">
        <v>87</v>
      </c>
      <c r="E22" s="186" t="s">
        <v>294</v>
      </c>
      <c r="F22" s="186"/>
      <c r="J22" s="53"/>
    </row>
    <row r="23" spans="1:10" x14ac:dyDescent="0.3">
      <c r="A23" s="66" t="s">
        <v>83</v>
      </c>
      <c r="B23" s="186" t="s">
        <v>239</v>
      </c>
      <c r="C23" s="186"/>
      <c r="D23" s="66" t="s">
        <v>88</v>
      </c>
      <c r="E23" s="186" t="s">
        <v>240</v>
      </c>
      <c r="F23" s="186"/>
      <c r="J23" s="53"/>
    </row>
    <row r="24" spans="1:10" x14ac:dyDescent="0.3">
      <c r="A24" s="66" t="s">
        <v>84</v>
      </c>
      <c r="B24" s="186">
        <v>400602</v>
      </c>
      <c r="C24" s="186"/>
      <c r="D24" s="66" t="s">
        <v>89</v>
      </c>
      <c r="E24" s="186" t="s">
        <v>298</v>
      </c>
      <c r="F24" s="186"/>
      <c r="J24" s="53"/>
    </row>
    <row r="25" spans="1:10" x14ac:dyDescent="0.3">
      <c r="A25" s="66" t="s">
        <v>252</v>
      </c>
      <c r="B25" s="198" t="s">
        <v>299</v>
      </c>
      <c r="C25" s="186"/>
      <c r="D25" s="186"/>
      <c r="E25" s="186"/>
      <c r="F25" s="186"/>
      <c r="J25" s="53"/>
    </row>
    <row r="26" spans="1:10" ht="24.6" thickBot="1" x14ac:dyDescent="0.35">
      <c r="A26" s="97" t="s">
        <v>85</v>
      </c>
      <c r="B26" s="191" t="s">
        <v>301</v>
      </c>
      <c r="C26" s="192"/>
      <c r="D26" s="97" t="s">
        <v>90</v>
      </c>
      <c r="E26" s="192" t="s">
        <v>300</v>
      </c>
      <c r="F26" s="192"/>
      <c r="J26" s="53"/>
    </row>
    <row r="27" spans="1:10" x14ac:dyDescent="0.3">
      <c r="A27" s="182" t="s">
        <v>100</v>
      </c>
      <c r="B27" s="183"/>
      <c r="C27" s="183"/>
      <c r="D27" s="183"/>
      <c r="E27" s="183"/>
      <c r="F27" s="184"/>
    </row>
    <row r="28" spans="1:10" x14ac:dyDescent="0.3">
      <c r="A28" s="193"/>
      <c r="B28" s="194"/>
      <c r="C28" s="48" t="s">
        <v>94</v>
      </c>
      <c r="D28" s="48" t="s">
        <v>95</v>
      </c>
      <c r="E28" s="48" t="s">
        <v>96</v>
      </c>
      <c r="F28" s="98" t="s">
        <v>97</v>
      </c>
    </row>
    <row r="29" spans="1:10" ht="30" customHeight="1" x14ac:dyDescent="0.3">
      <c r="A29" s="193" t="s">
        <v>98</v>
      </c>
      <c r="B29" s="194"/>
      <c r="C29" s="90" t="s">
        <v>246</v>
      </c>
      <c r="D29" s="90" t="s">
        <v>246</v>
      </c>
      <c r="E29" s="90" t="s">
        <v>246</v>
      </c>
      <c r="F29" s="99" t="s">
        <v>246</v>
      </c>
      <c r="G29" s="133"/>
      <c r="H29" s="133"/>
    </row>
    <row r="30" spans="1:10" ht="30" customHeight="1" x14ac:dyDescent="0.3">
      <c r="A30" s="193" t="s">
        <v>250</v>
      </c>
      <c r="B30" s="194"/>
      <c r="C30" s="118" t="s">
        <v>302</v>
      </c>
      <c r="D30" s="118" t="s">
        <v>302</v>
      </c>
      <c r="E30" s="118" t="s">
        <v>302</v>
      </c>
      <c r="F30" s="119" t="s">
        <v>306</v>
      </c>
      <c r="G30" s="133"/>
      <c r="H30" s="133"/>
    </row>
    <row r="31" spans="1:10" ht="30" customHeight="1" thickBot="1" x14ac:dyDescent="0.35">
      <c r="A31" s="195" t="s">
        <v>99</v>
      </c>
      <c r="B31" s="196"/>
      <c r="C31" s="121" t="s">
        <v>303</v>
      </c>
      <c r="D31" s="121" t="s">
        <v>304</v>
      </c>
      <c r="E31" s="121" t="s">
        <v>305</v>
      </c>
      <c r="F31" s="120" t="s">
        <v>307</v>
      </c>
      <c r="G31" s="133"/>
      <c r="H31" s="133"/>
    </row>
    <row r="32" spans="1:10" x14ac:dyDescent="0.3">
      <c r="A32" s="185" t="s">
        <v>101</v>
      </c>
      <c r="B32" s="185"/>
      <c r="C32" s="185"/>
      <c r="D32" s="185"/>
      <c r="E32" s="185"/>
      <c r="F32" s="185"/>
      <c r="G32" s="133"/>
      <c r="H32" s="133"/>
    </row>
    <row r="33" spans="1:8" x14ac:dyDescent="0.3">
      <c r="A33" s="139" t="s">
        <v>102</v>
      </c>
      <c r="B33" s="139"/>
      <c r="C33" s="174" t="s">
        <v>308</v>
      </c>
      <c r="D33" s="174"/>
      <c r="E33" s="174"/>
      <c r="F33" s="174"/>
      <c r="G33" s="180" t="s">
        <v>251</v>
      </c>
      <c r="H33" s="180"/>
    </row>
    <row r="34" spans="1:8" ht="15" customHeight="1" x14ac:dyDescent="0.3">
      <c r="A34" s="139" t="s">
        <v>103</v>
      </c>
      <c r="B34" s="139"/>
      <c r="C34" s="174" t="str">
        <f>C33</f>
        <v>Slum Rehabilitation Authority (SRA)</v>
      </c>
      <c r="D34" s="174"/>
      <c r="E34" s="174"/>
      <c r="F34" s="174"/>
      <c r="G34" s="180"/>
      <c r="H34" s="180"/>
    </row>
    <row r="35" spans="1:8" ht="15" customHeight="1" x14ac:dyDescent="0.3">
      <c r="A35" s="139" t="s">
        <v>104</v>
      </c>
      <c r="B35" s="139"/>
      <c r="C35" s="174" t="s">
        <v>309</v>
      </c>
      <c r="D35" s="174"/>
      <c r="E35" s="174"/>
      <c r="F35" s="174"/>
      <c r="G35" s="133"/>
      <c r="H35" s="133"/>
    </row>
    <row r="36" spans="1:8" x14ac:dyDescent="0.3">
      <c r="A36" s="139" t="s">
        <v>105</v>
      </c>
      <c r="B36" s="139"/>
      <c r="C36" s="174" t="str">
        <f>IF(AND(E22="Mumbai"),"Developed","Developing")</f>
        <v>Developing</v>
      </c>
      <c r="D36" s="174"/>
      <c r="E36" s="174"/>
      <c r="F36" s="174"/>
      <c r="G36" s="133"/>
      <c r="H36" s="133"/>
    </row>
    <row r="37" spans="1:8" ht="15" customHeight="1" x14ac:dyDescent="0.3">
      <c r="A37" s="139" t="s">
        <v>106</v>
      </c>
      <c r="B37" s="139"/>
      <c r="C37" s="174" t="s">
        <v>253</v>
      </c>
      <c r="D37" s="174"/>
      <c r="E37" s="174"/>
      <c r="F37" s="174"/>
      <c r="G37" s="133"/>
      <c r="H37" s="133"/>
    </row>
    <row r="38" spans="1:8" x14ac:dyDescent="0.3">
      <c r="A38" s="139" t="s">
        <v>107</v>
      </c>
      <c r="B38" s="139"/>
      <c r="C38" s="173">
        <f ca="1">E171</f>
        <v>0.58939393939393936</v>
      </c>
      <c r="D38" s="174"/>
      <c r="E38" s="174"/>
      <c r="F38" s="174"/>
      <c r="G38" s="133"/>
      <c r="H38" s="133"/>
    </row>
    <row r="39" spans="1:8" ht="15" customHeight="1" x14ac:dyDescent="0.3">
      <c r="A39" s="139" t="s">
        <v>108</v>
      </c>
      <c r="B39" s="139"/>
      <c r="C39" s="174" t="s">
        <v>254</v>
      </c>
      <c r="D39" s="174"/>
      <c r="E39" s="174"/>
      <c r="F39" s="174"/>
      <c r="G39" s="133"/>
      <c r="H39" s="133"/>
    </row>
    <row r="40" spans="1:8" x14ac:dyDescent="0.3">
      <c r="A40" s="139" t="s">
        <v>109</v>
      </c>
      <c r="B40" s="139"/>
      <c r="C40" s="174" t="s">
        <v>254</v>
      </c>
      <c r="D40" s="174"/>
      <c r="E40" s="174"/>
      <c r="F40" s="174"/>
      <c r="G40" s="133"/>
      <c r="H40" s="133"/>
    </row>
    <row r="41" spans="1:8" x14ac:dyDescent="0.3">
      <c r="A41" s="139" t="s">
        <v>110</v>
      </c>
      <c r="B41" s="139"/>
      <c r="C41" s="174" t="s">
        <v>310</v>
      </c>
      <c r="D41" s="174"/>
      <c r="E41" s="174"/>
      <c r="F41" s="174"/>
      <c r="G41" s="133"/>
      <c r="H41" s="133"/>
    </row>
    <row r="42" spans="1:8" x14ac:dyDescent="0.3">
      <c r="A42" s="181" t="s">
        <v>112</v>
      </c>
      <c r="B42" s="181"/>
      <c r="C42" s="181"/>
      <c r="D42" s="181"/>
      <c r="E42" s="181"/>
      <c r="F42" s="181"/>
      <c r="G42" s="133"/>
      <c r="H42" s="133"/>
    </row>
    <row r="43" spans="1:8" x14ac:dyDescent="0.3">
      <c r="A43" s="139" t="s">
        <v>113</v>
      </c>
      <c r="B43" s="139"/>
      <c r="C43" s="139" t="s">
        <v>111</v>
      </c>
      <c r="D43" s="139"/>
      <c r="E43" s="139"/>
      <c r="F43" s="139"/>
      <c r="G43" s="133"/>
      <c r="H43" s="133"/>
    </row>
    <row r="44" spans="1:8" x14ac:dyDescent="0.3">
      <c r="A44" s="139" t="s">
        <v>114</v>
      </c>
      <c r="B44" s="139"/>
      <c r="C44" s="176">
        <v>11390.68</v>
      </c>
      <c r="D44" s="176"/>
      <c r="E44" s="176"/>
      <c r="F44" s="176"/>
      <c r="G44" s="133"/>
      <c r="H44" s="133"/>
    </row>
    <row r="45" spans="1:8" x14ac:dyDescent="0.3">
      <c r="A45" s="139" t="s">
        <v>311</v>
      </c>
      <c r="B45" s="139"/>
      <c r="C45" s="176">
        <v>10291.43</v>
      </c>
      <c r="D45" s="176"/>
      <c r="E45" s="176"/>
      <c r="F45" s="176"/>
      <c r="G45" s="133"/>
      <c r="H45" s="133"/>
    </row>
    <row r="46" spans="1:8" x14ac:dyDescent="0.3">
      <c r="A46" s="139" t="s">
        <v>115</v>
      </c>
      <c r="B46" s="139"/>
      <c r="C46" s="176">
        <v>69472.02</v>
      </c>
      <c r="D46" s="176"/>
      <c r="E46" s="176"/>
      <c r="F46" s="176"/>
      <c r="G46" s="133"/>
      <c r="H46" s="133"/>
    </row>
    <row r="47" spans="1:8" x14ac:dyDescent="0.3">
      <c r="A47" s="139" t="s">
        <v>357</v>
      </c>
      <c r="B47" s="139"/>
      <c r="C47" s="176">
        <v>17383.14</v>
      </c>
      <c r="D47" s="176"/>
      <c r="E47" s="176"/>
      <c r="F47" s="176"/>
      <c r="G47" s="133"/>
      <c r="H47" s="133"/>
    </row>
    <row r="48" spans="1:8" x14ac:dyDescent="0.3">
      <c r="A48" s="139" t="s">
        <v>358</v>
      </c>
      <c r="B48" s="139"/>
      <c r="C48" s="176">
        <v>2378.69</v>
      </c>
      <c r="D48" s="176"/>
      <c r="E48" s="176"/>
      <c r="F48" s="176"/>
      <c r="G48" s="133"/>
      <c r="H48" s="133"/>
    </row>
    <row r="49" spans="1:10" x14ac:dyDescent="0.3">
      <c r="A49" s="139" t="s">
        <v>116</v>
      </c>
      <c r="B49" s="139"/>
      <c r="C49" s="176">
        <f>768.78+203.24+55.23</f>
        <v>1027.25</v>
      </c>
      <c r="D49" s="176"/>
      <c r="E49" s="176"/>
      <c r="F49" s="176"/>
      <c r="G49" s="133"/>
      <c r="H49" s="133"/>
    </row>
    <row r="50" spans="1:10" x14ac:dyDescent="0.3">
      <c r="A50" s="139" t="s">
        <v>359</v>
      </c>
      <c r="B50" s="139"/>
      <c r="C50" s="176">
        <v>72</v>
      </c>
      <c r="D50" s="176"/>
      <c r="E50" s="176"/>
      <c r="F50" s="176"/>
      <c r="G50" s="133"/>
      <c r="H50" s="133"/>
    </row>
    <row r="51" spans="1:10" x14ac:dyDescent="0.3">
      <c r="A51" s="139" t="s">
        <v>117</v>
      </c>
      <c r="B51" s="139"/>
      <c r="C51" s="176">
        <v>1624.39</v>
      </c>
      <c r="D51" s="176"/>
      <c r="E51" s="176"/>
      <c r="F51" s="176"/>
      <c r="G51" s="133">
        <f>C46/C45</f>
        <v>6.7504729663418983</v>
      </c>
      <c r="H51" s="133"/>
    </row>
    <row r="52" spans="1:10" x14ac:dyDescent="0.3">
      <c r="A52" s="243" t="s">
        <v>118</v>
      </c>
      <c r="B52" s="243"/>
      <c r="C52" s="243"/>
      <c r="D52" s="243"/>
      <c r="E52" s="243"/>
      <c r="F52" s="243"/>
      <c r="G52" s="133"/>
      <c r="H52" s="133"/>
    </row>
    <row r="53" spans="1:10" x14ac:dyDescent="0.3">
      <c r="A53" s="177" t="s">
        <v>119</v>
      </c>
      <c r="B53" s="177"/>
      <c r="C53" s="239">
        <f>52070.23/C45</f>
        <v>5.0595718962282215</v>
      </c>
      <c r="D53" s="239"/>
      <c r="E53" s="239"/>
      <c r="F53" s="239"/>
      <c r="G53" s="133"/>
      <c r="H53" s="133"/>
    </row>
    <row r="54" spans="1:10" x14ac:dyDescent="0.3">
      <c r="A54" s="177" t="s">
        <v>120</v>
      </c>
      <c r="B54" s="177"/>
      <c r="C54" s="239">
        <f>17401.79/C45</f>
        <v>1.6909010701136771</v>
      </c>
      <c r="D54" s="239"/>
      <c r="E54" s="239"/>
      <c r="F54" s="239"/>
      <c r="G54" s="133"/>
      <c r="H54" s="133"/>
    </row>
    <row r="55" spans="1:10" hidden="1" x14ac:dyDescent="0.3">
      <c r="A55" s="177" t="s">
        <v>2</v>
      </c>
      <c r="B55" s="177"/>
      <c r="C55" s="178"/>
      <c r="D55" s="178"/>
      <c r="E55" s="178"/>
      <c r="F55" s="178"/>
      <c r="G55" s="133"/>
      <c r="H55" s="133"/>
    </row>
    <row r="56" spans="1:10" hidden="1" x14ac:dyDescent="0.3">
      <c r="A56" s="177" t="s">
        <v>121</v>
      </c>
      <c r="B56" s="177"/>
      <c r="C56" s="178"/>
      <c r="D56" s="178"/>
      <c r="E56" s="178"/>
      <c r="F56" s="178"/>
      <c r="G56" s="133"/>
      <c r="H56" s="133"/>
    </row>
    <row r="57" spans="1:10" ht="24" hidden="1" customHeight="1" x14ac:dyDescent="0.3">
      <c r="A57" s="177" t="s">
        <v>122</v>
      </c>
      <c r="B57" s="177"/>
      <c r="C57" s="178"/>
      <c r="D57" s="178"/>
      <c r="E57" s="178"/>
      <c r="F57" s="178"/>
      <c r="G57" s="133"/>
      <c r="H57" s="133"/>
    </row>
    <row r="58" spans="1:10" ht="21" hidden="1" customHeight="1" x14ac:dyDescent="0.3">
      <c r="A58" s="177" t="s">
        <v>123</v>
      </c>
      <c r="B58" s="177"/>
      <c r="C58" s="178"/>
      <c r="D58" s="178"/>
      <c r="E58" s="178"/>
      <c r="F58" s="178"/>
      <c r="G58" s="133"/>
      <c r="H58" s="133"/>
    </row>
    <row r="59" spans="1:10" x14ac:dyDescent="0.3">
      <c r="A59" s="177" t="s">
        <v>124</v>
      </c>
      <c r="B59" s="177"/>
      <c r="C59" s="239">
        <f>SUM(C53:F58)</f>
        <v>6.7504729663418983</v>
      </c>
      <c r="D59" s="239"/>
      <c r="E59" s="239"/>
      <c r="F59" s="239"/>
      <c r="G59" s="133"/>
      <c r="H59" s="133"/>
    </row>
    <row r="60" spans="1:10" x14ac:dyDescent="0.3">
      <c r="A60" s="139" t="s">
        <v>125</v>
      </c>
      <c r="B60" s="139"/>
      <c r="C60" s="176"/>
      <c r="D60" s="176"/>
      <c r="E60" s="176"/>
      <c r="F60" s="176"/>
      <c r="G60" s="133"/>
      <c r="H60" s="133"/>
    </row>
    <row r="61" spans="1:10" x14ac:dyDescent="0.3">
      <c r="A61" s="238"/>
      <c r="B61" s="238"/>
      <c r="C61" s="238"/>
      <c r="D61" s="238"/>
      <c r="E61" s="238"/>
      <c r="F61" s="238"/>
    </row>
    <row r="62" spans="1:10" x14ac:dyDescent="0.3">
      <c r="A62" s="139" t="s">
        <v>126</v>
      </c>
      <c r="B62" s="139"/>
      <c r="C62" s="248" t="str">
        <f>D122</f>
        <v>Shops = 05, 
Office = 30, 
Flats = 263</v>
      </c>
      <c r="D62" s="248"/>
      <c r="E62" s="248"/>
      <c r="F62" s="248"/>
      <c r="G62" s="133"/>
      <c r="H62" s="133"/>
      <c r="I62" s="84"/>
      <c r="J62" s="84"/>
    </row>
    <row r="63" spans="1:10" x14ac:dyDescent="0.3">
      <c r="A63" s="139" t="s">
        <v>127</v>
      </c>
      <c r="B63" s="139"/>
      <c r="C63" s="248" t="s">
        <v>355</v>
      </c>
      <c r="D63" s="248"/>
      <c r="E63" s="248"/>
      <c r="F63" s="248"/>
      <c r="G63" s="133"/>
      <c r="H63" s="133"/>
    </row>
    <row r="64" spans="1:10" x14ac:dyDescent="0.3">
      <c r="A64" s="139" t="s">
        <v>128</v>
      </c>
      <c r="B64" s="139"/>
      <c r="C64" s="249" t="s">
        <v>356</v>
      </c>
      <c r="D64" s="249"/>
      <c r="E64" s="249"/>
      <c r="F64" s="249"/>
      <c r="G64" s="240" t="s">
        <v>285</v>
      </c>
      <c r="H64" s="240"/>
      <c r="I64" t="s">
        <v>286</v>
      </c>
      <c r="J64">
        <f>5+30+263</f>
        <v>298</v>
      </c>
    </row>
    <row r="65" spans="1:13" x14ac:dyDescent="0.3">
      <c r="A65" s="181" t="s">
        <v>129</v>
      </c>
      <c r="B65" s="181"/>
      <c r="C65" s="181"/>
      <c r="D65" s="181"/>
      <c r="E65" s="181"/>
      <c r="F65" s="181"/>
      <c r="G65" s="133"/>
      <c r="H65" s="133"/>
      <c r="J65" s="127">
        <f>35/298</f>
        <v>0.1174496644295302</v>
      </c>
      <c r="K65" s="127">
        <f>263/298</f>
        <v>0.8825503355704698</v>
      </c>
    </row>
    <row r="66" spans="1:13" ht="39" customHeight="1" x14ac:dyDescent="0.3">
      <c r="A66" s="90"/>
      <c r="B66" s="48" t="s">
        <v>130</v>
      </c>
      <c r="C66" s="48" t="s">
        <v>131</v>
      </c>
      <c r="D66" s="48" t="s">
        <v>136</v>
      </c>
      <c r="E66" s="48" t="s">
        <v>132</v>
      </c>
      <c r="F66" s="48" t="s">
        <v>135</v>
      </c>
      <c r="G66" s="52"/>
      <c r="H66" s="52"/>
      <c r="I66" s="52"/>
      <c r="J66" s="52"/>
      <c r="K66" s="52"/>
      <c r="L66" s="52"/>
      <c r="M66" s="52" t="str">
        <f t="shared" ref="M66" si="0">PROPER(G66)</f>
        <v/>
      </c>
    </row>
    <row r="67" spans="1:13" ht="42.75" customHeight="1" x14ac:dyDescent="0.3">
      <c r="A67" s="48" t="s">
        <v>133</v>
      </c>
      <c r="B67" s="118" t="s">
        <v>312</v>
      </c>
      <c r="C67" s="118" t="s">
        <v>314</v>
      </c>
      <c r="D67" s="118" t="s">
        <v>316</v>
      </c>
      <c r="E67" s="118" t="s">
        <v>318</v>
      </c>
      <c r="F67" s="118" t="s">
        <v>320</v>
      </c>
      <c r="G67" s="52"/>
    </row>
    <row r="68" spans="1:13" ht="51.75" customHeight="1" x14ac:dyDescent="0.3">
      <c r="A68" s="48" t="s">
        <v>134</v>
      </c>
      <c r="B68" s="90" t="s">
        <v>313</v>
      </c>
      <c r="C68" s="90" t="s">
        <v>315</v>
      </c>
      <c r="D68" s="90" t="s">
        <v>317</v>
      </c>
      <c r="E68" s="90" t="s">
        <v>319</v>
      </c>
      <c r="F68" s="90" t="s">
        <v>321</v>
      </c>
      <c r="G68" s="52"/>
    </row>
    <row r="69" spans="1:13" x14ac:dyDescent="0.3">
      <c r="A69" s="181" t="s">
        <v>137</v>
      </c>
      <c r="B69" s="181"/>
      <c r="C69" s="181"/>
      <c r="D69" s="181"/>
      <c r="E69" s="181"/>
      <c r="F69" s="181"/>
      <c r="G69" s="52"/>
    </row>
    <row r="70" spans="1:13" ht="47.25" customHeight="1" x14ac:dyDescent="0.3">
      <c r="A70" s="90"/>
      <c r="B70" s="48" t="s">
        <v>138</v>
      </c>
      <c r="C70" s="48" t="s">
        <v>139</v>
      </c>
      <c r="D70" s="48" t="s">
        <v>140</v>
      </c>
      <c r="E70" s="48" t="s">
        <v>141</v>
      </c>
      <c r="F70" s="48" t="s">
        <v>142</v>
      </c>
      <c r="G70" s="52"/>
      <c r="H70" s="52"/>
      <c r="I70" s="52"/>
      <c r="J70" s="52"/>
      <c r="K70" s="52"/>
      <c r="L70" s="52"/>
    </row>
    <row r="71" spans="1:13" ht="25.5" customHeight="1" x14ac:dyDescent="0.3">
      <c r="A71" s="48" t="s">
        <v>143</v>
      </c>
      <c r="B71" s="122" t="s">
        <v>276</v>
      </c>
      <c r="C71" s="122" t="s">
        <v>241</v>
      </c>
      <c r="D71" s="122" t="s">
        <v>241</v>
      </c>
      <c r="E71" s="122" t="s">
        <v>241</v>
      </c>
      <c r="F71" s="122" t="s">
        <v>241</v>
      </c>
      <c r="G71" s="52"/>
      <c r="H71" s="52"/>
      <c r="I71" s="52"/>
      <c r="J71" s="52"/>
      <c r="K71" s="52"/>
      <c r="L71" s="52"/>
    </row>
    <row r="72" spans="1:13" ht="42.75" customHeight="1" x14ac:dyDescent="0.3">
      <c r="A72" s="90"/>
      <c r="B72" s="86" t="s">
        <v>144</v>
      </c>
      <c r="C72" s="86" t="s">
        <v>145</v>
      </c>
      <c r="D72" s="86" t="s">
        <v>146</v>
      </c>
      <c r="E72" s="86" t="s">
        <v>147</v>
      </c>
      <c r="F72" s="86" t="s">
        <v>148</v>
      </c>
      <c r="G72" s="52"/>
      <c r="H72" s="52"/>
      <c r="I72" s="52"/>
      <c r="J72" s="52"/>
      <c r="K72" s="52"/>
      <c r="L72" s="52"/>
    </row>
    <row r="73" spans="1:13" x14ac:dyDescent="0.3">
      <c r="A73" s="48" t="s">
        <v>143</v>
      </c>
      <c r="B73" s="122" t="s">
        <v>241</v>
      </c>
      <c r="C73" s="122" t="s">
        <v>241</v>
      </c>
      <c r="D73" s="122" t="s">
        <v>241</v>
      </c>
      <c r="E73" s="122" t="s">
        <v>241</v>
      </c>
      <c r="F73" s="122" t="s">
        <v>241</v>
      </c>
      <c r="G73" s="52"/>
      <c r="H73" s="52"/>
      <c r="I73" s="52"/>
      <c r="J73" s="52"/>
      <c r="K73" s="52"/>
      <c r="L73" s="52"/>
    </row>
    <row r="74" spans="1:13" hidden="1" x14ac:dyDescent="0.3">
      <c r="A74" s="45" t="s">
        <v>3</v>
      </c>
      <c r="B74" s="123"/>
      <c r="C74" s="123"/>
      <c r="D74" s="123"/>
      <c r="E74" s="123"/>
      <c r="F74" s="123"/>
      <c r="G74" s="52"/>
      <c r="H74" s="52"/>
      <c r="I74" s="52"/>
      <c r="J74" s="52"/>
      <c r="K74" s="52"/>
      <c r="L74" s="52"/>
    </row>
    <row r="75" spans="1:13" x14ac:dyDescent="0.3">
      <c r="A75" s="90"/>
      <c r="B75" s="86" t="s">
        <v>149</v>
      </c>
      <c r="C75" s="86" t="s">
        <v>150</v>
      </c>
      <c r="D75" s="86" t="s">
        <v>151</v>
      </c>
      <c r="E75" s="86" t="s">
        <v>152</v>
      </c>
      <c r="F75" s="86" t="s">
        <v>153</v>
      </c>
      <c r="G75" s="52"/>
      <c r="H75" s="52"/>
      <c r="I75" s="52"/>
      <c r="J75" s="52"/>
      <c r="K75" s="52"/>
      <c r="L75" s="52"/>
    </row>
    <row r="76" spans="1:13" x14ac:dyDescent="0.3">
      <c r="A76" s="48" t="s">
        <v>143</v>
      </c>
      <c r="B76" s="122" t="s">
        <v>241</v>
      </c>
      <c r="C76" s="122" t="s">
        <v>241</v>
      </c>
      <c r="D76" s="122" t="s">
        <v>241</v>
      </c>
      <c r="E76" s="122" t="s">
        <v>241</v>
      </c>
      <c r="F76" s="122" t="s">
        <v>254</v>
      </c>
      <c r="G76" s="52"/>
      <c r="H76" s="52"/>
      <c r="I76" s="52"/>
      <c r="J76" s="52"/>
      <c r="K76" s="52"/>
      <c r="L76" s="52"/>
    </row>
    <row r="77" spans="1:13" hidden="1" x14ac:dyDescent="0.3">
      <c r="A77" s="45" t="s">
        <v>3</v>
      </c>
      <c r="B77" s="89"/>
      <c r="C77" s="89"/>
      <c r="D77" s="89"/>
      <c r="E77" s="89"/>
      <c r="F77" s="89"/>
      <c r="G77" s="52"/>
    </row>
    <row r="78" spans="1:13" x14ac:dyDescent="0.3">
      <c r="A78" s="176"/>
      <c r="B78" s="176"/>
      <c r="C78" s="176"/>
      <c r="D78" s="176"/>
      <c r="E78" s="176"/>
      <c r="F78" s="176"/>
      <c r="G78" s="52"/>
    </row>
    <row r="79" spans="1:13" ht="37.5" customHeight="1" thickBot="1" x14ac:dyDescent="0.35">
      <c r="A79" s="100" t="s">
        <v>154</v>
      </c>
      <c r="B79" s="247" t="s">
        <v>322</v>
      </c>
      <c r="C79" s="247"/>
      <c r="D79" s="247"/>
      <c r="E79" s="247"/>
      <c r="F79" s="247"/>
      <c r="G79" s="52"/>
    </row>
    <row r="80" spans="1:13" x14ac:dyDescent="0.3">
      <c r="A80" s="182" t="s">
        <v>155</v>
      </c>
      <c r="B80" s="183"/>
      <c r="C80" s="183"/>
      <c r="D80" s="183"/>
      <c r="E80" s="183"/>
      <c r="F80" s="184"/>
      <c r="G80" s="52"/>
    </row>
    <row r="81" spans="1:12" ht="28.5" customHeight="1" x14ac:dyDescent="0.3">
      <c r="A81" s="101" t="s">
        <v>167</v>
      </c>
      <c r="B81" s="202" t="str">
        <f>C33</f>
        <v>Slum Rehabilitation Authority (SRA)</v>
      </c>
      <c r="C81" s="202"/>
      <c r="D81" s="202"/>
      <c r="E81" s="202"/>
      <c r="F81" s="203"/>
      <c r="G81" s="52"/>
    </row>
    <row r="82" spans="1:12" ht="31.5" customHeight="1" x14ac:dyDescent="0.3">
      <c r="A82" s="102" t="s">
        <v>156</v>
      </c>
      <c r="B82" s="48" t="s">
        <v>168</v>
      </c>
      <c r="C82" s="48" t="s">
        <v>169</v>
      </c>
      <c r="D82" s="139" t="s">
        <v>170</v>
      </c>
      <c r="E82" s="139"/>
      <c r="F82" s="251"/>
      <c r="G82" s="52"/>
      <c r="H82" s="52"/>
      <c r="I82" s="52"/>
      <c r="J82" s="133"/>
      <c r="K82" s="133"/>
      <c r="L82" s="133"/>
    </row>
    <row r="83" spans="1:12" ht="31.5" customHeight="1" x14ac:dyDescent="0.3">
      <c r="A83" s="102" t="s">
        <v>157</v>
      </c>
      <c r="B83" s="91" t="s">
        <v>323</v>
      </c>
      <c r="C83" s="91" t="s">
        <v>324</v>
      </c>
      <c r="D83" s="245" t="s">
        <v>330</v>
      </c>
      <c r="E83" s="245"/>
      <c r="F83" s="246"/>
      <c r="G83" s="52"/>
    </row>
    <row r="84" spans="1:12" ht="31.5" customHeight="1" x14ac:dyDescent="0.3">
      <c r="A84" s="102" t="s">
        <v>158</v>
      </c>
      <c r="B84" s="91" t="s">
        <v>323</v>
      </c>
      <c r="C84" s="91" t="s">
        <v>324</v>
      </c>
      <c r="D84" s="245" t="str">
        <f>D83</f>
        <v>SRA/ENG/3274/THANE/STGL/AP
Date : 03/05/2023</v>
      </c>
      <c r="E84" s="245"/>
      <c r="F84" s="246"/>
      <c r="G84" s="52"/>
    </row>
    <row r="85" spans="1:12" ht="29.1" customHeight="1" x14ac:dyDescent="0.3">
      <c r="A85" s="193" t="s">
        <v>159</v>
      </c>
      <c r="B85" s="241" t="s">
        <v>323</v>
      </c>
      <c r="C85" s="254" t="s">
        <v>324</v>
      </c>
      <c r="D85" s="252" t="s">
        <v>364</v>
      </c>
      <c r="E85" s="252"/>
      <c r="F85" s="253"/>
      <c r="G85" s="52"/>
    </row>
    <row r="86" spans="1:12" ht="60.75" customHeight="1" x14ac:dyDescent="0.3">
      <c r="A86" s="193"/>
      <c r="B86" s="241"/>
      <c r="C86" s="255"/>
      <c r="D86" s="252" t="s">
        <v>365</v>
      </c>
      <c r="E86" s="252"/>
      <c r="F86" s="253"/>
      <c r="G86" s="52"/>
    </row>
    <row r="87" spans="1:12" ht="29.1" customHeight="1" x14ac:dyDescent="0.3">
      <c r="A87" s="193" t="s">
        <v>159</v>
      </c>
      <c r="B87" s="241" t="s">
        <v>323</v>
      </c>
      <c r="C87" s="254" t="s">
        <v>324</v>
      </c>
      <c r="D87" s="252" t="s">
        <v>366</v>
      </c>
      <c r="E87" s="252"/>
      <c r="F87" s="253"/>
      <c r="G87" s="52"/>
    </row>
    <row r="88" spans="1:12" ht="49.8" customHeight="1" x14ac:dyDescent="0.3">
      <c r="A88" s="193"/>
      <c r="B88" s="241"/>
      <c r="C88" s="255"/>
      <c r="D88" s="252" t="s">
        <v>367</v>
      </c>
      <c r="E88" s="252"/>
      <c r="F88" s="253"/>
      <c r="G88" s="52"/>
    </row>
    <row r="89" spans="1:12" ht="29.1" customHeight="1" x14ac:dyDescent="0.3">
      <c r="A89" s="193" t="s">
        <v>159</v>
      </c>
      <c r="B89" s="241" t="s">
        <v>323</v>
      </c>
      <c r="C89" s="254" t="s">
        <v>324</v>
      </c>
      <c r="D89" s="252" t="s">
        <v>368</v>
      </c>
      <c r="E89" s="252"/>
      <c r="F89" s="253"/>
      <c r="G89" s="52"/>
    </row>
    <row r="90" spans="1:12" ht="49.8" customHeight="1" x14ac:dyDescent="0.3">
      <c r="A90" s="193"/>
      <c r="B90" s="241"/>
      <c r="C90" s="255"/>
      <c r="D90" s="252" t="s">
        <v>369</v>
      </c>
      <c r="E90" s="252"/>
      <c r="F90" s="253"/>
      <c r="G90" s="52"/>
    </row>
    <row r="91" spans="1:12" ht="29.1" customHeight="1" x14ac:dyDescent="0.3">
      <c r="A91" s="193" t="s">
        <v>159</v>
      </c>
      <c r="B91" s="241" t="s">
        <v>323</v>
      </c>
      <c r="C91" s="254" t="s">
        <v>324</v>
      </c>
      <c r="D91" s="252" t="s">
        <v>370</v>
      </c>
      <c r="E91" s="252"/>
      <c r="F91" s="253"/>
      <c r="G91" s="52"/>
    </row>
    <row r="92" spans="1:12" ht="77.400000000000006" customHeight="1" x14ac:dyDescent="0.3">
      <c r="A92" s="193"/>
      <c r="B92" s="241"/>
      <c r="C92" s="255"/>
      <c r="D92" s="252" t="s">
        <v>371</v>
      </c>
      <c r="E92" s="252"/>
      <c r="F92" s="253"/>
      <c r="G92" s="52"/>
    </row>
    <row r="93" spans="1:12" ht="54" customHeight="1" x14ac:dyDescent="0.3">
      <c r="A93" s="102" t="s">
        <v>160</v>
      </c>
      <c r="B93" s="91" t="s">
        <v>325</v>
      </c>
      <c r="C93" s="91" t="s">
        <v>246</v>
      </c>
      <c r="D93" s="241" t="s">
        <v>246</v>
      </c>
      <c r="E93" s="241"/>
      <c r="F93" s="242"/>
      <c r="G93" s="52"/>
    </row>
    <row r="94" spans="1:12" ht="35.4" customHeight="1" x14ac:dyDescent="0.3">
      <c r="A94" s="102" t="s">
        <v>161</v>
      </c>
      <c r="B94" s="91" t="s">
        <v>325</v>
      </c>
      <c r="C94" s="91" t="s">
        <v>246</v>
      </c>
      <c r="D94" s="241" t="s">
        <v>246</v>
      </c>
      <c r="E94" s="241"/>
      <c r="F94" s="242"/>
      <c r="G94" s="52"/>
    </row>
    <row r="95" spans="1:12" ht="29.1" customHeight="1" x14ac:dyDescent="0.3">
      <c r="A95" s="102" t="s">
        <v>162</v>
      </c>
      <c r="B95" s="91" t="s">
        <v>325</v>
      </c>
      <c r="C95" s="91" t="s">
        <v>246</v>
      </c>
      <c r="D95" s="241" t="s">
        <v>246</v>
      </c>
      <c r="E95" s="241"/>
      <c r="F95" s="242"/>
      <c r="G95" s="52"/>
    </row>
    <row r="96" spans="1:12" ht="29.4" customHeight="1" x14ac:dyDescent="0.3">
      <c r="A96" s="102" t="s">
        <v>163</v>
      </c>
      <c r="B96" s="91" t="s">
        <v>325</v>
      </c>
      <c r="C96" s="91" t="s">
        <v>246</v>
      </c>
      <c r="D96" s="241" t="s">
        <v>246</v>
      </c>
      <c r="E96" s="241"/>
      <c r="F96" s="242"/>
      <c r="G96" s="52"/>
    </row>
    <row r="97" spans="1:10" ht="29.4" customHeight="1" x14ac:dyDescent="0.3">
      <c r="A97" s="102" t="s">
        <v>255</v>
      </c>
      <c r="B97" s="91" t="s">
        <v>326</v>
      </c>
      <c r="C97" s="91" t="s">
        <v>246</v>
      </c>
      <c r="D97" s="241" t="s">
        <v>246</v>
      </c>
      <c r="E97" s="241"/>
      <c r="F97" s="242"/>
      <c r="G97" s="52"/>
    </row>
    <row r="98" spans="1:10" ht="65.25" customHeight="1" x14ac:dyDescent="0.3">
      <c r="A98" s="102" t="s">
        <v>256</v>
      </c>
      <c r="B98" s="91" t="s">
        <v>323</v>
      </c>
      <c r="C98" s="91" t="s">
        <v>327</v>
      </c>
      <c r="D98" s="245" t="s">
        <v>328</v>
      </c>
      <c r="E98" s="245"/>
      <c r="F98" s="246"/>
      <c r="G98" s="52"/>
    </row>
    <row r="99" spans="1:10" ht="40.5" customHeight="1" x14ac:dyDescent="0.3">
      <c r="A99" s="102" t="s">
        <v>257</v>
      </c>
      <c r="B99" s="91" t="s">
        <v>325</v>
      </c>
      <c r="C99" s="91" t="s">
        <v>246</v>
      </c>
      <c r="D99" s="241" t="s">
        <v>246</v>
      </c>
      <c r="E99" s="241"/>
      <c r="F99" s="242"/>
      <c r="G99" s="52"/>
    </row>
    <row r="100" spans="1:10" ht="31.5" customHeight="1" x14ac:dyDescent="0.3">
      <c r="A100" s="102" t="s">
        <v>164</v>
      </c>
      <c r="B100" s="91" t="s">
        <v>323</v>
      </c>
      <c r="C100" s="91" t="s">
        <v>246</v>
      </c>
      <c r="D100" s="245" t="s">
        <v>329</v>
      </c>
      <c r="E100" s="245"/>
      <c r="F100" s="246"/>
      <c r="G100" s="52"/>
    </row>
    <row r="101" spans="1:10" ht="36" hidden="1" customHeight="1" x14ac:dyDescent="0.3">
      <c r="A101" s="102" t="s">
        <v>165</v>
      </c>
      <c r="B101" s="91"/>
      <c r="C101" s="91"/>
      <c r="D101" s="245"/>
      <c r="E101" s="245"/>
      <c r="F101" s="246"/>
      <c r="G101" s="52"/>
    </row>
    <row r="102" spans="1:10" ht="24.6" thickBot="1" x14ac:dyDescent="0.35">
      <c r="A102" s="103" t="s">
        <v>166</v>
      </c>
      <c r="B102" s="259"/>
      <c r="C102" s="259"/>
      <c r="D102" s="259"/>
      <c r="E102" s="259"/>
      <c r="F102" s="260"/>
      <c r="G102" s="52"/>
    </row>
    <row r="103" spans="1:10" x14ac:dyDescent="0.3">
      <c r="A103" s="185" t="s">
        <v>171</v>
      </c>
      <c r="B103" s="185"/>
      <c r="C103" s="185"/>
      <c r="D103" s="185"/>
      <c r="E103" s="185"/>
      <c r="F103" s="185"/>
      <c r="G103" s="52"/>
      <c r="I103" s="52"/>
    </row>
    <row r="104" spans="1:10" ht="43.2" x14ac:dyDescent="0.3">
      <c r="A104" s="48" t="s">
        <v>172</v>
      </c>
      <c r="B104" s="95" t="s">
        <v>241</v>
      </c>
      <c r="C104" s="86" t="s">
        <v>176</v>
      </c>
      <c r="D104" s="95" t="s">
        <v>258</v>
      </c>
      <c r="E104" s="93" t="s">
        <v>173</v>
      </c>
      <c r="F104" s="95" t="s">
        <v>331</v>
      </c>
      <c r="G104" s="52"/>
      <c r="J104" s="52"/>
    </row>
    <row r="105" spans="1:10" ht="24" x14ac:dyDescent="0.3">
      <c r="A105" s="45" t="s">
        <v>174</v>
      </c>
      <c r="B105" s="244">
        <v>45140</v>
      </c>
      <c r="C105" s="176"/>
      <c r="D105" s="45" t="s">
        <v>177</v>
      </c>
      <c r="E105" s="244">
        <v>47118</v>
      </c>
      <c r="F105" s="176"/>
      <c r="G105" s="52"/>
      <c r="J105" s="52"/>
    </row>
    <row r="106" spans="1:10" ht="39" customHeight="1" x14ac:dyDescent="0.3">
      <c r="A106" s="45" t="s">
        <v>175</v>
      </c>
      <c r="B106" s="178" t="s">
        <v>254</v>
      </c>
      <c r="C106" s="178"/>
      <c r="D106" s="85" t="s">
        <v>178</v>
      </c>
      <c r="E106" s="178" t="s">
        <v>246</v>
      </c>
      <c r="F106" s="178"/>
      <c r="G106" s="52"/>
      <c r="J106" s="52"/>
    </row>
    <row r="107" spans="1:10" x14ac:dyDescent="0.3">
      <c r="A107" s="181" t="s">
        <v>179</v>
      </c>
      <c r="B107" s="181"/>
      <c r="C107" s="181"/>
      <c r="D107" s="181"/>
      <c r="E107" s="181"/>
      <c r="F107" s="181"/>
      <c r="G107" s="52"/>
      <c r="I107" s="52"/>
    </row>
    <row r="108" spans="1:10" x14ac:dyDescent="0.3">
      <c r="A108" s="45" t="s">
        <v>186</v>
      </c>
      <c r="B108" s="250" t="s">
        <v>259</v>
      </c>
      <c r="C108" s="250"/>
      <c r="D108" s="85" t="s">
        <v>180</v>
      </c>
      <c r="E108" s="178" t="s">
        <v>254</v>
      </c>
      <c r="F108" s="178"/>
      <c r="G108" s="52"/>
      <c r="J108" s="52"/>
    </row>
    <row r="109" spans="1:10" ht="24" x14ac:dyDescent="0.3">
      <c r="A109" s="45" t="s">
        <v>187</v>
      </c>
      <c r="B109" s="178" t="s">
        <v>241</v>
      </c>
      <c r="C109" s="178"/>
      <c r="D109" s="85" t="s">
        <v>181</v>
      </c>
      <c r="E109" s="250" t="s">
        <v>260</v>
      </c>
      <c r="F109" s="250"/>
      <c r="G109" s="52"/>
      <c r="J109" s="52"/>
    </row>
    <row r="110" spans="1:10" ht="36" x14ac:dyDescent="0.3">
      <c r="A110" s="45" t="s">
        <v>188</v>
      </c>
      <c r="B110" s="178" t="s">
        <v>254</v>
      </c>
      <c r="C110" s="178"/>
      <c r="D110" s="85" t="s">
        <v>182</v>
      </c>
      <c r="E110" s="178" t="s">
        <v>254</v>
      </c>
      <c r="F110" s="178"/>
      <c r="G110" s="52"/>
      <c r="J110" s="52"/>
    </row>
    <row r="111" spans="1:10" ht="24" customHeight="1" x14ac:dyDescent="0.3">
      <c r="A111" s="45" t="s">
        <v>189</v>
      </c>
      <c r="B111" s="178" t="s">
        <v>254</v>
      </c>
      <c r="C111" s="178"/>
      <c r="D111" s="85" t="s">
        <v>183</v>
      </c>
      <c r="E111" s="178" t="s">
        <v>254</v>
      </c>
      <c r="F111" s="178"/>
      <c r="G111" s="52"/>
      <c r="J111" s="52"/>
    </row>
    <row r="112" spans="1:10" ht="36" x14ac:dyDescent="0.3">
      <c r="A112" s="45" t="s">
        <v>190</v>
      </c>
      <c r="B112" s="178" t="s">
        <v>254</v>
      </c>
      <c r="C112" s="178"/>
      <c r="D112" s="85" t="s">
        <v>184</v>
      </c>
      <c r="E112" s="178" t="s">
        <v>254</v>
      </c>
      <c r="F112" s="178"/>
      <c r="G112" s="52"/>
      <c r="J112" s="52"/>
    </row>
    <row r="113" spans="1:12" x14ac:dyDescent="0.3">
      <c r="A113" s="45" t="s">
        <v>191</v>
      </c>
      <c r="B113" s="178" t="s">
        <v>254</v>
      </c>
      <c r="C113" s="178"/>
      <c r="D113" s="85" t="s">
        <v>185</v>
      </c>
      <c r="E113" s="178" t="s">
        <v>254</v>
      </c>
      <c r="F113" s="178"/>
      <c r="G113" s="52"/>
      <c r="J113" s="52"/>
    </row>
    <row r="114" spans="1:12" x14ac:dyDescent="0.3">
      <c r="A114" s="139" t="s">
        <v>192</v>
      </c>
      <c r="B114" s="139"/>
      <c r="C114" s="175" t="s">
        <v>241</v>
      </c>
      <c r="D114" s="175"/>
      <c r="E114" s="175"/>
      <c r="F114" s="175"/>
      <c r="G114" s="133"/>
      <c r="H114" s="133"/>
    </row>
    <row r="115" spans="1:12" ht="30" customHeight="1" x14ac:dyDescent="0.3">
      <c r="A115" s="139" t="s">
        <v>193</v>
      </c>
      <c r="B115" s="139"/>
      <c r="C115" s="175" t="s">
        <v>254</v>
      </c>
      <c r="D115" s="175"/>
      <c r="E115" s="175"/>
      <c r="F115" s="175"/>
      <c r="G115" s="133"/>
      <c r="H115" s="133"/>
    </row>
    <row r="116" spans="1:12" x14ac:dyDescent="0.3">
      <c r="A116" s="181" t="s">
        <v>194</v>
      </c>
      <c r="B116" s="181"/>
      <c r="C116" s="181"/>
      <c r="D116" s="181"/>
      <c r="E116" s="181"/>
      <c r="F116" s="181"/>
      <c r="G116" s="52"/>
    </row>
    <row r="117" spans="1:12" ht="36" customHeight="1" x14ac:dyDescent="0.3">
      <c r="A117" s="187" t="s">
        <v>196</v>
      </c>
      <c r="B117" s="187"/>
      <c r="C117" s="187"/>
      <c r="D117" s="187"/>
      <c r="E117" s="187" t="s">
        <v>195</v>
      </c>
      <c r="F117" s="187"/>
      <c r="G117" s="52"/>
      <c r="H117" s="52"/>
      <c r="I117" s="52"/>
      <c r="J117" s="52"/>
      <c r="K117" s="52"/>
      <c r="L117" s="52"/>
    </row>
    <row r="118" spans="1:12" x14ac:dyDescent="0.3">
      <c r="A118" s="188" t="s">
        <v>246</v>
      </c>
      <c r="B118" s="188"/>
      <c r="C118" s="188"/>
      <c r="D118" s="188"/>
      <c r="E118" s="178" t="s">
        <v>254</v>
      </c>
      <c r="F118" s="178"/>
    </row>
    <row r="119" spans="1:12" hidden="1" x14ac:dyDescent="0.3">
      <c r="A119" s="188"/>
      <c r="B119" s="188"/>
      <c r="C119" s="188"/>
      <c r="D119" s="188"/>
      <c r="E119" s="188"/>
      <c r="F119" s="188"/>
    </row>
    <row r="120" spans="1:12" x14ac:dyDescent="0.3">
      <c r="A120" s="176"/>
      <c r="B120" s="176"/>
      <c r="C120" s="176"/>
      <c r="D120" s="176"/>
      <c r="E120" s="176"/>
      <c r="F120" s="176"/>
    </row>
    <row r="121" spans="1:12" ht="36" x14ac:dyDescent="0.3">
      <c r="A121" s="48" t="s">
        <v>197</v>
      </c>
      <c r="B121" s="48" t="s">
        <v>198</v>
      </c>
      <c r="C121" s="48" t="s">
        <v>199</v>
      </c>
      <c r="D121" s="48" t="s">
        <v>200</v>
      </c>
      <c r="E121" s="48" t="s">
        <v>201</v>
      </c>
      <c r="F121" s="48" t="s">
        <v>202</v>
      </c>
      <c r="G121" s="52"/>
      <c r="H121" s="52"/>
      <c r="I121" s="52"/>
      <c r="J121" s="52"/>
      <c r="K121" s="52"/>
      <c r="L121" s="52"/>
    </row>
    <row r="122" spans="1:12" ht="45.75" customHeight="1" x14ac:dyDescent="0.3">
      <c r="A122" s="90">
        <f t="shared" ref="A122:F122" si="1">A175</f>
        <v>1</v>
      </c>
      <c r="B122" s="90">
        <f t="shared" si="1"/>
        <v>1</v>
      </c>
      <c r="C122" s="90">
        <f t="shared" si="1"/>
        <v>1</v>
      </c>
      <c r="D122" s="118" t="str">
        <f t="shared" si="1"/>
        <v>Shops = 05, 
Office = 30, 
Flats = 263</v>
      </c>
      <c r="E122" s="90">
        <f t="shared" si="1"/>
        <v>0</v>
      </c>
      <c r="F122" s="90">
        <f t="shared" si="1"/>
        <v>298</v>
      </c>
    </row>
    <row r="123" spans="1:12" ht="49.5" customHeight="1" x14ac:dyDescent="0.3">
      <c r="A123" s="139" t="s">
        <v>261</v>
      </c>
      <c r="B123" s="139"/>
      <c r="C123" s="175" t="s">
        <v>334</v>
      </c>
      <c r="D123" s="175"/>
      <c r="E123" s="175"/>
      <c r="F123" s="175"/>
      <c r="G123" s="133"/>
      <c r="H123" s="133"/>
    </row>
    <row r="124" spans="1:12" ht="48.75" customHeight="1" x14ac:dyDescent="0.3">
      <c r="A124" s="139" t="s">
        <v>262</v>
      </c>
      <c r="B124" s="139"/>
      <c r="C124" s="175" t="s">
        <v>334</v>
      </c>
      <c r="D124" s="175"/>
      <c r="E124" s="175"/>
      <c r="F124" s="175"/>
      <c r="G124" s="133"/>
      <c r="H124" s="133"/>
    </row>
    <row r="125" spans="1:12" hidden="1" x14ac:dyDescent="0.3">
      <c r="A125" s="139"/>
      <c r="B125" s="139"/>
      <c r="C125" s="167" t="s">
        <v>279</v>
      </c>
      <c r="D125" s="167"/>
      <c r="E125" s="167"/>
      <c r="F125" s="167"/>
      <c r="G125" s="133"/>
      <c r="H125" s="133"/>
    </row>
    <row r="126" spans="1:12" hidden="1" x14ac:dyDescent="0.3">
      <c r="A126" s="139"/>
      <c r="B126" s="139"/>
      <c r="C126" s="167"/>
      <c r="D126" s="167"/>
      <c r="E126" s="167"/>
      <c r="F126" s="167"/>
      <c r="G126" s="133"/>
      <c r="H126" s="133"/>
    </row>
    <row r="127" spans="1:12" x14ac:dyDescent="0.3">
      <c r="A127" s="139" t="s">
        <v>203</v>
      </c>
      <c r="B127" s="139"/>
      <c r="C127" s="175" t="s">
        <v>241</v>
      </c>
      <c r="D127" s="175"/>
      <c r="E127" s="175"/>
      <c r="F127" s="175"/>
      <c r="G127" s="133"/>
      <c r="H127" s="133"/>
    </row>
    <row r="128" spans="1:12" x14ac:dyDescent="0.3">
      <c r="A128" s="139" t="s">
        <v>204</v>
      </c>
      <c r="B128" s="139"/>
      <c r="C128" s="175" t="s">
        <v>241</v>
      </c>
      <c r="D128" s="175"/>
      <c r="E128" s="175"/>
      <c r="F128" s="175"/>
      <c r="G128" s="133"/>
      <c r="H128" s="133"/>
    </row>
    <row r="129" spans="1:12" ht="26.1" customHeight="1" x14ac:dyDescent="0.3">
      <c r="A129" s="139" t="s">
        <v>205</v>
      </c>
      <c r="B129" s="139"/>
      <c r="C129" s="176" t="s">
        <v>332</v>
      </c>
      <c r="D129" s="176"/>
      <c r="E129" s="176"/>
      <c r="F129" s="176"/>
      <c r="G129" s="133"/>
      <c r="H129" s="133"/>
    </row>
    <row r="130" spans="1:12" ht="34.5" customHeight="1" x14ac:dyDescent="0.3">
      <c r="A130" s="139" t="s">
        <v>206</v>
      </c>
      <c r="B130" s="139"/>
      <c r="C130" s="252" t="s">
        <v>333</v>
      </c>
      <c r="D130" s="252"/>
      <c r="E130" s="252"/>
      <c r="F130" s="252"/>
      <c r="G130" s="133"/>
      <c r="H130" s="133"/>
    </row>
    <row r="131" spans="1:12" ht="15" thickBot="1" x14ac:dyDescent="0.35">
      <c r="A131" s="168" t="s">
        <v>4</v>
      </c>
      <c r="B131" s="168"/>
      <c r="C131" s="168"/>
      <c r="D131" s="168"/>
      <c r="E131" s="168"/>
      <c r="F131" s="168"/>
      <c r="G131" s="1"/>
      <c r="H131" s="1"/>
    </row>
    <row r="132" spans="1:12" ht="33.75" customHeight="1" x14ac:dyDescent="0.3">
      <c r="A132" s="223" t="str">
        <f>C124</f>
        <v>Sale Building (Wing B) = B + Gr/st + 1st to 3rd Floor + 4th Floor (Service Floor) + 5th to 27th Floor + 28th Floor (Recreational Floor) + 29th Floor (Recreational Floor) + 30th to 33rd Floor</v>
      </c>
      <c r="B132" s="224"/>
      <c r="C132" s="67" t="s">
        <v>5</v>
      </c>
      <c r="D132" s="67" t="s">
        <v>6</v>
      </c>
      <c r="E132" s="67" t="s">
        <v>7</v>
      </c>
      <c r="F132" s="68" t="s">
        <v>8</v>
      </c>
      <c r="G132" s="2" t="str">
        <f ca="1">(IF(E136&gt;99%,"All work completed. Please provide OC.",IF(E136&gt;89.8%,"Plinth, RCC, Brick, Plaster, Flooring, Painting work Completed. Finishing work is in process.",IF(E136&lt;94%,(IF(C136=0,"Work not yet Started.",IF(C136=H137,"Excavation Work in process",IF(C136=H138,"Foudation Work in process",IF(C136=H139,"1st Basement Completed",IF(C136=H140,"1st &amp; 2nd Basement Completed",IF(C136=H141,"1st to 3rd Basement Completed",IF(C136=H142,"1st to 4th Basement Completed",IF(C136=H143,"Plinth work is process",IF(C136=H144,"Plinth work completed","0"))))))))))))&amp;(IF(C137=(D133+E133+F133),", RCC Slab",IF(C137&gt;0,", RCC upto "&amp;C137&amp;" Slab",""))&amp;(IF(C138=F133,", Brickwork",IF(C138&gt;0,", Brickwork upto "&amp;C138&amp;" Floor",""))&amp;(IF(C139=F133,", Internal Plaster",IF(C139&gt;0,", Internal Plaster upto "&amp;C139&amp;" Floor",""))&amp;(IF(C140=F133,", External Plaster",IF(C140&gt;0,", External Plaster upto "&amp;C140&amp;" Floor",""))&amp;(IF(C141=F133,", Flooring",IF(C141&gt;0,", Flooring upto "&amp;C141&amp;" Floor",""))&amp;(IF(C142=F133,", Painting",IF(C142&gt;0,", Painting upto "&amp;C142&amp;" Floor",""))&amp;(IF(C143&gt;0,", Finishing upto "&amp;C143&amp;" Floor","")&amp;(IF(C137&gt;0.5," Completed","")))))))))))</f>
        <v>Plinth work completed, RCC upto 17 Slab, Brickwork upto 15 Floor, Internal Plaster upto 13 Floor, External Plaster upto 5 Floor, Flooring upto 5 Floor, Painting upto 3 Floor, Finishing upto 3 Floor Completed</v>
      </c>
      <c r="H132" s="3"/>
    </row>
    <row r="133" spans="1:12" ht="33.75" customHeight="1" x14ac:dyDescent="0.3">
      <c r="A133" s="225"/>
      <c r="B133" s="226"/>
      <c r="C133" s="69">
        <v>1</v>
      </c>
      <c r="D133" s="69">
        <v>1</v>
      </c>
      <c r="E133" s="69">
        <v>0</v>
      </c>
      <c r="F133" s="70">
        <f ca="1">--TRIM(RIGHT(SUBSTITUTE(LEFT(A132,_xlfn.AGGREGATE(16,6,FIND({0,1,2,3,4,5,6,7,8,9},A132,ROW(INDIRECT("1:"&amp;LEN(A132)))),1))," ",REPT(" ",LEN(A132))),LEN(A132)))</f>
        <v>33</v>
      </c>
      <c r="G133" s="4"/>
      <c r="H133" s="5"/>
      <c r="L133" t="s">
        <v>209</v>
      </c>
    </row>
    <row r="134" spans="1:12" ht="52.2" customHeight="1" x14ac:dyDescent="0.3">
      <c r="A134" s="104" t="s">
        <v>9</v>
      </c>
      <c r="B134" s="163" t="str">
        <f ca="1">G132</f>
        <v>Plinth work completed, RCC upto 17 Slab, Brickwork upto 15 Floor, Internal Plaster upto 13 Floor, External Plaster upto 5 Floor, Flooring upto 5 Floor, Painting upto 3 Floor, Finishing upto 3 Floor Completed</v>
      </c>
      <c r="C134" s="163"/>
      <c r="D134" s="163"/>
      <c r="E134" s="163"/>
      <c r="F134" s="164"/>
      <c r="G134" s="4" t="s">
        <v>10</v>
      </c>
      <c r="H134" s="5"/>
      <c r="L134" t="s">
        <v>207</v>
      </c>
    </row>
    <row r="135" spans="1:12" x14ac:dyDescent="0.3">
      <c r="A135" s="71" t="s">
        <v>11</v>
      </c>
      <c r="B135" s="72" t="s">
        <v>12</v>
      </c>
      <c r="C135" s="73" t="s">
        <v>13</v>
      </c>
      <c r="D135" s="73" t="s">
        <v>14</v>
      </c>
      <c r="E135" s="165" t="s">
        <v>37</v>
      </c>
      <c r="F135" s="166"/>
      <c r="G135" s="6"/>
      <c r="H135" s="7"/>
      <c r="L135" t="s">
        <v>208</v>
      </c>
    </row>
    <row r="136" spans="1:12" x14ac:dyDescent="0.3">
      <c r="A136" s="71" t="s">
        <v>19</v>
      </c>
      <c r="B136" s="74">
        <v>0.35</v>
      </c>
      <c r="C136" s="77">
        <f ca="1">H144</f>
        <v>33</v>
      </c>
      <c r="D136" s="76">
        <f ca="1">((100/F133)*C136)/100</f>
        <v>1</v>
      </c>
      <c r="E136" s="169">
        <f ca="1">((((C136/F133)*35)+(35/(F133+E133+D133)*C137)+(5/F133*C138)+(5/F133*C139)+(5/F133*C140)+(5/F133*C141)+(5/F133*C142)+(2.5/F133*C143)+(2.5/F133*C144))/100)</f>
        <v>0.58939393939393936</v>
      </c>
      <c r="F136" s="170"/>
      <c r="G136" s="6"/>
      <c r="H136" s="8"/>
    </row>
    <row r="137" spans="1:12" ht="28.8" x14ac:dyDescent="0.3">
      <c r="A137" s="71" t="s">
        <v>21</v>
      </c>
      <c r="B137" s="74">
        <v>0.35</v>
      </c>
      <c r="C137" s="87">
        <v>17</v>
      </c>
      <c r="D137" s="76">
        <f ca="1">((100/(D133+E133+F133))*C137)/100</f>
        <v>0.5</v>
      </c>
      <c r="E137" s="169"/>
      <c r="F137" s="170"/>
      <c r="G137" s="6" t="s">
        <v>277</v>
      </c>
      <c r="H137" s="9">
        <f ca="1">F133/7</f>
        <v>4.7142857142857144</v>
      </c>
    </row>
    <row r="138" spans="1:12" x14ac:dyDescent="0.3">
      <c r="A138" s="71" t="s">
        <v>23</v>
      </c>
      <c r="B138" s="74">
        <v>0.05</v>
      </c>
      <c r="C138" s="77">
        <f>C137-2</f>
        <v>15</v>
      </c>
      <c r="D138" s="76">
        <f ca="1">((100/F133)*C138)/100</f>
        <v>0.45454545454545453</v>
      </c>
      <c r="E138" s="169"/>
      <c r="F138" s="170"/>
      <c r="G138" s="6" t="s">
        <v>278</v>
      </c>
      <c r="H138" s="9">
        <f ca="1">(IF(C133&gt;1,(F133/(C133+2)),F133/3.5))</f>
        <v>9.4285714285714288</v>
      </c>
    </row>
    <row r="139" spans="1:12" x14ac:dyDescent="0.3">
      <c r="A139" s="71" t="s">
        <v>38</v>
      </c>
      <c r="B139" s="74">
        <v>0.05</v>
      </c>
      <c r="C139" s="77">
        <f>C138-2</f>
        <v>13</v>
      </c>
      <c r="D139" s="76">
        <f ca="1">((100/F133)*C139)/100</f>
        <v>0.39393939393939392</v>
      </c>
      <c r="E139" s="169"/>
      <c r="F139" s="170"/>
      <c r="G139" s="6" t="s">
        <v>26</v>
      </c>
      <c r="H139" s="9">
        <f>(IF(C133&gt;1,(F133/(C133+2)+H138),0))</f>
        <v>0</v>
      </c>
    </row>
    <row r="140" spans="1:12" x14ac:dyDescent="0.3">
      <c r="A140" s="71" t="s">
        <v>29</v>
      </c>
      <c r="B140" s="74">
        <v>0.05</v>
      </c>
      <c r="C140" s="75">
        <v>5</v>
      </c>
      <c r="D140" s="76">
        <f ca="1">((100/(F133))*C140)/100</f>
        <v>0.15151515151515152</v>
      </c>
      <c r="E140" s="169"/>
      <c r="F140" s="170"/>
      <c r="G140" s="6" t="s">
        <v>28</v>
      </c>
      <c r="H140" s="9">
        <f>(IF(C133&gt;2,(F133/(C133+2)+H139),0))</f>
        <v>0</v>
      </c>
    </row>
    <row r="141" spans="1:12" ht="28.8" x14ac:dyDescent="0.3">
      <c r="A141" s="71" t="s">
        <v>39</v>
      </c>
      <c r="B141" s="74">
        <v>0.05</v>
      </c>
      <c r="C141" s="75">
        <v>5</v>
      </c>
      <c r="D141" s="76">
        <f ca="1">((100/F133)*C141)/100</f>
        <v>0.15151515151515152</v>
      </c>
      <c r="E141" s="169"/>
      <c r="F141" s="170"/>
      <c r="G141" s="6" t="s">
        <v>30</v>
      </c>
      <c r="H141" s="10">
        <f>(IF(C133&gt;3,(F133/(C133+2)+H140),0))</f>
        <v>0</v>
      </c>
    </row>
    <row r="142" spans="1:12" x14ac:dyDescent="0.3">
      <c r="A142" s="71" t="s">
        <v>31</v>
      </c>
      <c r="B142" s="74">
        <v>0.05</v>
      </c>
      <c r="C142" s="75">
        <v>3</v>
      </c>
      <c r="D142" s="76">
        <f ca="1">((100/F133)*C142)/100</f>
        <v>9.0909090909090898E-2</v>
      </c>
      <c r="E142" s="169"/>
      <c r="F142" s="170"/>
      <c r="G142" s="6" t="s">
        <v>32</v>
      </c>
      <c r="H142" s="9">
        <f>(IF(C133&gt;4,(F133/(C133+2)+H141),0))</f>
        <v>0</v>
      </c>
    </row>
    <row r="143" spans="1:12" x14ac:dyDescent="0.3">
      <c r="A143" s="71" t="s">
        <v>40</v>
      </c>
      <c r="B143" s="74">
        <v>2.5000000000000001E-2</v>
      </c>
      <c r="C143" s="75">
        <v>3</v>
      </c>
      <c r="D143" s="76">
        <f ca="1">((100/(F133))*C143)/100</f>
        <v>9.0909090909090898E-2</v>
      </c>
      <c r="E143" s="169"/>
      <c r="F143" s="170"/>
      <c r="G143" s="6" t="s">
        <v>34</v>
      </c>
      <c r="H143" s="9">
        <f ca="1">(IF(C133=1,(F133/(C133+3)+H138),IF(C133=0,(F133*2/7+H138),IF(C133&gt;1,0))))</f>
        <v>17.678571428571431</v>
      </c>
    </row>
    <row r="144" spans="1:12" ht="15" thickBot="1" x14ac:dyDescent="0.35">
      <c r="A144" s="105" t="s">
        <v>35</v>
      </c>
      <c r="B144" s="106">
        <v>2.5000000000000001E-2</v>
      </c>
      <c r="C144" s="107">
        <v>0</v>
      </c>
      <c r="D144" s="108">
        <f ca="1">((100/(F133))*C144)/100</f>
        <v>0</v>
      </c>
      <c r="E144" s="171"/>
      <c r="F144" s="172"/>
      <c r="G144" s="11" t="s">
        <v>36</v>
      </c>
      <c r="H144" s="12">
        <f ca="1">F133</f>
        <v>33</v>
      </c>
    </row>
    <row r="145" spans="1:12" ht="15" hidden="1" customHeight="1" x14ac:dyDescent="0.3">
      <c r="A145" s="160" t="str">
        <f>C125</f>
        <v>Building No. 1 = Gr. + 1st to 17th Floor</v>
      </c>
      <c r="B145" s="161"/>
      <c r="C145" s="67" t="s">
        <v>5</v>
      </c>
      <c r="D145" s="67" t="s">
        <v>6</v>
      </c>
      <c r="E145" s="67" t="s">
        <v>7</v>
      </c>
      <c r="F145" s="68" t="s">
        <v>8</v>
      </c>
      <c r="G145" s="2" t="str">
        <f ca="1">(IF(E149&gt;99%,"All work completed. Please provide OC.",IF(E149&gt;89.8%,"Plinth, RCC, Brick, Plaster, Flooring, Painting work Completed. Finishing work is in process.",IF(E149&lt;94%,(IF(C149=0,"Work not yet Started.",IF(C149=H150,"Excavation Work in process",IF(C149=H151,"Foudation Work in process",IF(C149=H152,"1st Basement Completed",IF(C149=H153,"1st &amp; 2nd Basement Completed",IF(C149=H154,"1st to 3rd Basement Completed",IF(C149=H155,"1st to 4th Basement Completed",IF(C149=H156,"Plinth work is process",IF(C149=H157,"Plinth work completed","0"))))))))))))&amp;(IF(C150=(D146+E146+F146),", RCC Slab",IF(C150&gt;0,", RCC upto "&amp;C150&amp;" Slab",""))&amp;(IF(C151=F146,", Brickwork",IF(C151&gt;0,", Brickwork upto "&amp;C151&amp;" Floor",""))&amp;(IF(C152=F146,", Internal Plaster",IF(C152&gt;0,", Internal Plaster upto "&amp;C152&amp;" Floor",""))&amp;(IF(C153=F146,", External Plaster",IF(C153&gt;0,", External Plaster upto "&amp;C153&amp;" Floor",""))&amp;(IF(C154=F146,", Flooring",IF(C154&gt;0,", Flooring upto "&amp;C154&amp;" Floor",""))&amp;(IF(C155=F146,", Painting",IF(C155&gt;0,", Painting upto "&amp;C155&amp;" Floor",""))&amp;(IF(C156&gt;0,", Finishing upto "&amp;C156&amp;" Floor","")&amp;(IF(C150&gt;0.5," Completed","")))))))))))</f>
        <v>Work not yet Started.</v>
      </c>
      <c r="H145" s="3"/>
    </row>
    <row r="146" spans="1:12" hidden="1" x14ac:dyDescent="0.3">
      <c r="A146" s="162"/>
      <c r="B146" s="163"/>
      <c r="C146" s="69">
        <v>0</v>
      </c>
      <c r="D146" s="69">
        <v>1</v>
      </c>
      <c r="E146" s="69">
        <v>0</v>
      </c>
      <c r="F146" s="70">
        <f ca="1">--TRIM(RIGHT(SUBSTITUTE(LEFT(A145,_xlfn.AGGREGATE(16,6,FIND({0,1,2,3,4,5,6,7,8,9},A145,ROW(INDIRECT("1:"&amp;LEN(A145)))),1))," ",REPT(" ",LEN(A145))),LEN(A145)))</f>
        <v>17</v>
      </c>
      <c r="G146" s="4"/>
      <c r="H146" s="5"/>
      <c r="L146" t="s">
        <v>209</v>
      </c>
    </row>
    <row r="147" spans="1:12" ht="15" hidden="1" customHeight="1" x14ac:dyDescent="0.3">
      <c r="A147" s="104" t="s">
        <v>9</v>
      </c>
      <c r="B147" s="163" t="str">
        <f ca="1">G145</f>
        <v>Work not yet Started.</v>
      </c>
      <c r="C147" s="163"/>
      <c r="D147" s="163"/>
      <c r="E147" s="163"/>
      <c r="F147" s="164"/>
      <c r="G147" s="4" t="s">
        <v>10</v>
      </c>
      <c r="H147" s="5"/>
      <c r="L147" t="s">
        <v>207</v>
      </c>
    </row>
    <row r="148" spans="1:12" hidden="1" x14ac:dyDescent="0.3">
      <c r="A148" s="71" t="s">
        <v>11</v>
      </c>
      <c r="B148" s="72" t="s">
        <v>12</v>
      </c>
      <c r="C148" s="73" t="s">
        <v>13</v>
      </c>
      <c r="D148" s="73" t="s">
        <v>14</v>
      </c>
      <c r="E148" s="165" t="s">
        <v>37</v>
      </c>
      <c r="F148" s="166"/>
      <c r="G148" s="6"/>
      <c r="H148" s="7"/>
      <c r="L148" t="s">
        <v>208</v>
      </c>
    </row>
    <row r="149" spans="1:12" hidden="1" x14ac:dyDescent="0.3">
      <c r="A149" s="71" t="s">
        <v>19</v>
      </c>
      <c r="B149" s="74">
        <v>0.35</v>
      </c>
      <c r="C149" s="77">
        <f>H153</f>
        <v>0</v>
      </c>
      <c r="D149" s="76">
        <f ca="1">((100/F146)*C149)/100</f>
        <v>0</v>
      </c>
      <c r="E149" s="169">
        <f ca="1">((((C149/F146)*35)+(35/(F146+E146+D146)*C150)+(5/F146*C151)+(5/F146*C152)+(5/F146*C153)+(5/F146*C154)+(5/F146*C155)+(2.5/F146*C156)+(2.5/F146*C157))/100)</f>
        <v>0</v>
      </c>
      <c r="F149" s="170"/>
      <c r="G149" s="6"/>
      <c r="H149" s="8"/>
    </row>
    <row r="150" spans="1:12" ht="28.8" hidden="1" x14ac:dyDescent="0.3">
      <c r="A150" s="71" t="s">
        <v>21</v>
      </c>
      <c r="B150" s="74">
        <v>0.35</v>
      </c>
      <c r="C150" s="87">
        <v>0</v>
      </c>
      <c r="D150" s="76">
        <f ca="1">((100/(D146+E146+F146))*C150)/100</f>
        <v>0</v>
      </c>
      <c r="E150" s="169"/>
      <c r="F150" s="170"/>
      <c r="G150" s="6" t="s">
        <v>277</v>
      </c>
      <c r="H150" s="9">
        <f ca="1">F146/7</f>
        <v>2.4285714285714284</v>
      </c>
    </row>
    <row r="151" spans="1:12" hidden="1" x14ac:dyDescent="0.3">
      <c r="A151" s="71" t="s">
        <v>23</v>
      </c>
      <c r="B151" s="74">
        <v>0.05</v>
      </c>
      <c r="C151" s="75">
        <v>0</v>
      </c>
      <c r="D151" s="76">
        <f ca="1">((100/F146)*C151)/100</f>
        <v>0</v>
      </c>
      <c r="E151" s="169"/>
      <c r="F151" s="170"/>
      <c r="G151" s="6" t="s">
        <v>278</v>
      </c>
      <c r="H151" s="9">
        <f ca="1">(IF(C146&gt;1,(F146/(C146+2)),F146/3.5))</f>
        <v>4.8571428571428568</v>
      </c>
    </row>
    <row r="152" spans="1:12" hidden="1" x14ac:dyDescent="0.3">
      <c r="A152" s="71" t="s">
        <v>38</v>
      </c>
      <c r="B152" s="74">
        <v>0.05</v>
      </c>
      <c r="C152" s="75">
        <v>0</v>
      </c>
      <c r="D152" s="76">
        <f ca="1">((100/F146)*C152)/100</f>
        <v>0</v>
      </c>
      <c r="E152" s="169"/>
      <c r="F152" s="170"/>
      <c r="G152" s="6" t="s">
        <v>26</v>
      </c>
      <c r="H152" s="9">
        <f>(IF(C146&gt;1,(F146/(C146+2)+H151),0))</f>
        <v>0</v>
      </c>
    </row>
    <row r="153" spans="1:12" hidden="1" x14ac:dyDescent="0.3">
      <c r="A153" s="71" t="s">
        <v>29</v>
      </c>
      <c r="B153" s="74">
        <v>0.05</v>
      </c>
      <c r="C153" s="75">
        <v>0</v>
      </c>
      <c r="D153" s="76">
        <f ca="1">((100/(F146))*C153)/100</f>
        <v>0</v>
      </c>
      <c r="E153" s="169"/>
      <c r="F153" s="170"/>
      <c r="G153" s="6" t="s">
        <v>28</v>
      </c>
      <c r="H153" s="9">
        <f>(IF(C146&gt;2,(F146/(C146+2)+H152),0))</f>
        <v>0</v>
      </c>
    </row>
    <row r="154" spans="1:12" ht="28.8" hidden="1" x14ac:dyDescent="0.3">
      <c r="A154" s="71" t="s">
        <v>39</v>
      </c>
      <c r="B154" s="74">
        <v>0.05</v>
      </c>
      <c r="C154" s="75">
        <v>0</v>
      </c>
      <c r="D154" s="76">
        <f ca="1">((100/F146)*C154)/100</f>
        <v>0</v>
      </c>
      <c r="E154" s="169"/>
      <c r="F154" s="170"/>
      <c r="G154" s="6" t="s">
        <v>30</v>
      </c>
      <c r="H154" s="10">
        <f>(IF(C146&gt;3,(F146/(C146+2)+H153),0))</f>
        <v>0</v>
      </c>
    </row>
    <row r="155" spans="1:12" hidden="1" x14ac:dyDescent="0.3">
      <c r="A155" s="71" t="s">
        <v>31</v>
      </c>
      <c r="B155" s="74">
        <v>0.05</v>
      </c>
      <c r="C155" s="75">
        <v>0</v>
      </c>
      <c r="D155" s="76">
        <f ca="1">((100/F146)*C155)/100</f>
        <v>0</v>
      </c>
      <c r="E155" s="169"/>
      <c r="F155" s="170"/>
      <c r="G155" s="6" t="s">
        <v>32</v>
      </c>
      <c r="H155" s="9">
        <f>(IF(C146&gt;4,(F146/(C146+2)+H154),0))</f>
        <v>0</v>
      </c>
    </row>
    <row r="156" spans="1:12" hidden="1" x14ac:dyDescent="0.3">
      <c r="A156" s="71" t="s">
        <v>40</v>
      </c>
      <c r="B156" s="74">
        <v>2.5000000000000001E-2</v>
      </c>
      <c r="C156" s="75">
        <v>0</v>
      </c>
      <c r="D156" s="76">
        <f ca="1">((100/(F146))*C156)/100</f>
        <v>0</v>
      </c>
      <c r="E156" s="169"/>
      <c r="F156" s="170"/>
      <c r="G156" s="6" t="s">
        <v>34</v>
      </c>
      <c r="H156" s="9">
        <f ca="1">(IF(C146=1,(F146/(C146+3)+H151),IF(C146=0,(F146*2/7+H151),IF(C146&gt;1,0))))</f>
        <v>9.7142857142857135</v>
      </c>
    </row>
    <row r="157" spans="1:12" ht="15" hidden="1" thickBot="1" x14ac:dyDescent="0.35">
      <c r="A157" s="105" t="s">
        <v>35</v>
      </c>
      <c r="B157" s="106">
        <v>2.5000000000000001E-2</v>
      </c>
      <c r="C157" s="107">
        <v>0</v>
      </c>
      <c r="D157" s="108">
        <f ca="1">((100/(F146))*C157)/100</f>
        <v>0</v>
      </c>
      <c r="E157" s="171"/>
      <c r="F157" s="172"/>
      <c r="G157" s="11" t="s">
        <v>36</v>
      </c>
      <c r="H157" s="12">
        <f ca="1">F146</f>
        <v>17</v>
      </c>
    </row>
    <row r="158" spans="1:12" hidden="1" x14ac:dyDescent="0.3">
      <c r="A158" s="160">
        <f>C126</f>
        <v>0</v>
      </c>
      <c r="B158" s="161"/>
      <c r="C158" s="67" t="s">
        <v>5</v>
      </c>
      <c r="D158" s="67" t="s">
        <v>6</v>
      </c>
      <c r="E158" s="67" t="s">
        <v>7</v>
      </c>
      <c r="F158" s="68" t="s">
        <v>8</v>
      </c>
      <c r="G158" s="2" t="e">
        <f ca="1">(IF(E162&gt;99%,"All work completed. Please provide OC.",IF(E162&gt;89.8%,"Plinth, RCC, Brick, Plaster, Flooring, Painting work Completed. Finishing work is in process.",IF(E162&lt;94%,(IF(C162=0,"Work not yet Started.",IF(C162=H163,"Excavation Work in process",IF(C162=H164,"Foudation Work in process",IF(C162=H165,"1st Basement Completed",IF(C162=H166,"1st &amp; 2nd Basement Completed",IF(C162=H167,"1st to 3rd Basement Completed",IF(C162=H168,"1st to 4th Basement Completed",IF(C162=H169,"Plinth work is process",IF(C162=H170,"Plinth work completed","0"))))))))))))&amp;(IF(C163=(D159+E159+F159),", RCC Slab",IF(C163&gt;0,", RCC upto "&amp;C163&amp;" Slab",""))&amp;(IF(C164=F159,", Brickwork",IF(C164&gt;0,", Brickwork upto "&amp;C164&amp;" Floor",""))&amp;(IF(C165=F159,", Internal Plaster",IF(C165&gt;0,", Internal Plaster upto "&amp;C165&amp;" Floor",""))&amp;(IF(C166=F159,", External Plaster",IF(C166&gt;0,", External Plaster upto "&amp;C166&amp;" Floor",""))&amp;(IF(C167=F159,", Flooring",IF(C167&gt;0,", Flooring upto "&amp;C167&amp;" Floor",""))&amp;(IF(C168=F159,", Painting",IF(C168&gt;0,", Painting upto "&amp;C168&amp;" Floor",""))&amp;(IF(C169&gt;0,", Finishing upto "&amp;C169&amp;" Floor","")&amp;(IF(C163&gt;0.5," Completed","")))))))))))</f>
        <v>#DIV/0!</v>
      </c>
      <c r="H158" s="3"/>
    </row>
    <row r="159" spans="1:12" hidden="1" x14ac:dyDescent="0.3">
      <c r="A159" s="162"/>
      <c r="B159" s="163"/>
      <c r="C159" s="69">
        <v>0</v>
      </c>
      <c r="D159" s="69">
        <v>1</v>
      </c>
      <c r="E159" s="69">
        <v>0</v>
      </c>
      <c r="F159" s="70">
        <f ca="1">--TRIM(RIGHT(SUBSTITUTE(LEFT(A158,_xlfn.AGGREGATE(16,6,FIND({0,1,2,3,4,5,6,7,8,9},A158,ROW(INDIRECT("1:"&amp;LEN(A158)))),1))," ",REPT(" ",LEN(A158))),LEN(A158)))</f>
        <v>0</v>
      </c>
      <c r="G159" s="4"/>
      <c r="H159" s="5"/>
      <c r="L159" t="s">
        <v>209</v>
      </c>
    </row>
    <row r="160" spans="1:12" hidden="1" x14ac:dyDescent="0.3">
      <c r="A160" s="104" t="s">
        <v>9</v>
      </c>
      <c r="B160" s="163" t="e">
        <f ca="1">G158</f>
        <v>#DIV/0!</v>
      </c>
      <c r="C160" s="163"/>
      <c r="D160" s="163"/>
      <c r="E160" s="163"/>
      <c r="F160" s="164"/>
      <c r="G160" s="4" t="s">
        <v>10</v>
      </c>
      <c r="H160" s="5"/>
      <c r="L160" t="s">
        <v>207</v>
      </c>
    </row>
    <row r="161" spans="1:13" hidden="1" x14ac:dyDescent="0.3">
      <c r="A161" s="71" t="s">
        <v>11</v>
      </c>
      <c r="B161" s="72" t="s">
        <v>12</v>
      </c>
      <c r="C161" s="73" t="s">
        <v>13</v>
      </c>
      <c r="D161" s="73" t="s">
        <v>14</v>
      </c>
      <c r="E161" s="165" t="s">
        <v>37</v>
      </c>
      <c r="F161" s="166"/>
      <c r="G161" s="6"/>
      <c r="H161" s="7"/>
      <c r="L161" t="s">
        <v>208</v>
      </c>
    </row>
    <row r="162" spans="1:13" hidden="1" x14ac:dyDescent="0.3">
      <c r="A162" s="71" t="s">
        <v>19</v>
      </c>
      <c r="B162" s="74">
        <v>0.35</v>
      </c>
      <c r="C162" s="77">
        <f>H166</f>
        <v>0</v>
      </c>
      <c r="D162" s="76" t="e">
        <f ca="1">((100/F159)*C162)/100</f>
        <v>#DIV/0!</v>
      </c>
      <c r="E162" s="169" t="e">
        <f ca="1">((((C162/F159)*35)+(35/(F159+E159+D159)*C163)+(5/F159*C164)+(5/F159*C165)+(5/F159*C166)+(5/F159*C167)+(5/F159*C168)+(2.5/F159*C169)+(2.5/F159*C170))/100)</f>
        <v>#DIV/0!</v>
      </c>
      <c r="F162" s="170"/>
      <c r="G162" s="6"/>
      <c r="H162" s="8"/>
    </row>
    <row r="163" spans="1:13" ht="28.8" hidden="1" x14ac:dyDescent="0.3">
      <c r="A163" s="71" t="s">
        <v>21</v>
      </c>
      <c r="B163" s="74">
        <v>0.35</v>
      </c>
      <c r="C163" s="87">
        <v>0</v>
      </c>
      <c r="D163" s="76">
        <f ca="1">((100/(D159+E159+F159))*C163)/100</f>
        <v>0</v>
      </c>
      <c r="E163" s="169"/>
      <c r="F163" s="170"/>
      <c r="G163" s="6" t="s">
        <v>277</v>
      </c>
      <c r="H163" s="9">
        <f ca="1">F159/7</f>
        <v>0</v>
      </c>
    </row>
    <row r="164" spans="1:13" hidden="1" x14ac:dyDescent="0.3">
      <c r="A164" s="71" t="s">
        <v>23</v>
      </c>
      <c r="B164" s="74">
        <v>0.05</v>
      </c>
      <c r="C164" s="75">
        <v>0</v>
      </c>
      <c r="D164" s="76" t="e">
        <f ca="1">((100/F159)*C164)/100</f>
        <v>#DIV/0!</v>
      </c>
      <c r="E164" s="169"/>
      <c r="F164" s="170"/>
      <c r="G164" s="6" t="s">
        <v>278</v>
      </c>
      <c r="H164" s="9">
        <f ca="1">(IF(C159&gt;1,(F159/(C159+2)),F159/3.5))</f>
        <v>0</v>
      </c>
    </row>
    <row r="165" spans="1:13" hidden="1" x14ac:dyDescent="0.3">
      <c r="A165" s="71" t="s">
        <v>38</v>
      </c>
      <c r="B165" s="74">
        <v>0.05</v>
      </c>
      <c r="C165" s="75">
        <v>0</v>
      </c>
      <c r="D165" s="76" t="e">
        <f ca="1">((100/F159)*C165)/100</f>
        <v>#DIV/0!</v>
      </c>
      <c r="E165" s="169"/>
      <c r="F165" s="170"/>
      <c r="G165" s="6" t="s">
        <v>26</v>
      </c>
      <c r="H165" s="9">
        <f>(IF(C159&gt;1,(F159/(C159+2)+H164),0))</f>
        <v>0</v>
      </c>
    </row>
    <row r="166" spans="1:13" hidden="1" x14ac:dyDescent="0.3">
      <c r="A166" s="71" t="s">
        <v>29</v>
      </c>
      <c r="B166" s="74">
        <v>0.05</v>
      </c>
      <c r="C166" s="75">
        <v>0</v>
      </c>
      <c r="D166" s="76" t="e">
        <f ca="1">((100/(F159))*C166)/100</f>
        <v>#DIV/0!</v>
      </c>
      <c r="E166" s="169"/>
      <c r="F166" s="170"/>
      <c r="G166" s="6" t="s">
        <v>28</v>
      </c>
      <c r="H166" s="9">
        <f>(IF(C159&gt;2,(F159/(C159+2)+H165),0))</f>
        <v>0</v>
      </c>
    </row>
    <row r="167" spans="1:13" ht="28.8" hidden="1" x14ac:dyDescent="0.3">
      <c r="A167" s="71" t="s">
        <v>39</v>
      </c>
      <c r="B167" s="74">
        <v>0.05</v>
      </c>
      <c r="C167" s="75">
        <v>0</v>
      </c>
      <c r="D167" s="76" t="e">
        <f ca="1">((100/F159)*C167)/100</f>
        <v>#DIV/0!</v>
      </c>
      <c r="E167" s="169"/>
      <c r="F167" s="170"/>
      <c r="G167" s="6" t="s">
        <v>30</v>
      </c>
      <c r="H167" s="10">
        <f>(IF(C159&gt;3,(F159/(C159+2)+H166),0))</f>
        <v>0</v>
      </c>
    </row>
    <row r="168" spans="1:13" hidden="1" x14ac:dyDescent="0.3">
      <c r="A168" s="71" t="s">
        <v>31</v>
      </c>
      <c r="B168" s="74">
        <v>0.05</v>
      </c>
      <c r="C168" s="75">
        <v>0</v>
      </c>
      <c r="D168" s="76" t="e">
        <f ca="1">((100/F159)*C168)/100</f>
        <v>#DIV/0!</v>
      </c>
      <c r="E168" s="169"/>
      <c r="F168" s="170"/>
      <c r="G168" s="6" t="s">
        <v>32</v>
      </c>
      <c r="H168" s="9">
        <f>(IF(C159&gt;4,(F159/(C159+2)+H167),0))</f>
        <v>0</v>
      </c>
    </row>
    <row r="169" spans="1:13" hidden="1" x14ac:dyDescent="0.3">
      <c r="A169" s="71" t="s">
        <v>40</v>
      </c>
      <c r="B169" s="74">
        <v>2.5000000000000001E-2</v>
      </c>
      <c r="C169" s="75">
        <v>0</v>
      </c>
      <c r="D169" s="76" t="e">
        <f ca="1">((100/(F159))*C169)/100</f>
        <v>#DIV/0!</v>
      </c>
      <c r="E169" s="169"/>
      <c r="F169" s="170"/>
      <c r="G169" s="6" t="s">
        <v>34</v>
      </c>
      <c r="H169" s="9">
        <f ca="1">(IF(C159=1,(F159/(C159+3)+H164),IF(C159=0,(F159*2/7+H164),IF(C159&gt;1,0))))</f>
        <v>0</v>
      </c>
    </row>
    <row r="170" spans="1:13" ht="15" hidden="1" thickBot="1" x14ac:dyDescent="0.35">
      <c r="A170" s="105" t="s">
        <v>35</v>
      </c>
      <c r="B170" s="106">
        <v>2.5000000000000001E-2</v>
      </c>
      <c r="C170" s="107">
        <v>0</v>
      </c>
      <c r="D170" s="108" t="e">
        <f ca="1">((100/(F159))*C170)/100</f>
        <v>#DIV/0!</v>
      </c>
      <c r="E170" s="171"/>
      <c r="F170" s="172"/>
      <c r="G170" s="11" t="s">
        <v>36</v>
      </c>
      <c r="H170" s="12">
        <f ca="1">F159</f>
        <v>0</v>
      </c>
    </row>
    <row r="171" spans="1:13" s="59" customFormat="1" x14ac:dyDescent="0.3">
      <c r="A171" s="152" t="s">
        <v>107</v>
      </c>
      <c r="B171" s="153"/>
      <c r="C171" s="153"/>
      <c r="D171" s="153"/>
      <c r="E171" s="156">
        <f ca="1">AVERAGE(E136)</f>
        <v>0.58939393939393936</v>
      </c>
      <c r="F171" s="157"/>
    </row>
    <row r="172" spans="1:13" s="59" customFormat="1" ht="15" thickBot="1" x14ac:dyDescent="0.35">
      <c r="A172" s="154"/>
      <c r="B172" s="155"/>
      <c r="C172" s="155"/>
      <c r="D172" s="155"/>
      <c r="E172" s="158"/>
      <c r="F172" s="159"/>
      <c r="G172" s="60"/>
      <c r="H172" s="61"/>
    </row>
    <row r="173" spans="1:13" x14ac:dyDescent="0.3">
      <c r="A173" s="261" t="s">
        <v>45</v>
      </c>
      <c r="B173" s="262"/>
      <c r="C173" s="262"/>
      <c r="D173" s="262"/>
      <c r="E173" s="262"/>
      <c r="F173" s="263"/>
    </row>
    <row r="174" spans="1:13" ht="36" x14ac:dyDescent="0.3">
      <c r="A174" s="102" t="s">
        <v>197</v>
      </c>
      <c r="B174" s="48" t="s">
        <v>198</v>
      </c>
      <c r="C174" s="48" t="s">
        <v>199</v>
      </c>
      <c r="D174" s="48" t="s">
        <v>200</v>
      </c>
      <c r="E174" s="48" t="s">
        <v>201</v>
      </c>
      <c r="F174" s="98" t="s">
        <v>202</v>
      </c>
    </row>
    <row r="175" spans="1:13" ht="49.5" customHeight="1" thickBot="1" x14ac:dyDescent="0.35">
      <c r="A175" s="62">
        <v>1</v>
      </c>
      <c r="B175" s="63">
        <v>1</v>
      </c>
      <c r="C175" s="63">
        <v>1</v>
      </c>
      <c r="D175" s="121" t="s">
        <v>362</v>
      </c>
      <c r="E175" s="63">
        <v>0</v>
      </c>
      <c r="F175" s="64">
        <f>5+30+263</f>
        <v>298</v>
      </c>
    </row>
    <row r="176" spans="1:13" s="35" customFormat="1" ht="15.75" customHeight="1" x14ac:dyDescent="0.3">
      <c r="A176" s="256" t="s">
        <v>263</v>
      </c>
      <c r="B176" s="257"/>
      <c r="C176" s="257"/>
      <c r="D176" s="257"/>
      <c r="E176" s="257"/>
      <c r="F176" s="258"/>
      <c r="G176" s="40"/>
      <c r="H176" s="40"/>
      <c r="I176"/>
      <c r="J176"/>
      <c r="K176"/>
      <c r="L176"/>
      <c r="M176"/>
    </row>
    <row r="177" spans="1:13" s="35" customFormat="1" ht="15.75" customHeight="1" x14ac:dyDescent="0.3">
      <c r="A177" s="65" t="s">
        <v>46</v>
      </c>
      <c r="B177" s="47" t="s">
        <v>47</v>
      </c>
      <c r="C177" s="143" t="s">
        <v>48</v>
      </c>
      <c r="D177" s="143"/>
      <c r="E177" s="144" t="s">
        <v>49</v>
      </c>
      <c r="F177" s="145"/>
      <c r="G177" s="146"/>
      <c r="H177" s="146"/>
      <c r="I177" s="147"/>
      <c r="J177" s="147"/>
      <c r="K177" s="147"/>
      <c r="L177" s="147"/>
    </row>
    <row r="178" spans="1:13" s="35" customFormat="1" ht="15.6" x14ac:dyDescent="0.3">
      <c r="A178" s="78" t="s">
        <v>351</v>
      </c>
      <c r="B178" s="79">
        <f>COUNT(C194:C198)</f>
        <v>5</v>
      </c>
      <c r="C178" s="148">
        <f>SUM(C194:C198)</f>
        <v>3132.8621999999996</v>
      </c>
      <c r="D178" s="149"/>
      <c r="E178" s="148">
        <f>SUM(F194:F198)</f>
        <v>4855.9364100000003</v>
      </c>
      <c r="F178" s="149"/>
      <c r="G178" s="150"/>
      <c r="H178" s="151"/>
      <c r="I178" s="147"/>
      <c r="J178" s="147"/>
      <c r="K178" s="147"/>
      <c r="L178" s="147"/>
    </row>
    <row r="179" spans="1:13" s="35" customFormat="1" ht="15.75" customHeight="1" x14ac:dyDescent="0.3">
      <c r="A179" s="140" t="s">
        <v>264</v>
      </c>
      <c r="B179" s="141"/>
      <c r="C179" s="141"/>
      <c r="D179" s="141"/>
      <c r="E179" s="141"/>
      <c r="F179" s="142"/>
      <c r="G179" s="40"/>
      <c r="H179" s="40"/>
      <c r="I179"/>
      <c r="J179"/>
      <c r="K179"/>
      <c r="L179"/>
      <c r="M179"/>
    </row>
    <row r="180" spans="1:13" s="35" customFormat="1" ht="15.75" customHeight="1" x14ac:dyDescent="0.3">
      <c r="A180" s="65" t="s">
        <v>46</v>
      </c>
      <c r="B180" s="47" t="s">
        <v>47</v>
      </c>
      <c r="C180" s="143" t="s">
        <v>48</v>
      </c>
      <c r="D180" s="143"/>
      <c r="E180" s="144" t="s">
        <v>49</v>
      </c>
      <c r="F180" s="145"/>
      <c r="G180" s="146"/>
      <c r="H180" s="146"/>
      <c r="I180" s="147"/>
      <c r="J180" s="147"/>
      <c r="K180" s="147"/>
      <c r="L180" s="147"/>
    </row>
    <row r="181" spans="1:13" s="35" customFormat="1" ht="15.6" x14ac:dyDescent="0.3">
      <c r="A181" s="78" t="s">
        <v>351</v>
      </c>
      <c r="B181" s="79">
        <f>COUNT(C200:C209)*3</f>
        <v>30</v>
      </c>
      <c r="C181" s="148">
        <f>SUM(C200:C209)*3</f>
        <v>23075.863199999996</v>
      </c>
      <c r="D181" s="149"/>
      <c r="E181" s="148">
        <f>SUM(F200:F209)*3</f>
        <v>35767.587960000004</v>
      </c>
      <c r="F181" s="149"/>
      <c r="G181" s="150"/>
      <c r="H181" s="151"/>
      <c r="I181" s="147"/>
      <c r="J181" s="147"/>
      <c r="K181" s="147"/>
      <c r="L181" s="147"/>
    </row>
    <row r="182" spans="1:13" s="35" customFormat="1" ht="15.75" customHeight="1" x14ac:dyDescent="0.3">
      <c r="A182" s="140" t="s">
        <v>266</v>
      </c>
      <c r="B182" s="141"/>
      <c r="C182" s="141"/>
      <c r="D182" s="141"/>
      <c r="E182" s="141"/>
      <c r="F182" s="142"/>
      <c r="G182" s="40"/>
      <c r="H182" s="40"/>
    </row>
    <row r="183" spans="1:13" s="35" customFormat="1" ht="15.75" customHeight="1" x14ac:dyDescent="0.3">
      <c r="A183" s="65" t="s">
        <v>46</v>
      </c>
      <c r="B183" s="47" t="s">
        <v>47</v>
      </c>
      <c r="C183" s="143" t="s">
        <v>48</v>
      </c>
      <c r="D183" s="143"/>
      <c r="E183" s="144" t="s">
        <v>49</v>
      </c>
      <c r="F183" s="145"/>
      <c r="G183" s="146"/>
      <c r="H183" s="146"/>
    </row>
    <row r="184" spans="1:13" s="35" customFormat="1" ht="29.25" customHeight="1" x14ac:dyDescent="0.3">
      <c r="A184" s="78" t="s">
        <v>351</v>
      </c>
      <c r="B184" s="79">
        <f>COUNT(C218:C227)*20+COUNT(C229:C237)*6+COUNT(C240:C248)</f>
        <v>263</v>
      </c>
      <c r="C184" s="148">
        <f>SUM(C218:C227)*20+SUM(C229:C237)*6+SUM(C240:C248)</f>
        <v>213154.43291999999</v>
      </c>
      <c r="D184" s="149"/>
      <c r="E184" s="148">
        <f>SUM(F218:F227)*20+SUM(F229:F237)*6+SUM(F240:F248)</f>
        <v>319731.64938000002</v>
      </c>
      <c r="F184" s="149"/>
      <c r="G184" s="150"/>
      <c r="H184" s="150"/>
    </row>
    <row r="185" spans="1:13" s="35" customFormat="1" ht="16.2" thickBot="1" x14ac:dyDescent="0.35">
      <c r="A185" s="80" t="s">
        <v>265</v>
      </c>
      <c r="B185" s="81">
        <f>B178+B181+B184</f>
        <v>298</v>
      </c>
      <c r="C185" s="231">
        <f>C178+C181+C184</f>
        <v>239363.15831999999</v>
      </c>
      <c r="D185" s="236"/>
      <c r="E185" s="231">
        <f>E178+E181+E184</f>
        <v>360355.17375000002</v>
      </c>
      <c r="F185" s="232"/>
      <c r="G185" s="265"/>
      <c r="H185" s="266"/>
    </row>
    <row r="186" spans="1:13" s="36" customFormat="1" ht="15.6" x14ac:dyDescent="0.3">
      <c r="A186" s="264" t="s">
        <v>50</v>
      </c>
      <c r="B186" s="264"/>
      <c r="C186" s="264"/>
      <c r="D186" s="264"/>
      <c r="E186" s="264"/>
      <c r="F186" s="264"/>
      <c r="G186" s="41"/>
      <c r="H186" s="41"/>
    </row>
    <row r="187" spans="1:13" s="37" customFormat="1" ht="15.6" x14ac:dyDescent="0.3">
      <c r="A187" s="207" t="s">
        <v>57</v>
      </c>
      <c r="B187" s="207"/>
      <c r="C187" s="207"/>
      <c r="D187" s="207"/>
      <c r="E187" s="207"/>
      <c r="F187" s="207"/>
      <c r="G187" s="41"/>
      <c r="H187" s="41"/>
    </row>
    <row r="188" spans="1:13" s="37" customFormat="1" ht="26.4" customHeight="1" x14ac:dyDescent="0.3">
      <c r="A188" s="209" t="s">
        <v>65</v>
      </c>
      <c r="B188" s="209" t="s">
        <v>52</v>
      </c>
      <c r="C188" s="209" t="s">
        <v>53</v>
      </c>
      <c r="D188" s="209" t="s">
        <v>55</v>
      </c>
      <c r="E188" s="209" t="s">
        <v>54</v>
      </c>
      <c r="F188" s="96" t="s">
        <v>56</v>
      </c>
      <c r="G188" s="211"/>
      <c r="H188" s="211"/>
    </row>
    <row r="189" spans="1:13" s="37" customFormat="1" ht="15.6" x14ac:dyDescent="0.3">
      <c r="A189" s="209"/>
      <c r="B189" s="209"/>
      <c r="C189" s="209"/>
      <c r="D189" s="209"/>
      <c r="E189" s="209"/>
      <c r="F189" s="125">
        <v>0.55000000000000004</v>
      </c>
      <c r="G189" s="211"/>
      <c r="H189" s="211"/>
    </row>
    <row r="190" spans="1:13" s="36" customFormat="1" ht="15.6" x14ac:dyDescent="0.3">
      <c r="A190" s="218" t="s">
        <v>335</v>
      </c>
      <c r="B190" s="218"/>
      <c r="C190" s="218"/>
      <c r="D190" s="218"/>
      <c r="E190" s="218"/>
      <c r="F190" s="218"/>
      <c r="G190" s="41"/>
      <c r="H190" s="41"/>
    </row>
    <row r="191" spans="1:13" s="36" customFormat="1" ht="15.6" x14ac:dyDescent="0.3">
      <c r="A191" s="218" t="s">
        <v>336</v>
      </c>
      <c r="B191" s="218"/>
      <c r="C191" s="218"/>
      <c r="D191" s="218"/>
      <c r="E191" s="218"/>
      <c r="F191" s="218"/>
      <c r="G191" s="41"/>
      <c r="H191" s="41"/>
    </row>
    <row r="192" spans="1:13" s="38" customFormat="1" ht="15.75" customHeight="1" x14ac:dyDescent="0.3">
      <c r="A192" s="138" t="s">
        <v>337</v>
      </c>
      <c r="B192" s="138"/>
      <c r="C192" s="138"/>
      <c r="D192" s="138"/>
      <c r="E192" s="138"/>
      <c r="F192" s="138"/>
      <c r="G192" s="42"/>
      <c r="H192" s="42"/>
      <c r="K192" s="39"/>
    </row>
    <row r="193" spans="1:14" s="38" customFormat="1" ht="15.75" customHeight="1" x14ac:dyDescent="0.3">
      <c r="A193" s="138" t="s">
        <v>338</v>
      </c>
      <c r="B193" s="138"/>
      <c r="C193" s="138"/>
      <c r="D193" s="138"/>
      <c r="E193" s="138"/>
      <c r="F193" s="138"/>
      <c r="G193" s="42"/>
      <c r="H193" s="42"/>
      <c r="K193" s="39"/>
    </row>
    <row r="194" spans="1:14" s="38" customFormat="1" ht="15.6" x14ac:dyDescent="0.3">
      <c r="A194" s="113">
        <v>11</v>
      </c>
      <c r="B194" s="113" t="s">
        <v>339</v>
      </c>
      <c r="C194" s="113">
        <f>58.98*10.764</f>
        <v>634.8607199999999</v>
      </c>
      <c r="D194" s="114">
        <f>C194*1.2</f>
        <v>761.83286399999986</v>
      </c>
      <c r="E194" s="113">
        <v>0</v>
      </c>
      <c r="F194" s="113">
        <f>(C194+E194)*(($F$189)+1)</f>
        <v>984.03411599999993</v>
      </c>
      <c r="G194" s="212"/>
      <c r="H194" s="212"/>
      <c r="I194" s="39"/>
      <c r="J194" s="56"/>
      <c r="L194" s="206"/>
      <c r="M194" s="206"/>
      <c r="N194" s="39"/>
    </row>
    <row r="195" spans="1:14" x14ac:dyDescent="0.3">
      <c r="A195" s="113">
        <f>A194+1</f>
        <v>12</v>
      </c>
      <c r="B195" s="113" t="s">
        <v>339</v>
      </c>
      <c r="C195" s="113">
        <f>67.96*10.764</f>
        <v>731.52143999999987</v>
      </c>
      <c r="D195" s="114">
        <f t="shared" ref="D195:D198" si="2">C195*1.2</f>
        <v>877.8257279999998</v>
      </c>
      <c r="E195" s="113">
        <v>0</v>
      </c>
      <c r="F195" s="113">
        <f>(C195+E195)*(($F$189)+1)</f>
        <v>1133.8582319999998</v>
      </c>
    </row>
    <row r="196" spans="1:14" x14ac:dyDescent="0.3">
      <c r="A196" s="113">
        <f t="shared" ref="A196:A198" si="3">A195+1</f>
        <v>13</v>
      </c>
      <c r="B196" s="113" t="s">
        <v>339</v>
      </c>
      <c r="C196" s="113">
        <f>50.23*10.764</f>
        <v>540.67571999999996</v>
      </c>
      <c r="D196" s="114">
        <f t="shared" si="2"/>
        <v>648.81086399999992</v>
      </c>
      <c r="E196" s="113">
        <v>0</v>
      </c>
      <c r="F196" s="113">
        <f>(C196+E196)*(($F$189)+1)</f>
        <v>838.04736600000001</v>
      </c>
    </row>
    <row r="197" spans="1:14" x14ac:dyDescent="0.3">
      <c r="A197" s="113">
        <f t="shared" si="3"/>
        <v>14</v>
      </c>
      <c r="B197" s="113" t="s">
        <v>339</v>
      </c>
      <c r="C197" s="113">
        <f>47.68*10.764</f>
        <v>513.22751999999991</v>
      </c>
      <c r="D197" s="114">
        <f t="shared" si="2"/>
        <v>615.87302399999987</v>
      </c>
      <c r="E197" s="113">
        <v>0</v>
      </c>
      <c r="F197" s="113">
        <f>(C197+E197)*(($F$189)+1)</f>
        <v>795.50265599999989</v>
      </c>
    </row>
    <row r="198" spans="1:14" x14ac:dyDescent="0.3">
      <c r="A198" s="113">
        <f t="shared" si="3"/>
        <v>15</v>
      </c>
      <c r="B198" s="113" t="s">
        <v>339</v>
      </c>
      <c r="C198" s="113">
        <f>66.2*10.764</f>
        <v>712.57679999999993</v>
      </c>
      <c r="D198" s="114">
        <f t="shared" si="2"/>
        <v>855.09215999999992</v>
      </c>
      <c r="E198" s="113">
        <v>0</v>
      </c>
      <c r="F198" s="113">
        <f>(C198+E198)*(($F$189)+1)</f>
        <v>1104.49404</v>
      </c>
    </row>
    <row r="199" spans="1:14" s="38" customFormat="1" ht="15.75" customHeight="1" x14ac:dyDescent="0.3">
      <c r="A199" s="138" t="s">
        <v>360</v>
      </c>
      <c r="B199" s="138"/>
      <c r="C199" s="138"/>
      <c r="D199" s="138"/>
      <c r="E199" s="138"/>
      <c r="F199" s="138"/>
      <c r="G199" s="42"/>
      <c r="H199" s="42"/>
      <c r="K199" s="39"/>
    </row>
    <row r="200" spans="1:14" s="38" customFormat="1" ht="15.6" x14ac:dyDescent="0.3">
      <c r="A200" s="113">
        <v>1</v>
      </c>
      <c r="B200" s="113" t="s">
        <v>340</v>
      </c>
      <c r="C200" s="113">
        <f>88.78*10.764</f>
        <v>955.6279199999999</v>
      </c>
      <c r="D200" s="114">
        <f>C200*1.2</f>
        <v>1146.7535039999998</v>
      </c>
      <c r="E200" s="113">
        <v>0</v>
      </c>
      <c r="F200" s="113">
        <f>(C200+E200)*(($F$189)+1)</f>
        <v>1481.2232759999999</v>
      </c>
      <c r="G200" s="212"/>
      <c r="H200" s="212"/>
      <c r="I200" s="39"/>
      <c r="J200" s="56"/>
      <c r="L200" s="206"/>
      <c r="M200" s="206"/>
      <c r="N200" s="39"/>
    </row>
    <row r="201" spans="1:14" x14ac:dyDescent="0.3">
      <c r="A201" s="113">
        <f>A200+1</f>
        <v>2</v>
      </c>
      <c r="B201" s="113" t="s">
        <v>340</v>
      </c>
      <c r="C201" s="113">
        <f>62.04*10.764</f>
        <v>667.79855999999995</v>
      </c>
      <c r="D201" s="114">
        <f t="shared" ref="D201:D205" si="4">C201*1.2</f>
        <v>801.35827199999994</v>
      </c>
      <c r="E201" s="113">
        <v>0</v>
      </c>
      <c r="F201" s="113">
        <f t="shared" ref="F201:F205" si="5">(C201+E201)*(($F$189)+1)</f>
        <v>1035.0877679999999</v>
      </c>
    </row>
    <row r="202" spans="1:14" x14ac:dyDescent="0.3">
      <c r="A202" s="113">
        <f t="shared" ref="A202:A209" si="6">A201+1</f>
        <v>3</v>
      </c>
      <c r="B202" s="113" t="s">
        <v>340</v>
      </c>
      <c r="C202" s="113">
        <f>57.82*10.764</f>
        <v>622.37447999999995</v>
      </c>
      <c r="D202" s="114">
        <f t="shared" si="4"/>
        <v>746.84937599999989</v>
      </c>
      <c r="E202" s="113">
        <v>0</v>
      </c>
      <c r="F202" s="113">
        <f t="shared" si="5"/>
        <v>964.68044399999997</v>
      </c>
    </row>
    <row r="203" spans="1:14" x14ac:dyDescent="0.3">
      <c r="A203" s="113">
        <f t="shared" si="6"/>
        <v>4</v>
      </c>
      <c r="B203" s="113" t="s">
        <v>340</v>
      </c>
      <c r="C203" s="113">
        <f>84.95*10.764</f>
        <v>914.40179999999998</v>
      </c>
      <c r="D203" s="114">
        <f t="shared" si="4"/>
        <v>1097.28216</v>
      </c>
      <c r="E203" s="113">
        <v>0</v>
      </c>
      <c r="F203" s="113">
        <f t="shared" si="5"/>
        <v>1417.3227899999999</v>
      </c>
    </row>
    <row r="204" spans="1:14" x14ac:dyDescent="0.3">
      <c r="A204" s="113">
        <f t="shared" si="6"/>
        <v>5</v>
      </c>
      <c r="B204" s="113" t="s">
        <v>340</v>
      </c>
      <c r="C204" s="113">
        <f>69.7*10.764</f>
        <v>750.25080000000003</v>
      </c>
      <c r="D204" s="114">
        <f t="shared" si="4"/>
        <v>900.30096000000003</v>
      </c>
      <c r="E204" s="113">
        <v>0</v>
      </c>
      <c r="F204" s="113">
        <f t="shared" si="5"/>
        <v>1162.8887400000001</v>
      </c>
    </row>
    <row r="205" spans="1:14" x14ac:dyDescent="0.3">
      <c r="A205" s="113">
        <f t="shared" si="6"/>
        <v>6</v>
      </c>
      <c r="B205" s="113" t="s">
        <v>340</v>
      </c>
      <c r="C205" s="113">
        <f>81.19*10.764</f>
        <v>873.92915999999991</v>
      </c>
      <c r="D205" s="114">
        <f t="shared" si="4"/>
        <v>1048.7149919999999</v>
      </c>
      <c r="E205" s="113">
        <v>0</v>
      </c>
      <c r="F205" s="113">
        <f t="shared" si="5"/>
        <v>1354.5901979999999</v>
      </c>
    </row>
    <row r="206" spans="1:14" x14ac:dyDescent="0.3">
      <c r="A206" s="113">
        <f t="shared" si="6"/>
        <v>7</v>
      </c>
      <c r="B206" s="113" t="s">
        <v>340</v>
      </c>
      <c r="C206" s="113">
        <f>83.18*10.764</f>
        <v>895.34951999999998</v>
      </c>
      <c r="D206" s="114">
        <f t="shared" ref="D206:D209" si="7">C206*1.2</f>
        <v>1074.4194239999999</v>
      </c>
      <c r="E206" s="113">
        <v>0</v>
      </c>
      <c r="F206" s="113">
        <f t="shared" ref="F206:F209" si="8">(C206+E206)*(($F$189)+1)</f>
        <v>1387.7917560000001</v>
      </c>
    </row>
    <row r="207" spans="1:14" x14ac:dyDescent="0.3">
      <c r="A207" s="113">
        <f t="shared" si="6"/>
        <v>8</v>
      </c>
      <c r="B207" s="113" t="s">
        <v>340</v>
      </c>
      <c r="C207" s="113">
        <f>66.14*10.764</f>
        <v>711.93095999999991</v>
      </c>
      <c r="D207" s="114">
        <f t="shared" si="7"/>
        <v>854.31715199999985</v>
      </c>
      <c r="E207" s="113">
        <v>0</v>
      </c>
      <c r="F207" s="113">
        <f t="shared" si="8"/>
        <v>1103.492988</v>
      </c>
    </row>
    <row r="208" spans="1:14" x14ac:dyDescent="0.3">
      <c r="A208" s="113">
        <f t="shared" si="6"/>
        <v>9</v>
      </c>
      <c r="B208" s="113" t="s">
        <v>340</v>
      </c>
      <c r="C208" s="113">
        <f>60.51*10.764</f>
        <v>651.32963999999993</v>
      </c>
      <c r="D208" s="114">
        <f t="shared" si="7"/>
        <v>781.59556799999984</v>
      </c>
      <c r="E208" s="113">
        <v>0</v>
      </c>
      <c r="F208" s="113">
        <f t="shared" si="8"/>
        <v>1009.560942</v>
      </c>
    </row>
    <row r="209" spans="1:14" x14ac:dyDescent="0.3">
      <c r="A209" s="113">
        <f t="shared" si="6"/>
        <v>10</v>
      </c>
      <c r="B209" s="113" t="s">
        <v>340</v>
      </c>
      <c r="C209" s="113">
        <f>60.29*10.764</f>
        <v>648.96155999999996</v>
      </c>
      <c r="D209" s="114">
        <f t="shared" si="7"/>
        <v>778.75387199999989</v>
      </c>
      <c r="E209" s="113">
        <v>0</v>
      </c>
      <c r="F209" s="113">
        <f t="shared" si="8"/>
        <v>1005.890418</v>
      </c>
    </row>
    <row r="210" spans="1:14" s="37" customFormat="1" ht="15.6" x14ac:dyDescent="0.3">
      <c r="A210" s="213"/>
      <c r="B210" s="213"/>
      <c r="C210" s="213"/>
      <c r="D210" s="213"/>
      <c r="E210" s="213"/>
      <c r="F210" s="213"/>
      <c r="G210" s="41"/>
      <c r="H210" s="41"/>
    </row>
    <row r="211" spans="1:14" s="37" customFormat="1" ht="15.6" x14ac:dyDescent="0.3">
      <c r="A211" s="207" t="s">
        <v>51</v>
      </c>
      <c r="B211" s="207"/>
      <c r="C211" s="207"/>
      <c r="D211" s="207"/>
      <c r="E211" s="207"/>
      <c r="F211" s="208"/>
      <c r="G211" s="41"/>
      <c r="H211" s="41"/>
    </row>
    <row r="212" spans="1:14" s="37" customFormat="1" ht="27.6" customHeight="1" x14ac:dyDescent="0.3">
      <c r="A212" s="209" t="s">
        <v>267</v>
      </c>
      <c r="B212" s="209" t="s">
        <v>52</v>
      </c>
      <c r="C212" s="209" t="s">
        <v>53</v>
      </c>
      <c r="D212" s="209" t="s">
        <v>55</v>
      </c>
      <c r="E212" s="210" t="s">
        <v>54</v>
      </c>
      <c r="F212" s="115" t="s">
        <v>281</v>
      </c>
      <c r="G212" s="211"/>
      <c r="H212" s="211"/>
      <c r="I212" s="211"/>
      <c r="J212" s="211"/>
      <c r="K212" s="211"/>
    </row>
    <row r="213" spans="1:14" s="37" customFormat="1" ht="15.6" x14ac:dyDescent="0.3">
      <c r="A213" s="209"/>
      <c r="B213" s="209"/>
      <c r="C213" s="209"/>
      <c r="D213" s="209"/>
      <c r="E213" s="210"/>
      <c r="F213" s="124">
        <v>0.5</v>
      </c>
      <c r="G213" s="211"/>
      <c r="H213" s="211"/>
      <c r="K213"/>
    </row>
    <row r="214" spans="1:14" s="36" customFormat="1" ht="15.6" x14ac:dyDescent="0.3">
      <c r="A214" s="218" t="s">
        <v>335</v>
      </c>
      <c r="B214" s="218"/>
      <c r="C214" s="218"/>
      <c r="D214" s="218"/>
      <c r="E214" s="218"/>
      <c r="F214" s="219"/>
      <c r="G214" s="220"/>
      <c r="H214" s="220"/>
      <c r="I214" s="220"/>
      <c r="J214" s="220"/>
      <c r="K214" s="220"/>
    </row>
    <row r="215" spans="1:14" s="38" customFormat="1" ht="15.75" customHeight="1" x14ac:dyDescent="0.3">
      <c r="A215" s="138" t="s">
        <v>336</v>
      </c>
      <c r="B215" s="138"/>
      <c r="C215" s="138"/>
      <c r="D215" s="138"/>
      <c r="E215" s="138"/>
      <c r="F215" s="138"/>
      <c r="G215" s="42"/>
      <c r="H215" s="42"/>
      <c r="K215" s="39"/>
    </row>
    <row r="216" spans="1:14" s="38" customFormat="1" ht="15.75" customHeight="1" x14ac:dyDescent="0.3">
      <c r="A216" s="138" t="s">
        <v>341</v>
      </c>
      <c r="B216" s="138"/>
      <c r="C216" s="138"/>
      <c r="D216" s="138"/>
      <c r="E216" s="138"/>
      <c r="F216" s="138"/>
      <c r="G216" s="42"/>
      <c r="H216" s="42"/>
    </row>
    <row r="217" spans="1:14" s="38" customFormat="1" ht="39" customHeight="1" x14ac:dyDescent="0.3">
      <c r="A217" s="138" t="s">
        <v>342</v>
      </c>
      <c r="B217" s="138"/>
      <c r="C217" s="138"/>
      <c r="D217" s="138"/>
      <c r="E217" s="138"/>
      <c r="F217" s="138"/>
      <c r="G217" s="42"/>
      <c r="H217" s="42"/>
      <c r="K217"/>
    </row>
    <row r="218" spans="1:14" s="38" customFormat="1" ht="15.6" x14ac:dyDescent="0.3">
      <c r="A218" s="113">
        <v>1</v>
      </c>
      <c r="B218" s="113" t="s">
        <v>343</v>
      </c>
      <c r="C218" s="113">
        <f>(91.2+4.54)*(10.764)</f>
        <v>1030.5453600000001</v>
      </c>
      <c r="D218" s="114">
        <f>C218*1.2</f>
        <v>1236.654432</v>
      </c>
      <c r="E218" s="113">
        <v>0</v>
      </c>
      <c r="F218" s="113">
        <f>C218*(($F$213)+1)+(IF(E218&lt;101,E218,IF(E218&lt;201,E218/2,IF(E218&lt;=301,E218/3,E218/4))))</f>
        <v>1545.8180400000001</v>
      </c>
      <c r="G218" s="128">
        <f>4.54*3+2.45*3.08+2.55*3.1+3.05*3.95+3.45*3.74+3.28*3.75+1.33*2.28+2.35*1.38+2.45*1.45+4.6*1.1+0.9*1.45+0.9*1.38</f>
        <v>83.756399999999999</v>
      </c>
      <c r="H218" s="56">
        <f>3*1+2.45*1</f>
        <v>5.45</v>
      </c>
      <c r="I218" s="38">
        <f>23550000/F218</f>
        <v>15234.652068104988</v>
      </c>
      <c r="J218" s="56">
        <f>28700000/F218</f>
        <v>18566.221416331769</v>
      </c>
      <c r="K218"/>
      <c r="L218" s="206"/>
      <c r="M218" s="206"/>
      <c r="N218" s="39"/>
    </row>
    <row r="219" spans="1:14" x14ac:dyDescent="0.3">
      <c r="A219" s="113">
        <f>A218+1</f>
        <v>2</v>
      </c>
      <c r="B219" s="113" t="s">
        <v>343</v>
      </c>
      <c r="C219" s="113">
        <f>(88.39+4.31)*(10.764)</f>
        <v>997.82279999999992</v>
      </c>
      <c r="D219" s="114">
        <f t="shared" ref="D219:D223" si="9">C219*1.2</f>
        <v>1197.3873599999999</v>
      </c>
      <c r="E219" s="113">
        <v>0</v>
      </c>
      <c r="F219" s="113">
        <f t="shared" ref="F219:F223" si="10">C219*(($F$213)+1)+(IF(E219&lt;101,E219,IF(E219&lt;201,E219/2,IF(E219&lt;=301,E219/3,E219/4))))</f>
        <v>1496.7341999999999</v>
      </c>
      <c r="G219" s="129">
        <f>1.5*2.26+3.2*5.95+3.5*3.93+1.52*2.45+0.9*2.45+2.35*3.05+3.55*3+2.25*1.25+3.15*3.28+1.4*2.25+1.6*1+2.55*3</f>
        <v>85.475999999999999</v>
      </c>
      <c r="H219" s="129">
        <f>3.2+1.7</f>
        <v>4.9000000000000004</v>
      </c>
    </row>
    <row r="220" spans="1:14" x14ac:dyDescent="0.3">
      <c r="A220" s="113">
        <f t="shared" ref="A220:A227" si="11">A219+1</f>
        <v>3</v>
      </c>
      <c r="B220" s="113" t="s">
        <v>343</v>
      </c>
      <c r="C220" s="113">
        <f>(87.77+4.36)*(10.764)</f>
        <v>991.68731999999989</v>
      </c>
      <c r="D220" s="114">
        <f t="shared" si="9"/>
        <v>1190.0247839999997</v>
      </c>
      <c r="E220" s="113">
        <v>0</v>
      </c>
      <c r="F220" s="113">
        <f t="shared" si="10"/>
        <v>1487.5309799999998</v>
      </c>
    </row>
    <row r="221" spans="1:14" ht="15.6" x14ac:dyDescent="0.3">
      <c r="A221" s="113">
        <f t="shared" si="11"/>
        <v>4</v>
      </c>
      <c r="B221" s="113" t="s">
        <v>343</v>
      </c>
      <c r="C221" s="113">
        <f>(87.46+4.36)*(10.764)</f>
        <v>988.35047999999983</v>
      </c>
      <c r="D221" s="114">
        <f t="shared" si="9"/>
        <v>1186.0205759999997</v>
      </c>
      <c r="E221" s="113">
        <v>0</v>
      </c>
      <c r="F221" s="113">
        <f t="shared" si="10"/>
        <v>1482.5257199999996</v>
      </c>
      <c r="K221" s="39"/>
    </row>
    <row r="222" spans="1:14" ht="15.6" x14ac:dyDescent="0.3">
      <c r="A222" s="113">
        <f t="shared" si="11"/>
        <v>5</v>
      </c>
      <c r="B222" s="113" t="s">
        <v>344</v>
      </c>
      <c r="C222" s="113">
        <f>(60.73+4.04)*(10.764)</f>
        <v>697.18427999999994</v>
      </c>
      <c r="D222" s="114">
        <f t="shared" si="9"/>
        <v>836.62113599999986</v>
      </c>
      <c r="E222" s="113">
        <v>0</v>
      </c>
      <c r="F222" s="113">
        <f t="shared" si="10"/>
        <v>1045.7764199999999</v>
      </c>
      <c r="K222" s="38"/>
    </row>
    <row r="223" spans="1:14" x14ac:dyDescent="0.3">
      <c r="A223" s="113">
        <f t="shared" si="11"/>
        <v>6</v>
      </c>
      <c r="B223" s="113" t="s">
        <v>344</v>
      </c>
      <c r="C223" s="113">
        <f>(60.91+3.91)*(10.764)</f>
        <v>697.7224799999999</v>
      </c>
      <c r="D223" s="114">
        <f t="shared" si="9"/>
        <v>837.26697599999989</v>
      </c>
      <c r="E223" s="113">
        <v>0</v>
      </c>
      <c r="F223" s="113">
        <f t="shared" si="10"/>
        <v>1046.5837199999999</v>
      </c>
      <c r="H223">
        <f>162000000/F225</f>
        <v>164779.84588690283</v>
      </c>
    </row>
    <row r="224" spans="1:14" x14ac:dyDescent="0.3">
      <c r="A224" s="113">
        <f t="shared" si="11"/>
        <v>7</v>
      </c>
      <c r="B224" s="113" t="s">
        <v>344</v>
      </c>
      <c r="C224" s="113">
        <f>(56.83+4.26)*(10.764)</f>
        <v>657.5727599999999</v>
      </c>
      <c r="D224" s="114">
        <f t="shared" ref="D224:D227" si="12">C224*1.2</f>
        <v>789.08731199999988</v>
      </c>
      <c r="E224" s="113">
        <v>0</v>
      </c>
      <c r="F224" s="113">
        <f t="shared" ref="F224:F227" si="13">C224*(($F$213)+1)+(IF(E224&lt;101,E224,IF(E224&lt;201,E224/2,IF(E224&lt;=301,E224/3,E224/4))))</f>
        <v>986.3591399999998</v>
      </c>
    </row>
    <row r="225" spans="1:14" x14ac:dyDescent="0.3">
      <c r="A225" s="113">
        <f t="shared" si="11"/>
        <v>8</v>
      </c>
      <c r="B225" s="113" t="s">
        <v>344</v>
      </c>
      <c r="C225" s="113">
        <f>(56.63+4.26)*(10.764)</f>
        <v>655.41995999999995</v>
      </c>
      <c r="D225" s="114">
        <f t="shared" si="12"/>
        <v>786.50395199999991</v>
      </c>
      <c r="E225" s="113">
        <v>0</v>
      </c>
      <c r="F225" s="113">
        <f t="shared" si="13"/>
        <v>983.12993999999992</v>
      </c>
    </row>
    <row r="226" spans="1:14" x14ac:dyDescent="0.3">
      <c r="A226" s="113">
        <f t="shared" si="11"/>
        <v>9</v>
      </c>
      <c r="B226" s="113" t="s">
        <v>344</v>
      </c>
      <c r="C226" s="113">
        <f>(57.76+4.26)*(10.764)</f>
        <v>667.58327999999995</v>
      </c>
      <c r="D226" s="114">
        <f t="shared" si="12"/>
        <v>801.09993599999996</v>
      </c>
      <c r="E226" s="113">
        <v>0</v>
      </c>
      <c r="F226" s="113">
        <f t="shared" si="13"/>
        <v>1001.37492</v>
      </c>
    </row>
    <row r="227" spans="1:14" ht="15.6" x14ac:dyDescent="0.3">
      <c r="A227" s="113">
        <f t="shared" si="11"/>
        <v>10</v>
      </c>
      <c r="B227" s="113" t="s">
        <v>344</v>
      </c>
      <c r="C227" s="113">
        <f>(57.03+4.26)*(10.764)</f>
        <v>659.72555999999997</v>
      </c>
      <c r="D227" s="114">
        <f t="shared" si="12"/>
        <v>791.67067199999997</v>
      </c>
      <c r="E227" s="113">
        <v>0</v>
      </c>
      <c r="F227" s="113">
        <f t="shared" si="13"/>
        <v>989.58834000000002</v>
      </c>
      <c r="G227" s="128">
        <f>6.19*3.05+2.46*2.18+3.65*3.24+3.03*3.02+2.21*1.4+2.21*1.4+1*4.2+1.2*1.1</f>
        <v>56.926900000000003</v>
      </c>
      <c r="H227" s="56">
        <f>3.05+1.4</f>
        <v>4.4499999999999993</v>
      </c>
      <c r="I227" s="130">
        <f>15200000/F225</f>
        <v>15460.825046178536</v>
      </c>
    </row>
    <row r="228" spans="1:14" s="38" customFormat="1" ht="15.75" customHeight="1" x14ac:dyDescent="0.3">
      <c r="A228" s="138" t="s">
        <v>345</v>
      </c>
      <c r="B228" s="138"/>
      <c r="C228" s="138"/>
      <c r="D228" s="138"/>
      <c r="E228" s="138"/>
      <c r="F228" s="138"/>
      <c r="G228" s="42"/>
      <c r="H228" s="42"/>
      <c r="K228"/>
    </row>
    <row r="229" spans="1:14" s="38" customFormat="1" ht="15.6" x14ac:dyDescent="0.3">
      <c r="A229" s="113">
        <v>1</v>
      </c>
      <c r="B229" s="113" t="s">
        <v>343</v>
      </c>
      <c r="C229" s="113">
        <f>(91.2+4.54)*(10.764)</f>
        <v>1030.5453600000001</v>
      </c>
      <c r="D229" s="114">
        <f>C229*1.2</f>
        <v>1236.654432</v>
      </c>
      <c r="E229" s="113">
        <v>0</v>
      </c>
      <c r="F229" s="113">
        <f>C229*(($F$213)+1)+(IF(E229&lt;101,E229,IF(E229&lt;201,E229/2,IF(E229&lt;=301,E229/3,E229/4))))</f>
        <v>1545.8180400000001</v>
      </c>
      <c r="G229" s="212"/>
      <c r="H229" s="212"/>
      <c r="I229" s="39"/>
      <c r="J229" s="56"/>
      <c r="K229"/>
      <c r="L229" s="206"/>
      <c r="M229" s="206"/>
      <c r="N229" s="39"/>
    </row>
    <row r="230" spans="1:14" x14ac:dyDescent="0.3">
      <c r="A230" s="113">
        <f>A229+1</f>
        <v>2</v>
      </c>
      <c r="B230" s="113" t="s">
        <v>343</v>
      </c>
      <c r="C230" s="113">
        <f>(88.39+4.31)*(10.764)</f>
        <v>997.82279999999992</v>
      </c>
      <c r="D230" s="114">
        <f t="shared" ref="D230:D234" si="14">C230*1.2</f>
        <v>1197.3873599999999</v>
      </c>
      <c r="E230" s="113">
        <v>0</v>
      </c>
      <c r="F230" s="113">
        <f t="shared" ref="F230:F234" si="15">C230*(($F$213)+1)+(IF(E230&lt;101,E230,IF(E230&lt;201,E230/2,IF(E230&lt;=301,E230/3,E230/4))))</f>
        <v>1496.7341999999999</v>
      </c>
    </row>
    <row r="231" spans="1:14" x14ac:dyDescent="0.3">
      <c r="A231" s="113">
        <f t="shared" ref="A231:A238" si="16">A230+1</f>
        <v>3</v>
      </c>
      <c r="B231" s="113" t="s">
        <v>343</v>
      </c>
      <c r="C231" s="113">
        <f>(87.77+4.36)*(10.764)</f>
        <v>991.68731999999989</v>
      </c>
      <c r="D231" s="114">
        <f t="shared" si="14"/>
        <v>1190.0247839999997</v>
      </c>
      <c r="E231" s="113">
        <v>0</v>
      </c>
      <c r="F231" s="113">
        <f t="shared" si="15"/>
        <v>1487.5309799999998</v>
      </c>
    </row>
    <row r="232" spans="1:14" ht="15.6" x14ac:dyDescent="0.3">
      <c r="A232" s="113">
        <f t="shared" si="16"/>
        <v>4</v>
      </c>
      <c r="B232" s="113" t="s">
        <v>343</v>
      </c>
      <c r="C232" s="113">
        <f>(87.46+4.36)*(10.764)</f>
        <v>988.35047999999983</v>
      </c>
      <c r="D232" s="114">
        <f t="shared" si="14"/>
        <v>1186.0205759999997</v>
      </c>
      <c r="E232" s="113">
        <v>0</v>
      </c>
      <c r="F232" s="113">
        <f t="shared" si="15"/>
        <v>1482.5257199999996</v>
      </c>
      <c r="K232" s="39"/>
    </row>
    <row r="233" spans="1:14" ht="15.6" x14ac:dyDescent="0.3">
      <c r="A233" s="113">
        <f t="shared" si="16"/>
        <v>5</v>
      </c>
      <c r="B233" s="113" t="s">
        <v>344</v>
      </c>
      <c r="C233" s="113">
        <f>(60.73+4.04)*(10.764)</f>
        <v>697.18427999999994</v>
      </c>
      <c r="D233" s="114">
        <f t="shared" si="14"/>
        <v>836.62113599999986</v>
      </c>
      <c r="E233" s="113">
        <v>0</v>
      </c>
      <c r="F233" s="113">
        <f t="shared" si="15"/>
        <v>1045.7764199999999</v>
      </c>
      <c r="K233" s="38"/>
    </row>
    <row r="234" spans="1:14" x14ac:dyDescent="0.3">
      <c r="A234" s="113">
        <f t="shared" si="16"/>
        <v>6</v>
      </c>
      <c r="B234" s="113" t="s">
        <v>344</v>
      </c>
      <c r="C234" s="113">
        <f>(60.91+3.91)*(10.764)</f>
        <v>697.7224799999999</v>
      </c>
      <c r="D234" s="114">
        <f t="shared" si="14"/>
        <v>837.26697599999989</v>
      </c>
      <c r="E234" s="113">
        <v>0</v>
      </c>
      <c r="F234" s="113">
        <f t="shared" si="15"/>
        <v>1046.5837199999999</v>
      </c>
    </row>
    <row r="235" spans="1:14" x14ac:dyDescent="0.3">
      <c r="A235" s="113">
        <f t="shared" si="16"/>
        <v>7</v>
      </c>
      <c r="B235" s="113" t="s">
        <v>344</v>
      </c>
      <c r="C235" s="113">
        <f>(56.83+4.26)*(10.764)</f>
        <v>657.5727599999999</v>
      </c>
      <c r="D235" s="114">
        <f t="shared" ref="D235:D237" si="17">C235*1.2</f>
        <v>789.08731199999988</v>
      </c>
      <c r="E235" s="113">
        <v>0</v>
      </c>
      <c r="F235" s="113">
        <f>C235*(($F$213)+1)+(IF(E235&lt;101,E235,IF(E235&lt;201,E235/2,IF(E235&lt;=301,E235/3,E235/4))))</f>
        <v>986.3591399999998</v>
      </c>
    </row>
    <row r="236" spans="1:14" x14ac:dyDescent="0.3">
      <c r="A236" s="113">
        <f t="shared" si="16"/>
        <v>8</v>
      </c>
      <c r="B236" s="113" t="s">
        <v>344</v>
      </c>
      <c r="C236" s="113">
        <f>(56.63+4.26)*(10.764)</f>
        <v>655.41995999999995</v>
      </c>
      <c r="D236" s="114">
        <f t="shared" si="17"/>
        <v>786.50395199999991</v>
      </c>
      <c r="E236" s="113">
        <v>0</v>
      </c>
      <c r="F236" s="113">
        <f>C236*(($F$213)+1)+(IF(E236&lt;101,E236,IF(E236&lt;201,E236/2,IF(E236&lt;=301,E236/3,E236/4))))</f>
        <v>983.12993999999992</v>
      </c>
    </row>
    <row r="237" spans="1:14" x14ac:dyDescent="0.3">
      <c r="A237" s="113">
        <f t="shared" si="16"/>
        <v>9</v>
      </c>
      <c r="B237" s="113" t="s">
        <v>344</v>
      </c>
      <c r="C237" s="113">
        <f>(57.76+4.26)*(10.764)</f>
        <v>667.58327999999995</v>
      </c>
      <c r="D237" s="114">
        <f t="shared" si="17"/>
        <v>801.09993599999996</v>
      </c>
      <c r="E237" s="113">
        <v>0</v>
      </c>
      <c r="F237" s="113">
        <f>C237*(($F$213)+1)+(IF(E237&lt;101,E237,IF(E237&lt;201,E237/2,IF(E237&lt;=301,E237/3,E237/4))))</f>
        <v>1001.37492</v>
      </c>
    </row>
    <row r="238" spans="1:14" x14ac:dyDescent="0.3">
      <c r="A238" s="113">
        <f t="shared" si="16"/>
        <v>10</v>
      </c>
      <c r="B238" s="135" t="s">
        <v>346</v>
      </c>
      <c r="C238" s="136"/>
      <c r="D238" s="136"/>
      <c r="E238" s="136"/>
      <c r="F238" s="137"/>
    </row>
    <row r="239" spans="1:14" s="38" customFormat="1" ht="15.75" customHeight="1" x14ac:dyDescent="0.3">
      <c r="A239" s="138" t="s">
        <v>347</v>
      </c>
      <c r="B239" s="138"/>
      <c r="C239" s="138"/>
      <c r="D239" s="138"/>
      <c r="E239" s="138"/>
      <c r="F239" s="138"/>
      <c r="G239" s="42"/>
      <c r="H239" s="42"/>
      <c r="K239"/>
    </row>
    <row r="240" spans="1:14" s="38" customFormat="1" ht="15.6" x14ac:dyDescent="0.3">
      <c r="A240" s="113">
        <v>1</v>
      </c>
      <c r="B240" s="113" t="s">
        <v>343</v>
      </c>
      <c r="C240" s="113">
        <f>(91.2+4.54)*(10.764)</f>
        <v>1030.5453600000001</v>
      </c>
      <c r="D240" s="114">
        <f>C240*1.2</f>
        <v>1236.654432</v>
      </c>
      <c r="E240" s="113">
        <v>0</v>
      </c>
      <c r="F240" s="113">
        <f>C240*(($F$213)+1)+(IF(E240&lt;101,E240,IF(E240&lt;201,E240/2,IF(E240&lt;=301,E240/3,E240/4))))</f>
        <v>1545.8180400000001</v>
      </c>
      <c r="G240" s="212"/>
      <c r="H240" s="212"/>
      <c r="I240" s="39"/>
      <c r="J240" s="56"/>
      <c r="K240"/>
      <c r="L240" s="206"/>
      <c r="M240" s="206"/>
      <c r="N240" s="39"/>
    </row>
    <row r="241" spans="1:12" x14ac:dyDescent="0.3">
      <c r="A241" s="113">
        <f>A240+1</f>
        <v>2</v>
      </c>
      <c r="B241" s="113" t="s">
        <v>343</v>
      </c>
      <c r="C241" s="113">
        <f>(88.39+4.31)*(10.764)</f>
        <v>997.82279999999992</v>
      </c>
      <c r="D241" s="114">
        <f t="shared" ref="D241:D245" si="18">C241*1.2</f>
        <v>1197.3873599999999</v>
      </c>
      <c r="E241" s="113">
        <v>0</v>
      </c>
      <c r="F241" s="113">
        <f t="shared" ref="F241:F245" si="19">C241*(($F$213)+1)+(IF(E241&lt;101,E241,IF(E241&lt;201,E241/2,IF(E241&lt;=301,E241/3,E241/4))))</f>
        <v>1496.7341999999999</v>
      </c>
    </row>
    <row r="242" spans="1:12" x14ac:dyDescent="0.3">
      <c r="A242" s="113">
        <f t="shared" ref="A242:A248" si="20">A241+1</f>
        <v>3</v>
      </c>
      <c r="B242" s="113" t="s">
        <v>343</v>
      </c>
      <c r="C242" s="113">
        <f>(87.77+4.36)*(10.764)</f>
        <v>991.68731999999989</v>
      </c>
      <c r="D242" s="114">
        <f t="shared" si="18"/>
        <v>1190.0247839999997</v>
      </c>
      <c r="E242" s="113">
        <v>0</v>
      </c>
      <c r="F242" s="113">
        <f t="shared" si="19"/>
        <v>1487.5309799999998</v>
      </c>
    </row>
    <row r="243" spans="1:12" ht="15.6" x14ac:dyDescent="0.3">
      <c r="A243" s="113">
        <f t="shared" si="20"/>
        <v>4</v>
      </c>
      <c r="B243" s="113" t="s">
        <v>343</v>
      </c>
      <c r="C243" s="113">
        <f>(87.46+4.36)*(10.764)</f>
        <v>988.35047999999983</v>
      </c>
      <c r="D243" s="114">
        <f t="shared" si="18"/>
        <v>1186.0205759999997</v>
      </c>
      <c r="E243" s="113">
        <v>0</v>
      </c>
      <c r="F243" s="113">
        <f t="shared" si="19"/>
        <v>1482.5257199999996</v>
      </c>
      <c r="K243" s="39"/>
    </row>
    <row r="244" spans="1:12" ht="15.6" x14ac:dyDescent="0.3">
      <c r="A244" s="113">
        <f t="shared" si="20"/>
        <v>5</v>
      </c>
      <c r="B244" s="113" t="s">
        <v>344</v>
      </c>
      <c r="C244" s="113">
        <f>(60.73+4.04)*(10.764)</f>
        <v>697.18427999999994</v>
      </c>
      <c r="D244" s="114">
        <f t="shared" si="18"/>
        <v>836.62113599999986</v>
      </c>
      <c r="E244" s="113">
        <v>0</v>
      </c>
      <c r="F244" s="113">
        <f t="shared" si="19"/>
        <v>1045.7764199999999</v>
      </c>
      <c r="K244" s="38"/>
    </row>
    <row r="245" spans="1:12" x14ac:dyDescent="0.3">
      <c r="A245" s="113">
        <f t="shared" si="20"/>
        <v>6</v>
      </c>
      <c r="B245" s="113" t="s">
        <v>344</v>
      </c>
      <c r="C245" s="113">
        <f>(60.91+3.91)*(10.764)</f>
        <v>697.7224799999999</v>
      </c>
      <c r="D245" s="114">
        <f t="shared" si="18"/>
        <v>837.26697599999989</v>
      </c>
      <c r="E245" s="113">
        <v>0</v>
      </c>
      <c r="F245" s="113">
        <f t="shared" si="19"/>
        <v>1046.5837199999999</v>
      </c>
    </row>
    <row r="246" spans="1:12" x14ac:dyDescent="0.3">
      <c r="A246" s="113">
        <f t="shared" si="20"/>
        <v>7</v>
      </c>
      <c r="B246" s="113" t="s">
        <v>344</v>
      </c>
      <c r="C246" s="113">
        <f>(56.83+4.26)*(10.764)</f>
        <v>657.5727599999999</v>
      </c>
      <c r="D246" s="114">
        <f t="shared" ref="D246:D248" si="21">C246*1.2</f>
        <v>789.08731199999988</v>
      </c>
      <c r="E246" s="113">
        <v>0</v>
      </c>
      <c r="F246" s="113">
        <f>C246*(($F$213)+1)+(IF(E246&lt;101,E246,IF(E246&lt;201,E246/2,IF(E246&lt;=301,E246/3,E246/4))))</f>
        <v>986.3591399999998</v>
      </c>
    </row>
    <row r="247" spans="1:12" x14ac:dyDescent="0.3">
      <c r="A247" s="113">
        <f t="shared" si="20"/>
        <v>8</v>
      </c>
      <c r="B247" s="113" t="s">
        <v>344</v>
      </c>
      <c r="C247" s="113">
        <f>(56.63+4.26)*(10.764)</f>
        <v>655.41995999999995</v>
      </c>
      <c r="D247" s="114">
        <f t="shared" si="21"/>
        <v>786.50395199999991</v>
      </c>
      <c r="E247" s="113">
        <v>0</v>
      </c>
      <c r="F247" s="113">
        <f>C247*(($F$213)+1)+(IF(E247&lt;101,E247,IF(E247&lt;201,E247/2,IF(E247&lt;=301,E247/3,E247/4))))</f>
        <v>983.12993999999992</v>
      </c>
    </row>
    <row r="248" spans="1:12" x14ac:dyDescent="0.3">
      <c r="A248" s="113">
        <f t="shared" si="20"/>
        <v>9</v>
      </c>
      <c r="B248" s="113" t="s">
        <v>348</v>
      </c>
      <c r="C248" s="113">
        <f>(109.25+8.04)*(10.764)</f>
        <v>1262.5095599999997</v>
      </c>
      <c r="D248" s="114">
        <f t="shared" si="21"/>
        <v>1515.0114719999997</v>
      </c>
      <c r="E248" s="113">
        <v>0</v>
      </c>
      <c r="F248" s="113">
        <f>C248*(($F$213)+1)+(IF(E248&lt;101,E248,IF(E248&lt;201,E248/2,IF(E248&lt;=301,E248/3,E248/4))))</f>
        <v>1893.7643399999997</v>
      </c>
    </row>
    <row r="249" spans="1:12" s="38" customFormat="1" ht="15.75" customHeight="1" x14ac:dyDescent="0.3">
      <c r="A249" s="138" t="s">
        <v>349</v>
      </c>
      <c r="B249" s="138"/>
      <c r="C249" s="138"/>
      <c r="D249" s="138"/>
      <c r="E249" s="138"/>
      <c r="F249" s="138"/>
      <c r="G249" s="42"/>
      <c r="H249" s="42"/>
      <c r="K249"/>
    </row>
    <row r="250" spans="1:12" s="38" customFormat="1" ht="15.75" customHeight="1" thickBot="1" x14ac:dyDescent="0.35">
      <c r="A250" s="138" t="s">
        <v>350</v>
      </c>
      <c r="B250" s="138"/>
      <c r="C250" s="138"/>
      <c r="D250" s="138"/>
      <c r="E250" s="138"/>
      <c r="F250" s="138"/>
      <c r="G250" s="42"/>
      <c r="H250" s="42"/>
      <c r="K250"/>
    </row>
    <row r="251" spans="1:12" x14ac:dyDescent="0.3">
      <c r="A251" s="214" t="s">
        <v>58</v>
      </c>
      <c r="B251" s="215"/>
      <c r="C251" s="215"/>
      <c r="D251" s="215"/>
      <c r="E251" s="215"/>
      <c r="F251" s="216"/>
      <c r="K251" s="1"/>
    </row>
    <row r="252" spans="1:12" s="1" customFormat="1" ht="32.25" customHeight="1" x14ac:dyDescent="0.25">
      <c r="A252" s="102" t="s">
        <v>210</v>
      </c>
      <c r="B252" s="194" t="s">
        <v>268</v>
      </c>
      <c r="C252" s="194"/>
      <c r="D252" s="48" t="s">
        <v>211</v>
      </c>
      <c r="E252" s="194" t="s">
        <v>269</v>
      </c>
      <c r="F252" s="217"/>
      <c r="G252" s="52"/>
      <c r="H252" s="133"/>
      <c r="I252" s="133"/>
      <c r="J252" s="52"/>
      <c r="L252" s="54"/>
    </row>
    <row r="253" spans="1:12" s="1" customFormat="1" ht="13.2" x14ac:dyDescent="0.25">
      <c r="A253" s="102">
        <v>1</v>
      </c>
      <c r="B253" s="132" t="s">
        <v>361</v>
      </c>
      <c r="C253" s="132"/>
      <c r="D253" s="82">
        <v>15000</v>
      </c>
      <c r="E253" s="132" t="s">
        <v>270</v>
      </c>
      <c r="F253" s="134"/>
    </row>
    <row r="254" spans="1:12" s="1" customFormat="1" ht="13.2" hidden="1" x14ac:dyDescent="0.25">
      <c r="A254" s="102">
        <v>2</v>
      </c>
      <c r="B254" s="132"/>
      <c r="C254" s="132"/>
      <c r="D254" s="82"/>
      <c r="E254" s="132" t="s">
        <v>270</v>
      </c>
      <c r="F254" s="134"/>
      <c r="K254" s="53"/>
    </row>
    <row r="255" spans="1:12" s="1" customFormat="1" ht="13.2" hidden="1" x14ac:dyDescent="0.25">
      <c r="A255" s="102">
        <v>3</v>
      </c>
      <c r="B255" s="132"/>
      <c r="C255" s="132"/>
      <c r="D255" s="82"/>
      <c r="E255" s="132" t="s">
        <v>270</v>
      </c>
      <c r="F255" s="134"/>
    </row>
    <row r="256" spans="1:12" s="1" customFormat="1" ht="13.2" hidden="1" x14ac:dyDescent="0.25">
      <c r="A256" s="102">
        <v>4</v>
      </c>
      <c r="B256" s="132"/>
      <c r="C256" s="132"/>
      <c r="D256" s="82"/>
      <c r="E256" s="132" t="s">
        <v>270</v>
      </c>
      <c r="F256" s="134"/>
    </row>
    <row r="257" spans="1:12" s="1" customFormat="1" ht="13.2" hidden="1" x14ac:dyDescent="0.25">
      <c r="A257" s="102">
        <v>5</v>
      </c>
      <c r="B257" s="132"/>
      <c r="C257" s="132"/>
      <c r="D257" s="82"/>
      <c r="E257" s="132" t="s">
        <v>270</v>
      </c>
      <c r="F257" s="134"/>
    </row>
    <row r="258" spans="1:12" s="1" customFormat="1" ht="13.2" hidden="1" x14ac:dyDescent="0.25">
      <c r="A258" s="102">
        <v>6</v>
      </c>
      <c r="B258" s="132"/>
      <c r="C258" s="132"/>
      <c r="D258" s="82"/>
      <c r="E258" s="132" t="s">
        <v>270</v>
      </c>
      <c r="F258" s="134"/>
      <c r="K258" s="54"/>
    </row>
    <row r="259" spans="1:12" s="1" customFormat="1" ht="61.5" customHeight="1" x14ac:dyDescent="0.25">
      <c r="A259" s="102" t="s">
        <v>212</v>
      </c>
      <c r="B259" s="48" t="s">
        <v>213</v>
      </c>
      <c r="C259" s="48" t="s">
        <v>214</v>
      </c>
      <c r="D259" s="48" t="s">
        <v>215</v>
      </c>
      <c r="E259" s="48" t="s">
        <v>216</v>
      </c>
      <c r="F259" s="98" t="s">
        <v>217</v>
      </c>
      <c r="G259" s="55"/>
      <c r="H259" s="55"/>
      <c r="I259" s="55"/>
      <c r="J259" s="55"/>
      <c r="L259" s="55"/>
    </row>
    <row r="260" spans="1:12" s="1" customFormat="1" ht="13.2" x14ac:dyDescent="0.25">
      <c r="A260" s="102" t="s">
        <v>218</v>
      </c>
      <c r="B260" s="82" t="s">
        <v>246</v>
      </c>
      <c r="C260" s="82" t="s">
        <v>246</v>
      </c>
      <c r="D260" s="82"/>
      <c r="E260" s="82"/>
      <c r="F260" s="109"/>
    </row>
    <row r="261" spans="1:12" s="1" customFormat="1" ht="13.2" hidden="1" x14ac:dyDescent="0.25">
      <c r="A261" s="102" t="s">
        <v>219</v>
      </c>
      <c r="B261" s="82"/>
      <c r="C261" s="82"/>
      <c r="D261" s="82"/>
      <c r="E261" s="82"/>
      <c r="F261" s="109"/>
    </row>
    <row r="262" spans="1:12" s="1" customFormat="1" ht="13.2" hidden="1" x14ac:dyDescent="0.25">
      <c r="A262" s="102" t="s">
        <v>220</v>
      </c>
      <c r="B262" s="82"/>
      <c r="C262" s="82"/>
      <c r="D262" s="82"/>
      <c r="E262" s="82"/>
      <c r="F262" s="109"/>
    </row>
    <row r="263" spans="1:12" s="1" customFormat="1" ht="13.2" hidden="1" x14ac:dyDescent="0.25">
      <c r="A263" s="102" t="s">
        <v>221</v>
      </c>
      <c r="B263" s="82"/>
      <c r="C263" s="82"/>
      <c r="D263" s="82"/>
      <c r="E263" s="82"/>
      <c r="F263" s="109"/>
    </row>
    <row r="264" spans="1:12" s="1" customFormat="1" ht="60.75" customHeight="1" x14ac:dyDescent="0.25">
      <c r="A264" s="102" t="s">
        <v>222</v>
      </c>
      <c r="B264" s="48" t="s">
        <v>213</v>
      </c>
      <c r="C264" s="48" t="s">
        <v>214</v>
      </c>
      <c r="D264" s="194" t="s">
        <v>223</v>
      </c>
      <c r="E264" s="194"/>
      <c r="F264" s="98" t="s">
        <v>224</v>
      </c>
      <c r="G264" s="53"/>
      <c r="H264" s="53"/>
      <c r="I264" s="53"/>
      <c r="J264" s="53"/>
      <c r="L264" s="53"/>
    </row>
    <row r="265" spans="1:12" s="1" customFormat="1" ht="13.2" x14ac:dyDescent="0.25">
      <c r="A265" s="102" t="s">
        <v>225</v>
      </c>
      <c r="B265" s="82" t="s">
        <v>246</v>
      </c>
      <c r="C265" s="82" t="s">
        <v>246</v>
      </c>
      <c r="D265" s="132"/>
      <c r="E265" s="132"/>
      <c r="F265" s="109"/>
    </row>
    <row r="266" spans="1:12" s="1" customFormat="1" ht="13.2" hidden="1" x14ac:dyDescent="0.25">
      <c r="A266" s="102" t="s">
        <v>226</v>
      </c>
      <c r="B266" s="82"/>
      <c r="C266" s="82"/>
      <c r="D266" s="132"/>
      <c r="E266" s="132"/>
      <c r="F266" s="109"/>
    </row>
    <row r="267" spans="1:12" s="1" customFormat="1" ht="13.2" hidden="1" x14ac:dyDescent="0.25">
      <c r="A267" s="102" t="s">
        <v>227</v>
      </c>
      <c r="B267" s="82"/>
      <c r="C267" s="82"/>
      <c r="D267" s="132"/>
      <c r="E267" s="132"/>
      <c r="F267" s="109"/>
    </row>
    <row r="268" spans="1:12" s="1" customFormat="1" ht="60.75" customHeight="1" x14ac:dyDescent="0.3">
      <c r="A268" s="102" t="s">
        <v>228</v>
      </c>
      <c r="B268" s="48" t="s">
        <v>213</v>
      </c>
      <c r="C268" s="48" t="s">
        <v>214</v>
      </c>
      <c r="D268" s="194" t="s">
        <v>229</v>
      </c>
      <c r="E268" s="194"/>
      <c r="F268" s="98" t="s">
        <v>230</v>
      </c>
      <c r="G268" s="52"/>
      <c r="H268" s="52"/>
      <c r="I268" s="52"/>
      <c r="J268" s="54"/>
      <c r="K268" s="43"/>
      <c r="L268" s="52"/>
    </row>
    <row r="269" spans="1:12" s="1" customFormat="1" x14ac:dyDescent="0.3">
      <c r="A269" s="102" t="s">
        <v>148</v>
      </c>
      <c r="B269" s="82" t="s">
        <v>246</v>
      </c>
      <c r="C269" s="82">
        <v>500000</v>
      </c>
      <c r="D269" s="132"/>
      <c r="E269" s="132"/>
      <c r="F269" s="109"/>
      <c r="G269" s="52"/>
      <c r="K269"/>
    </row>
    <row r="270" spans="1:12" s="1" customFormat="1" ht="24" hidden="1" x14ac:dyDescent="0.3">
      <c r="A270" s="102" t="s">
        <v>231</v>
      </c>
      <c r="B270" s="82"/>
      <c r="C270" s="82"/>
      <c r="D270" s="132"/>
      <c r="E270" s="132"/>
      <c r="F270" s="109"/>
      <c r="G270" s="52"/>
      <c r="K270" s="43"/>
    </row>
    <row r="271" spans="1:12" s="1" customFormat="1" ht="24" hidden="1" x14ac:dyDescent="0.3">
      <c r="A271" s="102" t="s">
        <v>232</v>
      </c>
      <c r="B271" s="82"/>
      <c r="C271" s="82"/>
      <c r="D271" s="132"/>
      <c r="E271" s="132"/>
      <c r="F271" s="109"/>
      <c r="G271" s="52"/>
      <c r="K271"/>
    </row>
    <row r="272" spans="1:12" s="1" customFormat="1" hidden="1" x14ac:dyDescent="0.3">
      <c r="A272" s="102" t="s">
        <v>233</v>
      </c>
      <c r="B272" s="82"/>
      <c r="C272" s="82"/>
      <c r="D272" s="132"/>
      <c r="E272" s="132"/>
      <c r="F272" s="109"/>
      <c r="G272" s="52"/>
      <c r="K272"/>
    </row>
    <row r="273" spans="1:11" s="1" customFormat="1" hidden="1" x14ac:dyDescent="0.3">
      <c r="A273" s="102" t="s">
        <v>234</v>
      </c>
      <c r="B273" s="82"/>
      <c r="C273" s="82"/>
      <c r="D273" s="132"/>
      <c r="E273" s="132"/>
      <c r="F273" s="109"/>
      <c r="G273" s="52"/>
      <c r="K273"/>
    </row>
    <row r="274" spans="1:11" s="1" customFormat="1" x14ac:dyDescent="0.3">
      <c r="A274" s="102" t="s">
        <v>235</v>
      </c>
      <c r="B274" s="82" t="s">
        <v>246</v>
      </c>
      <c r="C274" s="82">
        <v>100000</v>
      </c>
      <c r="D274" s="132"/>
      <c r="E274" s="132"/>
      <c r="F274" s="109"/>
      <c r="G274" s="52"/>
      <c r="K274"/>
    </row>
    <row r="275" spans="1:11" s="1" customFormat="1" ht="30" hidden="1" customHeight="1" x14ac:dyDescent="0.3">
      <c r="A275" s="102" t="s">
        <v>236</v>
      </c>
      <c r="B275" s="82"/>
      <c r="C275" s="82"/>
      <c r="D275" s="132"/>
      <c r="E275" s="132"/>
      <c r="F275" s="109"/>
      <c r="G275" s="52"/>
      <c r="K275"/>
    </row>
    <row r="276" spans="1:11" s="1" customFormat="1" ht="30" hidden="1" customHeight="1" x14ac:dyDescent="0.3">
      <c r="A276" s="102" t="s">
        <v>237</v>
      </c>
      <c r="B276" s="82"/>
      <c r="C276" s="82"/>
      <c r="D276" s="132"/>
      <c r="E276" s="132"/>
      <c r="F276" s="109"/>
      <c r="G276" s="52"/>
      <c r="K276"/>
    </row>
    <row r="277" spans="1:11" s="1" customFormat="1" ht="30" hidden="1" customHeight="1" thickBot="1" x14ac:dyDescent="0.35">
      <c r="A277" s="110" t="s">
        <v>238</v>
      </c>
      <c r="B277" s="111"/>
      <c r="C277" s="111"/>
      <c r="D277" s="237"/>
      <c r="E277" s="237"/>
      <c r="F277" s="112"/>
      <c r="G277" s="52"/>
      <c r="K277"/>
    </row>
    <row r="278" spans="1:11" s="43" customFormat="1" x14ac:dyDescent="0.3">
      <c r="A278" s="227" t="s">
        <v>59</v>
      </c>
      <c r="B278" s="227"/>
      <c r="C278" s="227"/>
      <c r="D278" s="227"/>
      <c r="E278" s="227"/>
      <c r="F278" s="227"/>
      <c r="K278"/>
    </row>
    <row r="279" spans="1:11" s="43" customFormat="1" x14ac:dyDescent="0.3">
      <c r="A279" s="88">
        <v>1</v>
      </c>
      <c r="B279" s="228" t="s">
        <v>271</v>
      </c>
      <c r="C279" s="228"/>
      <c r="D279" s="228"/>
      <c r="E279" s="228"/>
      <c r="F279" s="228"/>
      <c r="K279"/>
    </row>
    <row r="280" spans="1:11" s="43" customFormat="1" x14ac:dyDescent="0.3">
      <c r="A280" s="88">
        <f t="shared" ref="A280:A288" si="22">A279+1</f>
        <v>2</v>
      </c>
      <c r="B280" s="228" t="s">
        <v>280</v>
      </c>
      <c r="C280" s="228"/>
      <c r="D280" s="228"/>
      <c r="E280" s="228"/>
      <c r="F280" s="228"/>
      <c r="K280"/>
    </row>
    <row r="281" spans="1:11" s="43" customFormat="1" x14ac:dyDescent="0.3">
      <c r="A281" s="88">
        <f t="shared" si="22"/>
        <v>3</v>
      </c>
      <c r="B281" s="229" t="str">
        <f>(IF(F212="Saleable area Loading :","We have considered Saleable area of Flats as per our Calculation.","We considered Saleable area of Flat as per Builder area Sheet."))</f>
        <v>We have considered Saleable area of Flats as per our Calculation.</v>
      </c>
      <c r="C281" s="230"/>
      <c r="D281" s="230"/>
      <c r="E281" s="230"/>
      <c r="F281" s="230"/>
      <c r="K281"/>
    </row>
    <row r="282" spans="1:11" s="43" customFormat="1" x14ac:dyDescent="0.3">
      <c r="A282" s="88">
        <f t="shared" si="22"/>
        <v>4</v>
      </c>
      <c r="B282" s="230" t="s">
        <v>353</v>
      </c>
      <c r="C282" s="230"/>
      <c r="D282" s="230"/>
      <c r="E282" s="230"/>
      <c r="F282" s="230"/>
      <c r="K282"/>
    </row>
    <row r="283" spans="1:11" s="43" customFormat="1" x14ac:dyDescent="0.3">
      <c r="A283" s="88">
        <f t="shared" si="22"/>
        <v>5</v>
      </c>
      <c r="B283" s="228" t="s">
        <v>272</v>
      </c>
      <c r="C283" s="228"/>
      <c r="D283" s="228"/>
      <c r="E283" s="228"/>
      <c r="F283" s="228"/>
      <c r="K283"/>
    </row>
    <row r="284" spans="1:11" s="43" customFormat="1" x14ac:dyDescent="0.3">
      <c r="A284" s="88">
        <f t="shared" si="22"/>
        <v>6</v>
      </c>
      <c r="B284" s="230" t="s">
        <v>354</v>
      </c>
      <c r="C284" s="230"/>
      <c r="D284" s="230"/>
      <c r="E284" s="230"/>
      <c r="F284" s="230"/>
      <c r="K284"/>
    </row>
    <row r="285" spans="1:11" s="43" customFormat="1" x14ac:dyDescent="0.3">
      <c r="A285" s="88">
        <f t="shared" si="22"/>
        <v>7</v>
      </c>
      <c r="B285" s="228" t="s">
        <v>273</v>
      </c>
      <c r="C285" s="228"/>
      <c r="D285" s="228"/>
      <c r="E285" s="228"/>
      <c r="F285" s="228"/>
      <c r="K285"/>
    </row>
    <row r="286" spans="1:11" s="43" customFormat="1" ht="30" customHeight="1" x14ac:dyDescent="0.3">
      <c r="A286" s="88">
        <f t="shared" si="22"/>
        <v>8</v>
      </c>
      <c r="B286" s="235" t="s">
        <v>274</v>
      </c>
      <c r="C286" s="235"/>
      <c r="D286" s="235"/>
      <c r="E286" s="235"/>
      <c r="F286" s="235"/>
      <c r="K286"/>
    </row>
    <row r="287" spans="1:11" s="43" customFormat="1" x14ac:dyDescent="0.3">
      <c r="A287" s="131">
        <f t="shared" si="22"/>
        <v>9</v>
      </c>
      <c r="B287" s="229" t="s">
        <v>372</v>
      </c>
      <c r="C287" s="229"/>
      <c r="D287" s="229"/>
      <c r="E287" s="229"/>
      <c r="F287" s="229"/>
      <c r="K287"/>
    </row>
    <row r="288" spans="1:11" s="43" customFormat="1" x14ac:dyDescent="0.3">
      <c r="A288" s="131">
        <f t="shared" si="22"/>
        <v>10</v>
      </c>
      <c r="B288" s="229" t="s">
        <v>373</v>
      </c>
      <c r="C288" s="229"/>
      <c r="D288" s="229"/>
      <c r="E288" s="229"/>
      <c r="F288" s="229"/>
      <c r="K288"/>
    </row>
    <row r="289" spans="1:6" x14ac:dyDescent="0.3">
      <c r="A289" s="233" t="s">
        <v>60</v>
      </c>
      <c r="B289" s="233"/>
      <c r="C289" s="234" t="str">
        <f>B2</f>
        <v>Larkins 315 Rio B</v>
      </c>
      <c r="D289" s="234"/>
      <c r="E289" s="234"/>
      <c r="F289" s="234"/>
    </row>
    <row r="335" spans="1:1" x14ac:dyDescent="0.3">
      <c r="A335" s="49" t="s">
        <v>61</v>
      </c>
    </row>
    <row r="381" spans="1:1" x14ac:dyDescent="0.3">
      <c r="A381" s="49" t="s">
        <v>62</v>
      </c>
    </row>
    <row r="382" spans="1:1" x14ac:dyDescent="0.3">
      <c r="A382" s="49"/>
    </row>
    <row r="423" spans="1:6" ht="57" customHeight="1" x14ac:dyDescent="0.3">
      <c r="A423" s="50" t="s">
        <v>63</v>
      </c>
      <c r="B423" s="126" t="s">
        <v>352</v>
      </c>
      <c r="C423" s="221" t="s">
        <v>64</v>
      </c>
      <c r="D423" s="221"/>
      <c r="E423" s="222"/>
      <c r="F423" s="222"/>
    </row>
  </sheetData>
  <dataConsolidate/>
  <mergeCells count="368">
    <mergeCell ref="B288:F288"/>
    <mergeCell ref="C87:C88"/>
    <mergeCell ref="D87:F87"/>
    <mergeCell ref="D88:F88"/>
    <mergeCell ref="A89:A90"/>
    <mergeCell ref="B89:B90"/>
    <mergeCell ref="C89:C90"/>
    <mergeCell ref="D89:F89"/>
    <mergeCell ref="D90:F90"/>
    <mergeCell ref="A91:A92"/>
    <mergeCell ref="B91:B92"/>
    <mergeCell ref="C91:C92"/>
    <mergeCell ref="D91:F91"/>
    <mergeCell ref="D92:F92"/>
    <mergeCell ref="C45:F45"/>
    <mergeCell ref="G45:H45"/>
    <mergeCell ref="B257:C257"/>
    <mergeCell ref="E257:F257"/>
    <mergeCell ref="E177:F177"/>
    <mergeCell ref="G115:H115"/>
    <mergeCell ref="G127:H127"/>
    <mergeCell ref="G128:H128"/>
    <mergeCell ref="G129:H129"/>
    <mergeCell ref="G130:H130"/>
    <mergeCell ref="G188:H188"/>
    <mergeCell ref="A186:F186"/>
    <mergeCell ref="A187:F187"/>
    <mergeCell ref="G185:H185"/>
    <mergeCell ref="C183:D183"/>
    <mergeCell ref="E183:F183"/>
    <mergeCell ref="G183:H183"/>
    <mergeCell ref="C184:D184"/>
    <mergeCell ref="G189:H189"/>
    <mergeCell ref="A188:A189"/>
    <mergeCell ref="A129:B129"/>
    <mergeCell ref="A130:B130"/>
    <mergeCell ref="C129:F129"/>
    <mergeCell ref="C130:F130"/>
    <mergeCell ref="G177:H177"/>
    <mergeCell ref="A176:F176"/>
    <mergeCell ref="G184:H184"/>
    <mergeCell ref="G178:H178"/>
    <mergeCell ref="E110:F110"/>
    <mergeCell ref="B102:F102"/>
    <mergeCell ref="A103:F103"/>
    <mergeCell ref="A107:F107"/>
    <mergeCell ref="B106:C106"/>
    <mergeCell ref="E106:F106"/>
    <mergeCell ref="E109:F109"/>
    <mergeCell ref="E135:F135"/>
    <mergeCell ref="A173:F173"/>
    <mergeCell ref="C115:F115"/>
    <mergeCell ref="A127:B127"/>
    <mergeCell ref="C127:F127"/>
    <mergeCell ref="A119:D119"/>
    <mergeCell ref="E119:F119"/>
    <mergeCell ref="A120:F120"/>
    <mergeCell ref="A123:B123"/>
    <mergeCell ref="C123:F123"/>
    <mergeCell ref="B134:F134"/>
    <mergeCell ref="G114:H114"/>
    <mergeCell ref="E112:F112"/>
    <mergeCell ref="D94:F94"/>
    <mergeCell ref="A69:F69"/>
    <mergeCell ref="B79:F79"/>
    <mergeCell ref="A63:B63"/>
    <mergeCell ref="A64:B64"/>
    <mergeCell ref="C62:F62"/>
    <mergeCell ref="C63:F63"/>
    <mergeCell ref="C64:F64"/>
    <mergeCell ref="B111:C111"/>
    <mergeCell ref="E111:F111"/>
    <mergeCell ref="B108:C108"/>
    <mergeCell ref="E108:F108"/>
    <mergeCell ref="B110:C110"/>
    <mergeCell ref="D82:F82"/>
    <mergeCell ref="D83:F83"/>
    <mergeCell ref="D84:F84"/>
    <mergeCell ref="D85:F85"/>
    <mergeCell ref="D93:F93"/>
    <mergeCell ref="D86:F86"/>
    <mergeCell ref="A85:A86"/>
    <mergeCell ref="B85:B86"/>
    <mergeCell ref="C85:C86"/>
    <mergeCell ref="A87:A88"/>
    <mergeCell ref="B87:B88"/>
    <mergeCell ref="B112:C112"/>
    <mergeCell ref="A114:B114"/>
    <mergeCell ref="C114:F114"/>
    <mergeCell ref="G49:H49"/>
    <mergeCell ref="G50:H50"/>
    <mergeCell ref="B113:C113"/>
    <mergeCell ref="D95:F95"/>
    <mergeCell ref="A62:B62"/>
    <mergeCell ref="C58:F58"/>
    <mergeCell ref="C54:F54"/>
    <mergeCell ref="A52:F52"/>
    <mergeCell ref="A53:B53"/>
    <mergeCell ref="C53:F53"/>
    <mergeCell ref="A54:B54"/>
    <mergeCell ref="B105:C105"/>
    <mergeCell ref="E105:F105"/>
    <mergeCell ref="D96:F96"/>
    <mergeCell ref="D97:F97"/>
    <mergeCell ref="D98:F98"/>
    <mergeCell ref="D99:F99"/>
    <mergeCell ref="D100:F100"/>
    <mergeCell ref="D101:F101"/>
    <mergeCell ref="E113:F113"/>
    <mergeCell ref="B109:C109"/>
    <mergeCell ref="J82:L82"/>
    <mergeCell ref="A65:F65"/>
    <mergeCell ref="A61:F61"/>
    <mergeCell ref="A59:B59"/>
    <mergeCell ref="C59:F59"/>
    <mergeCell ref="G51:H51"/>
    <mergeCell ref="G52:H52"/>
    <mergeCell ref="G53:H53"/>
    <mergeCell ref="G54:H54"/>
    <mergeCell ref="G62:H62"/>
    <mergeCell ref="G63:H63"/>
    <mergeCell ref="G64:H64"/>
    <mergeCell ref="G65:H65"/>
    <mergeCell ref="A58:B58"/>
    <mergeCell ref="A55:B55"/>
    <mergeCell ref="C55:F55"/>
    <mergeCell ref="A78:F78"/>
    <mergeCell ref="G55:H55"/>
    <mergeCell ref="G56:H56"/>
    <mergeCell ref="G57:H57"/>
    <mergeCell ref="G58:H58"/>
    <mergeCell ref="G59:H59"/>
    <mergeCell ref="A60:B60"/>
    <mergeCell ref="C60:F60"/>
    <mergeCell ref="B286:F286"/>
    <mergeCell ref="E149:F157"/>
    <mergeCell ref="E162:F170"/>
    <mergeCell ref="B254:C254"/>
    <mergeCell ref="E254:F254"/>
    <mergeCell ref="B255:C255"/>
    <mergeCell ref="E255:F255"/>
    <mergeCell ref="B188:B189"/>
    <mergeCell ref="C188:C189"/>
    <mergeCell ref="D188:D189"/>
    <mergeCell ref="E188:E189"/>
    <mergeCell ref="A191:F191"/>
    <mergeCell ref="A193:F193"/>
    <mergeCell ref="C185:D185"/>
    <mergeCell ref="A190:F190"/>
    <mergeCell ref="A192:F192"/>
    <mergeCell ref="E184:F184"/>
    <mergeCell ref="C177:D177"/>
    <mergeCell ref="D275:E275"/>
    <mergeCell ref="D276:E276"/>
    <mergeCell ref="D277:E277"/>
    <mergeCell ref="D264:E264"/>
    <mergeCell ref="D268:E268"/>
    <mergeCell ref="D265:E265"/>
    <mergeCell ref="C423:D423"/>
    <mergeCell ref="E423:F423"/>
    <mergeCell ref="A132:B133"/>
    <mergeCell ref="D273:E273"/>
    <mergeCell ref="D274:E274"/>
    <mergeCell ref="B258:C258"/>
    <mergeCell ref="E258:F258"/>
    <mergeCell ref="A278:F278"/>
    <mergeCell ref="B279:F279"/>
    <mergeCell ref="B280:F280"/>
    <mergeCell ref="B281:F281"/>
    <mergeCell ref="B282:F282"/>
    <mergeCell ref="B283:F283"/>
    <mergeCell ref="D269:E269"/>
    <mergeCell ref="D271:E271"/>
    <mergeCell ref="D272:E272"/>
    <mergeCell ref="E178:F178"/>
    <mergeCell ref="B284:F284"/>
    <mergeCell ref="B285:F285"/>
    <mergeCell ref="B287:F287"/>
    <mergeCell ref="E185:F185"/>
    <mergeCell ref="B256:C256"/>
    <mergeCell ref="A289:B289"/>
    <mergeCell ref="C289:F289"/>
    <mergeCell ref="L218:M218"/>
    <mergeCell ref="A210:F210"/>
    <mergeCell ref="A228:F228"/>
    <mergeCell ref="A251:F251"/>
    <mergeCell ref="B252:C252"/>
    <mergeCell ref="E252:F252"/>
    <mergeCell ref="B253:C253"/>
    <mergeCell ref="E253:F253"/>
    <mergeCell ref="A216:F216"/>
    <mergeCell ref="A215:F215"/>
    <mergeCell ref="G229:H229"/>
    <mergeCell ref="L229:M229"/>
    <mergeCell ref="A239:F239"/>
    <mergeCell ref="G240:H240"/>
    <mergeCell ref="L240:M240"/>
    <mergeCell ref="A214:F214"/>
    <mergeCell ref="A217:F217"/>
    <mergeCell ref="G214:K214"/>
    <mergeCell ref="L194:M194"/>
    <mergeCell ref="A211:F211"/>
    <mergeCell ref="A212:A213"/>
    <mergeCell ref="B212:B213"/>
    <mergeCell ref="C212:C213"/>
    <mergeCell ref="D212:D213"/>
    <mergeCell ref="E212:E213"/>
    <mergeCell ref="G213:H213"/>
    <mergeCell ref="A199:F199"/>
    <mergeCell ref="G200:H200"/>
    <mergeCell ref="L200:M200"/>
    <mergeCell ref="G194:H194"/>
    <mergeCell ref="G212:K212"/>
    <mergeCell ref="A1:F1"/>
    <mergeCell ref="B2:D2"/>
    <mergeCell ref="A3:F3"/>
    <mergeCell ref="A10:F10"/>
    <mergeCell ref="A4:B4"/>
    <mergeCell ref="A80:F80"/>
    <mergeCell ref="B81:F81"/>
    <mergeCell ref="A42:F42"/>
    <mergeCell ref="C4:F4"/>
    <mergeCell ref="A5:B5"/>
    <mergeCell ref="A6:B6"/>
    <mergeCell ref="C5:F5"/>
    <mergeCell ref="C6:F6"/>
    <mergeCell ref="A7:B7"/>
    <mergeCell ref="A14:F14"/>
    <mergeCell ref="C12:D12"/>
    <mergeCell ref="E12:F12"/>
    <mergeCell ref="C13:D13"/>
    <mergeCell ref="E13:F13"/>
    <mergeCell ref="A37:B37"/>
    <mergeCell ref="A33:B33"/>
    <mergeCell ref="C33:F33"/>
    <mergeCell ref="A34:B34"/>
    <mergeCell ref="C34:F34"/>
    <mergeCell ref="E24:F24"/>
    <mergeCell ref="A8:B8"/>
    <mergeCell ref="B24:C24"/>
    <mergeCell ref="C37:F37"/>
    <mergeCell ref="A36:B36"/>
    <mergeCell ref="C36:F36"/>
    <mergeCell ref="A28:B28"/>
    <mergeCell ref="A29:B29"/>
    <mergeCell ref="A30:B30"/>
    <mergeCell ref="A31:B31"/>
    <mergeCell ref="B18:F18"/>
    <mergeCell ref="B25:F25"/>
    <mergeCell ref="A45:B45"/>
    <mergeCell ref="C7:F7"/>
    <mergeCell ref="C8:F8"/>
    <mergeCell ref="A9:B9"/>
    <mergeCell ref="C9:F9"/>
    <mergeCell ref="A15:B15"/>
    <mergeCell ref="A44:B44"/>
    <mergeCell ref="C44:F44"/>
    <mergeCell ref="A43:B43"/>
    <mergeCell ref="C43:F43"/>
    <mergeCell ref="C15:F15"/>
    <mergeCell ref="B26:C26"/>
    <mergeCell ref="E26:F26"/>
    <mergeCell ref="B21:C21"/>
    <mergeCell ref="E21:F21"/>
    <mergeCell ref="E20:F20"/>
    <mergeCell ref="B22:C22"/>
    <mergeCell ref="E22:F22"/>
    <mergeCell ref="B23:C23"/>
    <mergeCell ref="E23:F23"/>
    <mergeCell ref="A35:B35"/>
    <mergeCell ref="C35:F35"/>
    <mergeCell ref="A39:B39"/>
    <mergeCell ref="C39:F39"/>
    <mergeCell ref="C46:F46"/>
    <mergeCell ref="A47:B47"/>
    <mergeCell ref="C47:F47"/>
    <mergeCell ref="A48:B48"/>
    <mergeCell ref="C48:F48"/>
    <mergeCell ref="A49:B49"/>
    <mergeCell ref="C49:F49"/>
    <mergeCell ref="A56:B56"/>
    <mergeCell ref="C56:F56"/>
    <mergeCell ref="A50:B50"/>
    <mergeCell ref="C50:F50"/>
    <mergeCell ref="A46:B46"/>
    <mergeCell ref="I12:J12"/>
    <mergeCell ref="I13:J13"/>
    <mergeCell ref="G29:H29"/>
    <mergeCell ref="G30:H30"/>
    <mergeCell ref="G31:H31"/>
    <mergeCell ref="G32:H32"/>
    <mergeCell ref="G35:H35"/>
    <mergeCell ref="G33:H34"/>
    <mergeCell ref="A182:F182"/>
    <mergeCell ref="A16:F16"/>
    <mergeCell ref="A27:F27"/>
    <mergeCell ref="A32:F32"/>
    <mergeCell ref="B17:F17"/>
    <mergeCell ref="B19:C19"/>
    <mergeCell ref="E19:F19"/>
    <mergeCell ref="B20:C20"/>
    <mergeCell ref="A128:B128"/>
    <mergeCell ref="C128:F128"/>
    <mergeCell ref="A116:F116"/>
    <mergeCell ref="A117:D117"/>
    <mergeCell ref="E117:F117"/>
    <mergeCell ref="A118:D118"/>
    <mergeCell ref="E118:F118"/>
    <mergeCell ref="A115:B115"/>
    <mergeCell ref="G60:H60"/>
    <mergeCell ref="G46:H46"/>
    <mergeCell ref="G47:H47"/>
    <mergeCell ref="G48:H48"/>
    <mergeCell ref="G36:H36"/>
    <mergeCell ref="G37:H37"/>
    <mergeCell ref="G38:H38"/>
    <mergeCell ref="G39:H39"/>
    <mergeCell ref="G40:H40"/>
    <mergeCell ref="G41:H41"/>
    <mergeCell ref="G42:H42"/>
    <mergeCell ref="I177:L178"/>
    <mergeCell ref="C178:D178"/>
    <mergeCell ref="A131:F131"/>
    <mergeCell ref="E136:F144"/>
    <mergeCell ref="A145:B146"/>
    <mergeCell ref="B147:F147"/>
    <mergeCell ref="E148:F148"/>
    <mergeCell ref="A38:B38"/>
    <mergeCell ref="C38:F38"/>
    <mergeCell ref="G123:H123"/>
    <mergeCell ref="C124:F124"/>
    <mergeCell ref="G124:H124"/>
    <mergeCell ref="C125:F125"/>
    <mergeCell ref="G125:H125"/>
    <mergeCell ref="G43:H43"/>
    <mergeCell ref="G44:H44"/>
    <mergeCell ref="A40:B40"/>
    <mergeCell ref="C40:F40"/>
    <mergeCell ref="A41:B41"/>
    <mergeCell ref="C41:F41"/>
    <mergeCell ref="A51:B51"/>
    <mergeCell ref="C51:F51"/>
    <mergeCell ref="A57:B57"/>
    <mergeCell ref="C57:F57"/>
    <mergeCell ref="D266:E266"/>
    <mergeCell ref="D267:E267"/>
    <mergeCell ref="D270:E270"/>
    <mergeCell ref="H252:I252"/>
    <mergeCell ref="E256:F256"/>
    <mergeCell ref="B238:F238"/>
    <mergeCell ref="A249:F249"/>
    <mergeCell ref="A250:F250"/>
    <mergeCell ref="G126:H126"/>
    <mergeCell ref="A124:B126"/>
    <mergeCell ref="A179:F179"/>
    <mergeCell ref="C180:D180"/>
    <mergeCell ref="E180:F180"/>
    <mergeCell ref="G180:H180"/>
    <mergeCell ref="I180:L181"/>
    <mergeCell ref="C181:D181"/>
    <mergeCell ref="E181:F181"/>
    <mergeCell ref="G181:H181"/>
    <mergeCell ref="A171:D172"/>
    <mergeCell ref="E171:F172"/>
    <mergeCell ref="A158:B159"/>
    <mergeCell ref="B160:F160"/>
    <mergeCell ref="E161:F161"/>
    <mergeCell ref="C126:F126"/>
  </mergeCells>
  <dataValidations count="18">
    <dataValidation type="list" allowBlank="1" showInputMessage="1" showErrorMessage="1" sqref="B40:B41 B34:B35 B37:B38" xr:uid="{00000000-0002-0000-0000-000000000000}">
      <formula1>$C$293:$C$298</formula1>
    </dataValidation>
    <dataValidation type="list" allowBlank="1" showInputMessage="1" showErrorMessage="1" sqref="F34:F35 F41 F37:F38" xr:uid="{00000000-0002-0000-0000-000001000000}">
      <formula1>$G$289:$G$291</formula1>
    </dataValidation>
    <dataValidation type="list" allowBlank="1" showInputMessage="1" showErrorMessage="1" sqref="F2" xr:uid="{00000000-0002-0000-0000-000002000000}">
      <formula1>"Airoli,Goregaon"</formula1>
    </dataValidation>
    <dataValidation type="list" allowBlank="1" showInputMessage="1" showErrorMessage="1" sqref="D11" xr:uid="{00000000-0002-0000-0000-000003000000}">
      <formula1>"Mr. Abhishek Manjrekar,Mr. Rushabh Kakade,Miss. Bharti,Mr. Ajinkya Oturkar"</formula1>
    </dataValidation>
    <dataValidation type="list" allowBlank="1" showInputMessage="1" showErrorMessage="1" sqref="E13:F13" xr:uid="{00000000-0002-0000-0000-000004000000}">
      <formula1>"Kunal Kadam,Sachin Sawant,Shruti Fule,Hitakshi Mhatre,Anjali Kamble,Sonali Kumbhar,Pooja Kawale,Mansee Mohite"</formula1>
    </dataValidation>
    <dataValidation type="list" allowBlank="1" showInputMessage="1" showErrorMessage="1" sqref="A19" xr:uid="{00000000-0002-0000-0000-000005000000}">
      <formula1>"Plot No.,Survey No.,CTS No.,Gut No."</formula1>
    </dataValidation>
    <dataValidation type="list" allowBlank="1" showInputMessage="1" showErrorMessage="1" sqref="D20" xr:uid="{00000000-0002-0000-0000-000006000000}">
      <formula1>"Ward No.,Existing Builidng Name &amp; No.,City"</formula1>
    </dataValidation>
    <dataValidation type="list" allowBlank="1" showInputMessage="1" showErrorMessage="1" sqref="E22:F22" xr:uid="{00000000-0002-0000-0000-000007000000}">
      <formula1>"Mumbai,Thane,Palghar,Raigad,Pune"</formula1>
    </dataValidation>
    <dataValidation type="list" allowBlank="1" showInputMessage="1" showErrorMessage="1" sqref="C127:F128 B104 C71:F71 B73:F73 B76:F76 B109:C113 E110:F113 E108:F108 B106:C106 C114:F115" xr:uid="{00000000-0002-0000-0000-000008000000}">
      <formula1>"Yes,No"</formula1>
    </dataValidation>
    <dataValidation type="list" allowBlank="1" showInputMessage="1" showErrorMessage="1" sqref="B83:B85 B93:B96 B98:B101 B87 B89 B91" xr:uid="{00000000-0002-0000-0000-000009000000}">
      <formula1>"Applicable and Received,Applicable and Not Received,Not Applicable"</formula1>
    </dataValidation>
    <dataValidation type="list" allowBlank="1" showInputMessage="1" showErrorMessage="1" sqref="D104" xr:uid="{00000000-0002-0000-0000-00000A000000}">
      <formula1>"Registered,Not Registered"</formula1>
    </dataValidation>
    <dataValidation type="list" allowBlank="1" showInputMessage="1" showErrorMessage="1" sqref="B108:C108" xr:uid="{00000000-0002-0000-0000-00000B000000}">
      <formula1>"Zone II,Zone III,Zone IV,Zone V"</formula1>
    </dataValidation>
    <dataValidation type="list" allowBlank="1" showInputMessage="1" showErrorMessage="1" sqref="E109:F109" xr:uid="{00000000-0002-0000-0000-00000C000000}">
      <formula1>"Not Appicable,Zone I,Zone II,Zone III,Zone IV"</formula1>
    </dataValidation>
    <dataValidation type="list" allowBlank="1" showInputMessage="1" showErrorMessage="1" sqref="E253:F258" xr:uid="{00000000-0002-0000-0000-00000D000000}">
      <formula1>"Carpet Area,Buildup Area,Saleable Area"</formula1>
    </dataValidation>
    <dataValidation type="list" allowBlank="1" showInputMessage="1" showErrorMessage="1" sqref="B279:F279" xr:uid="{00000000-0002-0000-0000-00000E000000}">
      <formula1>"Construction Work is active at the time of visit.,Construction Work is not active at the time of visit.,Work not yet Started, All work Completed"</formula1>
    </dataValidation>
    <dataValidation type="list" allowBlank="1" showInputMessage="1" showErrorMessage="1" sqref="B71" xr:uid="{00000000-0002-0000-0000-00000F000000}">
      <formula1>"Yes &amp; 0.15m, No"</formula1>
    </dataValidation>
    <dataValidation type="list" allowBlank="1" showInputMessage="1" showErrorMessage="1" sqref="B97" xr:uid="{00000000-0002-0000-0000-000010000000}">
      <formula1>"Applicable and Received,Applicable and Not Received,Not Applicable,To be obtained"</formula1>
    </dataValidation>
    <dataValidation type="list" allowBlank="1" showInputMessage="1" showErrorMessage="1" sqref="F189" xr:uid="{00000000-0002-0000-0000-000011000000}">
      <formula1>"45%,50%,55%,60%"</formula1>
    </dataValidation>
  </dataValidations>
  <hyperlinks>
    <hyperlink ref="C6" r:id="rId1" xr:uid="{00000000-0004-0000-0000-000000000000}"/>
    <hyperlink ref="B25" r:id="rId2" xr:uid="{00000000-0004-0000-0000-000001000000}"/>
  </hyperlinks>
  <pageMargins left="0.39370078740157483" right="0.39370078740157483" top="0.78740157480314965" bottom="0.78740157480314965" header="0.31496062992125984" footer="0.31496062992125984"/>
  <pageSetup orientation="portrait" r:id="rId3"/>
  <headerFooter>
    <oddHeader>&amp;C&amp;G</oddHeader>
    <oddFooter>&amp;L&amp;"-,Bold"Ref No: &amp;F&amp;R&amp;"-,Bold"&amp;P</oddFooter>
  </headerFooter>
  <rowBreaks count="3" manualBreakCount="3">
    <brk id="288" max="16383" man="1"/>
    <brk id="334" max="16383" man="1"/>
    <brk id="380" max="16383" man="1"/>
  </rowBreaks>
  <drawing r:id="rId4"/>
  <legacyDrawing r:id="rId5"/>
  <legacyDrawingHF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04:K131"/>
  <sheetViews>
    <sheetView topLeftCell="A123" workbookViewId="0">
      <selection activeCell="B133" sqref="B133"/>
    </sheetView>
  </sheetViews>
  <sheetFormatPr defaultRowHeight="14.4" x14ac:dyDescent="0.3"/>
  <sheetData>
    <row r="104" spans="2:11" ht="15" thickBot="1" x14ac:dyDescent="0.35"/>
    <row r="105" spans="2:11" ht="15.6" x14ac:dyDescent="0.3">
      <c r="B105" s="267" t="s">
        <v>4</v>
      </c>
      <c r="C105" s="268"/>
      <c r="D105" s="269" t="s">
        <v>44</v>
      </c>
      <c r="E105" s="270"/>
      <c r="F105" s="270"/>
      <c r="G105" s="270"/>
      <c r="H105" s="270"/>
      <c r="I105" s="271"/>
      <c r="J105" s="13" t="str">
        <f ca="1">(IF(F109&gt;99%,"All work completed. Please provide OC.",IF(F109&gt;89.8%,"Plinth, RCC, Brick, Plaster, Flooring, Painting work Completed. Finishing work is in process.",IF(F109&lt;94%,(IF(D109=0,"Work not yet Started.",IF(E109=25%,"Piling work in process",IF(E109=50%,"Excavation work in process",IF(E109=100%,"Excavation work Completed. ","0")))&amp;(IF(D110=0%,"",IF(D110=K111,"Footing work is process",IF(D110=K112,"Footing work Completed",IF(D110=K113,"1st Basement Completed",IF(D110=K114,"1st &amp; 2nd Basement Completed",IF(D110=K115,"1st to 3rd Basement Completed",IF(D110=K116,"1st to 4th Basement Completed",IF(D110=K117,"Plinth work is process",IF(D110=K118,"Plinth work completed","0")))))))))))&amp;(IF(D111=(D106+E106+F106),", RCC Slab",IF(D111&gt;0,", RCC upto "&amp;D111&amp;" Slab",""))&amp;(IF(D112=F106,", Brickwork",IF(D112&gt;0,", Brickwork upto "&amp;D112&amp;" Floor",""))&amp;(IF(D113=F106,", Internal Plaster",IF(D113&gt;0,", Internal Plaster upto "&amp;D113&amp;" Floor",""))&amp;(IF(D114=F106,", External Plaster",IF(D114&gt;0,", External Plaster upto "&amp;D114&amp;" Floor",""))&amp;(IF(D115=F106,", Flooring",IF(D115&gt;0,", Flooring upto "&amp;D115&amp;" Floor",""))&amp;(IF(D116=F106,", Painting",IF(D116&gt;0,", Painting upto "&amp;D116&amp;" Floor",""))&amp;(IF(D117&gt;0,", Finishing upto "&amp;D117&amp;" Floor","")&amp;(IF(D111&gt;0.5," Completed",""))))))))))))))</f>
        <v>All work completed. Please provide OC.</v>
      </c>
      <c r="K105" s="14"/>
    </row>
    <row r="106" spans="2:11" ht="15.6" x14ac:dyDescent="0.3">
      <c r="B106" s="15" t="s">
        <v>5</v>
      </c>
      <c r="C106" s="16">
        <v>0</v>
      </c>
      <c r="D106" s="32">
        <v>1</v>
      </c>
      <c r="E106" s="33">
        <v>0</v>
      </c>
      <c r="F106" s="33">
        <f ca="1">--TRIM(RIGHT(SUBSTITUTE(LEFT(D105,_xlfn.AGGREGATE(16,6,FIND({0,1,2,3,4,5,6,7,8,9},D105,ROW(INDIRECT("1:"&amp;LEN(D105)))),1))," ",REPT(" ",LEN(D105))),LEN(D105)))</f>
        <v>7</v>
      </c>
      <c r="G106" s="33"/>
      <c r="H106" s="33"/>
      <c r="I106" s="34"/>
      <c r="J106" s="17"/>
      <c r="K106" s="18"/>
    </row>
    <row r="107" spans="2:11" ht="15.6" x14ac:dyDescent="0.3">
      <c r="B107" s="272" t="s">
        <v>9</v>
      </c>
      <c r="C107" s="273"/>
      <c r="D107" s="274" t="str">
        <f>J107</f>
        <v>All work Completed. OC Received.</v>
      </c>
      <c r="E107" s="274"/>
      <c r="F107" s="274"/>
      <c r="G107" s="274"/>
      <c r="H107" s="274"/>
      <c r="I107" s="275"/>
      <c r="J107" s="17" t="s">
        <v>10</v>
      </c>
      <c r="K107" s="18"/>
    </row>
    <row r="108" spans="2:11" ht="31.2" x14ac:dyDescent="0.3">
      <c r="B108" s="276" t="s">
        <v>11</v>
      </c>
      <c r="C108" s="277"/>
      <c r="D108" s="19" t="s">
        <v>13</v>
      </c>
      <c r="E108" s="19" t="s">
        <v>14</v>
      </c>
      <c r="F108" s="277" t="s">
        <v>15</v>
      </c>
      <c r="G108" s="277"/>
      <c r="H108" s="277" t="s">
        <v>41</v>
      </c>
      <c r="I108" s="278"/>
      <c r="J108" s="20" t="s">
        <v>16</v>
      </c>
      <c r="K108" s="21">
        <f ca="1">F106*25%</f>
        <v>1.75</v>
      </c>
    </row>
    <row r="109" spans="2:11" ht="15.6" x14ac:dyDescent="0.3">
      <c r="B109" s="276" t="s">
        <v>17</v>
      </c>
      <c r="C109" s="277"/>
      <c r="D109" s="22">
        <f ca="1">K110</f>
        <v>7</v>
      </c>
      <c r="E109" s="23">
        <f ca="1">((100/F106)*D109)/100</f>
        <v>1</v>
      </c>
      <c r="F109" s="281">
        <f ca="1">(((D110/F106*10)+(40/(D106+E106+F106)*D111)+(7.5/(F106)*D112)+(7.5/(F106)*D113)+(10/F106*D114)+(10/F106*D115)+(5/F106*D116)+(5/F106*D117)+(5/F106*D118))/100)</f>
        <v>1</v>
      </c>
      <c r="G109" s="281"/>
      <c r="H109" s="281">
        <f ca="1">((((D109/F106)*20)+((D110/F106)*25)+(30/(F106+E106+D106)*D111)+(5/F106*D112)+(5/F106*D113)+(5/F106*D114)+(5/F106*D115)+(0/F106*D116)+(0/F106*D117)+(5/F106*D118))/100)</f>
        <v>1</v>
      </c>
      <c r="I109" s="283"/>
      <c r="J109" s="20" t="s">
        <v>18</v>
      </c>
      <c r="K109" s="24">
        <f ca="1">F106*50%</f>
        <v>3.5</v>
      </c>
    </row>
    <row r="110" spans="2:11" ht="15.6" x14ac:dyDescent="0.3">
      <c r="B110" s="276" t="s">
        <v>19</v>
      </c>
      <c r="C110" s="277"/>
      <c r="D110" s="25">
        <f ca="1">K118</f>
        <v>7</v>
      </c>
      <c r="E110" s="23">
        <f ca="1">((100/F106)*D110)/100</f>
        <v>1</v>
      </c>
      <c r="F110" s="281"/>
      <c r="G110" s="281"/>
      <c r="H110" s="281"/>
      <c r="I110" s="283"/>
      <c r="J110" s="20" t="s">
        <v>20</v>
      </c>
      <c r="K110" s="24">
        <f ca="1">F106</f>
        <v>7</v>
      </c>
    </row>
    <row r="111" spans="2:11" ht="15.6" x14ac:dyDescent="0.3">
      <c r="B111" s="285" t="s">
        <v>21</v>
      </c>
      <c r="C111" s="286"/>
      <c r="D111" s="25">
        <v>8</v>
      </c>
      <c r="E111" s="23">
        <f ca="1">((100/(D106+E106+F106))*D111)/100</f>
        <v>1</v>
      </c>
      <c r="F111" s="281"/>
      <c r="G111" s="281"/>
      <c r="H111" s="281"/>
      <c r="I111" s="283"/>
      <c r="J111" s="20" t="s">
        <v>22</v>
      </c>
      <c r="K111" s="26">
        <f ca="1">(IF(C106&gt;1,(F106/(C106+2)),F106/4))</f>
        <v>1.75</v>
      </c>
    </row>
    <row r="112" spans="2:11" ht="15.6" x14ac:dyDescent="0.3">
      <c r="B112" s="276" t="s">
        <v>23</v>
      </c>
      <c r="C112" s="277" t="s">
        <v>42</v>
      </c>
      <c r="D112" s="22">
        <v>7</v>
      </c>
      <c r="E112" s="23">
        <f ca="1">((100/F106)*D112)/100</f>
        <v>1</v>
      </c>
      <c r="F112" s="281"/>
      <c r="G112" s="281"/>
      <c r="H112" s="281"/>
      <c r="I112" s="283"/>
      <c r="J112" s="20" t="s">
        <v>24</v>
      </c>
      <c r="K112" s="26">
        <f ca="1">(IF(C106&gt;1,(F106/(C106+2)+K111),F106/4+K111))</f>
        <v>3.5</v>
      </c>
    </row>
    <row r="113" spans="2:11" ht="15.6" x14ac:dyDescent="0.3">
      <c r="B113" s="276" t="s">
        <v>25</v>
      </c>
      <c r="C113" s="277" t="s">
        <v>42</v>
      </c>
      <c r="D113" s="22">
        <v>7</v>
      </c>
      <c r="E113" s="23">
        <f ca="1">((100/F106)*D113)/100</f>
        <v>1</v>
      </c>
      <c r="F113" s="281"/>
      <c r="G113" s="281"/>
      <c r="H113" s="281"/>
      <c r="I113" s="283"/>
      <c r="J113" s="20" t="s">
        <v>26</v>
      </c>
      <c r="K113" s="26">
        <f>(IF(C106&gt;1,(F106/(C106+2)+K112),0))</f>
        <v>0</v>
      </c>
    </row>
    <row r="114" spans="2:11" ht="15.6" x14ac:dyDescent="0.3">
      <c r="B114" s="276" t="s">
        <v>27</v>
      </c>
      <c r="C114" s="277" t="s">
        <v>43</v>
      </c>
      <c r="D114" s="22">
        <v>7</v>
      </c>
      <c r="E114" s="23">
        <f ca="1">((100/(F106))*D114)/100</f>
        <v>1</v>
      </c>
      <c r="F114" s="281"/>
      <c r="G114" s="281"/>
      <c r="H114" s="281"/>
      <c r="I114" s="283"/>
      <c r="J114" s="20" t="s">
        <v>28</v>
      </c>
      <c r="K114" s="26">
        <f>(IF(C106&gt;2,(F106/(C106+2)+K113),0))</f>
        <v>0</v>
      </c>
    </row>
    <row r="115" spans="2:11" ht="15.6" x14ac:dyDescent="0.3">
      <c r="B115" s="276" t="s">
        <v>29</v>
      </c>
      <c r="C115" s="277" t="s">
        <v>29</v>
      </c>
      <c r="D115" s="22">
        <v>7</v>
      </c>
      <c r="E115" s="23">
        <f ca="1">((100/F106)*D115)/100</f>
        <v>1</v>
      </c>
      <c r="F115" s="281"/>
      <c r="G115" s="281"/>
      <c r="H115" s="281"/>
      <c r="I115" s="283"/>
      <c r="J115" s="20" t="s">
        <v>30</v>
      </c>
      <c r="K115" s="27">
        <f>(IF(C106&gt;3,(F106/(C106+2)+K114),0))</f>
        <v>0</v>
      </c>
    </row>
    <row r="116" spans="2:11" ht="15.6" x14ac:dyDescent="0.3">
      <c r="B116" s="276" t="s">
        <v>31</v>
      </c>
      <c r="C116" s="277"/>
      <c r="D116" s="22">
        <v>7</v>
      </c>
      <c r="E116" s="23">
        <f ca="1">((100/F106)*D116)/100</f>
        <v>1</v>
      </c>
      <c r="F116" s="281"/>
      <c r="G116" s="281"/>
      <c r="H116" s="281"/>
      <c r="I116" s="283"/>
      <c r="J116" s="20" t="s">
        <v>32</v>
      </c>
      <c r="K116" s="26">
        <f>(IF(C106&gt;4,(F106/(C106+2)+K115),0))</f>
        <v>0</v>
      </c>
    </row>
    <row r="117" spans="2:11" ht="15.6" x14ac:dyDescent="0.3">
      <c r="B117" s="276" t="s">
        <v>33</v>
      </c>
      <c r="C117" s="277" t="s">
        <v>33</v>
      </c>
      <c r="D117" s="22">
        <v>7</v>
      </c>
      <c r="E117" s="23">
        <f ca="1">((100/(F106))*D117)/100</f>
        <v>1</v>
      </c>
      <c r="F117" s="281"/>
      <c r="G117" s="281"/>
      <c r="H117" s="281"/>
      <c r="I117" s="283"/>
      <c r="J117" s="20" t="s">
        <v>34</v>
      </c>
      <c r="K117" s="26">
        <f ca="1">(IF(C106=1,(F106/(C106+3)+K112),IF(C106=0,(F106/4+K112),IF(C106&gt;1,0))))</f>
        <v>5.25</v>
      </c>
    </row>
    <row r="118" spans="2:11" ht="16.2" thickBot="1" x14ac:dyDescent="0.35">
      <c r="B118" s="279" t="s">
        <v>35</v>
      </c>
      <c r="C118" s="280"/>
      <c r="D118" s="28">
        <v>7</v>
      </c>
      <c r="E118" s="29">
        <f ca="1">((100/(F106))*D118)/100</f>
        <v>1</v>
      </c>
      <c r="F118" s="282"/>
      <c r="G118" s="282"/>
      <c r="H118" s="282"/>
      <c r="I118" s="284"/>
      <c r="J118" s="30" t="s">
        <v>36</v>
      </c>
      <c r="K118" s="31">
        <f ca="1">(IF(C106&gt;1.5,(F106/(C106+2)+K112+MAX(0,K113-K112)+MAX(0,K114-K113)+MAX(0,K115-K114)+MAX(0,K116-K115)+MAX(0,K117-K116)),IF(C106=1,(F106/(C106+3)+K117),IF(C106=0,F106/4+K117))))</f>
        <v>7</v>
      </c>
    </row>
    <row r="124" spans="2:11" x14ac:dyDescent="0.3">
      <c r="B124" t="str">
        <f>(IF(E125&gt;99%,"All work completed. Please provide OC.",IF(E125&gt;89.8%,"Plinth, RCC, Brick, Plaster, Flooring, Painting work Completed. Finishing work is in process.",IF(E125&lt;94%,(IF(C125=0,"Work not yet Started.",IF(D125=25%,"Piling work in process",IF(D125=50%,"Excavation work in process",IF(D125=100%,"Excavation work Completed. ","0")))&amp;(IF(C126=0%,"",IF(C126=H127,"Footing work is process",IF(C126=H128,"Footing work Completed",IF(C126=H129,"1st Basement Completed",IF(C126=H130,"1st &amp; 2nd Basement Completed",IF(C126=H131,"1st to 3rd Basement Completed",IF(C126=H132,"1st to 4th Basement Completed",IF(C126=H133,"Plinth work is process",IF(C126=H134,"Plinth work completed","0")))))))))))&amp;(IF(C127=(D122+E122+F122),", RCC Slab",IF(C127&gt;0,", RCC upto "&amp;C127&amp;" Slab",""))&amp;(IF(C128=F122,", Brickwork",IF(C128&gt;0,", Brickwork upto "&amp;C128&amp;" Floor",""))&amp;(IF(C129=F122,", Internal Plaster",IF(C129&gt;0,", Internal Plaster upto "&amp;C129&amp;" Floor",""))&amp;(IF(C130=F122,", External Plaster",IF(C130&gt;0,", External Plaster upto "&amp;C130&amp;" Floor",""))&amp;(IF(C131=F122,", Flooring",IF(C131&gt;0,", Flooring upto "&amp;C131&amp;" Floor",""))&amp;(IF(C132=F122,", Painting",IF(C132&gt;0,", Painting upto "&amp;C132&amp;" Floor",""))&amp;(IF(C133&gt;0,", Finishing upto "&amp;C133&amp;" Floor","")&amp;(IF(C127&gt;0.5," Completed",""))))))))))))))</f>
        <v>Work not yet Started., RCC Slab, Brickwork, Internal Plaster, External Plaster, Flooring, Painting</v>
      </c>
    </row>
    <row r="131" spans="2:2" x14ac:dyDescent="0.3">
      <c r="B131" t="str">
        <f>(IF(E128&gt;99%,"All work completed. Please provide OC.",IF(E128&gt;89.8%,"Plinth, RCC, Brick, Plaster, Flooring, Painting work Completed. Finishing work is in process.",IF(E128&lt;94%,(IF(C128=0,"Work not yet Started.",IF(D128=25%,"Piling work in process",IF(D128=50%,"Excavation work in process",IF(D128=100%,"Excavation work Completed. ","0")))&amp;(IF(C129=0%,"",IF(C129=H130,"Footing work is process",IF(C129=H131,"Footing work Completed",IF(C129=H132,"1st Basement Completed",IF(C129=H133,"1st &amp; 2nd Basement Completed",IF(C129=H134,"1st to 3rd Basement Completed",IF(C129=H135,"1st to 4th Basement Completed",IF(C129=H136,"Plinth work is process",IF(C129=H137,"Plinth work completed","0")))))))))))&amp;(IF(C130=(D125+E125+F125),", RCC Slab",IF(C130&gt;0,", RCC upto "&amp;C130&amp;" Slab",""))&amp;(IF(C131=F125,", Brickwork",IF(C131&gt;0,", Brickwork upto "&amp;C131&amp;" Floor",""))&amp;(IF(C132=F125,", Internal Plaster",IF(C132&gt;0,", Internal Plaster upto "&amp;C132&amp;" Floor",""))&amp;(IF(C133=F125,", External Plaster",IF(C133&gt;0,", External Plaster upto "&amp;C133&amp;" Floor",""))&amp;(IF(C134=F125,", Flooring",IF(C134&gt;0,", Flooring upto "&amp;C134&amp;" Floor",""))&amp;(IF(C135=F125,", Painting",IF(C135&gt;0,", Painting upto "&amp;C135&amp;" Floor",""))&amp;(IF(C136&gt;0,", Finishing upto "&amp;C136&amp;" Floor","")&amp;(IF(C130&gt;0.5," Completed",""))))))))))))))</f>
        <v>Work not yet Started., RCC Slab, Brickwork, Internal Plaster, External Plaster, Flooring, Painting</v>
      </c>
    </row>
  </sheetData>
  <mergeCells count="19">
    <mergeCell ref="B117:C117"/>
    <mergeCell ref="B118:C118"/>
    <mergeCell ref="B109:C109"/>
    <mergeCell ref="F109:G118"/>
    <mergeCell ref="H109:I118"/>
    <mergeCell ref="B110:C110"/>
    <mergeCell ref="B111:C111"/>
    <mergeCell ref="B112:C112"/>
    <mergeCell ref="B113:C113"/>
    <mergeCell ref="B114:C114"/>
    <mergeCell ref="B115:C115"/>
    <mergeCell ref="B116:C116"/>
    <mergeCell ref="B105:C105"/>
    <mergeCell ref="D105:I105"/>
    <mergeCell ref="B107:C107"/>
    <mergeCell ref="D107:I107"/>
    <mergeCell ref="B108:C108"/>
    <mergeCell ref="F108:G108"/>
    <mergeCell ref="H108:I10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SACHIN</dc:creator>
  <cp:lastModifiedBy>Kunal Kadam</cp:lastModifiedBy>
  <cp:lastPrinted>2025-08-08T06:51:15Z</cp:lastPrinted>
  <dcterms:created xsi:type="dcterms:W3CDTF">2023-05-19T08:34:56Z</dcterms:created>
  <dcterms:modified xsi:type="dcterms:W3CDTF">2025-08-08T06:53:05Z</dcterms:modified>
</cp:coreProperties>
</file>