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E:\Shruti\Aug 25\Godrej Old\"/>
    </mc:Choice>
  </mc:AlternateContent>
  <bookViews>
    <workbookView xWindow="0" yWindow="0" windowWidth="10860" windowHeight="7455"/>
  </bookViews>
  <sheets>
    <sheet name="Report" sheetId="3" r:id="rId1"/>
  </sheets>
  <definedNames>
    <definedName name="_xlnm.Print_Area" localSheetId="0">Report!$A$1:$I$463</definedName>
  </definedNames>
  <calcPr calcId="152511"/>
</workbook>
</file>

<file path=xl/calcChain.xml><?xml version="1.0" encoding="utf-8"?>
<calcChain xmlns="http://schemas.openxmlformats.org/spreadsheetml/2006/main">
  <c r="K5" i="3" l="1"/>
  <c r="C49" i="3" l="1"/>
  <c r="C63" i="3"/>
  <c r="J22" i="3"/>
  <c r="K83" i="3"/>
  <c r="K82" i="3"/>
  <c r="K81" i="3"/>
  <c r="K80" i="3"/>
  <c r="K67" i="3"/>
  <c r="K66" i="3"/>
  <c r="K65" i="3"/>
  <c r="K64" i="3"/>
  <c r="I74" i="3"/>
  <c r="I58" i="3"/>
  <c r="E65" i="3" l="1"/>
  <c r="K77" i="3"/>
  <c r="C76" i="3" s="1"/>
  <c r="E85" i="3"/>
  <c r="E83" i="3"/>
  <c r="E81" i="3"/>
  <c r="E79" i="3"/>
  <c r="E87" i="3"/>
  <c r="K78" i="3"/>
  <c r="K76" i="3"/>
  <c r="E86" i="3"/>
  <c r="E84" i="3"/>
  <c r="E82" i="3"/>
  <c r="E80" i="3"/>
  <c r="E78" i="3"/>
  <c r="K75" i="3"/>
  <c r="E71" i="3"/>
  <c r="K62" i="3"/>
  <c r="K63" i="3" s="1"/>
  <c r="K68" i="3" s="1"/>
  <c r="K69" i="3" s="1"/>
  <c r="C61" i="3" s="1"/>
  <c r="E61" i="3" s="1"/>
  <c r="K60" i="3"/>
  <c r="E70" i="3"/>
  <c r="E68" i="3"/>
  <c r="E66" i="3"/>
  <c r="E64" i="3"/>
  <c r="E62" i="3"/>
  <c r="K59" i="3"/>
  <c r="K61" i="3"/>
  <c r="E69" i="3"/>
  <c r="E67" i="3"/>
  <c r="E63" i="3"/>
  <c r="C60" i="3" l="1"/>
  <c r="F60" i="3" s="1"/>
  <c r="K79" i="3"/>
  <c r="E76" i="3"/>
  <c r="K84" i="3" l="1"/>
  <c r="K85" i="3" s="1"/>
  <c r="C77" i="3" s="1"/>
  <c r="E77" i="3" s="1"/>
  <c r="E60" i="3"/>
  <c r="J57" i="3" s="1"/>
  <c r="H60" i="3" s="1"/>
  <c r="F76" i="3" l="1"/>
  <c r="E310" i="3"/>
  <c r="F295" i="3"/>
  <c r="F294" i="3"/>
  <c r="F293" i="3"/>
  <c r="F292" i="3"/>
  <c r="I292" i="3" s="1"/>
  <c r="F291" i="3"/>
  <c r="F290" i="3"/>
  <c r="F289" i="3"/>
  <c r="F288" i="3"/>
  <c r="J73" i="3" l="1"/>
  <c r="H76" i="3" s="1"/>
  <c r="H88" i="3"/>
  <c r="A207" i="3"/>
  <c r="F207" i="3"/>
  <c r="I207" i="3" s="1"/>
  <c r="C208" i="3"/>
  <c r="C209" i="3" s="1"/>
  <c r="C210" i="3" s="1"/>
  <c r="C211" i="3" s="1"/>
  <c r="C212" i="3" s="1"/>
  <c r="C213" i="3" s="1"/>
  <c r="C214" i="3" s="1"/>
  <c r="F208" i="3"/>
  <c r="I208" i="3" s="1"/>
  <c r="F209" i="3"/>
  <c r="I209" i="3" s="1"/>
  <c r="F210" i="3"/>
  <c r="I210" i="3" s="1"/>
  <c r="F211" i="3"/>
  <c r="I211" i="3" s="1"/>
  <c r="F212" i="3"/>
  <c r="I212" i="3" s="1"/>
  <c r="F213" i="3"/>
  <c r="I213" i="3" s="1"/>
  <c r="F214" i="3"/>
  <c r="I214" i="3" s="1"/>
  <c r="A216" i="3"/>
  <c r="F216" i="3"/>
  <c r="I216" i="3" s="1"/>
  <c r="F217" i="3"/>
  <c r="I217" i="3" s="1"/>
  <c r="F218" i="3"/>
  <c r="I218" i="3" s="1"/>
  <c r="C219" i="3"/>
  <c r="C220" i="3" s="1"/>
  <c r="C221" i="3" s="1"/>
  <c r="C222" i="3" s="1"/>
  <c r="F219" i="3"/>
  <c r="I219" i="3" s="1"/>
  <c r="F220" i="3"/>
  <c r="I220" i="3" s="1"/>
  <c r="K220" i="3"/>
  <c r="F221" i="3"/>
  <c r="I221" i="3" s="1"/>
  <c r="K221" i="3"/>
  <c r="F222" i="3"/>
  <c r="I222" i="3" s="1"/>
  <c r="F223" i="3"/>
  <c r="I223" i="3" s="1"/>
  <c r="F304" i="3"/>
  <c r="I304" i="3" s="1"/>
  <c r="F303" i="3"/>
  <c r="I303" i="3" s="1"/>
  <c r="F302" i="3"/>
  <c r="I302" i="3" s="1"/>
  <c r="F300" i="3"/>
  <c r="I300" i="3" s="1"/>
  <c r="F299" i="3"/>
  <c r="I299" i="3" s="1"/>
  <c r="F298" i="3"/>
  <c r="I298" i="3" s="1"/>
  <c r="C298" i="3"/>
  <c r="C299" i="3" s="1"/>
  <c r="C300" i="3" s="1"/>
  <c r="C301" i="3" s="1"/>
  <c r="C302" i="3" s="1"/>
  <c r="C303" i="3" s="1"/>
  <c r="C304" i="3" s="1"/>
  <c r="F297" i="3"/>
  <c r="I297" i="3" s="1"/>
  <c r="A297" i="3"/>
  <c r="I295" i="3"/>
  <c r="I294" i="3"/>
  <c r="I293" i="3"/>
  <c r="I291" i="3"/>
  <c r="I290" i="3"/>
  <c r="I289" i="3"/>
  <c r="C289" i="3"/>
  <c r="C290" i="3" s="1"/>
  <c r="C291" i="3" s="1"/>
  <c r="I288" i="3"/>
  <c r="A288" i="3"/>
  <c r="F286" i="3"/>
  <c r="I286" i="3" s="1"/>
  <c r="F285" i="3"/>
  <c r="I285" i="3" s="1"/>
  <c r="F282" i="3"/>
  <c r="I282" i="3" s="1"/>
  <c r="F281" i="3"/>
  <c r="I281" i="3" s="1"/>
  <c r="F280" i="3"/>
  <c r="I280" i="3" s="1"/>
  <c r="C280" i="3"/>
  <c r="C281" i="3" s="1"/>
  <c r="C282" i="3" s="1"/>
  <c r="C283" i="3" s="1"/>
  <c r="C284" i="3" s="1"/>
  <c r="C285" i="3" s="1"/>
  <c r="C286" i="3" s="1"/>
  <c r="F279" i="3"/>
  <c r="I279" i="3" s="1"/>
  <c r="A279" i="3"/>
  <c r="F277" i="3"/>
  <c r="I277" i="3" s="1"/>
  <c r="F276" i="3"/>
  <c r="I276" i="3" s="1"/>
  <c r="F273" i="3"/>
  <c r="I273" i="3" s="1"/>
  <c r="F272" i="3"/>
  <c r="I272" i="3" s="1"/>
  <c r="F271" i="3"/>
  <c r="I271" i="3" s="1"/>
  <c r="C271" i="3"/>
  <c r="C272" i="3" s="1"/>
  <c r="C273" i="3" s="1"/>
  <c r="C274" i="3" s="1"/>
  <c r="C275" i="3" s="1"/>
  <c r="C276" i="3" s="1"/>
  <c r="C277" i="3" s="1"/>
  <c r="F270" i="3"/>
  <c r="I270" i="3" s="1"/>
  <c r="A270" i="3"/>
  <c r="F268" i="3"/>
  <c r="I268" i="3" s="1"/>
  <c r="F267" i="3"/>
  <c r="I267" i="3" s="1"/>
  <c r="F266" i="3"/>
  <c r="I266" i="3" s="1"/>
  <c r="F265" i="3"/>
  <c r="I265" i="3" s="1"/>
  <c r="F264" i="3"/>
  <c r="I264" i="3" s="1"/>
  <c r="F263" i="3"/>
  <c r="I263" i="3" s="1"/>
  <c r="F262" i="3"/>
  <c r="I262" i="3" s="1"/>
  <c r="C262" i="3"/>
  <c r="C263" i="3" s="1"/>
  <c r="C264" i="3" s="1"/>
  <c r="C265" i="3" s="1"/>
  <c r="C266" i="3" s="1"/>
  <c r="C267" i="3" s="1"/>
  <c r="C268" i="3" s="1"/>
  <c r="F261" i="3"/>
  <c r="I261" i="3" s="1"/>
  <c r="A261" i="3"/>
  <c r="F250" i="3"/>
  <c r="I250" i="3" s="1"/>
  <c r="F249" i="3"/>
  <c r="I249" i="3" s="1"/>
  <c r="F248" i="3"/>
  <c r="I248" i="3" s="1"/>
  <c r="C248" i="3"/>
  <c r="C249" i="3" s="1"/>
  <c r="C250" i="3" s="1"/>
  <c r="F247" i="3"/>
  <c r="I247" i="3" s="1"/>
  <c r="C244" i="3"/>
  <c r="C245" i="3" s="1"/>
  <c r="C246" i="3" s="1"/>
  <c r="A243" i="3"/>
  <c r="F259" i="3"/>
  <c r="I259" i="3" s="1"/>
  <c r="F258" i="3"/>
  <c r="I258" i="3" s="1"/>
  <c r="F257" i="3"/>
  <c r="I257" i="3" s="1"/>
  <c r="C257" i="3"/>
  <c r="C258" i="3" s="1"/>
  <c r="C259" i="3" s="1"/>
  <c r="F256" i="3"/>
  <c r="I256" i="3" s="1"/>
  <c r="C253" i="3"/>
  <c r="C254" i="3" s="1"/>
  <c r="C255" i="3" s="1"/>
  <c r="A252" i="3"/>
  <c r="F241" i="3"/>
  <c r="I241" i="3" s="1"/>
  <c r="F240" i="3"/>
  <c r="I240" i="3" s="1"/>
  <c r="F239" i="3"/>
  <c r="I239" i="3" s="1"/>
  <c r="C239" i="3"/>
  <c r="C240" i="3" s="1"/>
  <c r="C241" i="3" s="1"/>
  <c r="F238" i="3"/>
  <c r="I238" i="3" s="1"/>
  <c r="C235" i="3"/>
  <c r="C236" i="3" s="1"/>
  <c r="C237" i="3" s="1"/>
  <c r="A234" i="3"/>
  <c r="F132" i="3"/>
  <c r="I132" i="3" s="1"/>
  <c r="F131" i="3"/>
  <c r="I131" i="3" s="1"/>
  <c r="F130" i="3"/>
  <c r="F129" i="3"/>
  <c r="F128" i="3"/>
  <c r="F127" i="3"/>
  <c r="F126" i="3"/>
  <c r="F125" i="3"/>
  <c r="F118" i="3"/>
  <c r="F232" i="3"/>
  <c r="I232" i="3" s="1"/>
  <c r="F231" i="3"/>
  <c r="I231" i="3" s="1"/>
  <c r="F230" i="3"/>
  <c r="I230" i="3" s="1"/>
  <c r="C230" i="3"/>
  <c r="C231" i="3" s="1"/>
  <c r="C232" i="3" s="1"/>
  <c r="F229" i="3"/>
  <c r="C226" i="3"/>
  <c r="C227" i="3" s="1"/>
  <c r="C228" i="3" s="1"/>
  <c r="A225" i="3"/>
  <c r="I107" i="3" l="1"/>
  <c r="H107" i="3"/>
  <c r="F107" i="3"/>
  <c r="I229" i="3"/>
  <c r="I108" i="3" s="1"/>
  <c r="F108" i="3"/>
  <c r="H108" i="3"/>
  <c r="C292" i="3"/>
  <c r="C293" i="3" s="1"/>
  <c r="C294" i="3" s="1"/>
  <c r="C295" i="3" s="1"/>
  <c r="C153" i="3" l="1"/>
  <c r="C154" i="3" s="1"/>
  <c r="C155" i="3" s="1"/>
  <c r="M145" i="3"/>
  <c r="M146" i="3" s="1"/>
  <c r="C144" i="3"/>
  <c r="C145" i="3" s="1"/>
  <c r="C146" i="3" s="1"/>
  <c r="M136" i="3"/>
  <c r="M137" i="3" s="1"/>
  <c r="C135" i="3"/>
  <c r="C136" i="3" s="1"/>
  <c r="C137" i="3" s="1"/>
  <c r="F204" i="3"/>
  <c r="I204" i="3" s="1"/>
  <c r="F203" i="3"/>
  <c r="I203" i="3" s="1"/>
  <c r="F202" i="3"/>
  <c r="I202" i="3" s="1"/>
  <c r="F200" i="3"/>
  <c r="I200" i="3" s="1"/>
  <c r="F199" i="3"/>
  <c r="I199" i="3" s="1"/>
  <c r="F198" i="3"/>
  <c r="I198" i="3" s="1"/>
  <c r="C198" i="3"/>
  <c r="C199" i="3" s="1"/>
  <c r="C200" i="3" s="1"/>
  <c r="C201" i="3" s="1"/>
  <c r="C202" i="3" s="1"/>
  <c r="C203" i="3" s="1"/>
  <c r="C204" i="3" s="1"/>
  <c r="F197" i="3"/>
  <c r="I197" i="3" s="1"/>
  <c r="A197" i="3"/>
  <c r="F194" i="3"/>
  <c r="I194" i="3" s="1"/>
  <c r="F193" i="3"/>
  <c r="I193" i="3" s="1"/>
  <c r="F190" i="3"/>
  <c r="I190" i="3" s="1"/>
  <c r="F189" i="3"/>
  <c r="I189" i="3" s="1"/>
  <c r="F195" i="3"/>
  <c r="I195" i="3" s="1"/>
  <c r="F192" i="3"/>
  <c r="I192" i="3" s="1"/>
  <c r="F191" i="3"/>
  <c r="I191" i="3" s="1"/>
  <c r="F188" i="3"/>
  <c r="I188" i="3" s="1"/>
  <c r="C189" i="3"/>
  <c r="C190" i="3" s="1"/>
  <c r="C191" i="3" s="1"/>
  <c r="C192" i="3" s="1"/>
  <c r="C193" i="3" s="1"/>
  <c r="C194" i="3" s="1"/>
  <c r="C195" i="3" s="1"/>
  <c r="A188" i="3"/>
  <c r="F186" i="3"/>
  <c r="I186" i="3" s="1"/>
  <c r="F185" i="3"/>
  <c r="I185" i="3" s="1"/>
  <c r="F182" i="3"/>
  <c r="I182" i="3" s="1"/>
  <c r="M172" i="3"/>
  <c r="M173" i="3" s="1"/>
  <c r="F181" i="3"/>
  <c r="I181" i="3" s="1"/>
  <c r="F180" i="3"/>
  <c r="I180" i="3" s="1"/>
  <c r="C180" i="3"/>
  <c r="C181" i="3" s="1"/>
  <c r="C182" i="3" s="1"/>
  <c r="C183" i="3" s="1"/>
  <c r="C184" i="3" s="1"/>
  <c r="C185" i="3" s="1"/>
  <c r="C186" i="3" s="1"/>
  <c r="F179" i="3"/>
  <c r="I179" i="3" s="1"/>
  <c r="A179" i="3"/>
  <c r="O140" i="3" l="1"/>
  <c r="O139" i="3"/>
  <c r="F149" i="3"/>
  <c r="F120" i="3"/>
  <c r="M154" i="3" l="1"/>
  <c r="M155" i="3" s="1"/>
  <c r="H101" i="3"/>
  <c r="H100" i="3"/>
  <c r="F176" i="3"/>
  <c r="I176" i="3" s="1"/>
  <c r="F172" i="3"/>
  <c r="I172" i="3" s="1"/>
  <c r="F167" i="3"/>
  <c r="I167" i="3" s="1"/>
  <c r="F163" i="3"/>
  <c r="I163" i="3" s="1"/>
  <c r="F158" i="3"/>
  <c r="I158" i="3" s="1"/>
  <c r="F140" i="3"/>
  <c r="F177" i="3"/>
  <c r="I177" i="3" s="1"/>
  <c r="F173" i="3"/>
  <c r="I173" i="3" s="1"/>
  <c r="F171" i="3"/>
  <c r="I171" i="3" s="1"/>
  <c r="F170" i="3"/>
  <c r="I170" i="3" s="1"/>
  <c r="F168" i="3"/>
  <c r="I168" i="3" s="1"/>
  <c r="F166" i="3"/>
  <c r="I166" i="3" s="1"/>
  <c r="F165" i="3"/>
  <c r="I165" i="3" s="1"/>
  <c r="F164" i="3"/>
  <c r="I164" i="3" s="1"/>
  <c r="F162" i="3"/>
  <c r="I162" i="3" s="1"/>
  <c r="F161" i="3"/>
  <c r="F159" i="3"/>
  <c r="I159" i="3" s="1"/>
  <c r="F157" i="3"/>
  <c r="I157" i="3" s="1"/>
  <c r="F156" i="3"/>
  <c r="I156" i="3" s="1"/>
  <c r="F150" i="3"/>
  <c r="I150" i="3" s="1"/>
  <c r="I149" i="3"/>
  <c r="F148" i="3"/>
  <c r="I148" i="3" s="1"/>
  <c r="F147" i="3"/>
  <c r="I147" i="3" s="1"/>
  <c r="F141" i="3"/>
  <c r="I141" i="3" s="1"/>
  <c r="F139" i="3"/>
  <c r="I139" i="3" s="1"/>
  <c r="F138" i="3"/>
  <c r="F123" i="3"/>
  <c r="F122" i="3"/>
  <c r="F121" i="3"/>
  <c r="F119" i="3"/>
  <c r="F117" i="3"/>
  <c r="F116" i="3"/>
  <c r="M115" i="3"/>
  <c r="C171" i="3"/>
  <c r="C172" i="3" s="1"/>
  <c r="C173" i="3" s="1"/>
  <c r="C174" i="3" s="1"/>
  <c r="C175" i="3" s="1"/>
  <c r="C176" i="3" s="1"/>
  <c r="C177" i="3" s="1"/>
  <c r="A170" i="3"/>
  <c r="C162" i="3"/>
  <c r="C163" i="3" s="1"/>
  <c r="C164" i="3" s="1"/>
  <c r="C165" i="3" s="1"/>
  <c r="C166" i="3" s="1"/>
  <c r="C167" i="3" s="1"/>
  <c r="C168" i="3" s="1"/>
  <c r="I161" i="3"/>
  <c r="A161" i="3"/>
  <c r="C157" i="3"/>
  <c r="C158" i="3" s="1"/>
  <c r="C159" i="3" s="1"/>
  <c r="A152" i="3"/>
  <c r="C148" i="3"/>
  <c r="C149" i="3" s="1"/>
  <c r="C150" i="3" s="1"/>
  <c r="A143" i="3"/>
  <c r="K139" i="3"/>
  <c r="K138" i="3"/>
  <c r="C139" i="3"/>
  <c r="C140" i="3" s="1"/>
  <c r="C141" i="3" s="1"/>
  <c r="A134" i="3"/>
  <c r="H105" i="3" l="1"/>
  <c r="F105" i="3"/>
  <c r="I138" i="3"/>
  <c r="H106" i="3"/>
  <c r="F106" i="3"/>
  <c r="J139" i="3"/>
  <c r="I140" i="3"/>
  <c r="M139" i="3"/>
  <c r="I130" i="3"/>
  <c r="I129" i="3"/>
  <c r="I128" i="3"/>
  <c r="I127" i="3"/>
  <c r="I126" i="3"/>
  <c r="C128" i="3"/>
  <c r="C129" i="3" s="1"/>
  <c r="C130" i="3" s="1"/>
  <c r="C131" i="3" s="1"/>
  <c r="I125" i="3"/>
  <c r="A125" i="3"/>
  <c r="I123" i="3"/>
  <c r="I121" i="3"/>
  <c r="I122" i="3"/>
  <c r="I120" i="3"/>
  <c r="I118" i="3"/>
  <c r="I119" i="3"/>
  <c r="I117" i="3"/>
  <c r="I116" i="3"/>
  <c r="C117" i="3"/>
  <c r="C118" i="3" s="1"/>
  <c r="C119" i="3" s="1"/>
  <c r="C120" i="3" s="1"/>
  <c r="C121" i="3" s="1"/>
  <c r="C122" i="3" s="1"/>
  <c r="C123" i="3" s="1"/>
  <c r="A116" i="3"/>
  <c r="H109" i="3" l="1"/>
  <c r="I105" i="3"/>
  <c r="I106" i="3"/>
  <c r="F109" i="3"/>
  <c r="I109" i="3" l="1"/>
  <c r="I5" i="3"/>
  <c r="E309" i="3" l="1"/>
  <c r="E308" i="3"/>
  <c r="H102" i="3"/>
</calcChain>
</file>

<file path=xl/comments1.xml><?xml version="1.0" encoding="utf-8"?>
<comments xmlns="http://schemas.openxmlformats.org/spreadsheetml/2006/main">
  <authors>
    <author>SACHIN</author>
  </authors>
  <commentList>
    <comment ref="H7" authorId="0" shapeId="0">
      <text>
        <r>
          <rPr>
            <b/>
            <sz val="20"/>
            <color indexed="81"/>
            <rFont val="Tahoma"/>
            <family val="2"/>
          </rPr>
          <t>Rushil Sanghvi or Fahad</t>
        </r>
        <r>
          <rPr>
            <sz val="20"/>
            <color indexed="81"/>
            <rFont val="Tahoma"/>
            <family val="2"/>
          </rPr>
          <t xml:space="preserve">
</t>
        </r>
      </text>
    </comment>
    <comment ref="E10" authorId="0" shapeId="0">
      <text>
        <r>
          <rPr>
            <b/>
            <sz val="18"/>
            <color indexed="81"/>
            <rFont val="Tahoma"/>
            <family val="2"/>
          </rPr>
          <t>Initiation  Address</t>
        </r>
      </text>
    </comment>
    <comment ref="E11" authorId="0" shapeId="0">
      <text>
        <r>
          <rPr>
            <b/>
            <sz val="18"/>
            <color indexed="81"/>
            <rFont val="Tahoma"/>
            <family val="2"/>
          </rPr>
          <t>Plan Address</t>
        </r>
      </text>
    </comment>
    <comment ref="E12" authorId="0" shapeId="0">
      <text>
        <r>
          <rPr>
            <b/>
            <sz val="16"/>
            <color indexed="81"/>
            <rFont val="Tahoma"/>
            <family val="2"/>
          </rPr>
          <t>Map Address</t>
        </r>
      </text>
    </comment>
    <comment ref="H18" authorId="0" shapeId="0">
      <text>
        <r>
          <rPr>
            <b/>
            <sz val="18"/>
            <color indexed="81"/>
            <rFont val="Tahoma"/>
            <family val="2"/>
          </rPr>
          <t>From Rera</t>
        </r>
      </text>
    </comment>
    <comment ref="H21" authorId="0" shapeId="0">
      <text>
        <r>
          <rPr>
            <b/>
            <sz val="16"/>
            <color indexed="81"/>
            <rFont val="Tahoma"/>
            <family val="2"/>
          </rPr>
          <t>From RERA</t>
        </r>
      </text>
    </comment>
    <comment ref="H100" authorId="0" shapeId="0">
      <text>
        <r>
          <rPr>
            <b/>
            <sz val="16"/>
            <color indexed="81"/>
            <rFont val="Tahoma"/>
            <family val="2"/>
          </rPr>
          <t>Ready Recknor</t>
        </r>
      </text>
    </comment>
  </commentList>
</comments>
</file>

<file path=xl/sharedStrings.xml><?xml version="1.0" encoding="utf-8"?>
<sst xmlns="http://schemas.openxmlformats.org/spreadsheetml/2006/main" count="598" uniqueCount="284">
  <si>
    <t>Boundaries</t>
  </si>
  <si>
    <t>North</t>
  </si>
  <si>
    <t>East</t>
  </si>
  <si>
    <t>West</t>
  </si>
  <si>
    <t>:</t>
  </si>
  <si>
    <t>As per Actual at site</t>
  </si>
  <si>
    <t>South</t>
  </si>
  <si>
    <t>As per Documents</t>
  </si>
  <si>
    <t>As per Site / Actual</t>
  </si>
  <si>
    <t>Government Guideline/ Circle rate for Land (Rs per sqft)</t>
  </si>
  <si>
    <t>Authorized Signatory Name &amp; Signature</t>
  </si>
  <si>
    <t>Name of Valuation Agency</t>
  </si>
  <si>
    <t>Boundaries Matching</t>
  </si>
  <si>
    <t>If No, then reason thereon</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</si>
  <si>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</si>
  <si>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</si>
  <si>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</si>
  <si>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</si>
  <si>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</si>
  <si>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</si>
  <si>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</si>
  <si>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</si>
  <si>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</si>
  <si>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</si>
  <si>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</si>
  <si>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</si>
  <si>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</si>
  <si>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</si>
  <si>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</si>
  <si>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</si>
  <si>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</si>
  <si>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</si>
  <si>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</si>
  <si>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</si>
  <si>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</si>
  <si>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</si>
  <si>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</si>
  <si>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</si>
  <si>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</si>
  <si>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</si>
  <si>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</si>
  <si>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</si>
  <si>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</si>
  <si>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</si>
  <si>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</si>
  <si>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</si>
  <si>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</si>
  <si>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</si>
  <si>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</si>
  <si>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</si>
  <si>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</si>
  <si>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</si>
  <si>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</si>
  <si>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</si>
  <si>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</si>
  <si>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</si>
  <si>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</si>
  <si>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</si>
  <si>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</si>
  <si>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</si>
  <si>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If Mixed, No. of Commercial Units</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</si>
  <si>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</si>
  <si>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</si>
  <si>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</si>
  <si>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</si>
  <si>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</si>
  <si>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</si>
  <si>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</si>
  <si>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</si>
  <si>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</si>
  <si>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Construction Status</t>
  </si>
  <si>
    <t xml:space="preserve">Project Specific Remarks &amp; Observation </t>
  </si>
  <si>
    <t>Name of the Project</t>
  </si>
  <si>
    <t>Guideline Values</t>
  </si>
  <si>
    <t>PSF Rates &amp; Other Charges</t>
  </si>
  <si>
    <t>Measurement Unit of Area (Sq. Ft./Sq. Mt.)</t>
  </si>
  <si>
    <t>Corpus Amount</t>
  </si>
  <si>
    <t>Legal Charges</t>
  </si>
  <si>
    <t>Car Parking Charges</t>
  </si>
  <si>
    <t>Remarks / Observations</t>
  </si>
  <si>
    <t>Site &amp; Building/Tower Photographs</t>
  </si>
  <si>
    <t>Location Cum Root Map (Satelite View)</t>
  </si>
  <si>
    <t>Unit Details, Nomenclature and Area Details</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</si>
  <si>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</si>
  <si>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</si>
  <si>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</si>
  <si>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</si>
  <si>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</si>
  <si>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</si>
  <si>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</si>
  <si>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</si>
  <si>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</si>
  <si>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</si>
  <si>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</si>
  <si>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Developing</t>
  </si>
  <si>
    <t>Sale</t>
  </si>
  <si>
    <t>CC Details</t>
  </si>
  <si>
    <t>150000/-</t>
  </si>
  <si>
    <t>75000/-</t>
  </si>
  <si>
    <t>25000/-</t>
  </si>
  <si>
    <t>Flat/Shop No.</t>
  </si>
  <si>
    <t>Description</t>
  </si>
  <si>
    <t>Gross Carpet area</t>
  </si>
  <si>
    <t>Attached Terrace area</t>
  </si>
  <si>
    <t>Floor</t>
  </si>
  <si>
    <t>Godrej One, Vikhroli East, Mumbai</t>
  </si>
  <si>
    <t>Permissible Built up Area (In Sq.Mt)</t>
  </si>
  <si>
    <t>Proposed Built up Area (In Sq.Mt)</t>
  </si>
  <si>
    <t>Plot Area (In Sq.Mt)</t>
  </si>
  <si>
    <t>Entrance, Drop-off points, Central Breezeway, Open Party, Lawn, Zen Garden, Jogging Track, Pet Zone, Amphitheatre, Senior Citizen's Area, Reflexology pathway, Outdoor Activity Lawn, Chlorine-free infinity Pool, Chlorine-free Kid's Pool, Kids Play Area, Barbeque corner, Seating Promenade, Clubhouse, Cafe, Gym, Basketball Court, Futsal Court, Cricket pitch, Sunken Seating with Planters, Canopy covered Walkway, Spa, Reading Room, Yoga/Aerobics Room, Indoor games, Billiards Room.</t>
  </si>
  <si>
    <t>-</t>
  </si>
  <si>
    <t>Yes</t>
  </si>
  <si>
    <t xml:space="preserve">Bitumen </t>
  </si>
  <si>
    <t>III</t>
  </si>
  <si>
    <t>No</t>
  </si>
  <si>
    <t>Low</t>
  </si>
  <si>
    <t>None</t>
  </si>
  <si>
    <t>5,00,000/-</t>
  </si>
  <si>
    <t>PLC Charges</t>
  </si>
  <si>
    <t>215100/-</t>
  </si>
  <si>
    <t>Club House Charges</t>
  </si>
  <si>
    <t>Maintenance charges for 12 months Per Sq. Ft. (on Carpet area)</t>
  </si>
  <si>
    <t>75.07/-</t>
  </si>
  <si>
    <t>Township for 3 Year Per Sq. Ft. (on Carpet area)</t>
  </si>
  <si>
    <t>25.02/-</t>
  </si>
  <si>
    <t>Water &amp; Electricity Charges</t>
  </si>
  <si>
    <t>Gas Connection Charges</t>
  </si>
  <si>
    <t xml:space="preserve">GST </t>
  </si>
  <si>
    <t>Other Charges</t>
  </si>
  <si>
    <t>Ground</t>
  </si>
  <si>
    <t>Plinth</t>
  </si>
  <si>
    <t>:
:</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</si>
  <si>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</si>
  <si>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</si>
  <si>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</si>
  <si>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</si>
  <si>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</si>
  <si>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</si>
  <si>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</si>
  <si>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</si>
  <si>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</si>
  <si>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</si>
  <si>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</si>
  <si>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</si>
  <si>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</si>
  <si>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</si>
  <si>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</si>
  <si>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</si>
  <si>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</si>
  <si>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</si>
  <si>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</si>
  <si>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</si>
  <si>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</si>
  <si>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</si>
  <si>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</si>
  <si>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</si>
  <si>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</si>
  <si>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Saleable area
Loading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</si>
  <si>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</si>
  <si>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</si>
  <si>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</si>
  <si>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</si>
  <si>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</si>
  <si>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</si>
  <si>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</si>
  <si>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</si>
  <si>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</si>
  <si>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</si>
  <si>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</si>
  <si>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</si>
  <si>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</si>
  <si>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</si>
  <si>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</si>
  <si>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</si>
  <si>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</si>
  <si>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</si>
  <si>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</si>
  <si>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Total Saleable Area</t>
  </si>
  <si>
    <t>Total Carpet Area</t>
  </si>
  <si>
    <t>No. of Unit</t>
  </si>
  <si>
    <t>Building &amp; Wing</t>
  </si>
  <si>
    <t>Sale / Rehab</t>
  </si>
  <si>
    <t>Flats/ Shops/ Offices</t>
  </si>
  <si>
    <t>Rate of Flat Per Sq. Ft. 
(on Carpet area)</t>
  </si>
  <si>
    <t>Floor Rise Per Sq. Ft.
(on Carpet area)</t>
  </si>
  <si>
    <t>Date &amp; Time of Site Visit</t>
  </si>
  <si>
    <t>Residential + Commercial</t>
  </si>
  <si>
    <t>On Carpet area</t>
  </si>
  <si>
    <t>Location Link</t>
  </si>
  <si>
    <t>Ashford Crosstown</t>
  </si>
  <si>
    <t>Tower Name as per RERA Site</t>
  </si>
  <si>
    <t>Wmi Real Estate Developers LLP</t>
  </si>
  <si>
    <t>Opp Penninsula corporate park, Lower Parel</t>
  </si>
  <si>
    <t>Ashford Regal</t>
  </si>
  <si>
    <t>Ashford Crosstown, Bhandup Village Rd, Nahur, Industrial Area, Bhandup West, Mumbai, Maharashtra 400078</t>
  </si>
  <si>
    <t>Upper</t>
  </si>
  <si>
    <t>18ft</t>
  </si>
  <si>
    <t xml:space="preserve">Municipal Corporation Of Greater Mumbai (MCGM)
</t>
  </si>
  <si>
    <t>Ashford Regal, CTS No.358/11 to 25, near Skyline Sparkle, LBS Road, S Ward,
Bhandup, Bhandup West, Kurla, Mumbai - 400078.</t>
  </si>
  <si>
    <t>HDFC Bank
IFSC Code - HDFC0000501</t>
  </si>
  <si>
    <t>MTNL Telephone Exchange building</t>
  </si>
  <si>
    <t>Railway Track</t>
  </si>
  <si>
    <t>Open Plot</t>
  </si>
  <si>
    <t>Subhash Nagar Road</t>
  </si>
  <si>
    <t>About 0.55KM from GS Shetty International School</t>
  </si>
  <si>
    <t>About 1.5K form Fortis Hospital Mulund</t>
  </si>
  <si>
    <t>1 KM from Sadhana Castings</t>
  </si>
  <si>
    <t>1. Approx. 0.6KM from Ramesh Super Market
2. Approx. 2.8KM from Mulund Market.</t>
  </si>
  <si>
    <t>0.4KM from Nahur Railway Station
1.5KM from Bhandup Railway Station</t>
  </si>
  <si>
    <t>Propose Internal Road</t>
  </si>
  <si>
    <t>Shop</t>
  </si>
  <si>
    <t>2BHK</t>
  </si>
  <si>
    <t>1BHK</t>
  </si>
  <si>
    <t>Refuge Area</t>
  </si>
  <si>
    <t>Shops</t>
  </si>
  <si>
    <t>Flats</t>
  </si>
  <si>
    <t>Fire NOC Details</t>
  </si>
  <si>
    <t>13.40 M. Wide D.P Road</t>
  </si>
  <si>
    <t>Proposed Road</t>
  </si>
  <si>
    <t>Layout Plan</t>
  </si>
  <si>
    <t>22000/- to 23000/-</t>
  </si>
  <si>
    <t>Latitude, Longitude</t>
  </si>
  <si>
    <t>https://goo.gl/maps/kogUHYPcwhDc6ekL7</t>
  </si>
  <si>
    <t>6th, 7th, 9th to 14th, 16th to 21st &amp; 23rd to 28th Floor For Residential</t>
  </si>
  <si>
    <t>8th, 15th &amp; 22nd Floor (Part Refuge Area)</t>
  </si>
  <si>
    <t>Deck Area Added</t>
  </si>
  <si>
    <t>30th to 35th &amp; 37th to 39th Floor</t>
  </si>
  <si>
    <t>Wing A</t>
  </si>
  <si>
    <t>Parking</t>
  </si>
  <si>
    <t>Parking &amp; Meter Room</t>
  </si>
  <si>
    <t xml:space="preserve">Ashford Crosstown, CTS No.358/11 to 25, near Skyline Sparkle, LBS Road, S Ward, Bhandup, Bhandup West, Kurla, Mumbai - 400078.
</t>
  </si>
  <si>
    <t>19.152163,72.944139</t>
  </si>
  <si>
    <t>External Plaster</t>
  </si>
  <si>
    <t>External Plumbing, Elevation and Waterproofing</t>
  </si>
  <si>
    <t>Wooden Work</t>
  </si>
  <si>
    <t>Electrical &amp; Sanitary fittings</t>
  </si>
  <si>
    <t>Ashford Regal - Phase I - Wing A Project
Ashford Regal - Phase IV- Wing C Project</t>
  </si>
  <si>
    <t>(P51800047421)
Ashford Regal ­ Phase I ­ Wing A Project</t>
  </si>
  <si>
    <t>(PM1183032400064)
Ashford Regal - Phase IV- Wing C Project</t>
  </si>
  <si>
    <t xml:space="preserve">Wing A (P51800047421) 
Wing C (PM1183032400064) </t>
  </si>
  <si>
    <t>Wing A - 30/06/2027
Wing C - 30/06/2029</t>
  </si>
  <si>
    <t>Wing A (Oct 2022)
Wing C (Sep 2024)</t>
  </si>
  <si>
    <t>Wing A - 28/09/2022
Wing C - 08/10/2024</t>
  </si>
  <si>
    <t>Wing C</t>
  </si>
  <si>
    <t>P-9962/2022/(358/11)/S Ward/BHANDUP-W/337/4/Amend
Date: 10/10/2024</t>
  </si>
  <si>
    <t>Gr + P1 to P5 + 6th to 39th Floor</t>
  </si>
  <si>
    <t>Ground Floor For Commercial, Meter Room, Fire Control Room, Panel Room, Society Office &amp; Parking</t>
  </si>
  <si>
    <t>Ground Floor For Commercial, Meter Room Panel Room, Society Office &amp; Parking</t>
  </si>
  <si>
    <t>1st Podium Floor Commercial, Meter Room, LV Room, Panel Room &amp; Parking</t>
  </si>
  <si>
    <t>1A</t>
  </si>
  <si>
    <t>6A</t>
  </si>
  <si>
    <t>13A</t>
  </si>
  <si>
    <t>18A</t>
  </si>
  <si>
    <t>2nd Podium Floor For Residential, Part Parking &amp; Meter Room</t>
  </si>
  <si>
    <t>3rd &amp; 4th Podium Floor For Residential &amp; Part Parking</t>
  </si>
  <si>
    <t>3rd Podium Floor For Residential &amp; Part Parking</t>
  </si>
  <si>
    <t>5th Podium Floor</t>
  </si>
  <si>
    <t>36th Floor For Part Refuge Area</t>
  </si>
  <si>
    <t>29th Floor For Part Refuge Area</t>
  </si>
  <si>
    <t xml:space="preserve"> Internal Visit was not allowed</t>
  </si>
  <si>
    <t xml:space="preserve"> 4th Podium Floor</t>
  </si>
  <si>
    <t>8th, 15th &amp; 22nd Floor For Part Refuge Area</t>
  </si>
  <si>
    <t>Details of Residential &amp; Commercial in Building</t>
  </si>
  <si>
    <t>Total</t>
  </si>
  <si>
    <t>Wing A &amp; C</t>
  </si>
  <si>
    <t>Wing C = Gr + P1 to P5 + 6th to 39th Floor</t>
  </si>
  <si>
    <t>Shop = 32</t>
  </si>
  <si>
    <t>Flats = 558</t>
  </si>
  <si>
    <t>Flats = 558 &amp; Shop = 32</t>
  </si>
  <si>
    <t xml:space="preserve">SIA/MH/INFRA2/417596/2023
Date:06/06/2023
Valid upto : 
CTS No. 358/11 to 25
Proposed Builtup Area = 180106.83 Sq. Mt.
Wing A &amp; C = 1B + Gr + P1 to P5+ 6th to 39th Floor </t>
  </si>
  <si>
    <t>CC Revalidation Letter No.</t>
  </si>
  <si>
    <t xml:space="preserve">P-9962/2022/(358/11)/S Ward/BHANDUP-W/FCC/1/Amend
Date: 01/03/2024
Valid Up to: 27/09/2024
Valid upto : Full C.C. is granted up to top of 39th upper floor i.e. total height of 119.75 mt. AGL+ LMR &amp; OHT for Wing ‘A’ and Further C.C. is granted up to Top of 21st upper floor i.e. total height of 66.65 mt. AGL for Wing ‘B’ as per last approved amended plans dated. 21.11.2023 subject to timely renewal of B.G, SWM NOC, Workmen’s compensation policy and taking all sorts of precautions during construction and for air pollution.
</t>
  </si>
  <si>
    <t xml:space="preserve">Approved Layout &amp; Floor Plans, CC, RERA certificate, Fire Noc, EC &amp; CC Revalidation Letter </t>
  </si>
  <si>
    <t>P-9962/2022/(358/11)/SWard/BHANDUP-W/Other/6/New
Date: 06/09/2024
Valid upto :  C.C. is revalidated for the period from 28.09.2024 up to 27.09.2025 subject to timely renewal of B.G., SWM NOC and Workmen’s compensation policy as proposed.</t>
  </si>
  <si>
    <t>Wing A = Gr + P1 to P5 + 6th to 39th Floor</t>
  </si>
  <si>
    <t>P9962/2022(358/11)/S WARD/BHANDUP-W-CFO/1/NEW
Date: 31/07/2022
Valid Up to :-
Wing A &amp; C =  1B + Gr + P1 to P5+ 6th to 39th Floor (Total Height - 119.75 Mtrs)</t>
  </si>
  <si>
    <t xml:space="preserve">Mr. Suraj Khare
</t>
  </si>
  <si>
    <t>P-9962/2022/(358/11)/S Ward/BHANDUP-W/FCC/3/Amend
Date : 28/03/2025
Valid Up to: 27/03/2026
Valid Up to :C.C. re-endorsement up to ‘Top of Plinth’ for wings, ‘C’, ‘D’, ‘E’ ‘F’ and ‘G’ and to Full C.C. re-endorsement up to top of 39th upper floor + LMR &amp; OHT for wing ‘A’ &amp; ‘B’ and Full C.C. re-endorsement up to top of 21st upper floor + OHT/LMR for EWS Wing as per last approved amended plans dated 24.03.2025. (SWM NOC and Janta Insurance Policy shall be renewed time to time.)</t>
  </si>
  <si>
    <t>P-9962/2022/(358/11)/S Ward/BHANDUP-W/FCC/4/Amend
Date : 09/05/2025
Valid Up to: 27/09/2025
Valid Up to :Further C.C. is granted up to top of 26th upper floor level for wing ‘C’ and Full C.C. is granted up to top of 4th upper floor + LMR &amp; OHT for wing ‘F’ as per last approved amended plans dated 24.03 .2025, subject to timely renewal of B.G., SWM NOC, Workmen’s compensation policy and taking all sorts of precautions during construction along with precautionary measures for air pollution.</t>
  </si>
  <si>
    <t>05/08/2025.</t>
  </si>
  <si>
    <t>05/08/2025 @01:25 PM</t>
  </si>
  <si>
    <t>Mr. Rakesh 9092049887</t>
  </si>
  <si>
    <t>Mr. Nainesh Tambe</t>
  </si>
  <si>
    <t>1. Construction work is in process at the time of Visit.(Internal visit not allowed)
2. We considered  Saleable area as per our calculation.
3. We considered Carpet area as per Approved Plan.
4. We considered Gross carpet area = Net carpet + Deck Area.
5. We have considered proposed No. of Floor for Stage Calculation.
6. We have considered rate by verifying it from market inquire.
7. Car parking is subjected to authentic documentation.
8. We have updated Wing A (on 31/10/2024).
9. We have updated revised approved CC of wing A (on 06/08/2024).
10. We have added Wing C (on 31/10/2024).
11. We have updated approved EC (on 31/10/2024).
12. We have updated CC from MCGM site on 16/05/2025.
13. Please provide revised approved plans dtd. 24/03/2025.</t>
  </si>
</sst>
</file>

<file path=xl/styles.xml><?xml version="1.0" encoding="utf-8"?>
<styleSheet xmlns="http://schemas.openxmlformats.org/spreadsheetml/2006/main" xmlns:mc="http://schemas.openxmlformats.org/markup-compatibility/2006" xmlns:x14ac="http://schemas.microsoft.com/office/spreadsheetml/2009/9/ac" mc:Ignorable="x14ac">
  <fonts count="17"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20"/>
      <color indexed="81"/>
      <name val="Tahoma"/>
      <family val="2"/>
    </font>
    <font>
      <sz val="20"/>
      <color indexed="81"/>
      <name val="Tahoma"/>
      <family val="2"/>
    </font>
    <font>
      <u/>
      <sz val="11"/>
      <color theme="10"/>
      <name val="Calibri"/>
      <family val="2"/>
    </font>
    <font>
      <sz val="16"/>
      <color rgb="FFFF0000"/>
      <name val="Times New Roman"/>
      <family val="1"/>
    </font>
    <font>
      <u/>
      <sz val="12"/>
      <color theme="10"/>
      <name val="Calibri"/>
      <family val="2"/>
    </font>
    <font>
      <sz val="12"/>
      <name val="Times New Roman"/>
      <family val="1"/>
    </font>
  </fonts>
  <fills count="6">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rgb="FFFEF1E6"/>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1" fillId="0" borderId="0"/>
    <xf numFmtId="0" fontId="13" fillId="0" borderId="0" applyNumberFormat="0" applyFill="0" applyBorder="0" applyAlignment="0" applyProtection="0"/>
  </cellStyleXfs>
  <cellXfs count="202">
    <xf numFmtId="0" fontId="0" fillId="0" borderId="0" xfId="0"/>
    <xf numFmtId="0" fontId="3" fillId="0" borderId="0" xfId="0" applyFont="1" applyAlignment="1">
      <alignment vertical="top"/>
    </xf>
    <xf numFmtId="0" fontId="4" fillId="0" borderId="1" xfId="0" applyFont="1" applyBorder="1" applyAlignment="1">
      <alignment horizontal="center" vertical="top" wrapText="1"/>
    </xf>
    <xf numFmtId="0" fontId="4" fillId="0" borderId="1" xfId="0" applyFont="1" applyBorder="1" applyAlignment="1">
      <alignment vertical="top"/>
    </xf>
    <xf numFmtId="0" fontId="4" fillId="0" borderId="10" xfId="0" applyFont="1" applyBorder="1" applyAlignment="1">
      <alignment vertical="top" wrapText="1"/>
    </xf>
    <xf numFmtId="0" fontId="4" fillId="4" borderId="2" xfId="0" applyFont="1" applyFill="1" applyBorder="1" applyAlignment="1">
      <alignment vertical="top" wrapText="1"/>
    </xf>
    <xf numFmtId="0" fontId="4" fillId="0" borderId="5" xfId="0" applyFont="1" applyBorder="1" applyAlignment="1">
      <alignment vertical="top" wrapText="1"/>
    </xf>
    <xf numFmtId="0" fontId="4" fillId="0" borderId="8" xfId="0" applyFont="1" applyBorder="1" applyAlignment="1">
      <alignment horizontal="center" vertical="top" wrapText="1"/>
    </xf>
    <xf numFmtId="0" fontId="4" fillId="0" borderId="6" xfId="0" applyFont="1" applyBorder="1" applyAlignment="1">
      <alignment vertical="top" wrapText="1"/>
    </xf>
    <xf numFmtId="0" fontId="2" fillId="0" borderId="1" xfId="0" applyFont="1" applyBorder="1" applyAlignment="1">
      <alignment horizontal="center" vertical="top" wrapText="1"/>
    </xf>
    <xf numFmtId="0" fontId="3" fillId="3" borderId="0" xfId="0" applyFont="1" applyFill="1" applyAlignment="1">
      <alignment vertical="top"/>
    </xf>
    <xf numFmtId="0" fontId="4" fillId="0" borderId="1" xfId="0" applyFont="1" applyBorder="1" applyAlignment="1">
      <alignment horizontal="center" vertical="top"/>
    </xf>
    <xf numFmtId="0" fontId="2" fillId="0" borderId="1" xfId="0" applyFont="1" applyBorder="1" applyAlignment="1">
      <alignment vertical="top" wrapText="1"/>
    </xf>
    <xf numFmtId="0" fontId="3" fillId="0" borderId="0" xfId="0" applyFont="1" applyAlignment="1">
      <alignment horizontal="center" vertical="top"/>
    </xf>
    <xf numFmtId="0" fontId="4" fillId="4" borderId="1" xfId="0" applyFont="1" applyFill="1" applyBorder="1" applyAlignment="1">
      <alignment vertical="top"/>
    </xf>
    <xf numFmtId="0" fontId="4" fillId="0" borderId="6" xfId="0" applyFont="1" applyBorder="1" applyAlignment="1">
      <alignment horizontal="center" vertical="top" wrapText="1"/>
    </xf>
    <xf numFmtId="0" fontId="4" fillId="0" borderId="1" xfId="0" applyFont="1" applyBorder="1" applyAlignment="1">
      <alignment horizontal="left" vertical="top" wrapText="1"/>
    </xf>
    <xf numFmtId="0" fontId="4" fillId="4" borderId="1" xfId="0"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4" fillId="0" borderId="5" xfId="0" applyFont="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15" xfId="0" applyFont="1" applyFill="1" applyBorder="1" applyAlignment="1">
      <alignment horizontal="center" vertical="top" wrapText="1"/>
    </xf>
    <xf numFmtId="0" fontId="4" fillId="0" borderId="8" xfId="0" applyFont="1" applyBorder="1" applyAlignment="1">
      <alignment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2" xfId="0" applyFont="1" applyFill="1" applyBorder="1" applyAlignment="1">
      <alignment vertical="top" wrapText="1"/>
    </xf>
    <xf numFmtId="0" fontId="4" fillId="4" borderId="0" xfId="0" applyFont="1" applyFill="1" applyAlignment="1">
      <alignment vertical="top" wrapText="1"/>
    </xf>
    <xf numFmtId="0" fontId="4" fillId="4" borderId="14" xfId="0" applyFont="1" applyFill="1" applyBorder="1" applyAlignment="1">
      <alignment vertical="top" wrapText="1"/>
    </xf>
    <xf numFmtId="0" fontId="4" fillId="4" borderId="9" xfId="0" applyFont="1" applyFill="1" applyBorder="1" applyAlignment="1">
      <alignment vertical="top" wrapText="1"/>
    </xf>
    <xf numFmtId="1" fontId="5" fillId="0" borderId="6" xfId="1" applyNumberFormat="1" applyFont="1" applyBorder="1" applyAlignment="1">
      <alignment horizontal="center" vertical="top" wrapText="1"/>
    </xf>
    <xf numFmtId="9" fontId="5" fillId="0" borderId="8" xfId="1" applyNumberFormat="1" applyFont="1" applyBorder="1" applyAlignment="1">
      <alignment horizontal="center" vertical="center" wrapText="1"/>
    </xf>
    <xf numFmtId="0" fontId="3" fillId="0" borderId="16" xfId="1" applyFont="1" applyBorder="1" applyProtection="1">
      <protection hidden="1"/>
    </xf>
    <xf numFmtId="0" fontId="3" fillId="0" borderId="0" xfId="1" applyFont="1" applyProtection="1">
      <protection hidden="1"/>
    </xf>
    <xf numFmtId="0" fontId="3" fillId="0" borderId="17" xfId="1" applyFont="1" applyBorder="1" applyProtection="1">
      <protection hidden="1"/>
    </xf>
    <xf numFmtId="0" fontId="3" fillId="0" borderId="17" xfId="1" applyFont="1" applyBorder="1"/>
    <xf numFmtId="0" fontId="7" fillId="0" borderId="0" xfId="0" applyFont="1" applyProtection="1">
      <protection hidden="1"/>
    </xf>
    <xf numFmtId="9" fontId="7" fillId="0" borderId="0" xfId="0" applyNumberFormat="1" applyFont="1" applyProtection="1">
      <protection hidden="1"/>
    </xf>
    <xf numFmtId="0" fontId="7" fillId="0" borderId="18" xfId="0" applyFont="1" applyBorder="1" applyProtection="1">
      <protection hidden="1"/>
    </xf>
    <xf numFmtId="0" fontId="7" fillId="0" borderId="17" xfId="0" applyFont="1" applyBorder="1" applyProtection="1">
      <protection hidden="1"/>
    </xf>
    <xf numFmtId="1" fontId="8" fillId="0" borderId="17" xfId="0" applyNumberFormat="1" applyFont="1" applyBorder="1"/>
    <xf numFmtId="1" fontId="8" fillId="0" borderId="17" xfId="0" applyNumberFormat="1" applyFont="1" applyBorder="1" applyAlignment="1">
      <alignment horizontal="right"/>
    </xf>
    <xf numFmtId="1" fontId="8" fillId="0" borderId="19" xfId="0" applyNumberFormat="1" applyFont="1" applyBorder="1"/>
    <xf numFmtId="0" fontId="4" fillId="0" borderId="2" xfId="0" applyFont="1" applyBorder="1" applyAlignment="1">
      <alignment vertical="top" wrapText="1"/>
    </xf>
    <xf numFmtId="1" fontId="5" fillId="4" borderId="1" xfId="1" applyNumberFormat="1" applyFont="1" applyFill="1" applyBorder="1" applyAlignment="1">
      <alignment horizontal="center" vertical="top" wrapText="1"/>
    </xf>
    <xf numFmtId="1" fontId="6" fillId="4" borderId="1" xfId="1" applyNumberFormat="1" applyFont="1" applyFill="1" applyBorder="1" applyAlignment="1">
      <alignment horizontal="center" vertical="top" wrapText="1"/>
    </xf>
    <xf numFmtId="14" fontId="4" fillId="4" borderId="1" xfId="0" applyNumberFormat="1" applyFont="1" applyFill="1" applyBorder="1" applyAlignment="1">
      <alignment horizontal="left" vertical="top" wrapText="1"/>
    </xf>
    <xf numFmtId="0" fontId="4" fillId="4" borderId="1" xfId="0" applyFont="1" applyFill="1" applyBorder="1" applyAlignment="1">
      <alignment horizontal="center" vertical="center" wrapText="1"/>
    </xf>
    <xf numFmtId="0" fontId="4" fillId="0" borderId="6" xfId="0" applyFont="1" applyBorder="1" applyAlignment="1">
      <alignment horizontal="left" vertical="top" wrapText="1"/>
    </xf>
    <xf numFmtId="0" fontId="3" fillId="0" borderId="1" xfId="0" applyFont="1" applyBorder="1" applyAlignment="1">
      <alignment vertical="top" wrapText="1"/>
    </xf>
    <xf numFmtId="0" fontId="3" fillId="0" borderId="1" xfId="0" applyFont="1" applyBorder="1" applyAlignment="1">
      <alignment horizontal="center" vertical="top" wrapText="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1" fontId="6" fillId="4" borderId="5" xfId="1" applyNumberFormat="1" applyFont="1" applyFill="1" applyBorder="1" applyAlignment="1">
      <alignment horizontal="center" vertical="top" wrapText="1"/>
    </xf>
    <xf numFmtId="0" fontId="14" fillId="0" borderId="0" xfId="0" applyFont="1" applyAlignment="1">
      <alignment vertical="top"/>
    </xf>
    <xf numFmtId="1" fontId="4" fillId="4" borderId="1" xfId="1" applyNumberFormat="1" applyFont="1" applyFill="1" applyBorder="1" applyAlignment="1">
      <alignment horizontal="center" vertical="top" wrapText="1"/>
    </xf>
    <xf numFmtId="1" fontId="6" fillId="4" borderId="3" xfId="1" applyNumberFormat="1" applyFont="1" applyFill="1" applyBorder="1" applyAlignment="1">
      <alignment horizontal="center" vertical="top" wrapText="1"/>
    </xf>
    <xf numFmtId="1" fontId="2" fillId="4" borderId="1" xfId="1" applyNumberFormat="1" applyFont="1" applyFill="1" applyBorder="1" applyAlignment="1">
      <alignment horizontal="center" vertical="top" wrapText="1"/>
    </xf>
    <xf numFmtId="1" fontId="4" fillId="4" borderId="14" xfId="1" applyNumberFormat="1" applyFont="1" applyFill="1" applyBorder="1" applyAlignment="1">
      <alignment horizontal="center" vertical="center" wrapText="1"/>
    </xf>
    <xf numFmtId="1" fontId="4" fillId="4" borderId="9" xfId="1" applyNumberFormat="1" applyFont="1" applyFill="1" applyBorder="1" applyAlignment="1">
      <alignment horizontal="center" vertical="center" wrapText="1"/>
    </xf>
    <xf numFmtId="1" fontId="4" fillId="4" borderId="3" xfId="1" applyNumberFormat="1" applyFont="1" applyFill="1" applyBorder="1" applyAlignment="1">
      <alignment horizontal="center" vertical="top" wrapText="1"/>
    </xf>
    <xf numFmtId="1" fontId="2" fillId="4" borderId="1" xfId="1" applyNumberFormat="1" applyFont="1" applyFill="1" applyBorder="1" applyAlignment="1">
      <alignment horizontal="center" vertical="center" wrapText="1"/>
    </xf>
    <xf numFmtId="0" fontId="4" fillId="3" borderId="1" xfId="0" applyFont="1" applyFill="1" applyBorder="1" applyAlignment="1">
      <alignment horizontal="left" vertical="top" wrapText="1"/>
    </xf>
    <xf numFmtId="0" fontId="4" fillId="3" borderId="1" xfId="0" applyFont="1" applyFill="1" applyBorder="1" applyAlignment="1">
      <alignment horizontal="left" vertical="top"/>
    </xf>
    <xf numFmtId="14" fontId="3" fillId="0" borderId="0" xfId="0" applyNumberFormat="1" applyFont="1" applyAlignment="1">
      <alignment vertical="top"/>
    </xf>
    <xf numFmtId="9" fontId="4" fillId="4" borderId="1" xfId="1" applyNumberFormat="1" applyFont="1" applyFill="1" applyBorder="1" applyAlignment="1" applyProtection="1">
      <alignment horizontal="center" vertical="center" wrapText="1"/>
      <protection hidden="1"/>
    </xf>
    <xf numFmtId="0" fontId="4" fillId="0" borderId="1" xfId="0" applyFont="1" applyBorder="1" applyAlignment="1">
      <alignment horizontal="left" vertical="top" wrapText="1"/>
    </xf>
    <xf numFmtId="1" fontId="5" fillId="0" borderId="6" xfId="1" applyNumberFormat="1" applyFont="1" applyBorder="1" applyAlignment="1">
      <alignment horizontal="center" vertical="top" wrapText="1"/>
    </xf>
    <xf numFmtId="1" fontId="5" fillId="0" borderId="8" xfId="1" applyNumberFormat="1" applyFont="1" applyBorder="1" applyAlignment="1">
      <alignment horizontal="center" vertical="top" wrapText="1"/>
    </xf>
    <xf numFmtId="1" fontId="5" fillId="0" borderId="7" xfId="1" applyNumberFormat="1" applyFont="1" applyBorder="1" applyAlignment="1">
      <alignment horizontal="center" vertical="top" wrapText="1"/>
    </xf>
    <xf numFmtId="1" fontId="5" fillId="0" borderId="11" xfId="1" applyNumberFormat="1" applyFont="1" applyBorder="1" applyAlignment="1">
      <alignment horizontal="center" vertical="top" wrapText="1"/>
    </xf>
    <xf numFmtId="1" fontId="5" fillId="0" borderId="14" xfId="1" applyNumberFormat="1" applyFont="1" applyBorder="1" applyAlignment="1">
      <alignment horizontal="center" vertical="top" wrapText="1"/>
    </xf>
    <xf numFmtId="1" fontId="5" fillId="0" borderId="15" xfId="1" applyNumberFormat="1" applyFont="1" applyBorder="1" applyAlignment="1">
      <alignment horizontal="center" vertical="top" wrapText="1"/>
    </xf>
    <xf numFmtId="1" fontId="4" fillId="4" borderId="7" xfId="1" applyNumberFormat="1" applyFont="1" applyFill="1" applyBorder="1" applyAlignment="1">
      <alignment horizontal="center" vertical="center" wrapText="1"/>
    </xf>
    <xf numFmtId="1" fontId="4" fillId="4" borderId="11" xfId="1" applyNumberFormat="1" applyFont="1" applyFill="1" applyBorder="1" applyAlignment="1">
      <alignment horizontal="center" vertical="center" wrapText="1"/>
    </xf>
    <xf numFmtId="1" fontId="4" fillId="4" borderId="14" xfId="1" applyNumberFormat="1" applyFont="1" applyFill="1" applyBorder="1" applyAlignment="1">
      <alignment horizontal="center" vertical="center" wrapText="1"/>
    </xf>
    <xf numFmtId="1" fontId="4" fillId="4" borderId="15" xfId="1" applyNumberFormat="1" applyFont="1" applyFill="1" applyBorder="1" applyAlignment="1">
      <alignment horizontal="center" vertical="center" wrapText="1"/>
    </xf>
    <xf numFmtId="1" fontId="4" fillId="4" borderId="2" xfId="1" applyNumberFormat="1" applyFont="1" applyFill="1" applyBorder="1" applyAlignment="1">
      <alignment horizontal="center" vertical="top" wrapText="1"/>
    </xf>
    <xf numFmtId="1" fontId="4" fillId="4" borderId="5" xfId="1" applyNumberFormat="1" applyFont="1" applyFill="1" applyBorder="1" applyAlignment="1">
      <alignment horizontal="center"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1" fontId="2" fillId="4" borderId="2" xfId="1" applyNumberFormat="1" applyFont="1" applyFill="1" applyBorder="1" applyAlignment="1">
      <alignment horizontal="center" vertical="center" wrapText="1"/>
    </xf>
    <xf numFmtId="1" fontId="2" fillId="4" borderId="5" xfId="1" applyNumberFormat="1" applyFont="1" applyFill="1" applyBorder="1" applyAlignment="1">
      <alignment horizontal="center" vertical="center" wrapText="1"/>
    </xf>
    <xf numFmtId="1" fontId="2" fillId="4" borderId="3" xfId="1" applyNumberFormat="1" applyFont="1" applyFill="1" applyBorder="1" applyAlignment="1">
      <alignment horizontal="center" vertical="center" wrapText="1"/>
    </xf>
    <xf numFmtId="0" fontId="4" fillId="4" borderId="2" xfId="0" applyFont="1" applyFill="1" applyBorder="1" applyAlignment="1">
      <alignment horizontal="left" vertical="top" wrapText="1"/>
    </xf>
    <xf numFmtId="0" fontId="4" fillId="4" borderId="5" xfId="0" applyFont="1" applyFill="1" applyBorder="1" applyAlignment="1">
      <alignment horizontal="left" vertical="top" wrapText="1"/>
    </xf>
    <xf numFmtId="1" fontId="2" fillId="4" borderId="2" xfId="1" applyNumberFormat="1" applyFont="1" applyFill="1" applyBorder="1" applyAlignment="1">
      <alignment horizontal="center" vertical="top" wrapText="1"/>
    </xf>
    <xf numFmtId="1" fontId="2" fillId="4" borderId="5" xfId="1" applyNumberFormat="1" applyFont="1" applyFill="1" applyBorder="1" applyAlignment="1">
      <alignment horizontal="center" vertical="top" wrapText="1"/>
    </xf>
    <xf numFmtId="0" fontId="2" fillId="0" borderId="14" xfId="0" applyFont="1" applyBorder="1" applyAlignment="1">
      <alignment horizontal="center" vertical="center" wrapText="1"/>
    </xf>
    <xf numFmtId="0" fontId="2" fillId="0" borderId="9" xfId="0" applyFont="1" applyBorder="1" applyAlignment="1">
      <alignment horizontal="center" vertical="center" wrapText="1"/>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6" fillId="4" borderId="7" xfId="1" applyNumberFormat="1" applyFont="1" applyFill="1" applyBorder="1" applyAlignment="1">
      <alignment horizontal="center" vertical="center" wrapText="1"/>
    </xf>
    <xf numFmtId="1" fontId="6" fillId="4" borderId="4" xfId="1" applyNumberFormat="1" applyFont="1" applyFill="1" applyBorder="1" applyAlignment="1">
      <alignment horizontal="center" vertical="center" wrapText="1"/>
    </xf>
    <xf numFmtId="1" fontId="6" fillId="4" borderId="12" xfId="1" applyNumberFormat="1" applyFont="1" applyFill="1" applyBorder="1" applyAlignment="1">
      <alignment horizontal="center" vertical="center" wrapText="1"/>
    </xf>
    <xf numFmtId="1" fontId="6" fillId="4" borderId="0" xfId="1" applyNumberFormat="1" applyFont="1" applyFill="1" applyAlignment="1">
      <alignment horizontal="center" vertical="center" wrapText="1"/>
    </xf>
    <xf numFmtId="1" fontId="6" fillId="4" borderId="14" xfId="1" applyNumberFormat="1" applyFont="1" applyFill="1" applyBorder="1" applyAlignment="1">
      <alignment horizontal="center" vertical="center" wrapText="1"/>
    </xf>
    <xf numFmtId="1" fontId="6" fillId="4" borderId="9" xfId="1" applyNumberFormat="1" applyFont="1" applyFill="1" applyBorder="1" applyAlignment="1">
      <alignment horizontal="center" vertical="center" wrapText="1"/>
    </xf>
    <xf numFmtId="1" fontId="6" fillId="4" borderId="3" xfId="1" applyNumberFormat="1" applyFont="1" applyFill="1" applyBorder="1" applyAlignment="1">
      <alignment horizontal="center" vertical="center" wrapText="1"/>
    </xf>
    <xf numFmtId="1" fontId="5" fillId="5" borderId="2" xfId="1" applyNumberFormat="1" applyFont="1" applyFill="1" applyBorder="1" applyAlignment="1">
      <alignment horizontal="center" vertical="center" wrapText="1"/>
    </xf>
    <xf numFmtId="1" fontId="5" fillId="5" borderId="3" xfId="1" applyNumberFormat="1" applyFont="1" applyFill="1" applyBorder="1" applyAlignment="1">
      <alignment horizontal="center" vertical="center" wrapText="1"/>
    </xf>
    <xf numFmtId="1" fontId="5" fillId="5" borderId="15" xfId="1" applyNumberFormat="1" applyFont="1" applyFill="1" applyBorder="1" applyAlignment="1">
      <alignment horizontal="center" vertical="center" wrapText="1"/>
    </xf>
    <xf numFmtId="1" fontId="6" fillId="4" borderId="11" xfId="1" applyNumberFormat="1" applyFont="1" applyFill="1" applyBorder="1" applyAlignment="1">
      <alignment horizontal="center" vertical="center" wrapText="1"/>
    </xf>
    <xf numFmtId="1" fontId="6" fillId="4" borderId="13" xfId="1" applyNumberFormat="1" applyFont="1" applyFill="1" applyBorder="1" applyAlignment="1">
      <alignment horizontal="center" vertical="center" wrapText="1"/>
    </xf>
    <xf numFmtId="1" fontId="6" fillId="4" borderId="15"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1" fontId="5" fillId="4" borderId="15" xfId="1" applyNumberFormat="1" applyFont="1" applyFill="1" applyBorder="1" applyAlignment="1">
      <alignment horizontal="center" vertical="center" wrapText="1"/>
    </xf>
    <xf numFmtId="1" fontId="2" fillId="4" borderId="15" xfId="1" applyNumberFormat="1" applyFont="1" applyFill="1" applyBorder="1" applyAlignment="1">
      <alignment horizontal="center" vertical="center" wrapText="1"/>
    </xf>
    <xf numFmtId="1" fontId="4" fillId="4" borderId="2" xfId="1" applyNumberFormat="1" applyFont="1" applyFill="1" applyBorder="1" applyAlignment="1">
      <alignment horizontal="center" vertical="center" wrapText="1"/>
    </xf>
    <xf numFmtId="1" fontId="4" fillId="4" borderId="5" xfId="1" applyNumberFormat="1" applyFont="1" applyFill="1" applyBorder="1" applyAlignment="1">
      <alignment horizontal="center" vertical="center" wrapText="1"/>
    </xf>
    <xf numFmtId="0" fontId="4" fillId="4" borderId="1" xfId="0" applyFont="1" applyFill="1" applyBorder="1" applyAlignment="1">
      <alignment horizontal="left" vertical="top" wrapText="1"/>
    </xf>
    <xf numFmtId="1"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2" fillId="2" borderId="1" xfId="0" applyFont="1" applyFill="1" applyBorder="1" applyAlignment="1">
      <alignment horizontal="center" vertical="top"/>
    </xf>
    <xf numFmtId="0" fontId="4" fillId="2" borderId="2" xfId="0" applyFont="1" applyFill="1" applyBorder="1" applyAlignment="1">
      <alignment horizontal="center" vertical="top"/>
    </xf>
    <xf numFmtId="0" fontId="4" fillId="2" borderId="5" xfId="0" applyFont="1" applyFill="1" applyBorder="1" applyAlignment="1">
      <alignment horizontal="center" vertical="top"/>
    </xf>
    <xf numFmtId="0" fontId="4" fillId="4" borderId="3" xfId="0" applyFont="1" applyFill="1" applyBorder="1" applyAlignment="1">
      <alignment horizontal="left" vertical="top" wrapText="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0" fontId="4" fillId="0" borderId="5" xfId="0" applyFont="1" applyBorder="1" applyAlignment="1">
      <alignment horizontal="left" vertical="top" wrapText="1"/>
    </xf>
    <xf numFmtId="0" fontId="2" fillId="0" borderId="3" xfId="0" applyFont="1" applyBorder="1" applyAlignment="1">
      <alignment horizontal="center" vertical="top" wrapText="1"/>
    </xf>
    <xf numFmtId="17" fontId="4" fillId="4" borderId="2" xfId="0" applyNumberFormat="1" applyFont="1" applyFill="1" applyBorder="1" applyAlignment="1">
      <alignment horizontal="left" vertical="top" wrapText="1"/>
    </xf>
    <xf numFmtId="14" fontId="4" fillId="4" borderId="2" xfId="0" applyNumberFormat="1" applyFont="1" applyFill="1" applyBorder="1" applyAlignment="1">
      <alignment horizontal="left" vertical="top" wrapText="1"/>
    </xf>
    <xf numFmtId="14" fontId="4" fillId="4" borderId="5" xfId="0" applyNumberFormat="1" applyFont="1" applyFill="1" applyBorder="1" applyAlignment="1">
      <alignment horizontal="left" vertical="top" wrapText="1"/>
    </xf>
    <xf numFmtId="0" fontId="3" fillId="4" borderId="1" xfId="0" applyFont="1" applyFill="1" applyBorder="1" applyAlignment="1">
      <alignment horizontal="left" vertical="top" wrapText="1"/>
    </xf>
    <xf numFmtId="0" fontId="4" fillId="4" borderId="2" xfId="0" applyFont="1" applyFill="1" applyBorder="1" applyAlignment="1">
      <alignment horizontal="center" vertical="center" wrapText="1"/>
    </xf>
    <xf numFmtId="0" fontId="4" fillId="4" borderId="5" xfId="0" applyFont="1" applyFill="1" applyBorder="1" applyAlignment="1">
      <alignment horizontal="center" vertical="center" wrapText="1"/>
    </xf>
    <xf numFmtId="0" fontId="3" fillId="4" borderId="7" xfId="0" applyFont="1" applyFill="1" applyBorder="1" applyAlignment="1">
      <alignment horizontal="left" vertical="top" wrapText="1"/>
    </xf>
    <xf numFmtId="0" fontId="3" fillId="4" borderId="4" xfId="0" applyFont="1" applyFill="1" applyBorder="1" applyAlignment="1">
      <alignment horizontal="left" vertical="top" wrapText="1"/>
    </xf>
    <xf numFmtId="0" fontId="3" fillId="4" borderId="11" xfId="0" applyFont="1" applyFill="1" applyBorder="1" applyAlignment="1">
      <alignment horizontal="left" vertical="top" wrapText="1"/>
    </xf>
    <xf numFmtId="0" fontId="15" fillId="4" borderId="2" xfId="2" applyFont="1" applyFill="1" applyBorder="1" applyAlignment="1">
      <alignment horizontal="left" vertical="top" wrapText="1"/>
    </xf>
    <xf numFmtId="0" fontId="16" fillId="4" borderId="3" xfId="0" applyFont="1" applyFill="1" applyBorder="1" applyAlignment="1">
      <alignment horizontal="left" vertical="top" wrapText="1"/>
    </xf>
    <xf numFmtId="0" fontId="2" fillId="0" borderId="1" xfId="0" applyFont="1" applyBorder="1" applyAlignment="1">
      <alignment horizontal="left" vertical="top" wrapText="1"/>
    </xf>
    <xf numFmtId="0" fontId="4" fillId="4" borderId="1" xfId="0" applyFont="1" applyFill="1" applyBorder="1" applyAlignment="1">
      <alignment horizontal="center" vertical="top" wrapText="1"/>
    </xf>
    <xf numFmtId="0" fontId="2" fillId="2" borderId="1" xfId="0" applyFont="1" applyFill="1" applyBorder="1" applyAlignment="1">
      <alignment horizontal="left" vertical="top"/>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0" xfId="0" applyFont="1" applyAlignment="1">
      <alignment horizontal="left" vertical="top" wrapText="1"/>
    </xf>
    <xf numFmtId="0" fontId="4" fillId="0" borderId="13" xfId="0" applyFont="1" applyBorder="1" applyAlignment="1">
      <alignment horizontal="left" vertical="top" wrapText="1"/>
    </xf>
    <xf numFmtId="0" fontId="4" fillId="0" borderId="14" xfId="0" applyFont="1" applyBorder="1" applyAlignment="1">
      <alignment horizontal="left" vertical="top" wrapText="1"/>
    </xf>
    <xf numFmtId="0" fontId="4" fillId="0" borderId="9" xfId="0" applyFont="1" applyBorder="1" applyAlignment="1">
      <alignment horizontal="left" vertical="top" wrapText="1"/>
    </xf>
    <xf numFmtId="0" fontId="4" fillId="0" borderId="15" xfId="0" applyFont="1" applyBorder="1" applyAlignment="1">
      <alignment horizontal="left"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0" borderId="6" xfId="0" applyFont="1" applyBorder="1" applyAlignment="1">
      <alignment horizontal="left"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11" xfId="0" applyFont="1" applyFill="1" applyBorder="1" applyAlignment="1">
      <alignment horizontal="center" vertical="top" wrapText="1"/>
    </xf>
    <xf numFmtId="2" fontId="4" fillId="4" borderId="1" xfId="0" applyNumberFormat="1" applyFont="1" applyFill="1" applyBorder="1" applyAlignment="1">
      <alignment horizontal="left" vertical="top" wrapText="1"/>
    </xf>
    <xf numFmtId="0" fontId="4" fillId="0" borderId="8" xfId="0" applyFont="1" applyBorder="1" applyAlignment="1">
      <alignment vertical="top" wrapText="1"/>
    </xf>
    <xf numFmtId="0" fontId="4" fillId="4" borderId="8" xfId="0" applyFont="1" applyFill="1" applyBorder="1" applyAlignment="1">
      <alignment horizontal="left"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4" fillId="4" borderId="7" xfId="0" applyFont="1" applyFill="1" applyBorder="1" applyAlignment="1">
      <alignment horizontal="left" vertical="top" wrapText="1"/>
    </xf>
    <xf numFmtId="0" fontId="4" fillId="4" borderId="4" xfId="0" applyFont="1" applyFill="1" applyBorder="1" applyAlignment="1">
      <alignment horizontal="left" vertical="top" wrapText="1"/>
    </xf>
    <xf numFmtId="0" fontId="4" fillId="4" borderId="11" xfId="0" applyFont="1" applyFill="1" applyBorder="1" applyAlignment="1">
      <alignment horizontal="left" vertical="top" wrapText="1"/>
    </xf>
    <xf numFmtId="0" fontId="2" fillId="0" borderId="1" xfId="0" applyFont="1" applyBorder="1" applyAlignment="1">
      <alignment horizontal="center" vertical="top" wrapText="1"/>
    </xf>
    <xf numFmtId="0" fontId="2" fillId="4" borderId="2" xfId="0" applyFont="1" applyFill="1" applyBorder="1" applyAlignment="1">
      <alignment horizontal="left" vertical="top" wrapText="1"/>
    </xf>
    <xf numFmtId="0" fontId="2" fillId="4" borderId="3" xfId="0" applyFont="1" applyFill="1" applyBorder="1" applyAlignment="1">
      <alignment horizontal="left" vertical="top" wrapText="1"/>
    </xf>
    <xf numFmtId="0" fontId="2" fillId="2" borderId="8" xfId="0" applyFont="1" applyFill="1" applyBorder="1" applyAlignment="1">
      <alignment horizontal="center" vertical="top"/>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5" xfId="0" applyFont="1" applyFill="1" applyBorder="1" applyAlignment="1">
      <alignment horizontal="center" vertical="top" wrapText="1"/>
    </xf>
    <xf numFmtId="0" fontId="4" fillId="0" borderId="1" xfId="0" applyFont="1" applyBorder="1" applyAlignment="1">
      <alignment horizontal="center" vertical="top" wrapText="1"/>
    </xf>
    <xf numFmtId="0" fontId="4" fillId="4" borderId="1" xfId="0" applyFont="1" applyFill="1" applyBorder="1" applyAlignment="1">
      <alignment horizontal="left" vertical="top"/>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0" fontId="4" fillId="0" borderId="1" xfId="0" applyFont="1" applyBorder="1" applyAlignment="1">
      <alignment horizontal="left" vertical="top"/>
    </xf>
    <xf numFmtId="9" fontId="2" fillId="4" borderId="14" xfId="1" applyNumberFormat="1" applyFont="1" applyFill="1" applyBorder="1" applyAlignment="1" applyProtection="1">
      <alignment horizontal="center" vertical="center" wrapText="1"/>
      <protection hidden="1"/>
    </xf>
    <xf numFmtId="9" fontId="2" fillId="4" borderId="15" xfId="1" applyNumberFormat="1" applyFont="1" applyFill="1" applyBorder="1" applyAlignment="1" applyProtection="1">
      <alignment horizontal="center" vertical="center" wrapText="1"/>
      <protection hidden="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0" fontId="4" fillId="3" borderId="1" xfId="0" applyFont="1" applyFill="1" applyBorder="1" applyAlignment="1">
      <alignment horizontal="left" vertical="top" wrapText="1"/>
    </xf>
    <xf numFmtId="0" fontId="4" fillId="3" borderId="2" xfId="0" applyFont="1" applyFill="1" applyBorder="1" applyAlignment="1">
      <alignment horizontal="left" vertical="top"/>
    </xf>
    <xf numFmtId="0" fontId="4" fillId="3" borderId="5" xfId="0" applyFont="1" applyFill="1" applyBorder="1" applyAlignment="1">
      <alignment horizontal="left" vertical="top"/>
    </xf>
    <xf numFmtId="14" fontId="4" fillId="4" borderId="6" xfId="0" applyNumberFormat="1" applyFont="1" applyFill="1" applyBorder="1" applyAlignment="1">
      <alignment horizontal="left" vertical="top" wrapText="1"/>
    </xf>
    <xf numFmtId="14" fontId="4" fillId="4" borderId="8" xfId="0" applyNumberFormat="1" applyFont="1" applyFill="1" applyBorder="1" applyAlignment="1">
      <alignment horizontal="left" vertical="top" wrapText="1"/>
    </xf>
    <xf numFmtId="14" fontId="4" fillId="4" borderId="7" xfId="0" applyNumberFormat="1" applyFont="1" applyFill="1" applyBorder="1" applyAlignment="1">
      <alignment horizontal="left" vertical="top" wrapText="1"/>
    </xf>
    <xf numFmtId="1" fontId="6" fillId="5" borderId="7" xfId="1" applyNumberFormat="1" applyFont="1" applyFill="1" applyBorder="1" applyAlignment="1">
      <alignment horizontal="center" vertical="center" wrapText="1"/>
    </xf>
    <xf numFmtId="1" fontId="6" fillId="5" borderId="11" xfId="1" applyNumberFormat="1" applyFont="1" applyFill="1" applyBorder="1" applyAlignment="1">
      <alignment horizontal="center" vertical="center" wrapText="1"/>
    </xf>
    <xf numFmtId="1" fontId="6" fillId="5" borderId="12" xfId="1" applyNumberFormat="1" applyFont="1" applyFill="1" applyBorder="1" applyAlignment="1">
      <alignment horizontal="center" vertical="center" wrapText="1"/>
    </xf>
    <xf numFmtId="1" fontId="6" fillId="5" borderId="13" xfId="1" applyNumberFormat="1" applyFont="1" applyFill="1" applyBorder="1" applyAlignment="1">
      <alignment horizontal="center" vertical="center" wrapText="1"/>
    </xf>
    <xf numFmtId="1" fontId="6" fillId="5" borderId="14" xfId="1" applyNumberFormat="1" applyFont="1" applyFill="1" applyBorder="1" applyAlignment="1">
      <alignment horizontal="center" vertical="center" wrapText="1"/>
    </xf>
    <xf numFmtId="1" fontId="6" fillId="5" borderId="15" xfId="1" applyNumberFormat="1" applyFont="1" applyFill="1" applyBorder="1" applyAlignment="1">
      <alignment horizontal="center" vertical="center" wrapText="1"/>
    </xf>
  </cellXfs>
  <cellStyles count="3">
    <cellStyle name="Hyperlink" xfId="2" builtinId="8"/>
    <cellStyle name="Normal" xfId="0" builtinId="0"/>
    <cellStyle name="Normal 3" xfId="1"/>
  </cellStyles>
  <dxfs count="0"/>
  <tableStyles count="0" defaultTableStyle="TableStyleMedium9" defaultPivotStyle="PivotStyleLight16"/>
  <colors>
    <mruColors>
      <color rgb="FFFEF1E6"/>
      <color rgb="FF0C10B4"/>
      <color rgb="FFFCF56A"/>
      <color rgb="FFFFFFFF"/>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9</xdr:col>
      <xdr:colOff>781356</xdr:colOff>
      <xdr:row>88</xdr:row>
      <xdr:rowOff>230230</xdr:rowOff>
    </xdr:from>
    <xdr:to>
      <xdr:col>19</xdr:col>
      <xdr:colOff>435793</xdr:colOff>
      <xdr:row>106</xdr:row>
      <xdr:rowOff>204005</xdr:rowOff>
    </xdr:to>
    <xdr:pic>
      <xdr:nvPicPr>
        <xdr:cNvPr id="2" name="Picture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202827" y="40156789"/>
          <a:ext cx="8361407" cy="4433716"/>
        </a:xfrm>
        <a:prstGeom prst="rect">
          <a:avLst/>
        </a:prstGeom>
      </xdr:spPr>
    </xdr:pic>
    <xdr:clientData/>
  </xdr:twoCellAnchor>
  <xdr:twoCellAnchor editAs="oneCell">
    <xdr:from>
      <xdr:col>2</xdr:col>
      <xdr:colOff>491340</xdr:colOff>
      <xdr:row>403</xdr:row>
      <xdr:rowOff>149678</xdr:rowOff>
    </xdr:from>
    <xdr:to>
      <xdr:col>5</xdr:col>
      <xdr:colOff>1796143</xdr:colOff>
      <xdr:row>418</xdr:row>
      <xdr:rowOff>151763</xdr:rowOff>
    </xdr:to>
    <xdr:pic>
      <xdr:nvPicPr>
        <xdr:cNvPr id="15" name="Picture 14">
          <a:extLst>
            <a:ext uri="{FF2B5EF4-FFF2-40B4-BE49-F238E27FC236}">
              <a16:creationId xmlns="" xmlns:a16="http://schemas.microsoft.com/office/drawing/2014/main" id="{00000000-0008-0000-0000-00000F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2682090" y="119783678"/>
          <a:ext cx="4366410" cy="3063691"/>
        </a:xfrm>
        <a:prstGeom prst="rect">
          <a:avLst/>
        </a:prstGeom>
        <a:ln>
          <a:solidFill>
            <a:schemeClr val="tx1"/>
          </a:solidFill>
        </a:ln>
      </xdr:spPr>
    </xdr:pic>
    <xdr:clientData/>
  </xdr:twoCellAnchor>
  <xdr:twoCellAnchor>
    <xdr:from>
      <xdr:col>0</xdr:col>
      <xdr:colOff>1755322</xdr:colOff>
      <xdr:row>419</xdr:row>
      <xdr:rowOff>68036</xdr:rowOff>
    </xdr:from>
    <xdr:to>
      <xdr:col>7</xdr:col>
      <xdr:colOff>884464</xdr:colOff>
      <xdr:row>442</xdr:row>
      <xdr:rowOff>149678</xdr:rowOff>
    </xdr:to>
    <xdr:grpSp>
      <xdr:nvGrpSpPr>
        <xdr:cNvPr id="29" name="Group 28">
          <a:extLst>
            <a:ext uri="{FF2B5EF4-FFF2-40B4-BE49-F238E27FC236}">
              <a16:creationId xmlns="" xmlns:a16="http://schemas.microsoft.com/office/drawing/2014/main" id="{00000000-0008-0000-0000-00001D000000}"/>
            </a:ext>
          </a:extLst>
        </xdr:cNvPr>
        <xdr:cNvGrpSpPr/>
      </xdr:nvGrpSpPr>
      <xdr:grpSpPr>
        <a:xfrm>
          <a:off x="1755322" y="123403179"/>
          <a:ext cx="6286499" cy="4776106"/>
          <a:chOff x="1478882" y="95348181"/>
          <a:chExt cx="8300357" cy="7324968"/>
        </a:xfrm>
      </xdr:grpSpPr>
      <xdr:grpSp>
        <xdr:nvGrpSpPr>
          <xdr:cNvPr id="13" name="Group 12">
            <a:extLst>
              <a:ext uri="{FF2B5EF4-FFF2-40B4-BE49-F238E27FC236}">
                <a16:creationId xmlns="" xmlns:a16="http://schemas.microsoft.com/office/drawing/2014/main" id="{00000000-0008-0000-0000-00000D000000}"/>
              </a:ext>
            </a:extLst>
          </xdr:cNvPr>
          <xdr:cNvGrpSpPr/>
        </xdr:nvGrpSpPr>
        <xdr:grpSpPr>
          <a:xfrm>
            <a:off x="1478882" y="95348181"/>
            <a:ext cx="8300357" cy="7324968"/>
            <a:chOff x="1261168" y="95334574"/>
            <a:chExt cx="8300357" cy="7324968"/>
          </a:xfrm>
        </xdr:grpSpPr>
        <xdr:pic>
          <xdr:nvPicPr>
            <xdr:cNvPr id="21" name="Picture 20">
              <a:extLst>
                <a:ext uri="{FF2B5EF4-FFF2-40B4-BE49-F238E27FC236}">
                  <a16:creationId xmlns="" xmlns:a16="http://schemas.microsoft.com/office/drawing/2014/main" id="{00000000-0008-0000-0000-000015000000}"/>
                </a:ext>
              </a:extLst>
            </xdr:cNvPr>
            <xdr:cNvPicPr>
              <a:picLocks noChangeAspect="1"/>
            </xdr:cNvPicPr>
          </xdr:nvPicPr>
          <xdr:blipFill rotWithShape="1">
            <a:blip xmlns:r="http://schemas.openxmlformats.org/officeDocument/2006/relationships" r:embed="rId3"/>
            <a:srcRect l="4196" t="4658" r="19712" b="1977"/>
            <a:stretch/>
          </xdr:blipFill>
          <xdr:spPr>
            <a:xfrm>
              <a:off x="1261168" y="95334574"/>
              <a:ext cx="8300357" cy="7324968"/>
            </a:xfrm>
            <a:prstGeom prst="rect">
              <a:avLst/>
            </a:prstGeom>
            <a:ln>
              <a:solidFill>
                <a:schemeClr val="tx1"/>
              </a:solidFill>
            </a:ln>
          </xdr:spPr>
        </xdr:pic>
        <xdr:sp macro="" textlink="">
          <xdr:nvSpPr>
            <xdr:cNvPr id="12" name="Rectangle 11">
              <a:extLst>
                <a:ext uri="{FF2B5EF4-FFF2-40B4-BE49-F238E27FC236}">
                  <a16:creationId xmlns="" xmlns:a16="http://schemas.microsoft.com/office/drawing/2014/main" id="{00000000-0008-0000-0000-00000C000000}"/>
                </a:ext>
              </a:extLst>
            </xdr:cNvPr>
            <xdr:cNvSpPr/>
          </xdr:nvSpPr>
          <xdr:spPr>
            <a:xfrm>
              <a:off x="4068536" y="98733429"/>
              <a:ext cx="802822" cy="1224642"/>
            </a:xfrm>
            <a:prstGeom prst="rect">
              <a:avLst/>
            </a:prstGeom>
            <a:noFill/>
            <a:ln w="762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solidFill>
                  <a:srgbClr val="FCF56A"/>
                </a:solidFill>
              </a:endParaRPr>
            </a:p>
          </xdr:txBody>
        </xdr:sp>
        <xdr:sp macro="" textlink="">
          <xdr:nvSpPr>
            <xdr:cNvPr id="22" name="Rectangle 21">
              <a:extLst>
                <a:ext uri="{FF2B5EF4-FFF2-40B4-BE49-F238E27FC236}">
                  <a16:creationId xmlns="" xmlns:a16="http://schemas.microsoft.com/office/drawing/2014/main" id="{00000000-0008-0000-0000-000016000000}"/>
                </a:ext>
              </a:extLst>
            </xdr:cNvPr>
            <xdr:cNvSpPr/>
          </xdr:nvSpPr>
          <xdr:spPr>
            <a:xfrm rot="5400000">
              <a:off x="4272644" y="96916877"/>
              <a:ext cx="714373" cy="1108983"/>
            </a:xfrm>
            <a:prstGeom prst="rect">
              <a:avLst/>
            </a:prstGeom>
            <a:noFill/>
            <a:ln w="762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solidFill>
                  <a:srgbClr val="FCF56A"/>
                </a:solidFill>
              </a:endParaRPr>
            </a:p>
          </xdr:txBody>
        </xdr:sp>
        <xdr:sp macro="" textlink="">
          <xdr:nvSpPr>
            <xdr:cNvPr id="23" name="Rectangle 22">
              <a:extLst>
                <a:ext uri="{FF2B5EF4-FFF2-40B4-BE49-F238E27FC236}">
                  <a16:creationId xmlns="" xmlns:a16="http://schemas.microsoft.com/office/drawing/2014/main" id="{00000000-0008-0000-0000-000017000000}"/>
                </a:ext>
              </a:extLst>
            </xdr:cNvPr>
            <xdr:cNvSpPr/>
          </xdr:nvSpPr>
          <xdr:spPr>
            <a:xfrm rot="5400000">
              <a:off x="4786538" y="98881156"/>
              <a:ext cx="2330899" cy="99073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800" b="1">
                  <a:solidFill>
                    <a:srgbClr val="FFFF00"/>
                  </a:solidFill>
                  <a:latin typeface="Times New Roman" panose="02020603050405020304" pitchFamily="18" charset="0"/>
                  <a:cs typeface="Times New Roman" panose="02020603050405020304" pitchFamily="18" charset="0"/>
                </a:rPr>
                <a:t>Ashford Regal - Phase I - Wing A Project</a:t>
              </a:r>
              <a:endParaRPr lang="en-IN" sz="1800" b="1">
                <a:solidFill>
                  <a:srgbClr val="FFFF00"/>
                </a:solidFill>
                <a:latin typeface="Times New Roman" panose="02020603050405020304" pitchFamily="18" charset="0"/>
                <a:cs typeface="Times New Roman" panose="02020603050405020304" pitchFamily="18" charset="0"/>
              </a:endParaRPr>
            </a:p>
          </xdr:txBody>
        </xdr:sp>
        <xdr:sp macro="" textlink="">
          <xdr:nvSpPr>
            <xdr:cNvPr id="24" name="Rectangle 23">
              <a:extLst>
                <a:ext uri="{FF2B5EF4-FFF2-40B4-BE49-F238E27FC236}">
                  <a16:creationId xmlns="" xmlns:a16="http://schemas.microsoft.com/office/drawing/2014/main" id="{00000000-0008-0000-0000-000018000000}"/>
                </a:ext>
              </a:extLst>
            </xdr:cNvPr>
            <xdr:cNvSpPr/>
          </xdr:nvSpPr>
          <xdr:spPr>
            <a:xfrm>
              <a:off x="3437834" y="95785378"/>
              <a:ext cx="2285265" cy="1245715"/>
            </a:xfrm>
            <a:prstGeom prst="rect">
              <a:avLst/>
            </a:prstGeom>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800" b="1">
                  <a:solidFill>
                    <a:srgbClr val="FFFF00"/>
                  </a:solidFill>
                  <a:latin typeface="Times New Roman" panose="02020603050405020304" pitchFamily="18" charset="0"/>
                  <a:cs typeface="Times New Roman" panose="02020603050405020304" pitchFamily="18" charset="0"/>
                </a:rPr>
                <a:t>Ashford Regal - Phase IV- Wing C Project</a:t>
              </a:r>
              <a:endParaRPr lang="en-IN" sz="1800" b="1">
                <a:solidFill>
                  <a:srgbClr val="FFFF00"/>
                </a:solidFill>
                <a:latin typeface="Times New Roman" panose="02020603050405020304" pitchFamily="18" charset="0"/>
                <a:cs typeface="Times New Roman" panose="02020603050405020304" pitchFamily="18" charset="0"/>
              </a:endParaRPr>
            </a:p>
          </xdr:txBody>
        </xdr:sp>
        <xdr:sp macro="" textlink="">
          <xdr:nvSpPr>
            <xdr:cNvPr id="28" name="Rectangle 27">
              <a:extLst>
                <a:ext uri="{FF2B5EF4-FFF2-40B4-BE49-F238E27FC236}">
                  <a16:creationId xmlns="" xmlns:a16="http://schemas.microsoft.com/office/drawing/2014/main" id="{00000000-0008-0000-0000-00001C000000}"/>
                </a:ext>
              </a:extLst>
            </xdr:cNvPr>
            <xdr:cNvSpPr/>
          </xdr:nvSpPr>
          <xdr:spPr>
            <a:xfrm rot="18133705">
              <a:off x="6073173" y="99716276"/>
              <a:ext cx="3398790" cy="567539"/>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2800" b="1">
                  <a:solidFill>
                    <a:schemeClr val="bg1"/>
                  </a:solidFill>
                  <a:latin typeface="Times New Roman" panose="02020603050405020304" pitchFamily="18" charset="0"/>
                  <a:cs typeface="Times New Roman" panose="02020603050405020304" pitchFamily="18" charset="0"/>
                </a:rPr>
                <a:t>RailwayTrack</a:t>
              </a:r>
              <a:endParaRPr lang="en-IN" sz="2800" b="1">
                <a:solidFill>
                  <a:schemeClr val="bg1"/>
                </a:solidFill>
                <a:latin typeface="Times New Roman" panose="02020603050405020304" pitchFamily="18" charset="0"/>
                <a:cs typeface="Times New Roman" panose="02020603050405020304" pitchFamily="18" charset="0"/>
              </a:endParaRPr>
            </a:p>
          </xdr:txBody>
        </xdr:sp>
      </xdr:grpSp>
      <xdr:cxnSp macro="">
        <xdr:nvCxnSpPr>
          <xdr:cNvPr id="16" name="Straight Connector 15">
            <a:extLst>
              <a:ext uri="{FF2B5EF4-FFF2-40B4-BE49-F238E27FC236}">
                <a16:creationId xmlns="" xmlns:a16="http://schemas.microsoft.com/office/drawing/2014/main" id="{00000000-0008-0000-0000-000010000000}"/>
              </a:ext>
            </a:extLst>
          </xdr:cNvPr>
          <xdr:cNvCxnSpPr/>
        </xdr:nvCxnSpPr>
        <xdr:spPr>
          <a:xfrm flipH="1">
            <a:off x="5578929" y="97155000"/>
            <a:ext cx="3850821" cy="5483679"/>
          </a:xfrm>
          <a:prstGeom prst="line">
            <a:avLst/>
          </a:prstGeom>
          <a:ln w="57150">
            <a:solidFill>
              <a:srgbClr val="FFFFFF"/>
            </a:solidFill>
          </a:ln>
        </xdr:spPr>
        <xdr:style>
          <a:lnRef idx="1">
            <a:schemeClr val="accent1"/>
          </a:lnRef>
          <a:fillRef idx="0">
            <a:schemeClr val="accent1"/>
          </a:fillRef>
          <a:effectRef idx="0">
            <a:schemeClr val="accent1"/>
          </a:effectRef>
          <a:fontRef idx="minor">
            <a:schemeClr val="tx1"/>
          </a:fontRef>
        </xdr:style>
      </xdr:cxnSp>
      <xdr:cxnSp macro="">
        <xdr:nvCxnSpPr>
          <xdr:cNvPr id="25" name="Straight Connector 24">
            <a:extLst>
              <a:ext uri="{FF2B5EF4-FFF2-40B4-BE49-F238E27FC236}">
                <a16:creationId xmlns="" xmlns:a16="http://schemas.microsoft.com/office/drawing/2014/main" id="{00000000-0008-0000-0000-000019000000}"/>
              </a:ext>
            </a:extLst>
          </xdr:cNvPr>
          <xdr:cNvCxnSpPr>
            <a:stCxn id="21" idx="3"/>
          </xdr:cNvCxnSpPr>
        </xdr:nvCxnSpPr>
        <xdr:spPr>
          <a:xfrm flipH="1">
            <a:off x="7357168" y="99010666"/>
            <a:ext cx="2422071" cy="3628014"/>
          </a:xfrm>
          <a:prstGeom prst="line">
            <a:avLst/>
          </a:prstGeom>
          <a:ln w="57150">
            <a:solidFill>
              <a:srgbClr val="FFFFFF"/>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339499</xdr:colOff>
      <xdr:row>361</xdr:row>
      <xdr:rowOff>142876</xdr:rowOff>
    </xdr:from>
    <xdr:to>
      <xdr:col>8</xdr:col>
      <xdr:colOff>1196749</xdr:colOff>
      <xdr:row>401</xdr:row>
      <xdr:rowOff>207508</xdr:rowOff>
    </xdr:to>
    <xdr:grpSp>
      <xdr:nvGrpSpPr>
        <xdr:cNvPr id="39" name="Group 38">
          <a:extLst>
            <a:ext uri="{FF2B5EF4-FFF2-40B4-BE49-F238E27FC236}">
              <a16:creationId xmlns="" xmlns:a16="http://schemas.microsoft.com/office/drawing/2014/main" id="{00000000-0008-0000-0000-000027000000}"/>
            </a:ext>
          </a:extLst>
        </xdr:cNvPr>
        <xdr:cNvGrpSpPr/>
      </xdr:nvGrpSpPr>
      <xdr:grpSpPr>
        <a:xfrm>
          <a:off x="339499" y="111299626"/>
          <a:ext cx="9647464" cy="8228918"/>
          <a:chOff x="105054" y="78492803"/>
          <a:chExt cx="10102575" cy="11018383"/>
        </a:xfrm>
      </xdr:grpSpPr>
      <xdr:pic>
        <xdr:nvPicPr>
          <xdr:cNvPr id="31" name="Picture 30">
            <a:extLst>
              <a:ext uri="{FF2B5EF4-FFF2-40B4-BE49-F238E27FC236}">
                <a16:creationId xmlns="" xmlns:a16="http://schemas.microsoft.com/office/drawing/2014/main" id="{00000000-0008-0000-0000-00001F000000}"/>
              </a:ext>
            </a:extLst>
          </xdr:cNvPr>
          <xdr:cNvPicPr>
            <a:picLocks noChangeAspect="1"/>
          </xdr:cNvPicPr>
        </xdr:nvPicPr>
        <xdr:blipFill>
          <a:blip xmlns:r="http://schemas.openxmlformats.org/officeDocument/2006/relationships" r:embed="rId4"/>
          <a:stretch>
            <a:fillRect/>
          </a:stretch>
        </xdr:blipFill>
        <xdr:spPr>
          <a:xfrm>
            <a:off x="105054" y="78492803"/>
            <a:ext cx="10102575" cy="11018383"/>
          </a:xfrm>
          <a:prstGeom prst="rect">
            <a:avLst/>
          </a:prstGeom>
          <a:ln>
            <a:solidFill>
              <a:schemeClr val="tx1"/>
            </a:solidFill>
          </a:ln>
        </xdr:spPr>
      </xdr:pic>
      <xdr:sp macro="" textlink="">
        <xdr:nvSpPr>
          <xdr:cNvPr id="32" name="Rectangle 31">
            <a:extLst>
              <a:ext uri="{FF2B5EF4-FFF2-40B4-BE49-F238E27FC236}">
                <a16:creationId xmlns="" xmlns:a16="http://schemas.microsoft.com/office/drawing/2014/main" id="{00000000-0008-0000-0000-000020000000}"/>
              </a:ext>
            </a:extLst>
          </xdr:cNvPr>
          <xdr:cNvSpPr/>
        </xdr:nvSpPr>
        <xdr:spPr>
          <a:xfrm>
            <a:off x="1287474" y="82994367"/>
            <a:ext cx="1020536" cy="1619249"/>
          </a:xfrm>
          <a:prstGeom prst="rect">
            <a:avLst/>
          </a:prstGeom>
          <a:noFill/>
          <a:ln w="57150">
            <a:solidFill>
              <a:srgbClr val="0C10B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5" name="TextBox 4">
            <a:extLst>
              <a:ext uri="{FF2B5EF4-FFF2-40B4-BE49-F238E27FC236}">
                <a16:creationId xmlns="" xmlns:a16="http://schemas.microsoft.com/office/drawing/2014/main" id="{00000000-0008-0000-0000-000005000000}"/>
              </a:ext>
            </a:extLst>
          </xdr:cNvPr>
          <xdr:cNvSpPr txBox="1"/>
        </xdr:nvSpPr>
        <xdr:spPr>
          <a:xfrm>
            <a:off x="1204577" y="84700334"/>
            <a:ext cx="1202252" cy="597353"/>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IN" sz="2400" b="1">
                <a:solidFill>
                  <a:srgbClr val="0C10B4"/>
                </a:solidFill>
                <a:latin typeface="Times New Roman" panose="02020603050405020304" pitchFamily="18" charset="0"/>
                <a:cs typeface="Times New Roman" panose="02020603050405020304" pitchFamily="18" charset="0"/>
              </a:rPr>
              <a:t>Wing</a:t>
            </a:r>
            <a:r>
              <a:rPr lang="en-IN" sz="2400" b="1" baseline="0">
                <a:solidFill>
                  <a:srgbClr val="0C10B4"/>
                </a:solidFill>
                <a:latin typeface="Times New Roman" panose="02020603050405020304" pitchFamily="18" charset="0"/>
                <a:cs typeface="Times New Roman" panose="02020603050405020304" pitchFamily="18" charset="0"/>
              </a:rPr>
              <a:t> A</a:t>
            </a:r>
            <a:endParaRPr lang="en-IN" sz="2400" b="1">
              <a:solidFill>
                <a:srgbClr val="0C10B4"/>
              </a:solidFill>
              <a:latin typeface="Times New Roman" panose="02020603050405020304" pitchFamily="18" charset="0"/>
              <a:cs typeface="Times New Roman" panose="02020603050405020304" pitchFamily="18" charset="0"/>
            </a:endParaRPr>
          </a:p>
        </xdr:txBody>
      </xdr:sp>
      <xdr:sp macro="" textlink="">
        <xdr:nvSpPr>
          <xdr:cNvPr id="37" name="Rectangle 36">
            <a:extLst>
              <a:ext uri="{FF2B5EF4-FFF2-40B4-BE49-F238E27FC236}">
                <a16:creationId xmlns="" xmlns:a16="http://schemas.microsoft.com/office/drawing/2014/main" id="{00000000-0008-0000-0000-000025000000}"/>
              </a:ext>
            </a:extLst>
          </xdr:cNvPr>
          <xdr:cNvSpPr/>
        </xdr:nvSpPr>
        <xdr:spPr>
          <a:xfrm rot="5400000">
            <a:off x="2376045" y="79021082"/>
            <a:ext cx="1020536" cy="1619249"/>
          </a:xfrm>
          <a:prstGeom prst="rect">
            <a:avLst/>
          </a:prstGeom>
          <a:noFill/>
          <a:ln w="57150">
            <a:solidFill>
              <a:srgbClr val="0C10B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38" name="TextBox 37">
            <a:extLst>
              <a:ext uri="{FF2B5EF4-FFF2-40B4-BE49-F238E27FC236}">
                <a16:creationId xmlns="" xmlns:a16="http://schemas.microsoft.com/office/drawing/2014/main" id="{00000000-0008-0000-0000-000026000000}"/>
              </a:ext>
            </a:extLst>
          </xdr:cNvPr>
          <xdr:cNvSpPr txBox="1"/>
        </xdr:nvSpPr>
        <xdr:spPr>
          <a:xfrm>
            <a:off x="2284163" y="80386871"/>
            <a:ext cx="1202252" cy="537468"/>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IN" sz="2400" b="1">
                <a:solidFill>
                  <a:srgbClr val="0C10B4"/>
                </a:solidFill>
                <a:latin typeface="Times New Roman" panose="02020603050405020304" pitchFamily="18" charset="0"/>
                <a:cs typeface="Times New Roman" panose="02020603050405020304" pitchFamily="18" charset="0"/>
              </a:rPr>
              <a:t>Wing</a:t>
            </a:r>
            <a:r>
              <a:rPr lang="en-IN" sz="2400" b="1" baseline="0">
                <a:solidFill>
                  <a:srgbClr val="0C10B4"/>
                </a:solidFill>
                <a:latin typeface="Times New Roman" panose="02020603050405020304" pitchFamily="18" charset="0"/>
                <a:cs typeface="Times New Roman" panose="02020603050405020304" pitchFamily="18" charset="0"/>
              </a:rPr>
              <a:t> C</a:t>
            </a:r>
            <a:endParaRPr lang="en-IN" sz="2400" b="1">
              <a:solidFill>
                <a:srgbClr val="0C10B4"/>
              </a:solidFill>
              <a:latin typeface="Times New Roman" panose="02020603050405020304" pitchFamily="18" charset="0"/>
              <a:cs typeface="Times New Roman" panose="02020603050405020304" pitchFamily="18" charset="0"/>
            </a:endParaRPr>
          </a:p>
        </xdr:txBody>
      </xdr:sp>
    </xdr:grpSp>
    <xdr:clientData/>
  </xdr:twoCellAnchor>
  <xdr:twoCellAnchor editAs="oneCell">
    <xdr:from>
      <xdr:col>9</xdr:col>
      <xdr:colOff>258535</xdr:colOff>
      <xdr:row>46</xdr:row>
      <xdr:rowOff>81643</xdr:rowOff>
    </xdr:from>
    <xdr:to>
      <xdr:col>19</xdr:col>
      <xdr:colOff>511305</xdr:colOff>
      <xdr:row>49</xdr:row>
      <xdr:rowOff>60034</xdr:rowOff>
    </xdr:to>
    <xdr:pic>
      <xdr:nvPicPr>
        <xdr:cNvPr id="40" name="Picture 39">
          <a:extLst>
            <a:ext uri="{FF2B5EF4-FFF2-40B4-BE49-F238E27FC236}">
              <a16:creationId xmlns="" xmlns:a16="http://schemas.microsoft.com/office/drawing/2014/main" id="{00000000-0008-0000-0000-000028000000}"/>
            </a:ext>
          </a:extLst>
        </xdr:cNvPr>
        <xdr:cNvPicPr>
          <a:picLocks noChangeAspect="1"/>
        </xdr:cNvPicPr>
      </xdr:nvPicPr>
      <xdr:blipFill>
        <a:blip xmlns:r="http://schemas.openxmlformats.org/officeDocument/2006/relationships" r:embed="rId5"/>
        <a:stretch>
          <a:fillRect/>
        </a:stretch>
      </xdr:blipFill>
      <xdr:spPr>
        <a:xfrm>
          <a:off x="10654392" y="20737286"/>
          <a:ext cx="9033378" cy="1692891"/>
        </a:xfrm>
        <a:prstGeom prst="rect">
          <a:avLst/>
        </a:prstGeom>
      </xdr:spPr>
    </xdr:pic>
    <xdr:clientData/>
  </xdr:twoCellAnchor>
  <xdr:twoCellAnchor editAs="oneCell">
    <xdr:from>
      <xdr:col>9</xdr:col>
      <xdr:colOff>564646</xdr:colOff>
      <xdr:row>227</xdr:row>
      <xdr:rowOff>2731</xdr:rowOff>
    </xdr:from>
    <xdr:to>
      <xdr:col>12</xdr:col>
      <xdr:colOff>733945</xdr:colOff>
      <xdr:row>239</xdr:row>
      <xdr:rowOff>10347</xdr:rowOff>
    </xdr:to>
    <xdr:pic>
      <xdr:nvPicPr>
        <xdr:cNvPr id="34" name="Picture 33" descr="https://vsjcllp.vsjadon.com/upload/insp-206543-844.jpg">
          <a:extLst>
            <a:ext uri="{FF2B5EF4-FFF2-40B4-BE49-F238E27FC236}">
              <a16:creationId xmlns=""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960503" y="75549588"/>
          <a:ext cx="4112168" cy="311004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50223</xdr:colOff>
      <xdr:row>313</xdr:row>
      <xdr:rowOff>248392</xdr:rowOff>
    </xdr:from>
    <xdr:to>
      <xdr:col>13</xdr:col>
      <xdr:colOff>51955</xdr:colOff>
      <xdr:row>315</xdr:row>
      <xdr:rowOff>207571</xdr:rowOff>
    </xdr:to>
    <xdr:sp macro="" textlink="">
      <xdr:nvSpPr>
        <xdr:cNvPr id="3" name="TextBox 2">
          <a:extLst>
            <a:ext uri="{FF2B5EF4-FFF2-40B4-BE49-F238E27FC236}">
              <a16:creationId xmlns="" xmlns:a16="http://schemas.microsoft.com/office/drawing/2014/main" id="{00000000-0008-0000-0000-000003000000}"/>
            </a:ext>
          </a:extLst>
        </xdr:cNvPr>
        <xdr:cNvSpPr txBox="1"/>
      </xdr:nvSpPr>
      <xdr:spPr>
        <a:xfrm>
          <a:off x="14320405" y="102508792"/>
          <a:ext cx="1387186" cy="48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400" b="1">
              <a:solidFill>
                <a:srgbClr val="FF0000"/>
              </a:solidFill>
            </a:rPr>
            <a:t>Wing</a:t>
          </a:r>
          <a:r>
            <a:rPr lang="en-IN" sz="2400" b="1" baseline="0">
              <a:solidFill>
                <a:srgbClr val="FF0000"/>
              </a:solidFill>
            </a:rPr>
            <a:t> A</a:t>
          </a:r>
          <a:endParaRPr lang="en-IN" sz="2400" b="1">
            <a:solidFill>
              <a:srgbClr val="FF0000"/>
            </a:solidFill>
          </a:endParaRPr>
        </a:p>
      </xdr:txBody>
    </xdr:sp>
    <xdr:clientData/>
  </xdr:twoCellAnchor>
  <xdr:twoCellAnchor>
    <xdr:from>
      <xdr:col>18</xdr:col>
      <xdr:colOff>3709</xdr:colOff>
      <xdr:row>313</xdr:row>
      <xdr:rowOff>61356</xdr:rowOff>
    </xdr:from>
    <xdr:to>
      <xdr:col>23</xdr:col>
      <xdr:colOff>137058</xdr:colOff>
      <xdr:row>315</xdr:row>
      <xdr:rowOff>20535</xdr:rowOff>
    </xdr:to>
    <xdr:sp macro="" textlink="">
      <xdr:nvSpPr>
        <xdr:cNvPr id="49" name="TextBox 48">
          <a:extLst>
            <a:ext uri="{FF2B5EF4-FFF2-40B4-BE49-F238E27FC236}">
              <a16:creationId xmlns="" xmlns:a16="http://schemas.microsoft.com/office/drawing/2014/main" id="{00000000-0008-0000-0000-000031000000}"/>
            </a:ext>
          </a:extLst>
        </xdr:cNvPr>
        <xdr:cNvSpPr txBox="1"/>
      </xdr:nvSpPr>
      <xdr:spPr>
        <a:xfrm>
          <a:off x="18582654" y="102321756"/>
          <a:ext cx="1380259" cy="48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400" b="1">
              <a:solidFill>
                <a:srgbClr val="FF0000"/>
              </a:solidFill>
            </a:rPr>
            <a:t>Wing</a:t>
          </a:r>
          <a:r>
            <a:rPr lang="en-IN" sz="2400" b="1" baseline="0">
              <a:solidFill>
                <a:srgbClr val="FF0000"/>
              </a:solidFill>
            </a:rPr>
            <a:t> C</a:t>
          </a:r>
          <a:endParaRPr lang="en-IN" sz="2400" b="1">
            <a:solidFill>
              <a:srgbClr val="FF0000"/>
            </a:solidFill>
          </a:endParaRPr>
        </a:p>
      </xdr:txBody>
    </xdr:sp>
    <xdr:clientData/>
  </xdr:twoCellAnchor>
  <xdr:twoCellAnchor editAs="oneCell">
    <xdr:from>
      <xdr:col>9</xdr:col>
      <xdr:colOff>299357</xdr:colOff>
      <xdr:row>49</xdr:row>
      <xdr:rowOff>285750</xdr:rowOff>
    </xdr:from>
    <xdr:to>
      <xdr:col>16</xdr:col>
      <xdr:colOff>269998</xdr:colOff>
      <xdr:row>52</xdr:row>
      <xdr:rowOff>564668</xdr:rowOff>
    </xdr:to>
    <xdr:pic>
      <xdr:nvPicPr>
        <xdr:cNvPr id="4" name="Picture 3">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7"/>
        <a:stretch>
          <a:fillRect/>
        </a:stretch>
      </xdr:blipFill>
      <xdr:spPr>
        <a:xfrm>
          <a:off x="10722428" y="22832786"/>
          <a:ext cx="6914286" cy="2152381"/>
        </a:xfrm>
        <a:prstGeom prst="rect">
          <a:avLst/>
        </a:prstGeom>
      </xdr:spPr>
    </xdr:pic>
    <xdr:clientData/>
  </xdr:twoCellAnchor>
  <xdr:twoCellAnchor>
    <xdr:from>
      <xdr:col>0</xdr:col>
      <xdr:colOff>1266264</xdr:colOff>
      <xdr:row>310</xdr:row>
      <xdr:rowOff>63290</xdr:rowOff>
    </xdr:from>
    <xdr:to>
      <xdr:col>7</xdr:col>
      <xdr:colOff>1152440</xdr:colOff>
      <xdr:row>358</xdr:row>
      <xdr:rowOff>124450</xdr:rowOff>
    </xdr:to>
    <xdr:grpSp>
      <xdr:nvGrpSpPr>
        <xdr:cNvPr id="10" name="Group 9"/>
        <xdr:cNvGrpSpPr/>
      </xdr:nvGrpSpPr>
      <xdr:grpSpPr>
        <a:xfrm>
          <a:off x="1266264" y="100484004"/>
          <a:ext cx="7043533" cy="9994375"/>
          <a:chOff x="1266264" y="100484004"/>
          <a:chExt cx="7043533" cy="9994375"/>
        </a:xfrm>
      </xdr:grpSpPr>
      <xdr:pic>
        <xdr:nvPicPr>
          <xdr:cNvPr id="35" name="Picture 34" descr="https://vsjcllp.vsjadon.com/upload/insp-242608-931.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2928823" y="108299127"/>
            <a:ext cx="1610111" cy="216640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6" name="Picture 35" descr="https://vsjcllp.vsjadon.com/upload/insp-242608-849.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3692285" y="105217545"/>
            <a:ext cx="2246779" cy="300362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1" name="Picture 40" descr="https://vsjcllp.vsjadon.com/upload/insp-242608-847.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1266264" y="100484004"/>
            <a:ext cx="3474678" cy="462722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6" name="Picture 45" descr="https://vsjcllp.vsjadon.com/upload/insp-242608-1525.jpg"/>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a:ext>
            </a:extLst>
          </a:blip>
          <a:srcRect b="6391"/>
          <a:stretch/>
        </xdr:blipFill>
        <xdr:spPr bwMode="auto">
          <a:xfrm>
            <a:off x="4639015" y="108312375"/>
            <a:ext cx="1729128" cy="216600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7" name="Picture 46" descr="https://vsjcllp.vsjadon.com/upload/insp-242608-844.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1329344" y="105197585"/>
            <a:ext cx="2254783" cy="300362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8" name="Picture 47" descr="https://vsjcllp.vsjadon.com/upload/insp-242608-860.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bwMode="auto">
          <a:xfrm>
            <a:off x="4854329" y="100487949"/>
            <a:ext cx="3455468" cy="462722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0" name="Picture 49" descr="https://vsjcllp.vsjadon.com/upload/insp-242608-874.jp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a:ext>
            </a:extLst>
          </a:blip>
          <a:srcRect/>
          <a:stretch>
            <a:fillRect/>
          </a:stretch>
        </xdr:blipFill>
        <xdr:spPr bwMode="auto">
          <a:xfrm>
            <a:off x="6059180" y="105213980"/>
            <a:ext cx="2241176" cy="300362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kogUHYPcwhDc6ekL7"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D463"/>
  <sheetViews>
    <sheetView tabSelected="1" view="pageBreakPreview" zoomScale="70" zoomScaleNormal="85" zoomScaleSheetLayoutView="70" zoomScalePageLayoutView="85" workbookViewId="0">
      <selection activeCell="K10" sqref="K10"/>
    </sheetView>
  </sheetViews>
  <sheetFormatPr defaultColWidth="9.140625" defaultRowHeight="17.100000000000001" customHeight="1" x14ac:dyDescent="0.25"/>
  <cols>
    <col min="1" max="1" width="31.140625" style="1" customWidth="1"/>
    <col min="2" max="2" width="1.5703125" style="1" customWidth="1"/>
    <col min="3" max="3" width="17.42578125" style="1" customWidth="1"/>
    <col min="4" max="4" width="1.42578125" style="13" customWidth="1"/>
    <col min="5" max="6" width="27.140625" style="1" customWidth="1"/>
    <col min="7" max="7" width="1.42578125" style="1" customWidth="1"/>
    <col min="8" max="8" width="24.42578125" style="1" customWidth="1"/>
    <col min="9" max="9" width="24.42578125" style="13" customWidth="1"/>
    <col min="10" max="10" width="33.85546875" style="1" customWidth="1"/>
    <col min="11" max="11" width="16" style="1" bestFit="1" customWidth="1"/>
    <col min="12" max="12" width="9.140625" style="1"/>
    <col min="13" max="13" width="20.140625" style="1" customWidth="1"/>
    <col min="14" max="14" width="6.28515625" style="1" customWidth="1"/>
    <col min="15" max="20" width="9.140625" style="1"/>
    <col min="21" max="23" width="0" style="1" hidden="1" customWidth="1"/>
    <col min="24" max="26" width="9.140625" style="1"/>
    <col min="27" max="27" width="7.85546875" style="1" customWidth="1"/>
    <col min="28" max="16384" width="9.140625" style="1"/>
  </cols>
  <sheetData>
    <row r="1" spans="1:11" ht="20.25" x14ac:dyDescent="0.25">
      <c r="A1" s="157" t="s">
        <v>41</v>
      </c>
      <c r="B1" s="158"/>
      <c r="C1" s="158"/>
      <c r="D1" s="158"/>
      <c r="E1" s="158"/>
      <c r="F1" s="158"/>
      <c r="G1" s="158"/>
      <c r="H1" s="158"/>
      <c r="I1" s="159"/>
    </row>
    <row r="2" spans="1:11" ht="42" customHeight="1" x14ac:dyDescent="0.25">
      <c r="A2" s="165" t="s">
        <v>11</v>
      </c>
      <c r="B2" s="165"/>
      <c r="C2" s="165"/>
      <c r="D2" s="4" t="s">
        <v>4</v>
      </c>
      <c r="E2" s="166" t="s">
        <v>92</v>
      </c>
      <c r="F2" s="166"/>
      <c r="G2" s="69" t="s">
        <v>15</v>
      </c>
      <c r="H2" s="69"/>
      <c r="I2" s="48" t="s">
        <v>279</v>
      </c>
    </row>
    <row r="3" spans="1:11" ht="20.25" x14ac:dyDescent="0.25">
      <c r="A3" s="130" t="s">
        <v>42</v>
      </c>
      <c r="B3" s="131"/>
      <c r="C3" s="132"/>
      <c r="D3" s="19" t="s">
        <v>4</v>
      </c>
      <c r="E3" s="173" t="s">
        <v>189</v>
      </c>
      <c r="F3" s="174"/>
      <c r="G3" s="148" t="s">
        <v>185</v>
      </c>
      <c r="H3" s="150"/>
      <c r="I3" s="193" t="s">
        <v>280</v>
      </c>
      <c r="K3" s="67">
        <v>45793</v>
      </c>
    </row>
    <row r="4" spans="1:11" ht="44.25" customHeight="1" x14ac:dyDescent="0.25">
      <c r="A4" s="130" t="s">
        <v>190</v>
      </c>
      <c r="B4" s="131"/>
      <c r="C4" s="132"/>
      <c r="D4" s="19" t="s">
        <v>4</v>
      </c>
      <c r="E4" s="87" t="s">
        <v>236</v>
      </c>
      <c r="F4" s="123"/>
      <c r="G4" s="154"/>
      <c r="H4" s="156"/>
      <c r="I4" s="194"/>
      <c r="K4" s="67">
        <v>45874</v>
      </c>
    </row>
    <row r="5" spans="1:11" ht="43.5" customHeight="1" x14ac:dyDescent="0.25">
      <c r="A5" s="130" t="s">
        <v>39</v>
      </c>
      <c r="B5" s="131"/>
      <c r="C5" s="132"/>
      <c r="D5" s="25" t="s">
        <v>4</v>
      </c>
      <c r="E5" s="87" t="s">
        <v>281</v>
      </c>
      <c r="F5" s="88"/>
      <c r="G5" s="69" t="s">
        <v>36</v>
      </c>
      <c r="H5" s="69"/>
      <c r="I5" s="17" t="str">
        <f ca="1">TEXT(TODAY(),"DD/MM/YYYY")</f>
        <v>07/08/2025</v>
      </c>
      <c r="K5" s="1">
        <f>K4-K3</f>
        <v>81</v>
      </c>
    </row>
    <row r="6" spans="1:11" ht="20.25" x14ac:dyDescent="0.25">
      <c r="A6" s="120" t="s">
        <v>43</v>
      </c>
      <c r="B6" s="120"/>
      <c r="C6" s="120"/>
      <c r="D6" s="120"/>
      <c r="E6" s="120"/>
      <c r="F6" s="120"/>
      <c r="G6" s="120"/>
      <c r="H6" s="120"/>
      <c r="I6" s="175"/>
    </row>
    <row r="7" spans="1:11" ht="43.5" customHeight="1" x14ac:dyDescent="0.25">
      <c r="A7" s="167" t="s">
        <v>32</v>
      </c>
      <c r="B7" s="167"/>
      <c r="C7" s="167"/>
      <c r="D7" s="2" t="s">
        <v>4</v>
      </c>
      <c r="E7" s="20" t="s">
        <v>105</v>
      </c>
      <c r="F7" s="19" t="s">
        <v>38</v>
      </c>
      <c r="G7" s="2" t="s">
        <v>4</v>
      </c>
      <c r="H7" s="116" t="s">
        <v>276</v>
      </c>
      <c r="I7" s="116"/>
    </row>
    <row r="8" spans="1:11" ht="45" customHeight="1" x14ac:dyDescent="0.25">
      <c r="A8" s="167" t="s">
        <v>45</v>
      </c>
      <c r="B8" s="167"/>
      <c r="C8" s="167"/>
      <c r="D8" s="2" t="s">
        <v>4</v>
      </c>
      <c r="E8" s="5" t="s">
        <v>191</v>
      </c>
      <c r="F8" s="19" t="s">
        <v>46</v>
      </c>
      <c r="G8" s="2" t="s">
        <v>4</v>
      </c>
      <c r="H8" s="87" t="s">
        <v>193</v>
      </c>
      <c r="I8" s="88"/>
    </row>
    <row r="9" spans="1:11" ht="27" customHeight="1" x14ac:dyDescent="0.25">
      <c r="A9" s="167" t="s">
        <v>47</v>
      </c>
      <c r="B9" s="167"/>
      <c r="C9" s="167"/>
      <c r="D9" s="2" t="s">
        <v>4</v>
      </c>
      <c r="E9" s="168" t="s">
        <v>192</v>
      </c>
      <c r="F9" s="168"/>
      <c r="G9" s="168"/>
      <c r="H9" s="168"/>
      <c r="I9" s="168"/>
    </row>
    <row r="10" spans="1:11" ht="45" customHeight="1" x14ac:dyDescent="0.25">
      <c r="A10" s="69" t="s">
        <v>175</v>
      </c>
      <c r="B10" s="19" t="s">
        <v>4</v>
      </c>
      <c r="C10" s="19" t="s">
        <v>44</v>
      </c>
      <c r="D10" s="2" t="s">
        <v>4</v>
      </c>
      <c r="E10" s="87" t="s">
        <v>194</v>
      </c>
      <c r="F10" s="123"/>
      <c r="G10" s="123"/>
      <c r="H10" s="123"/>
      <c r="I10" s="88"/>
    </row>
    <row r="11" spans="1:11" ht="45" customHeight="1" x14ac:dyDescent="0.25">
      <c r="A11" s="69"/>
      <c r="B11" s="19" t="s">
        <v>4</v>
      </c>
      <c r="C11" s="19" t="s">
        <v>14</v>
      </c>
      <c r="D11" s="2" t="s">
        <v>4</v>
      </c>
      <c r="E11" s="87" t="s">
        <v>230</v>
      </c>
      <c r="F11" s="123"/>
      <c r="G11" s="123"/>
      <c r="H11" s="123"/>
      <c r="I11" s="88"/>
    </row>
    <row r="12" spans="1:11" ht="42" customHeight="1" x14ac:dyDescent="0.25">
      <c r="A12" s="69"/>
      <c r="B12" s="19" t="s">
        <v>4</v>
      </c>
      <c r="C12" s="19" t="s">
        <v>5</v>
      </c>
      <c r="D12" s="2" t="s">
        <v>4</v>
      </c>
      <c r="E12" s="87" t="s">
        <v>198</v>
      </c>
      <c r="F12" s="123"/>
      <c r="G12" s="123"/>
      <c r="H12" s="123"/>
      <c r="I12" s="88"/>
    </row>
    <row r="13" spans="1:11" ht="42" customHeight="1" x14ac:dyDescent="0.25">
      <c r="A13" s="69" t="s">
        <v>37</v>
      </c>
      <c r="B13" s="69"/>
      <c r="C13" s="69"/>
      <c r="D13" s="2" t="s">
        <v>4</v>
      </c>
      <c r="E13" s="116" t="s">
        <v>272</v>
      </c>
      <c r="F13" s="116"/>
      <c r="G13" s="116"/>
      <c r="H13" s="116"/>
      <c r="I13" s="116"/>
    </row>
    <row r="14" spans="1:11" ht="20.100000000000001" customHeight="1" x14ac:dyDescent="0.25">
      <c r="A14" s="120" t="s">
        <v>48</v>
      </c>
      <c r="B14" s="120"/>
      <c r="C14" s="120"/>
      <c r="D14" s="120"/>
      <c r="E14" s="120"/>
      <c r="F14" s="120"/>
      <c r="G14" s="120"/>
      <c r="H14" s="120"/>
      <c r="I14" s="120"/>
    </row>
    <row r="15" spans="1:11" ht="47.25" customHeight="1" x14ac:dyDescent="0.25">
      <c r="A15" s="19" t="s">
        <v>30</v>
      </c>
      <c r="B15" s="2" t="s">
        <v>4</v>
      </c>
      <c r="C15" s="169" t="s">
        <v>93</v>
      </c>
      <c r="D15" s="170"/>
      <c r="E15" s="171"/>
      <c r="F15" s="16" t="s">
        <v>49</v>
      </c>
      <c r="G15" s="2" t="s">
        <v>4</v>
      </c>
      <c r="H15" s="116" t="s">
        <v>197</v>
      </c>
      <c r="I15" s="116"/>
    </row>
    <row r="16" spans="1:11" ht="40.5" customHeight="1" x14ac:dyDescent="0.25">
      <c r="A16" s="50" t="s">
        <v>50</v>
      </c>
      <c r="B16" s="2" t="s">
        <v>4</v>
      </c>
      <c r="C16" s="87" t="s">
        <v>239</v>
      </c>
      <c r="D16" s="123"/>
      <c r="E16" s="88"/>
      <c r="F16" s="50" t="s">
        <v>51</v>
      </c>
      <c r="G16" s="2" t="s">
        <v>4</v>
      </c>
      <c r="H16" s="135" t="s">
        <v>240</v>
      </c>
      <c r="I16" s="136"/>
    </row>
    <row r="17" spans="1:13" ht="40.5" x14ac:dyDescent="0.25">
      <c r="A17" s="45" t="s">
        <v>52</v>
      </c>
      <c r="B17" s="2" t="s">
        <v>4</v>
      </c>
      <c r="C17" s="195" t="s">
        <v>242</v>
      </c>
      <c r="D17" s="170"/>
      <c r="E17" s="171"/>
      <c r="F17" s="19" t="s">
        <v>53</v>
      </c>
      <c r="G17" s="2" t="s">
        <v>4</v>
      </c>
      <c r="H17" s="134" t="s">
        <v>241</v>
      </c>
      <c r="I17" s="88"/>
    </row>
    <row r="18" spans="1:13" ht="60.75" x14ac:dyDescent="0.25">
      <c r="A18" s="45" t="s">
        <v>54</v>
      </c>
      <c r="B18" s="2" t="s">
        <v>4</v>
      </c>
      <c r="C18" s="195" t="s">
        <v>240</v>
      </c>
      <c r="D18" s="170"/>
      <c r="E18" s="171"/>
      <c r="F18" s="19" t="s">
        <v>55</v>
      </c>
      <c r="G18" s="2" t="s">
        <v>4</v>
      </c>
      <c r="H18" s="87" t="s">
        <v>199</v>
      </c>
      <c r="I18" s="88"/>
      <c r="K18" s="87" t="s">
        <v>237</v>
      </c>
      <c r="L18" s="123"/>
      <c r="M18" s="88"/>
    </row>
    <row r="19" spans="1:13" ht="40.5" x14ac:dyDescent="0.25">
      <c r="A19" s="45" t="s">
        <v>56</v>
      </c>
      <c r="B19" s="2" t="s">
        <v>4</v>
      </c>
      <c r="C19" s="169" t="s">
        <v>186</v>
      </c>
      <c r="D19" s="170"/>
      <c r="E19" s="171"/>
      <c r="F19" s="19" t="s">
        <v>108</v>
      </c>
      <c r="G19" s="2" t="s">
        <v>4</v>
      </c>
      <c r="H19" s="116">
        <v>18841.18</v>
      </c>
      <c r="I19" s="116"/>
      <c r="K19" s="87" t="s">
        <v>238</v>
      </c>
      <c r="L19" s="123"/>
      <c r="M19" s="88"/>
    </row>
    <row r="20" spans="1:13" ht="40.5" x14ac:dyDescent="0.25">
      <c r="A20" s="19" t="s">
        <v>57</v>
      </c>
      <c r="B20" s="2" t="s">
        <v>4</v>
      </c>
      <c r="C20" s="140">
        <v>1</v>
      </c>
      <c r="D20" s="141"/>
      <c r="E20" s="142"/>
      <c r="F20" s="51" t="s">
        <v>107</v>
      </c>
      <c r="G20" s="52" t="s">
        <v>4</v>
      </c>
      <c r="H20" s="137">
        <v>34593.78</v>
      </c>
      <c r="I20" s="137"/>
    </row>
    <row r="21" spans="1:13" ht="40.5" x14ac:dyDescent="0.25">
      <c r="A21" s="19" t="s">
        <v>106</v>
      </c>
      <c r="B21" s="2" t="s">
        <v>4</v>
      </c>
      <c r="C21" s="140">
        <v>35901.800000000003</v>
      </c>
      <c r="D21" s="141"/>
      <c r="E21" s="142"/>
      <c r="F21" s="6" t="s">
        <v>58</v>
      </c>
      <c r="G21" s="2" t="s">
        <v>4</v>
      </c>
      <c r="H21" s="87" t="s">
        <v>268</v>
      </c>
      <c r="I21" s="88"/>
    </row>
    <row r="22" spans="1:13" ht="40.5" x14ac:dyDescent="0.25">
      <c r="A22" s="19" t="s">
        <v>59</v>
      </c>
      <c r="B22" s="2" t="s">
        <v>4</v>
      </c>
      <c r="C22" s="169" t="s">
        <v>267</v>
      </c>
      <c r="D22" s="170"/>
      <c r="E22" s="171"/>
      <c r="F22" s="19" t="s">
        <v>60</v>
      </c>
      <c r="G22" s="2" t="s">
        <v>4</v>
      </c>
      <c r="H22" s="116" t="s">
        <v>266</v>
      </c>
      <c r="I22" s="116"/>
      <c r="J22" s="1">
        <f>279*2</f>
        <v>558</v>
      </c>
    </row>
    <row r="23" spans="1:13" ht="20.25" customHeight="1" x14ac:dyDescent="0.25">
      <c r="A23" s="45" t="s">
        <v>221</v>
      </c>
      <c r="B23" s="2" t="s">
        <v>4</v>
      </c>
      <c r="C23" s="87" t="s">
        <v>231</v>
      </c>
      <c r="D23" s="123"/>
      <c r="E23" s="123"/>
      <c r="F23" s="123"/>
      <c r="G23" s="123"/>
      <c r="H23" s="123"/>
      <c r="I23" s="88"/>
    </row>
    <row r="24" spans="1:13" ht="20.25" x14ac:dyDescent="0.25">
      <c r="A24" s="45" t="s">
        <v>188</v>
      </c>
      <c r="B24" s="2" t="s">
        <v>4</v>
      </c>
      <c r="C24" s="143" t="s">
        <v>222</v>
      </c>
      <c r="D24" s="144"/>
      <c r="E24" s="144"/>
      <c r="F24" s="144"/>
      <c r="G24" s="144"/>
      <c r="H24" s="144"/>
      <c r="I24" s="144"/>
    </row>
    <row r="25" spans="1:13" ht="107.25" customHeight="1" x14ac:dyDescent="0.25">
      <c r="A25" s="45" t="s">
        <v>28</v>
      </c>
      <c r="B25" s="2" t="s">
        <v>4</v>
      </c>
      <c r="C25" s="116" t="s">
        <v>109</v>
      </c>
      <c r="D25" s="116"/>
      <c r="E25" s="116"/>
      <c r="F25" s="116"/>
      <c r="G25" s="116"/>
      <c r="H25" s="116"/>
      <c r="I25" s="116"/>
    </row>
    <row r="26" spans="1:13" ht="24" customHeight="1" x14ac:dyDescent="0.25">
      <c r="A26" s="157" t="s">
        <v>23</v>
      </c>
      <c r="B26" s="158"/>
      <c r="C26" s="158"/>
      <c r="D26" s="158"/>
      <c r="E26" s="158"/>
      <c r="F26" s="158"/>
      <c r="G26" s="158"/>
      <c r="H26" s="158"/>
      <c r="I26" s="159"/>
    </row>
    <row r="27" spans="1:13" ht="20.25" x14ac:dyDescent="0.25">
      <c r="A27" s="19" t="s">
        <v>29</v>
      </c>
      <c r="B27" s="2" t="s">
        <v>4</v>
      </c>
      <c r="C27" s="116" t="s">
        <v>94</v>
      </c>
      <c r="D27" s="116"/>
      <c r="E27" s="116"/>
      <c r="F27" s="19" t="s">
        <v>16</v>
      </c>
      <c r="G27" s="2" t="s">
        <v>4</v>
      </c>
      <c r="H27" s="116" t="s">
        <v>195</v>
      </c>
      <c r="I27" s="116"/>
    </row>
    <row r="28" spans="1:13" ht="20.25" x14ac:dyDescent="0.25">
      <c r="A28" s="19" t="s">
        <v>17</v>
      </c>
      <c r="B28" s="2" t="s">
        <v>4</v>
      </c>
      <c r="C28" s="116" t="s">
        <v>112</v>
      </c>
      <c r="D28" s="116"/>
      <c r="E28" s="116"/>
      <c r="F28" s="19" t="s">
        <v>176</v>
      </c>
      <c r="G28" s="2" t="s">
        <v>4</v>
      </c>
      <c r="H28" s="116" t="s">
        <v>196</v>
      </c>
      <c r="I28" s="116"/>
    </row>
    <row r="29" spans="1:13" ht="40.5" x14ac:dyDescent="0.25">
      <c r="A29" s="19" t="s">
        <v>26</v>
      </c>
      <c r="B29" s="2" t="s">
        <v>4</v>
      </c>
      <c r="C29" s="116" t="s">
        <v>111</v>
      </c>
      <c r="D29" s="116"/>
      <c r="E29" s="116"/>
      <c r="F29" s="19" t="s">
        <v>19</v>
      </c>
      <c r="G29" s="2" t="s">
        <v>4</v>
      </c>
      <c r="H29" s="116" t="s">
        <v>206</v>
      </c>
      <c r="I29" s="116"/>
    </row>
    <row r="30" spans="1:13" ht="40.5" x14ac:dyDescent="0.25">
      <c r="A30" s="45" t="s">
        <v>133</v>
      </c>
      <c r="B30" s="2" t="s">
        <v>4</v>
      </c>
      <c r="C30" s="116" t="s">
        <v>204</v>
      </c>
      <c r="D30" s="116"/>
      <c r="E30" s="116"/>
      <c r="F30" s="19" t="s">
        <v>134</v>
      </c>
      <c r="G30" s="2" t="s">
        <v>4</v>
      </c>
      <c r="H30" s="87" t="s">
        <v>205</v>
      </c>
      <c r="I30" s="88"/>
    </row>
    <row r="31" spans="1:13" ht="84" customHeight="1" x14ac:dyDescent="0.25">
      <c r="A31" s="19" t="s">
        <v>20</v>
      </c>
      <c r="B31" s="2" t="s">
        <v>4</v>
      </c>
      <c r="C31" s="116" t="s">
        <v>207</v>
      </c>
      <c r="D31" s="116"/>
      <c r="E31" s="116"/>
      <c r="F31" s="19" t="s">
        <v>18</v>
      </c>
      <c r="G31" s="2" t="s">
        <v>4</v>
      </c>
      <c r="H31" s="116" t="s">
        <v>208</v>
      </c>
      <c r="I31" s="116"/>
    </row>
    <row r="32" spans="1:13" ht="21.75" customHeight="1" x14ac:dyDescent="0.25">
      <c r="A32" s="45" t="s">
        <v>139</v>
      </c>
      <c r="B32" s="2" t="s">
        <v>4</v>
      </c>
      <c r="C32" s="116" t="s">
        <v>140</v>
      </c>
      <c r="D32" s="116"/>
      <c r="E32" s="116"/>
      <c r="F32" s="19" t="s">
        <v>141</v>
      </c>
      <c r="G32" s="2" t="s">
        <v>4</v>
      </c>
      <c r="H32" s="87" t="s">
        <v>140</v>
      </c>
      <c r="I32" s="88"/>
    </row>
    <row r="33" spans="1:9" ht="21.75" customHeight="1" x14ac:dyDescent="0.25">
      <c r="A33" s="45" t="s">
        <v>142</v>
      </c>
      <c r="B33" s="2" t="s">
        <v>4</v>
      </c>
      <c r="C33" s="87" t="s">
        <v>140</v>
      </c>
      <c r="D33" s="123"/>
      <c r="E33" s="123"/>
      <c r="F33" s="123"/>
      <c r="G33" s="123"/>
      <c r="H33" s="123"/>
      <c r="I33" s="88"/>
    </row>
    <row r="34" spans="1:9" ht="20.25" x14ac:dyDescent="0.25">
      <c r="A34" s="176" t="s">
        <v>40</v>
      </c>
      <c r="B34" s="177"/>
      <c r="C34" s="177"/>
      <c r="D34" s="177"/>
      <c r="E34" s="177"/>
      <c r="F34" s="177"/>
      <c r="G34" s="177"/>
      <c r="H34" s="177"/>
      <c r="I34" s="178"/>
    </row>
    <row r="35" spans="1:9" ht="40.5" x14ac:dyDescent="0.25">
      <c r="A35" s="130" t="s">
        <v>21</v>
      </c>
      <c r="B35" s="131"/>
      <c r="C35" s="132"/>
      <c r="D35" s="2" t="s">
        <v>4</v>
      </c>
      <c r="E35" s="20" t="s">
        <v>113</v>
      </c>
      <c r="F35" s="19" t="s">
        <v>22</v>
      </c>
      <c r="G35" s="7" t="s">
        <v>4</v>
      </c>
      <c r="H35" s="87" t="s">
        <v>114</v>
      </c>
      <c r="I35" s="88"/>
    </row>
    <row r="36" spans="1:9" ht="40.5" x14ac:dyDescent="0.25">
      <c r="A36" s="130" t="s">
        <v>25</v>
      </c>
      <c r="B36" s="131"/>
      <c r="C36" s="132"/>
      <c r="D36" s="2" t="s">
        <v>4</v>
      </c>
      <c r="E36" s="20" t="s">
        <v>114</v>
      </c>
      <c r="F36" s="8" t="s">
        <v>35</v>
      </c>
      <c r="G36" s="2" t="s">
        <v>4</v>
      </c>
      <c r="H36" s="87" t="s">
        <v>114</v>
      </c>
      <c r="I36" s="88"/>
    </row>
    <row r="37" spans="1:9" ht="40.5" x14ac:dyDescent="0.25">
      <c r="A37" s="130" t="s">
        <v>34</v>
      </c>
      <c r="B37" s="131"/>
      <c r="C37" s="132"/>
      <c r="D37" s="2" t="s">
        <v>4</v>
      </c>
      <c r="E37" s="5" t="s">
        <v>115</v>
      </c>
      <c r="F37" s="19" t="s">
        <v>24</v>
      </c>
      <c r="G37" s="21" t="s">
        <v>4</v>
      </c>
      <c r="H37" s="87" t="s">
        <v>116</v>
      </c>
      <c r="I37" s="88"/>
    </row>
    <row r="38" spans="1:9" ht="20.25" x14ac:dyDescent="0.25">
      <c r="A38" s="157" t="s">
        <v>0</v>
      </c>
      <c r="B38" s="158"/>
      <c r="C38" s="158"/>
      <c r="D38" s="158"/>
      <c r="E38" s="158"/>
      <c r="F38" s="158"/>
      <c r="G38" s="158"/>
      <c r="H38" s="158"/>
      <c r="I38" s="159"/>
    </row>
    <row r="39" spans="1:9" ht="20.25" x14ac:dyDescent="0.25">
      <c r="A39" s="128" t="s">
        <v>0</v>
      </c>
      <c r="B39" s="133"/>
      <c r="C39" s="129"/>
      <c r="D39" s="2" t="s">
        <v>4</v>
      </c>
      <c r="E39" s="9" t="s">
        <v>1</v>
      </c>
      <c r="F39" s="9" t="s">
        <v>6</v>
      </c>
      <c r="G39" s="128" t="s">
        <v>2</v>
      </c>
      <c r="H39" s="129"/>
      <c r="I39" s="9" t="s">
        <v>3</v>
      </c>
    </row>
    <row r="40" spans="1:9" ht="40.5" customHeight="1" x14ac:dyDescent="0.25">
      <c r="A40" s="130" t="s">
        <v>7</v>
      </c>
      <c r="B40" s="131"/>
      <c r="C40" s="132"/>
      <c r="D40" s="2" t="s">
        <v>4</v>
      </c>
      <c r="E40" s="49" t="s">
        <v>209</v>
      </c>
      <c r="F40" s="49" t="s">
        <v>202</v>
      </c>
      <c r="G40" s="138" t="s">
        <v>218</v>
      </c>
      <c r="H40" s="139"/>
      <c r="I40" s="49" t="s">
        <v>217</v>
      </c>
    </row>
    <row r="41" spans="1:9" ht="42" customHeight="1" x14ac:dyDescent="0.25">
      <c r="A41" s="130" t="s">
        <v>8</v>
      </c>
      <c r="B41" s="131"/>
      <c r="C41" s="132"/>
      <c r="D41" s="2" t="s">
        <v>4</v>
      </c>
      <c r="E41" s="49" t="s">
        <v>200</v>
      </c>
      <c r="F41" s="49" t="s">
        <v>202</v>
      </c>
      <c r="G41" s="138" t="s">
        <v>201</v>
      </c>
      <c r="H41" s="139"/>
      <c r="I41" s="49" t="s">
        <v>203</v>
      </c>
    </row>
    <row r="42" spans="1:9" ht="20.25" customHeight="1" x14ac:dyDescent="0.25">
      <c r="A42" s="130" t="s">
        <v>12</v>
      </c>
      <c r="B42" s="131"/>
      <c r="C42" s="132"/>
      <c r="D42" s="2" t="s">
        <v>4</v>
      </c>
      <c r="E42" s="17" t="s">
        <v>111</v>
      </c>
      <c r="F42" s="19" t="s">
        <v>13</v>
      </c>
      <c r="G42" s="2" t="s">
        <v>4</v>
      </c>
      <c r="H42" s="87" t="s">
        <v>110</v>
      </c>
      <c r="I42" s="88"/>
    </row>
    <row r="43" spans="1:9" ht="20.25" x14ac:dyDescent="0.25">
      <c r="A43" s="157" t="s">
        <v>61</v>
      </c>
      <c r="B43" s="158"/>
      <c r="C43" s="158"/>
      <c r="D43" s="158"/>
      <c r="E43" s="158"/>
      <c r="F43" s="158"/>
      <c r="G43" s="158"/>
      <c r="H43" s="158"/>
      <c r="I43" s="159"/>
    </row>
    <row r="44" spans="1:9" ht="21" customHeight="1" x14ac:dyDescent="0.25">
      <c r="A44" s="172" t="s">
        <v>62</v>
      </c>
      <c r="B44" s="172"/>
      <c r="C44" s="172" t="s">
        <v>63</v>
      </c>
      <c r="D44" s="172"/>
      <c r="E44" s="172" t="s">
        <v>174</v>
      </c>
      <c r="F44" s="172"/>
      <c r="G44" s="172"/>
      <c r="H44" s="172" t="s">
        <v>64</v>
      </c>
      <c r="I44" s="172"/>
    </row>
    <row r="45" spans="1:9" ht="20.25" x14ac:dyDescent="0.25">
      <c r="A45" s="179" t="s">
        <v>227</v>
      </c>
      <c r="B45" s="179"/>
      <c r="C45" s="146" t="s">
        <v>95</v>
      </c>
      <c r="D45" s="146"/>
      <c r="E45" s="116" t="s">
        <v>245</v>
      </c>
      <c r="F45" s="116"/>
      <c r="G45" s="116"/>
      <c r="H45" s="116" t="s">
        <v>245</v>
      </c>
      <c r="I45" s="116"/>
    </row>
    <row r="46" spans="1:9" ht="20.25" customHeight="1" x14ac:dyDescent="0.25">
      <c r="A46" s="179" t="s">
        <v>243</v>
      </c>
      <c r="B46" s="179"/>
      <c r="C46" s="146" t="s">
        <v>95</v>
      </c>
      <c r="D46" s="146"/>
      <c r="E46" s="116" t="s">
        <v>245</v>
      </c>
      <c r="F46" s="116"/>
      <c r="G46" s="116"/>
      <c r="H46" s="116" t="s">
        <v>245</v>
      </c>
      <c r="I46" s="116"/>
    </row>
    <row r="47" spans="1:9" ht="20.25" x14ac:dyDescent="0.25">
      <c r="A47" s="120" t="s">
        <v>65</v>
      </c>
      <c r="B47" s="120"/>
      <c r="C47" s="120"/>
      <c r="D47" s="120"/>
      <c r="E47" s="120"/>
      <c r="F47" s="120"/>
      <c r="G47" s="120"/>
      <c r="H47" s="120"/>
      <c r="I47" s="120"/>
    </row>
    <row r="48" spans="1:9" ht="71.25" customHeight="1" x14ac:dyDescent="0.25">
      <c r="A48" s="16" t="s">
        <v>66</v>
      </c>
      <c r="B48" s="16" t="s">
        <v>4</v>
      </c>
      <c r="C48" s="116" t="s">
        <v>111</v>
      </c>
      <c r="D48" s="116"/>
      <c r="E48" s="116"/>
      <c r="F48" s="16" t="s">
        <v>67</v>
      </c>
      <c r="G48" s="16" t="s">
        <v>4</v>
      </c>
      <c r="H48" s="116" t="s">
        <v>244</v>
      </c>
      <c r="I48" s="116"/>
    </row>
    <row r="49" spans="1:11" ht="42.75" customHeight="1" x14ac:dyDescent="0.25">
      <c r="A49" s="16" t="s">
        <v>68</v>
      </c>
      <c r="B49" s="16" t="s">
        <v>4</v>
      </c>
      <c r="C49" s="87" t="str">
        <f>H48</f>
        <v>P-9962/2022/(358/11)/S Ward/BHANDUP-W/337/4/Amend
Date: 10/10/2024</v>
      </c>
      <c r="D49" s="123"/>
      <c r="E49" s="123"/>
      <c r="F49" s="123"/>
      <c r="G49" s="123"/>
      <c r="H49" s="123"/>
      <c r="I49" s="88"/>
    </row>
    <row r="50" spans="1:11" ht="146.25" customHeight="1" x14ac:dyDescent="0.25">
      <c r="A50" s="69" t="s">
        <v>96</v>
      </c>
      <c r="B50" s="16"/>
      <c r="C50" s="116" t="s">
        <v>277</v>
      </c>
      <c r="D50" s="116"/>
      <c r="E50" s="116"/>
      <c r="F50" s="116"/>
      <c r="G50" s="116"/>
      <c r="H50" s="116"/>
      <c r="I50" s="116"/>
    </row>
    <row r="51" spans="1:11" ht="172.9" hidden="1" customHeight="1" x14ac:dyDescent="0.25">
      <c r="A51" s="69"/>
      <c r="B51" s="16" t="s">
        <v>4</v>
      </c>
      <c r="C51" s="116" t="s">
        <v>271</v>
      </c>
      <c r="D51" s="116"/>
      <c r="E51" s="116"/>
      <c r="F51" s="116"/>
      <c r="G51" s="116"/>
      <c r="H51" s="116"/>
      <c r="I51" s="116"/>
    </row>
    <row r="52" spans="1:11" ht="90.75" hidden="1" customHeight="1" x14ac:dyDescent="0.25">
      <c r="A52" s="16" t="s">
        <v>270</v>
      </c>
      <c r="B52" s="16"/>
      <c r="C52" s="116" t="s">
        <v>273</v>
      </c>
      <c r="D52" s="116"/>
      <c r="E52" s="116"/>
      <c r="F52" s="116"/>
      <c r="G52" s="116"/>
      <c r="H52" s="116"/>
      <c r="I52" s="116"/>
    </row>
    <row r="53" spans="1:11" ht="146.25" customHeight="1" x14ac:dyDescent="0.25">
      <c r="A53" s="16" t="s">
        <v>96</v>
      </c>
      <c r="B53" s="16"/>
      <c r="C53" s="116" t="s">
        <v>278</v>
      </c>
      <c r="D53" s="116"/>
      <c r="E53" s="116"/>
      <c r="F53" s="116"/>
      <c r="G53" s="116"/>
      <c r="H53" s="116"/>
      <c r="I53" s="116"/>
    </row>
    <row r="54" spans="1:11" ht="135" customHeight="1" x14ac:dyDescent="0.25">
      <c r="A54" s="16" t="s">
        <v>69</v>
      </c>
      <c r="B54" s="16" t="s">
        <v>4</v>
      </c>
      <c r="C54" s="87" t="s">
        <v>269</v>
      </c>
      <c r="D54" s="123"/>
      <c r="E54" s="123"/>
      <c r="F54" s="123"/>
      <c r="G54" s="123"/>
      <c r="H54" s="123"/>
      <c r="I54" s="88"/>
    </row>
    <row r="55" spans="1:11" ht="92.45" customHeight="1" x14ac:dyDescent="0.25">
      <c r="A55" s="16" t="s">
        <v>216</v>
      </c>
      <c r="B55" s="16" t="s">
        <v>4</v>
      </c>
      <c r="C55" s="87" t="s">
        <v>275</v>
      </c>
      <c r="D55" s="123"/>
      <c r="E55" s="123"/>
      <c r="F55" s="123"/>
      <c r="G55" s="123"/>
      <c r="H55" s="123"/>
      <c r="I55" s="88"/>
    </row>
    <row r="56" spans="1:11" ht="21" thickBot="1" x14ac:dyDescent="0.3">
      <c r="A56" s="120" t="s">
        <v>70</v>
      </c>
      <c r="B56" s="120"/>
      <c r="C56" s="120"/>
      <c r="D56" s="120"/>
      <c r="E56" s="120"/>
      <c r="F56" s="120"/>
      <c r="G56" s="120"/>
      <c r="H56" s="120"/>
      <c r="I56" s="120"/>
    </row>
    <row r="57" spans="1:11" ht="20.25" customHeight="1" x14ac:dyDescent="0.3">
      <c r="A57" s="126" t="s">
        <v>274</v>
      </c>
      <c r="B57" s="126"/>
      <c r="C57" s="126"/>
      <c r="D57" s="127" t="s">
        <v>4</v>
      </c>
      <c r="E57" s="54" t="s">
        <v>143</v>
      </c>
      <c r="F57" s="118" t="s">
        <v>129</v>
      </c>
      <c r="G57" s="118"/>
      <c r="H57" s="54" t="s">
        <v>144</v>
      </c>
      <c r="I57" s="54" t="s">
        <v>145</v>
      </c>
      <c r="J57" s="34" t="str">
        <f ca="1">(IF(F60&gt;99%,"All work completed. Please provide OC.",IF(F60&gt;89.8%,"Plinth, RCC, Brick, Plaster, Flooring, Wooden, Plumbing, Electrification, etc., work Completed. Finishing work is in process.",IF(F60&lt;94%,(IF(C60=0,"Work not yet Started.",IF(E60=25%,"Piling work in process",IF(E60=50%,"Excavation work in process",IF(E60=100%,"Excavation work Completed. ","0")))&amp;(IF(C61=0%,"",IF(C61=K62,"Footing work is process",IF(C61=K63,"Footing work Completed",IF(C61=K64,"1st Basement Completed",IF(C61=K65,"1st &amp; 2nd Basement Completed",IF(C61=K66,"1st to 3rd Basement Completed",IF(C61=K67,"1st to 4th Basement Completed",IF(C61=K68,"Plinth work is process",IF(C61=K69,"Plinth work completed","0")))))))))))&amp;(IF(C62=(F58+H58+I58),", RCC Slab",IF(C62&gt;0,", RCC upto "&amp;C62&amp;" Slab",""))&amp;(IF(C63=I58,", Brickwork",IF(C63&gt;0,", Brickwork upto "&amp;C63&amp;" Floor",""))&amp;(IF(C64=I58,", Internal Plaster",IF(C64&gt;0,", Internal Plaster upto "&amp;C64&amp;" Floor",""))&amp;(IF(C65=I58,", External Plaster",IF(C65&gt;0,", External Plaster upto "&amp;C65&amp;" Floor",""))&amp;(IF(C66=I58,", External Plumbing, Elevation and Waterproofing",IF(C66&gt;0,", External Plumbing, Elevation and Waterproofing upto "&amp;C66&amp;" Floor",""))&amp;(IF(C67=I58,", Flooring &amp; Fitting",IF(C67&gt;0,", Flooring &amp; Fitting upto "&amp;C67&amp;" Floor",""))&amp;(IF(C68=I58,", Wooden Work",IF(C68&gt;0,", Wooden Work upto "&amp;C68&amp;" Floor",""))&amp;(IF(C69=I58,", Electrical &amp; Sanitary fittings",IF(C69&gt;0,", Electrical &amp; Sanitary fittings upto "&amp;C69&amp;" Floor",""))&amp;(IF(C70&gt;0,", Finishing upto "&amp;C70&amp;" Floor","")&amp;(IF(C62&gt;0.5," Completed",""))))))))))))))))</f>
        <v>Excavation work Completed. Plinth work completed, RCC Slab, Brickwork, Internal Plaster, External Plaster, External Plumbing, Elevation and Waterproofing upto 20 Floor, Flooring &amp; Fitting upto 15 Floor Completed</v>
      </c>
      <c r="K57" s="36"/>
    </row>
    <row r="58" spans="1:11" ht="20.25" x14ac:dyDescent="0.3">
      <c r="A58" s="126"/>
      <c r="B58" s="126"/>
      <c r="C58" s="126"/>
      <c r="D58" s="127"/>
      <c r="E58" s="54">
        <v>0</v>
      </c>
      <c r="F58" s="118">
        <v>1</v>
      </c>
      <c r="G58" s="118"/>
      <c r="H58" s="54">
        <v>0</v>
      </c>
      <c r="I58" s="54">
        <f ca="1">--TRIM(RIGHT(SUBSTITUTE(LEFT(A57,_xlfn.AGGREGATE(16,6,FIND({0,1,2,3,4,5,6,7,8,9},A57,ROW(INDIRECT("1:"&amp;LEN(A57)))),1))," ",REPT(" ",LEN(A57))),LEN(A57)))</f>
        <v>39</v>
      </c>
      <c r="J58" s="35" t="s">
        <v>149</v>
      </c>
      <c r="K58" s="36"/>
    </row>
    <row r="59" spans="1:11" ht="20.25" customHeight="1" x14ac:dyDescent="0.3">
      <c r="A59" s="119" t="s">
        <v>147</v>
      </c>
      <c r="B59" s="119"/>
      <c r="C59" s="119" t="s">
        <v>158</v>
      </c>
      <c r="D59" s="119"/>
      <c r="E59" s="55" t="s">
        <v>159</v>
      </c>
      <c r="F59" s="119" t="s">
        <v>148</v>
      </c>
      <c r="G59" s="119"/>
      <c r="H59" s="121" t="s">
        <v>146</v>
      </c>
      <c r="I59" s="122"/>
      <c r="J59" s="38" t="s">
        <v>160</v>
      </c>
      <c r="K59" s="37">
        <f ca="1">I58*25%</f>
        <v>9.75</v>
      </c>
    </row>
    <row r="60" spans="1:11" ht="20.25" customHeight="1" x14ac:dyDescent="0.3">
      <c r="A60" s="68" t="s">
        <v>161</v>
      </c>
      <c r="B60" s="68"/>
      <c r="C60" s="117">
        <f ca="1">K61</f>
        <v>39</v>
      </c>
      <c r="D60" s="118"/>
      <c r="E60" s="53">
        <f ca="1">((100/I58)*C60)/100</f>
        <v>1.0000000000000002</v>
      </c>
      <c r="F60" s="68">
        <f ca="1">(((C60/I58*5)+(C61/I58*20)+(25/(F58+H58+I58)*C62)+(5/(I58)*C63)+(2.5/(I58)*C64)+(2.5/(I58)*C65)+(5/I58*C66)+(10/I58*C67)+(2.5/I58*C68)+(2.5/I58*C69)+(10/I58*C70)+(10/I58*C71))/100)</f>
        <v>0.66410256410256407</v>
      </c>
      <c r="G60" s="68"/>
      <c r="H60" s="68" t="str">
        <f ca="1">J57</f>
        <v>Excavation work Completed. Plinth work completed, RCC Slab, Brickwork, Internal Plaster, External Plaster, External Plumbing, Elevation and Waterproofing upto 20 Floor, Flooring &amp; Fitting upto 15 Floor Completed</v>
      </c>
      <c r="I60" s="68"/>
      <c r="J60" s="38" t="s">
        <v>150</v>
      </c>
      <c r="K60" s="41">
        <f ca="1">I58*50%</f>
        <v>19.5</v>
      </c>
    </row>
    <row r="61" spans="1:11" ht="20.25" customHeight="1" x14ac:dyDescent="0.3">
      <c r="A61" s="68" t="s">
        <v>130</v>
      </c>
      <c r="B61" s="68"/>
      <c r="C61" s="117">
        <f ca="1">K69</f>
        <v>39</v>
      </c>
      <c r="D61" s="118"/>
      <c r="E61" s="53">
        <f ca="1">((100/I58)*C61)/100</f>
        <v>1.0000000000000002</v>
      </c>
      <c r="F61" s="68"/>
      <c r="G61" s="68"/>
      <c r="H61" s="68"/>
      <c r="I61" s="68"/>
      <c r="J61" s="38" t="s">
        <v>151</v>
      </c>
      <c r="K61" s="41">
        <f ca="1">I58</f>
        <v>39</v>
      </c>
    </row>
    <row r="62" spans="1:11" ht="21" customHeight="1" x14ac:dyDescent="0.35">
      <c r="A62" s="68" t="s">
        <v>162</v>
      </c>
      <c r="B62" s="68"/>
      <c r="C62" s="118">
        <v>40</v>
      </c>
      <c r="D62" s="118"/>
      <c r="E62" s="53">
        <f ca="1">((100/(F58+H58+I58))*C62)/100</f>
        <v>1</v>
      </c>
      <c r="F62" s="68"/>
      <c r="G62" s="68"/>
      <c r="H62" s="68"/>
      <c r="I62" s="68"/>
      <c r="J62" s="38" t="s">
        <v>152</v>
      </c>
      <c r="K62" s="42">
        <f ca="1">(IF(E58&gt;1,(I58/(E58+2)),I58/4))</f>
        <v>9.75</v>
      </c>
    </row>
    <row r="63" spans="1:11" ht="21" customHeight="1" x14ac:dyDescent="0.35">
      <c r="A63" s="68" t="s">
        <v>163</v>
      </c>
      <c r="B63" s="68"/>
      <c r="C63" s="118">
        <f>C62-F58</f>
        <v>39</v>
      </c>
      <c r="D63" s="118"/>
      <c r="E63" s="53">
        <f ca="1">((100/I58)*C63)/100</f>
        <v>1.0000000000000002</v>
      </c>
      <c r="F63" s="68"/>
      <c r="G63" s="68"/>
      <c r="H63" s="68"/>
      <c r="I63" s="68"/>
      <c r="J63" s="38" t="s">
        <v>153</v>
      </c>
      <c r="K63" s="42">
        <f ca="1">(IF(E58&gt;1,(I58/(E58+2)+K62),I58/4+K62))</f>
        <v>19.5</v>
      </c>
    </row>
    <row r="64" spans="1:11" ht="21" customHeight="1" x14ac:dyDescent="0.35">
      <c r="A64" s="124" t="s">
        <v>164</v>
      </c>
      <c r="B64" s="125"/>
      <c r="C64" s="117">
        <v>39</v>
      </c>
      <c r="D64" s="117"/>
      <c r="E64" s="53">
        <f ca="1">((100/I58)*C64)/100</f>
        <v>1.0000000000000002</v>
      </c>
      <c r="F64" s="68"/>
      <c r="G64" s="68"/>
      <c r="H64" s="68"/>
      <c r="I64" s="68"/>
      <c r="J64" s="38" t="s">
        <v>165</v>
      </c>
      <c r="K64" s="42">
        <f>(IF(E58&gt;1,(I58/(E58+2)+K63),0))</f>
        <v>0</v>
      </c>
    </row>
    <row r="65" spans="1:11" ht="21" customHeight="1" x14ac:dyDescent="0.35">
      <c r="A65" s="124" t="s">
        <v>232</v>
      </c>
      <c r="B65" s="125"/>
      <c r="C65" s="117">
        <v>39</v>
      </c>
      <c r="D65" s="117"/>
      <c r="E65" s="53">
        <f ca="1">((100/I58)*C65)/100</f>
        <v>1.0000000000000002</v>
      </c>
      <c r="F65" s="68"/>
      <c r="G65" s="68"/>
      <c r="H65" s="68"/>
      <c r="I65" s="68"/>
      <c r="J65" s="38" t="s">
        <v>166</v>
      </c>
      <c r="K65" s="42">
        <f>(IF(E58&gt;2,(I58/(E58+2)+K64),0))</f>
        <v>0</v>
      </c>
    </row>
    <row r="66" spans="1:11" ht="62.25" customHeight="1" x14ac:dyDescent="0.35">
      <c r="A66" s="124" t="s">
        <v>233</v>
      </c>
      <c r="B66" s="125"/>
      <c r="C66" s="118">
        <v>20</v>
      </c>
      <c r="D66" s="118"/>
      <c r="E66" s="53">
        <f ca="1">((100/(I58))*C66)/100</f>
        <v>0.51282051282051289</v>
      </c>
      <c r="F66" s="68"/>
      <c r="G66" s="68"/>
      <c r="H66" s="68"/>
      <c r="I66" s="68"/>
      <c r="J66" s="38" t="s">
        <v>168</v>
      </c>
      <c r="K66" s="43">
        <f>(IF(E58&gt;3,(I58/(E58+2)+K65),0))</f>
        <v>0</v>
      </c>
    </row>
    <row r="67" spans="1:11" ht="21" customHeight="1" x14ac:dyDescent="0.35">
      <c r="A67" s="68" t="s">
        <v>167</v>
      </c>
      <c r="B67" s="68"/>
      <c r="C67" s="118">
        <v>15</v>
      </c>
      <c r="D67" s="118"/>
      <c r="E67" s="53">
        <f ca="1">((100/(I58))*C67)/100</f>
        <v>0.38461538461538469</v>
      </c>
      <c r="F67" s="68"/>
      <c r="G67" s="68"/>
      <c r="H67" s="68"/>
      <c r="I67" s="68"/>
      <c r="J67" s="38" t="s">
        <v>169</v>
      </c>
      <c r="K67" s="42">
        <f>(IF(E58&gt;4,(I58/(E58+2)+K66),0))</f>
        <v>0</v>
      </c>
    </row>
    <row r="68" spans="1:11" ht="21" customHeight="1" x14ac:dyDescent="0.35">
      <c r="A68" s="68" t="s">
        <v>234</v>
      </c>
      <c r="B68" s="68"/>
      <c r="C68" s="118">
        <v>0</v>
      </c>
      <c r="D68" s="118"/>
      <c r="E68" s="53">
        <f ca="1">((100/I58)*C68)/100</f>
        <v>0</v>
      </c>
      <c r="F68" s="68"/>
      <c r="G68" s="68"/>
      <c r="H68" s="68"/>
      <c r="I68" s="68"/>
      <c r="J68" s="38" t="s">
        <v>154</v>
      </c>
      <c r="K68" s="42">
        <f ca="1">(IF(E58=1,(I58/(E58+3)+K63),IF(E58=0,(I58/4+K63),IF(E58&gt;1,0))))</f>
        <v>29.25</v>
      </c>
    </row>
    <row r="69" spans="1:11" ht="39.75" customHeight="1" thickBot="1" x14ac:dyDescent="0.4">
      <c r="A69" s="68" t="s">
        <v>235</v>
      </c>
      <c r="B69" s="68"/>
      <c r="C69" s="118">
        <v>0</v>
      </c>
      <c r="D69" s="118"/>
      <c r="E69" s="53">
        <f ca="1">((100/I58)*C69)/100</f>
        <v>0</v>
      </c>
      <c r="F69" s="68"/>
      <c r="G69" s="68"/>
      <c r="H69" s="68"/>
      <c r="I69" s="68"/>
      <c r="J69" s="40" t="s">
        <v>155</v>
      </c>
      <c r="K69" s="44">
        <f ca="1">(IF(E58&gt;1.5,(I58/(E58+2)+K62+MAX(0,K63-K62)+MAX(0,K64-K63)+MAX(0,K65-K64)+MAX(0,K66-K65)+MAX(0,K67-K66)),IF(E58=1,(I58/(E58+3)+K68),IF(E58=0,I58/4+K68))))</f>
        <v>39</v>
      </c>
    </row>
    <row r="70" spans="1:11" ht="20.25" customHeight="1" x14ac:dyDescent="0.25">
      <c r="A70" s="68" t="s">
        <v>170</v>
      </c>
      <c r="B70" s="68"/>
      <c r="C70" s="118">
        <v>0</v>
      </c>
      <c r="D70" s="118"/>
      <c r="E70" s="53">
        <f ca="1">((100/(I58))*C70)/100</f>
        <v>0</v>
      </c>
      <c r="F70" s="68"/>
      <c r="G70" s="68"/>
      <c r="H70" s="68"/>
      <c r="I70" s="68"/>
    </row>
    <row r="71" spans="1:11" ht="20.25" x14ac:dyDescent="0.25">
      <c r="A71" s="68" t="s">
        <v>171</v>
      </c>
      <c r="B71" s="68"/>
      <c r="C71" s="118">
        <v>0</v>
      </c>
      <c r="D71" s="118"/>
      <c r="E71" s="53">
        <f ca="1">((100/(I58))*C71)/100</f>
        <v>0</v>
      </c>
      <c r="F71" s="68"/>
      <c r="G71" s="68"/>
      <c r="H71" s="68"/>
      <c r="I71" s="68"/>
    </row>
    <row r="72" spans="1:11" ht="21" thickBot="1" x14ac:dyDescent="0.3">
      <c r="A72" s="120" t="s">
        <v>70</v>
      </c>
      <c r="B72" s="120"/>
      <c r="C72" s="120"/>
      <c r="D72" s="120"/>
      <c r="E72" s="120"/>
      <c r="F72" s="120"/>
      <c r="G72" s="120"/>
      <c r="H72" s="120"/>
      <c r="I72" s="120"/>
    </row>
    <row r="73" spans="1:11" ht="20.25" customHeight="1" x14ac:dyDescent="0.3">
      <c r="A73" s="126" t="s">
        <v>265</v>
      </c>
      <c r="B73" s="126"/>
      <c r="C73" s="126"/>
      <c r="D73" s="127" t="s">
        <v>4</v>
      </c>
      <c r="E73" s="54" t="s">
        <v>143</v>
      </c>
      <c r="F73" s="118" t="s">
        <v>129</v>
      </c>
      <c r="G73" s="118"/>
      <c r="H73" s="54" t="s">
        <v>144</v>
      </c>
      <c r="I73" s="54" t="s">
        <v>145</v>
      </c>
      <c r="J73" s="34" t="str">
        <f ca="1">(IF(F76&gt;99%,"All work completed. Please provide OC.",IF(F76&gt;89.8%,"Plinth, RCC, Brick, Plaster, Flooring, Wooden, Plumbing, Electrification, etc., work Completed. Finishing work is in process.",IF(F76&lt;94%,(IF(C76=0,"Work not yet Started.",IF(E76=25%,"Piling work in process",IF(E76=50%,"Excavation work in process",IF(E76=100%,"Excavation work Completed. ","0")))&amp;(IF(C77=0%,"",IF(C77=K78,"Footing work is process",IF(C77=K79,"Footing work Completed",IF(C77=K80,"1st Basement Completed",IF(C77=K81,"1st &amp; 2nd Basement Completed",IF(C77=K82,"1st to 3rd Basement Completed",IF(C77=K83,"1st to 4th Basement Completed",IF(C77=K84,"Plinth work is process",IF(C77=K85,"Plinth work completed","0")))))))))))&amp;(IF(C78=(F74+H74+I74),", RCC Slab",IF(C78&gt;0,", RCC upto "&amp;C78&amp;" Slab",""))&amp;(IF(C79=I74,", Brickwork",IF(C79&gt;0,", Brickwork upto "&amp;C79&amp;" Floor",""))&amp;(IF(C80=I74,", Internal Plaster",IF(C80&gt;0,", Internal Plaster upto "&amp;C80&amp;" Floor",""))&amp;(IF(C81=I74,", External Plaster",IF(C81&gt;0,", External Plaster upto "&amp;C81&amp;" Floor",""))&amp;(IF(C82=I74,", External Plumbing, Elevation and Waterproofing",IF(C82&gt;0,", External Plumbing, Elevation and Waterproofing upto "&amp;C82&amp;" Floor",""))&amp;(IF(C83=I74,", Flooring &amp; Fitting",IF(C83&gt;0,", Flooring &amp; Fitting upto "&amp;C83&amp;" Floor",""))&amp;(IF(C84=I74,", Wooden Work",IF(C84&gt;0,", Wooden Work upto "&amp;C84&amp;" Floor",""))&amp;(IF(C85=I74,", Electrical &amp; Sanitary fittings",IF(C85&gt;0,", Electrical &amp; Sanitary fittings upto "&amp;C85&amp;" Floor",""))&amp;(IF(C86&gt;0,", Finishing upto "&amp;C86&amp;" Floor","")&amp;(IF(C78&gt;0.5," Completed",""))))))))))))))))</f>
        <v>Excavation work Completed. Plinth work completed, RCC upto 2 Slab Completed</v>
      </c>
      <c r="K73" s="36"/>
    </row>
    <row r="74" spans="1:11" ht="20.25" x14ac:dyDescent="0.3">
      <c r="A74" s="126"/>
      <c r="B74" s="126"/>
      <c r="C74" s="126"/>
      <c r="D74" s="127"/>
      <c r="E74" s="54">
        <v>0</v>
      </c>
      <c r="F74" s="118">
        <v>1</v>
      </c>
      <c r="G74" s="118"/>
      <c r="H74" s="54">
        <v>0</v>
      </c>
      <c r="I74" s="54">
        <f ca="1">--TRIM(RIGHT(SUBSTITUTE(LEFT(A73,_xlfn.AGGREGATE(16,6,FIND({0,1,2,3,4,5,6,7,8,9},A73,ROW(INDIRECT("1:"&amp;LEN(A73)))),1))," ",REPT(" ",LEN(A73))),LEN(A73)))</f>
        <v>39</v>
      </c>
      <c r="J74" s="35" t="s">
        <v>149</v>
      </c>
      <c r="K74" s="36"/>
    </row>
    <row r="75" spans="1:11" ht="20.25" customHeight="1" x14ac:dyDescent="0.3">
      <c r="A75" s="119" t="s">
        <v>147</v>
      </c>
      <c r="B75" s="119"/>
      <c r="C75" s="119" t="s">
        <v>158</v>
      </c>
      <c r="D75" s="119"/>
      <c r="E75" s="55" t="s">
        <v>159</v>
      </c>
      <c r="F75" s="119" t="s">
        <v>148</v>
      </c>
      <c r="G75" s="119"/>
      <c r="H75" s="121" t="s">
        <v>146</v>
      </c>
      <c r="I75" s="122"/>
      <c r="J75" s="38" t="s">
        <v>160</v>
      </c>
      <c r="K75" s="37">
        <f ca="1">I74*25%</f>
        <v>9.75</v>
      </c>
    </row>
    <row r="76" spans="1:11" ht="20.25" customHeight="1" x14ac:dyDescent="0.3">
      <c r="A76" s="68" t="s">
        <v>161</v>
      </c>
      <c r="B76" s="68"/>
      <c r="C76" s="118">
        <f ca="1">K77</f>
        <v>39</v>
      </c>
      <c r="D76" s="118"/>
      <c r="E76" s="53">
        <f ca="1">((100/I74)*C76)/100</f>
        <v>1.0000000000000002</v>
      </c>
      <c r="F76" s="68">
        <f ca="1">(((C76/I74*5)+(C77/I74*20)+(25/(F74+H74+I74)*C78)+(5/(I74)*C79)+(2.5/(I74)*C80)+(2.5/(I74)*C81)+(5/I74*C82)+(10/I74*C83)+(2.5/I74*C84)+(2.5/I74*C85)+(10/I74*C86)+(10/I74*C87))/100)</f>
        <v>0.26250000000000001</v>
      </c>
      <c r="G76" s="68"/>
      <c r="H76" s="68" t="str">
        <f ca="1">J73</f>
        <v>Excavation work Completed. Plinth work completed, RCC upto 2 Slab Completed</v>
      </c>
      <c r="I76" s="68"/>
      <c r="J76" s="38" t="s">
        <v>150</v>
      </c>
      <c r="K76" s="41">
        <f ca="1">I74*50%</f>
        <v>19.5</v>
      </c>
    </row>
    <row r="77" spans="1:11" ht="20.25" x14ac:dyDescent="0.3">
      <c r="A77" s="68" t="s">
        <v>130</v>
      </c>
      <c r="B77" s="68"/>
      <c r="C77" s="117">
        <f ca="1">K85</f>
        <v>39</v>
      </c>
      <c r="D77" s="118"/>
      <c r="E77" s="53">
        <f ca="1">((100/I74)*C77)/100</f>
        <v>1.0000000000000002</v>
      </c>
      <c r="F77" s="68"/>
      <c r="G77" s="68"/>
      <c r="H77" s="68"/>
      <c r="I77" s="68"/>
      <c r="J77" s="38" t="s">
        <v>151</v>
      </c>
      <c r="K77" s="41">
        <f ca="1">I74</f>
        <v>39</v>
      </c>
    </row>
    <row r="78" spans="1:11" ht="21" customHeight="1" x14ac:dyDescent="0.35">
      <c r="A78" s="68" t="s">
        <v>162</v>
      </c>
      <c r="B78" s="68"/>
      <c r="C78" s="118">
        <v>2</v>
      </c>
      <c r="D78" s="118"/>
      <c r="E78" s="53">
        <f ca="1">((100/(F74+H74+I74))*C78)/100</f>
        <v>0.05</v>
      </c>
      <c r="F78" s="68"/>
      <c r="G78" s="68"/>
      <c r="H78" s="68"/>
      <c r="I78" s="68"/>
      <c r="J78" s="38" t="s">
        <v>152</v>
      </c>
      <c r="K78" s="42">
        <f ca="1">(IF(E74&gt;1,(I74/(E74+2)),I74/4))</f>
        <v>9.75</v>
      </c>
    </row>
    <row r="79" spans="1:11" ht="21" customHeight="1" x14ac:dyDescent="0.35">
      <c r="A79" s="68" t="s">
        <v>163</v>
      </c>
      <c r="B79" s="68"/>
      <c r="C79" s="118">
        <v>0</v>
      </c>
      <c r="D79" s="118"/>
      <c r="E79" s="53">
        <f ca="1">((100/I74)*C79)/100</f>
        <v>0</v>
      </c>
      <c r="F79" s="68"/>
      <c r="G79" s="68"/>
      <c r="H79" s="68"/>
      <c r="I79" s="68"/>
      <c r="J79" s="38" t="s">
        <v>153</v>
      </c>
      <c r="K79" s="42">
        <f ca="1">(IF(E74&gt;1,(I74/(E74+2)+K78),I74/4+K78))</f>
        <v>19.5</v>
      </c>
    </row>
    <row r="80" spans="1:11" ht="21" x14ac:dyDescent="0.35">
      <c r="A80" s="124" t="s">
        <v>164</v>
      </c>
      <c r="B80" s="125"/>
      <c r="C80" s="118">
        <v>0</v>
      </c>
      <c r="D80" s="118"/>
      <c r="E80" s="53">
        <f ca="1">((100/I74)*C80)/100</f>
        <v>0</v>
      </c>
      <c r="F80" s="68"/>
      <c r="G80" s="68"/>
      <c r="H80" s="68"/>
      <c r="I80" s="68"/>
      <c r="J80" s="38" t="s">
        <v>165</v>
      </c>
      <c r="K80" s="42">
        <f>(IF(E74&gt;1,(I74/(E74+2)+K79),0))</f>
        <v>0</v>
      </c>
    </row>
    <row r="81" spans="1:12" ht="21" x14ac:dyDescent="0.35">
      <c r="A81" s="124" t="s">
        <v>232</v>
      </c>
      <c r="B81" s="125"/>
      <c r="C81" s="118">
        <v>0</v>
      </c>
      <c r="D81" s="118"/>
      <c r="E81" s="53">
        <f ca="1">((100/I74)*C81)/100</f>
        <v>0</v>
      </c>
      <c r="F81" s="68"/>
      <c r="G81" s="68"/>
      <c r="H81" s="68"/>
      <c r="I81" s="68"/>
      <c r="J81" s="38" t="s">
        <v>166</v>
      </c>
      <c r="K81" s="42">
        <f>(IF(E74&gt;2,(I74/(E74+2)+K80),0))</f>
        <v>0</v>
      </c>
    </row>
    <row r="82" spans="1:12" ht="63" customHeight="1" x14ac:dyDescent="0.35">
      <c r="A82" s="124" t="s">
        <v>233</v>
      </c>
      <c r="B82" s="125"/>
      <c r="C82" s="118">
        <v>0</v>
      </c>
      <c r="D82" s="118"/>
      <c r="E82" s="53">
        <f ca="1">((100/(I74))*C82)/100</f>
        <v>0</v>
      </c>
      <c r="F82" s="68"/>
      <c r="G82" s="68"/>
      <c r="H82" s="68"/>
      <c r="I82" s="68"/>
      <c r="J82" s="38" t="s">
        <v>168</v>
      </c>
      <c r="K82" s="43">
        <f>(IF(E74&gt;3,(I74/(E74+2)+K81),0))</f>
        <v>0</v>
      </c>
    </row>
    <row r="83" spans="1:12" ht="21" customHeight="1" x14ac:dyDescent="0.35">
      <c r="A83" s="68" t="s">
        <v>167</v>
      </c>
      <c r="B83" s="68"/>
      <c r="C83" s="118">
        <v>0</v>
      </c>
      <c r="D83" s="118"/>
      <c r="E83" s="53">
        <f ca="1">((100/(I74))*C83)/100</f>
        <v>0</v>
      </c>
      <c r="F83" s="68"/>
      <c r="G83" s="68"/>
      <c r="H83" s="68"/>
      <c r="I83" s="68"/>
      <c r="J83" s="38" t="s">
        <v>169</v>
      </c>
      <c r="K83" s="42">
        <f>(IF(E74&gt;4,(I74/(E74+2)+K82),0))</f>
        <v>0</v>
      </c>
    </row>
    <row r="84" spans="1:12" ht="21" customHeight="1" x14ac:dyDescent="0.35">
      <c r="A84" s="68" t="s">
        <v>234</v>
      </c>
      <c r="B84" s="68"/>
      <c r="C84" s="118">
        <v>0</v>
      </c>
      <c r="D84" s="118"/>
      <c r="E84" s="53">
        <f ca="1">((100/I74)*C84)/100</f>
        <v>0</v>
      </c>
      <c r="F84" s="68"/>
      <c r="G84" s="68"/>
      <c r="H84" s="68"/>
      <c r="I84" s="68"/>
      <c r="J84" s="38" t="s">
        <v>154</v>
      </c>
      <c r="K84" s="42">
        <f ca="1">(IF(E74=1,(I74/(E74+3)+K79),IF(E74=0,(I74/4+K79),IF(E74&gt;1,0))))</f>
        <v>29.25</v>
      </c>
    </row>
    <row r="85" spans="1:12" ht="21.75" customHeight="1" thickBot="1" x14ac:dyDescent="0.4">
      <c r="A85" s="68" t="s">
        <v>235</v>
      </c>
      <c r="B85" s="68"/>
      <c r="C85" s="118">
        <v>0</v>
      </c>
      <c r="D85" s="118"/>
      <c r="E85" s="53">
        <f ca="1">((100/I74)*C85)/100</f>
        <v>0</v>
      </c>
      <c r="F85" s="68"/>
      <c r="G85" s="68"/>
      <c r="H85" s="68"/>
      <c r="I85" s="68"/>
      <c r="J85" s="40" t="s">
        <v>155</v>
      </c>
      <c r="K85" s="44">
        <f ca="1">(IF(E74&gt;1.5,(I74/(E74+2)+K78+MAX(0,K79-K78)+MAX(0,K80-K79)+MAX(0,K81-K80)+MAX(0,K82-K81)+MAX(0,K83-K82)),IF(E74=1,(I74/(E74+3)+K84),IF(E74=0,I74/4+K84))))</f>
        <v>39</v>
      </c>
    </row>
    <row r="86" spans="1:12" ht="20.25" customHeight="1" x14ac:dyDescent="0.25">
      <c r="A86" s="68" t="s">
        <v>170</v>
      </c>
      <c r="B86" s="68"/>
      <c r="C86" s="118">
        <v>0</v>
      </c>
      <c r="D86" s="118"/>
      <c r="E86" s="53">
        <f ca="1">((100/(I74))*C86)/100</f>
        <v>0</v>
      </c>
      <c r="F86" s="68"/>
      <c r="G86" s="68"/>
      <c r="H86" s="68"/>
      <c r="I86" s="68"/>
    </row>
    <row r="87" spans="1:12" ht="20.25" x14ac:dyDescent="0.25">
      <c r="A87" s="68" t="s">
        <v>171</v>
      </c>
      <c r="B87" s="68"/>
      <c r="C87" s="118">
        <v>0</v>
      </c>
      <c r="D87" s="118"/>
      <c r="E87" s="53">
        <f ca="1">((100/(I74))*C87)/100</f>
        <v>0</v>
      </c>
      <c r="F87" s="68"/>
      <c r="G87" s="68"/>
      <c r="H87" s="68"/>
      <c r="I87" s="68"/>
    </row>
    <row r="88" spans="1:12" ht="36.75" customHeight="1" x14ac:dyDescent="0.3">
      <c r="A88" s="91" t="s">
        <v>156</v>
      </c>
      <c r="B88" s="92"/>
      <c r="C88" s="92"/>
      <c r="D88" s="92"/>
      <c r="E88" s="92"/>
      <c r="F88" s="92"/>
      <c r="G88" s="92"/>
      <c r="H88" s="184">
        <f ca="1">AVERAGE(F60,F76)</f>
        <v>0.46330128205128207</v>
      </c>
      <c r="I88" s="185"/>
      <c r="J88" s="38"/>
      <c r="K88" s="39"/>
      <c r="L88" s="39"/>
    </row>
    <row r="89" spans="1:12" ht="20.25" x14ac:dyDescent="0.25">
      <c r="A89" s="157" t="s">
        <v>74</v>
      </c>
      <c r="B89" s="158"/>
      <c r="C89" s="158"/>
      <c r="D89" s="158"/>
      <c r="E89" s="158"/>
      <c r="F89" s="158"/>
      <c r="G89" s="158"/>
      <c r="H89" s="158"/>
      <c r="I89" s="159"/>
    </row>
    <row r="90" spans="1:12" ht="60.75" x14ac:dyDescent="0.25">
      <c r="A90" s="69" t="s">
        <v>75</v>
      </c>
      <c r="B90" s="69"/>
      <c r="C90" s="69"/>
      <c r="D90" s="3" t="s">
        <v>4</v>
      </c>
      <c r="E90" s="14" t="s">
        <v>135</v>
      </c>
      <c r="F90" s="19" t="s">
        <v>172</v>
      </c>
      <c r="G90" s="3" t="s">
        <v>4</v>
      </c>
      <c r="H90" s="180" t="s">
        <v>187</v>
      </c>
      <c r="I90" s="180"/>
    </row>
    <row r="91" spans="1:12" ht="60.75" x14ac:dyDescent="0.25">
      <c r="A91" s="69" t="s">
        <v>183</v>
      </c>
      <c r="B91" s="69"/>
      <c r="C91" s="69"/>
      <c r="D91" s="2" t="s">
        <v>131</v>
      </c>
      <c r="E91" s="17" t="s">
        <v>220</v>
      </c>
      <c r="F91" s="19" t="s">
        <v>184</v>
      </c>
      <c r="G91" s="2" t="s">
        <v>4</v>
      </c>
      <c r="H91" s="116" t="s">
        <v>173</v>
      </c>
      <c r="I91" s="116"/>
    </row>
    <row r="92" spans="1:12" s="57" customFormat="1" ht="26.25" customHeight="1" x14ac:dyDescent="0.25">
      <c r="A92" s="183" t="s">
        <v>78</v>
      </c>
      <c r="B92" s="183"/>
      <c r="C92" s="183"/>
      <c r="D92" s="3" t="s">
        <v>4</v>
      </c>
      <c r="E92" s="17">
        <v>800000</v>
      </c>
      <c r="F92" s="3" t="s">
        <v>128</v>
      </c>
      <c r="G92" s="3" t="s">
        <v>4</v>
      </c>
      <c r="H92" s="186" t="s">
        <v>136</v>
      </c>
      <c r="I92" s="187"/>
    </row>
    <row r="93" spans="1:12" s="57" customFormat="1" ht="20.25" hidden="1" x14ac:dyDescent="0.25">
      <c r="A93" s="69" t="s">
        <v>118</v>
      </c>
      <c r="B93" s="69"/>
      <c r="C93" s="69"/>
      <c r="D93" s="2" t="s">
        <v>4</v>
      </c>
      <c r="E93" s="17" t="s">
        <v>119</v>
      </c>
      <c r="F93" s="19" t="s">
        <v>120</v>
      </c>
      <c r="G93" s="2" t="s">
        <v>4</v>
      </c>
      <c r="H93" s="116" t="s">
        <v>97</v>
      </c>
      <c r="I93" s="116"/>
    </row>
    <row r="94" spans="1:12" s="57" customFormat="1" ht="60.75" hidden="1" x14ac:dyDescent="0.25">
      <c r="A94" s="69" t="s">
        <v>121</v>
      </c>
      <c r="B94" s="69"/>
      <c r="C94" s="69"/>
      <c r="D94" s="2" t="s">
        <v>4</v>
      </c>
      <c r="E94" s="17" t="s">
        <v>122</v>
      </c>
      <c r="F94" s="19" t="s">
        <v>123</v>
      </c>
      <c r="G94" s="2" t="s">
        <v>4</v>
      </c>
      <c r="H94" s="116" t="s">
        <v>124</v>
      </c>
      <c r="I94" s="116"/>
    </row>
    <row r="95" spans="1:12" s="57" customFormat="1" ht="20.25" hidden="1" x14ac:dyDescent="0.25">
      <c r="A95" s="69" t="s">
        <v>77</v>
      </c>
      <c r="B95" s="69"/>
      <c r="C95" s="69"/>
      <c r="D95" s="2" t="s">
        <v>4</v>
      </c>
      <c r="E95" s="17" t="s">
        <v>99</v>
      </c>
      <c r="F95" s="19" t="s">
        <v>76</v>
      </c>
      <c r="G95" s="2" t="s">
        <v>4</v>
      </c>
      <c r="H95" s="87" t="s">
        <v>99</v>
      </c>
      <c r="I95" s="88"/>
    </row>
    <row r="96" spans="1:12" s="57" customFormat="1" ht="20.25" hidden="1" x14ac:dyDescent="0.25">
      <c r="A96" s="69" t="s">
        <v>125</v>
      </c>
      <c r="B96" s="69"/>
      <c r="C96" s="69"/>
      <c r="D96" s="2" t="s">
        <v>4</v>
      </c>
      <c r="E96" s="17" t="s">
        <v>98</v>
      </c>
      <c r="F96" s="19" t="s">
        <v>78</v>
      </c>
      <c r="G96" s="2" t="s">
        <v>4</v>
      </c>
      <c r="H96" s="116" t="s">
        <v>117</v>
      </c>
      <c r="I96" s="116"/>
    </row>
    <row r="97" spans="1:151 16227:16384" s="57" customFormat="1" ht="20.25" hidden="1" x14ac:dyDescent="0.25">
      <c r="A97" s="69" t="s">
        <v>126</v>
      </c>
      <c r="B97" s="69"/>
      <c r="C97" s="69"/>
      <c r="D97" s="2" t="s">
        <v>4</v>
      </c>
      <c r="E97" s="65" t="s">
        <v>110</v>
      </c>
      <c r="F97" s="19" t="s">
        <v>127</v>
      </c>
      <c r="G97" s="2" t="s">
        <v>4</v>
      </c>
      <c r="H97" s="190" t="s">
        <v>110</v>
      </c>
      <c r="I97" s="190"/>
    </row>
    <row r="98" spans="1:151 16227:16384" s="57" customFormat="1" ht="18" hidden="1" customHeight="1" x14ac:dyDescent="0.25">
      <c r="A98" s="183" t="s">
        <v>128</v>
      </c>
      <c r="B98" s="183"/>
      <c r="C98" s="183"/>
      <c r="D98" s="3" t="s">
        <v>4</v>
      </c>
      <c r="E98" s="66"/>
      <c r="F98" s="3" t="s">
        <v>128</v>
      </c>
      <c r="G98" s="3" t="s">
        <v>4</v>
      </c>
      <c r="H98" s="191" t="s">
        <v>110</v>
      </c>
      <c r="I98" s="192"/>
    </row>
    <row r="99" spans="1:151 16227:16384" s="57" customFormat="1" ht="20.25" x14ac:dyDescent="0.25">
      <c r="A99" s="157" t="s">
        <v>73</v>
      </c>
      <c r="B99" s="158"/>
      <c r="C99" s="158"/>
      <c r="D99" s="158"/>
      <c r="E99" s="158"/>
      <c r="F99" s="158"/>
      <c r="G99" s="158"/>
      <c r="H99" s="158"/>
      <c r="I99" s="159"/>
    </row>
    <row r="100" spans="1:151 16227:16384" s="57" customFormat="1" ht="20.25" x14ac:dyDescent="0.25">
      <c r="A100" s="130" t="s">
        <v>9</v>
      </c>
      <c r="B100" s="131"/>
      <c r="C100" s="131"/>
      <c r="D100" s="131"/>
      <c r="E100" s="131"/>
      <c r="F100" s="132"/>
      <c r="G100" s="2" t="s">
        <v>4</v>
      </c>
      <c r="H100" s="188">
        <f>58050/10.764</f>
        <v>5392.9765886287632</v>
      </c>
      <c r="I100" s="189"/>
    </row>
    <row r="101" spans="1:151 16227:16384" ht="20.25" x14ac:dyDescent="0.25">
      <c r="A101" s="130" t="s">
        <v>31</v>
      </c>
      <c r="B101" s="131"/>
      <c r="C101" s="131"/>
      <c r="D101" s="131"/>
      <c r="E101" s="131"/>
      <c r="F101" s="132"/>
      <c r="G101" s="2" t="s">
        <v>4</v>
      </c>
      <c r="H101" s="164">
        <f>142230/10.764</f>
        <v>13213.489409141584</v>
      </c>
      <c r="I101" s="164"/>
    </row>
    <row r="102" spans="1:151 16227:16384" ht="20.25" x14ac:dyDescent="0.25">
      <c r="A102" s="130" t="s">
        <v>137</v>
      </c>
      <c r="B102" s="131"/>
      <c r="C102" s="131"/>
      <c r="D102" s="131"/>
      <c r="E102" s="131"/>
      <c r="F102" s="132"/>
      <c r="G102" s="2" t="s">
        <v>4</v>
      </c>
      <c r="H102" s="164">
        <f>H100*0.8</f>
        <v>4314.3812709030108</v>
      </c>
      <c r="I102" s="164"/>
    </row>
    <row r="103" spans="1:151 16227:16384" ht="20.25" x14ac:dyDescent="0.25">
      <c r="A103" s="161" t="s">
        <v>82</v>
      </c>
      <c r="B103" s="162"/>
      <c r="C103" s="162"/>
      <c r="D103" s="162"/>
      <c r="E103" s="162"/>
      <c r="F103" s="162"/>
      <c r="G103" s="162"/>
      <c r="H103" s="162"/>
      <c r="I103" s="163"/>
    </row>
    <row r="104" spans="1:151 16227:16384" s="10" customFormat="1" ht="40.5" x14ac:dyDescent="0.25">
      <c r="A104" s="89" t="s">
        <v>180</v>
      </c>
      <c r="B104" s="90"/>
      <c r="C104" s="89" t="s">
        <v>181</v>
      </c>
      <c r="D104" s="90"/>
      <c r="E104" s="60" t="s">
        <v>182</v>
      </c>
      <c r="F104" s="181" t="s">
        <v>179</v>
      </c>
      <c r="G104" s="182"/>
      <c r="H104" s="46" t="s">
        <v>178</v>
      </c>
      <c r="I104" s="46" t="s">
        <v>177</v>
      </c>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WZC104" s="1"/>
      <c r="WZD104" s="1"/>
      <c r="WZE104" s="1"/>
      <c r="WZF104" s="1"/>
      <c r="WZG104" s="1"/>
      <c r="WZH104" s="1"/>
      <c r="WZI104" s="1"/>
      <c r="WZJ104" s="1"/>
      <c r="WZK104" s="1"/>
      <c r="WZL104" s="1"/>
      <c r="WZM104" s="1"/>
      <c r="WZN104" s="1"/>
      <c r="WZO104" s="1"/>
      <c r="WZP104" s="1"/>
      <c r="WZQ104" s="1"/>
      <c r="WZR104" s="1"/>
      <c r="WZS104" s="1"/>
      <c r="WZT104" s="1"/>
      <c r="WZU104" s="1"/>
      <c r="WZV104" s="1"/>
      <c r="WZW104" s="1"/>
      <c r="WZX104" s="1"/>
      <c r="WZY104" s="1"/>
      <c r="WZZ104" s="1"/>
      <c r="XAA104" s="1"/>
      <c r="XAB104" s="1"/>
      <c r="XAC104" s="1"/>
      <c r="XAD104" s="1"/>
      <c r="XAE104" s="1"/>
      <c r="XAF104" s="1"/>
      <c r="XAG104" s="1"/>
      <c r="XAH104" s="1"/>
      <c r="XAI104" s="1"/>
      <c r="XAJ104" s="1"/>
      <c r="XAK104" s="1"/>
      <c r="XAL104" s="1"/>
      <c r="XAM104" s="1"/>
      <c r="XAN104" s="1"/>
      <c r="XAO104" s="1"/>
      <c r="XAP104" s="1"/>
      <c r="XAQ104" s="1"/>
      <c r="XAR104" s="1"/>
      <c r="XAS104" s="1"/>
      <c r="XAT104" s="1"/>
      <c r="XAU104" s="1"/>
      <c r="XAV104" s="1"/>
      <c r="XAW104" s="1"/>
      <c r="XAX104" s="1"/>
      <c r="XAY104" s="1"/>
      <c r="XAZ104" s="1"/>
      <c r="XBA104" s="1"/>
      <c r="XBB104" s="1"/>
      <c r="XBC104" s="1"/>
      <c r="XBD104" s="1"/>
      <c r="XBE104" s="1"/>
      <c r="XBF104" s="1"/>
      <c r="XBG104" s="1"/>
      <c r="XBH104" s="1"/>
      <c r="XBI104" s="1"/>
      <c r="XBJ104" s="1"/>
      <c r="XBK104" s="1"/>
      <c r="XBL104" s="1"/>
      <c r="XBM104" s="1"/>
      <c r="XBN104" s="1"/>
      <c r="XBO104" s="1"/>
      <c r="XBP104" s="1"/>
      <c r="XBQ104" s="1"/>
      <c r="XBR104" s="1"/>
      <c r="XBS104" s="1"/>
      <c r="XBT104" s="1"/>
      <c r="XBU104" s="1"/>
      <c r="XBV104" s="1"/>
      <c r="XBW104" s="1"/>
      <c r="XBX104" s="1"/>
      <c r="XBY104" s="1"/>
      <c r="XBZ104" s="1"/>
      <c r="XCA104" s="1"/>
      <c r="XCB104" s="1"/>
      <c r="XCC104" s="1"/>
      <c r="XCD104" s="1"/>
      <c r="XCE104" s="1"/>
      <c r="XCF104" s="1"/>
      <c r="XCG104" s="1"/>
      <c r="XCH104" s="1"/>
      <c r="XCI104" s="1"/>
      <c r="XCJ104" s="1"/>
      <c r="XCK104" s="1"/>
      <c r="XCL104" s="1"/>
      <c r="XCM104" s="1"/>
      <c r="XCN104" s="1"/>
      <c r="XCO104" s="1"/>
      <c r="XCP104" s="1"/>
      <c r="XCQ104" s="1"/>
      <c r="XCR104" s="1"/>
      <c r="XCS104" s="1"/>
      <c r="XCT104" s="1"/>
      <c r="XCU104" s="1"/>
      <c r="XCV104" s="1"/>
      <c r="XCW104" s="1"/>
      <c r="XCX104" s="1"/>
      <c r="XCY104" s="1"/>
      <c r="XCZ104" s="1"/>
      <c r="XDA104" s="1"/>
      <c r="XDB104" s="1"/>
      <c r="XDC104" s="1"/>
      <c r="XDD104" s="1"/>
      <c r="XDE104" s="1"/>
      <c r="XDF104" s="1"/>
      <c r="XDG104" s="1"/>
      <c r="XDH104" s="1"/>
      <c r="XDI104" s="1"/>
      <c r="XDJ104" s="1"/>
      <c r="XDK104" s="1"/>
      <c r="XDL104" s="1"/>
      <c r="XDM104" s="1"/>
      <c r="XDN104" s="1"/>
      <c r="XDO104" s="1"/>
      <c r="XDP104" s="1"/>
      <c r="XDQ104" s="1"/>
      <c r="XDR104" s="1"/>
      <c r="XDS104" s="1"/>
      <c r="XDT104" s="1"/>
      <c r="XDU104" s="1"/>
      <c r="XDV104" s="1"/>
      <c r="XDW104" s="1"/>
      <c r="XDX104" s="1"/>
      <c r="XDY104" s="1"/>
      <c r="XDZ104" s="1"/>
      <c r="XEA104" s="1"/>
      <c r="XEB104" s="1"/>
      <c r="XEC104" s="1"/>
      <c r="XED104" s="1"/>
      <c r="XEE104" s="1"/>
      <c r="XEF104" s="1"/>
      <c r="XEG104" s="1"/>
      <c r="XEH104" s="1"/>
      <c r="XEI104" s="1"/>
      <c r="XEJ104" s="1"/>
      <c r="XEK104" s="1"/>
      <c r="XEL104" s="1"/>
      <c r="XEM104" s="1"/>
      <c r="XEN104" s="1"/>
      <c r="XEO104" s="1"/>
      <c r="XEP104" s="1"/>
      <c r="XEQ104" s="1"/>
      <c r="XER104" s="1"/>
      <c r="XES104" s="1"/>
      <c r="XET104" s="1"/>
      <c r="XEU104" s="1"/>
      <c r="XEV104" s="1"/>
      <c r="XEW104" s="1"/>
      <c r="XEX104" s="1"/>
      <c r="XEY104" s="1"/>
      <c r="XEZ104" s="1"/>
      <c r="XFA104" s="1"/>
      <c r="XFB104" s="1"/>
      <c r="XFC104" s="1"/>
      <c r="XFD104" s="1"/>
    </row>
    <row r="105" spans="1:151 16227:16384" s="10" customFormat="1" ht="20.25" x14ac:dyDescent="0.25">
      <c r="A105" s="76" t="s">
        <v>227</v>
      </c>
      <c r="B105" s="77"/>
      <c r="C105" s="80" t="s">
        <v>95</v>
      </c>
      <c r="D105" s="81"/>
      <c r="E105" s="58" t="s">
        <v>214</v>
      </c>
      <c r="F105" s="82">
        <f>COUNT(F116:G123)+COUNT(F125:G132)</f>
        <v>16</v>
      </c>
      <c r="G105" s="83"/>
      <c r="H105" s="47">
        <f>SUM(F116:G123)+SUM(F125:G132)</f>
        <v>3332.9768003999998</v>
      </c>
      <c r="I105" s="47">
        <f>SUM(I116:I123)+SUM(I125:I132)</f>
        <v>5166.1140406200002</v>
      </c>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WZC105" s="1"/>
      <c r="WZD105" s="1"/>
      <c r="WZE105" s="1"/>
      <c r="WZF105" s="1"/>
      <c r="WZG105" s="1"/>
      <c r="WZH105" s="1"/>
      <c r="WZI105" s="1"/>
      <c r="WZJ105" s="1"/>
      <c r="WZK105" s="1"/>
      <c r="WZL105" s="1"/>
      <c r="WZM105" s="1"/>
      <c r="WZN105" s="1"/>
      <c r="WZO105" s="1"/>
      <c r="WZP105" s="1"/>
      <c r="WZQ105" s="1"/>
      <c r="WZR105" s="1"/>
      <c r="WZS105" s="1"/>
      <c r="WZT105" s="1"/>
      <c r="WZU105" s="1"/>
      <c r="WZV105" s="1"/>
      <c r="WZW105" s="1"/>
      <c r="WZX105" s="1"/>
      <c r="WZY105" s="1"/>
      <c r="WZZ105" s="1"/>
      <c r="XAA105" s="1"/>
      <c r="XAB105" s="1"/>
      <c r="XAC105" s="1"/>
      <c r="XAD105" s="1"/>
      <c r="XAE105" s="1"/>
      <c r="XAF105" s="1"/>
      <c r="XAG105" s="1"/>
      <c r="XAH105" s="1"/>
      <c r="XAI105" s="1"/>
      <c r="XAJ105" s="1"/>
      <c r="XAK105" s="1"/>
      <c r="XAL105" s="1"/>
      <c r="XAM105" s="1"/>
      <c r="XAN105" s="1"/>
      <c r="XAO105" s="1"/>
      <c r="XAP105" s="1"/>
      <c r="XAQ105" s="1"/>
      <c r="XAR105" s="1"/>
      <c r="XAS105" s="1"/>
      <c r="XAT105" s="1"/>
      <c r="XAU105" s="1"/>
      <c r="XAV105" s="1"/>
      <c r="XAW105" s="1"/>
      <c r="XAX105" s="1"/>
      <c r="XAY105" s="1"/>
      <c r="XAZ105" s="1"/>
      <c r="XBA105" s="1"/>
      <c r="XBB105" s="1"/>
      <c r="XBC105" s="1"/>
      <c r="XBD105" s="1"/>
      <c r="XBE105" s="1"/>
      <c r="XBF105" s="1"/>
      <c r="XBG105" s="1"/>
      <c r="XBH105" s="1"/>
      <c r="XBI105" s="1"/>
      <c r="XBJ105" s="1"/>
      <c r="XBK105" s="1"/>
      <c r="XBL105" s="1"/>
      <c r="XBM105" s="1"/>
      <c r="XBN105" s="1"/>
      <c r="XBO105" s="1"/>
      <c r="XBP105" s="1"/>
      <c r="XBQ105" s="1"/>
      <c r="XBR105" s="1"/>
      <c r="XBS105" s="1"/>
      <c r="XBT105" s="1"/>
      <c r="XBU105" s="1"/>
      <c r="XBV105" s="1"/>
      <c r="XBW105" s="1"/>
      <c r="XBX105" s="1"/>
      <c r="XBY105" s="1"/>
      <c r="XBZ105" s="1"/>
      <c r="XCA105" s="1"/>
      <c r="XCB105" s="1"/>
      <c r="XCC105" s="1"/>
      <c r="XCD105" s="1"/>
      <c r="XCE105" s="1"/>
      <c r="XCF105" s="1"/>
      <c r="XCG105" s="1"/>
      <c r="XCH105" s="1"/>
      <c r="XCI105" s="1"/>
      <c r="XCJ105" s="1"/>
      <c r="XCK105" s="1"/>
      <c r="XCL105" s="1"/>
      <c r="XCM105" s="1"/>
      <c r="XCN105" s="1"/>
      <c r="XCO105" s="1"/>
      <c r="XCP105" s="1"/>
      <c r="XCQ105" s="1"/>
      <c r="XCR105" s="1"/>
      <c r="XCS105" s="1"/>
      <c r="XCT105" s="1"/>
      <c r="XCU105" s="1"/>
      <c r="XCV105" s="1"/>
      <c r="XCW105" s="1"/>
      <c r="XCX105" s="1"/>
      <c r="XCY105" s="1"/>
      <c r="XCZ105" s="1"/>
      <c r="XDA105" s="1"/>
      <c r="XDB105" s="1"/>
      <c r="XDC105" s="1"/>
      <c r="XDD105" s="1"/>
      <c r="XDE105" s="1"/>
      <c r="XDF105" s="1"/>
      <c r="XDG105" s="1"/>
      <c r="XDH105" s="1"/>
      <c r="XDI105" s="1"/>
      <c r="XDJ105" s="1"/>
      <c r="XDK105" s="1"/>
      <c r="XDL105" s="1"/>
      <c r="XDM105" s="1"/>
      <c r="XDN105" s="1"/>
      <c r="XDO105" s="1"/>
      <c r="XDP105" s="1"/>
      <c r="XDQ105" s="1"/>
      <c r="XDR105" s="1"/>
      <c r="XDS105" s="1"/>
      <c r="XDT105" s="1"/>
      <c r="XDU105" s="1"/>
      <c r="XDV105" s="1"/>
      <c r="XDW105" s="1"/>
      <c r="XDX105" s="1"/>
      <c r="XDY105" s="1"/>
      <c r="XDZ105" s="1"/>
      <c r="XEA105" s="1"/>
      <c r="XEB105" s="1"/>
      <c r="XEC105" s="1"/>
      <c r="XED105" s="1"/>
      <c r="XEE105" s="1"/>
      <c r="XEF105" s="1"/>
      <c r="XEG105" s="1"/>
      <c r="XEH105" s="1"/>
      <c r="XEI105" s="1"/>
      <c r="XEJ105" s="1"/>
      <c r="XEK105" s="1"/>
      <c r="XEL105" s="1"/>
      <c r="XEM105" s="1"/>
      <c r="XEN105" s="1"/>
      <c r="XEO105" s="1"/>
      <c r="XEP105" s="1"/>
      <c r="XEQ105" s="1"/>
      <c r="XER105" s="1"/>
      <c r="XES105" s="1"/>
      <c r="XET105" s="1"/>
      <c r="XEU105" s="1"/>
      <c r="XEV105" s="1"/>
      <c r="XEW105" s="1"/>
      <c r="XEX105" s="1"/>
      <c r="XEY105" s="1"/>
      <c r="XEZ105" s="1"/>
      <c r="XFA105" s="1"/>
      <c r="XFB105" s="1"/>
      <c r="XFC105" s="1"/>
      <c r="XFD105" s="1"/>
    </row>
    <row r="106" spans="1:151 16227:16384" s="10" customFormat="1" ht="20.25" x14ac:dyDescent="0.25">
      <c r="A106" s="78"/>
      <c r="B106" s="79"/>
      <c r="C106" s="80" t="s">
        <v>95</v>
      </c>
      <c r="D106" s="81"/>
      <c r="E106" s="58" t="s">
        <v>215</v>
      </c>
      <c r="F106" s="82">
        <f>COUNT(F138:G141)+COUNT(F147:G150)*2+COUNT(F156:G159)+COUNT(F161:G168)*20+COUNT(F170:G173,F176:G177)*3+COUNT(F179:G182,F185:G186)+COUNT(F188:G195)*9+COUNT(F197:G200,F202:G204)</f>
        <v>279</v>
      </c>
      <c r="G106" s="83"/>
      <c r="H106" s="47">
        <f>SUM(F138:G141)+SUM(F147:G150)*2+SUM(F156:G159)+SUM(F161:G168)*20+SUM(F170:G173,F176:G177)*3+SUM(F179:G182,F185:G186)+SUM(F188:G195)*9+SUM(F197:G200,F202:G204)</f>
        <v>142393.15846080001</v>
      </c>
      <c r="I106" s="47">
        <f>SUM(H138:I141)+SUM(H147:I150)*2+SUM(H156:I159)+SUM(H161:I168)*20+SUM(H170:I173,H176:I177)*3+SUM(H179:I182,H185:I186)+SUM(H188:I195)*9+SUM(H197:I200,H202:I204)</f>
        <v>220709.39561424</v>
      </c>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WZC106" s="1"/>
      <c r="WZD106" s="1"/>
      <c r="WZE106" s="1"/>
      <c r="WZF106" s="1"/>
      <c r="WZG106" s="1"/>
      <c r="WZH106" s="1"/>
      <c r="WZI106" s="1"/>
      <c r="WZJ106" s="1"/>
      <c r="WZK106" s="1"/>
      <c r="WZL106" s="1"/>
      <c r="WZM106" s="1"/>
      <c r="WZN106" s="1"/>
      <c r="WZO106" s="1"/>
      <c r="WZP106" s="1"/>
      <c r="WZQ106" s="1"/>
      <c r="WZR106" s="1"/>
      <c r="WZS106" s="1"/>
      <c r="WZT106" s="1"/>
      <c r="WZU106" s="1"/>
      <c r="WZV106" s="1"/>
      <c r="WZW106" s="1"/>
      <c r="WZX106" s="1"/>
      <c r="WZY106" s="1"/>
      <c r="WZZ106" s="1"/>
      <c r="XAA106" s="1"/>
      <c r="XAB106" s="1"/>
      <c r="XAC106" s="1"/>
      <c r="XAD106" s="1"/>
      <c r="XAE106" s="1"/>
      <c r="XAF106" s="1"/>
      <c r="XAG106" s="1"/>
      <c r="XAH106" s="1"/>
      <c r="XAI106" s="1"/>
      <c r="XAJ106" s="1"/>
      <c r="XAK106" s="1"/>
      <c r="XAL106" s="1"/>
      <c r="XAM106" s="1"/>
      <c r="XAN106" s="1"/>
      <c r="XAO106" s="1"/>
      <c r="XAP106" s="1"/>
      <c r="XAQ106" s="1"/>
      <c r="XAR106" s="1"/>
      <c r="XAS106" s="1"/>
      <c r="XAT106" s="1"/>
      <c r="XAU106" s="1"/>
      <c r="XAV106" s="1"/>
      <c r="XAW106" s="1"/>
      <c r="XAX106" s="1"/>
      <c r="XAY106" s="1"/>
      <c r="XAZ106" s="1"/>
      <c r="XBA106" s="1"/>
      <c r="XBB106" s="1"/>
      <c r="XBC106" s="1"/>
      <c r="XBD106" s="1"/>
      <c r="XBE106" s="1"/>
      <c r="XBF106" s="1"/>
      <c r="XBG106" s="1"/>
      <c r="XBH106" s="1"/>
      <c r="XBI106" s="1"/>
      <c r="XBJ106" s="1"/>
      <c r="XBK106" s="1"/>
      <c r="XBL106" s="1"/>
      <c r="XBM106" s="1"/>
      <c r="XBN106" s="1"/>
      <c r="XBO106" s="1"/>
      <c r="XBP106" s="1"/>
      <c r="XBQ106" s="1"/>
      <c r="XBR106" s="1"/>
      <c r="XBS106" s="1"/>
      <c r="XBT106" s="1"/>
      <c r="XBU106" s="1"/>
      <c r="XBV106" s="1"/>
      <c r="XBW106" s="1"/>
      <c r="XBX106" s="1"/>
      <c r="XBY106" s="1"/>
      <c r="XBZ106" s="1"/>
      <c r="XCA106" s="1"/>
      <c r="XCB106" s="1"/>
      <c r="XCC106" s="1"/>
      <c r="XCD106" s="1"/>
      <c r="XCE106" s="1"/>
      <c r="XCF106" s="1"/>
      <c r="XCG106" s="1"/>
      <c r="XCH106" s="1"/>
      <c r="XCI106" s="1"/>
      <c r="XCJ106" s="1"/>
      <c r="XCK106" s="1"/>
      <c r="XCL106" s="1"/>
      <c r="XCM106" s="1"/>
      <c r="XCN106" s="1"/>
      <c r="XCO106" s="1"/>
      <c r="XCP106" s="1"/>
      <c r="XCQ106" s="1"/>
      <c r="XCR106" s="1"/>
      <c r="XCS106" s="1"/>
      <c r="XCT106" s="1"/>
      <c r="XCU106" s="1"/>
      <c r="XCV106" s="1"/>
      <c r="XCW106" s="1"/>
      <c r="XCX106" s="1"/>
      <c r="XCY106" s="1"/>
      <c r="XCZ106" s="1"/>
      <c r="XDA106" s="1"/>
      <c r="XDB106" s="1"/>
      <c r="XDC106" s="1"/>
      <c r="XDD106" s="1"/>
      <c r="XDE106" s="1"/>
      <c r="XDF106" s="1"/>
      <c r="XDG106" s="1"/>
      <c r="XDH106" s="1"/>
      <c r="XDI106" s="1"/>
      <c r="XDJ106" s="1"/>
      <c r="XDK106" s="1"/>
      <c r="XDL106" s="1"/>
      <c r="XDM106" s="1"/>
      <c r="XDN106" s="1"/>
      <c r="XDO106" s="1"/>
      <c r="XDP106" s="1"/>
      <c r="XDQ106" s="1"/>
      <c r="XDR106" s="1"/>
      <c r="XDS106" s="1"/>
      <c r="XDT106" s="1"/>
      <c r="XDU106" s="1"/>
      <c r="XDV106" s="1"/>
      <c r="XDW106" s="1"/>
      <c r="XDX106" s="1"/>
      <c r="XDY106" s="1"/>
      <c r="XDZ106" s="1"/>
      <c r="XEA106" s="1"/>
      <c r="XEB106" s="1"/>
      <c r="XEC106" s="1"/>
      <c r="XED106" s="1"/>
      <c r="XEE106" s="1"/>
      <c r="XEF106" s="1"/>
      <c r="XEG106" s="1"/>
      <c r="XEH106" s="1"/>
      <c r="XEI106" s="1"/>
      <c r="XEJ106" s="1"/>
      <c r="XEK106" s="1"/>
      <c r="XEL106" s="1"/>
      <c r="XEM106" s="1"/>
      <c r="XEN106" s="1"/>
      <c r="XEO106" s="1"/>
      <c r="XEP106" s="1"/>
      <c r="XEQ106" s="1"/>
      <c r="XER106" s="1"/>
      <c r="XES106" s="1"/>
      <c r="XET106" s="1"/>
      <c r="XEU106" s="1"/>
      <c r="XEV106" s="1"/>
      <c r="XEW106" s="1"/>
      <c r="XEX106" s="1"/>
      <c r="XEY106" s="1"/>
      <c r="XEZ106" s="1"/>
      <c r="XFA106" s="1"/>
      <c r="XFB106" s="1"/>
      <c r="XFC106" s="1"/>
      <c r="XFD106" s="1"/>
    </row>
    <row r="107" spans="1:151 16227:16384" s="10" customFormat="1" ht="20.25" x14ac:dyDescent="0.25">
      <c r="A107" s="76" t="s">
        <v>243</v>
      </c>
      <c r="B107" s="77"/>
      <c r="C107" s="80" t="s">
        <v>95</v>
      </c>
      <c r="D107" s="81"/>
      <c r="E107" s="58" t="s">
        <v>214</v>
      </c>
      <c r="F107" s="82">
        <f>COUNT(F207:G214)+COUNT(F216:G223)</f>
        <v>16</v>
      </c>
      <c r="G107" s="83"/>
      <c r="H107" s="47">
        <f>SUM(F207:G214)+SUM(F216:G223)</f>
        <v>3332.9768003999998</v>
      </c>
      <c r="I107" s="47">
        <f>SUM(I207:I214)+SUM(I216:I223)</f>
        <v>5166.1140406200002</v>
      </c>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WZC107" s="1"/>
      <c r="WZD107" s="1"/>
      <c r="WZE107" s="1"/>
      <c r="WZF107" s="1"/>
      <c r="WZG107" s="1"/>
      <c r="WZH107" s="1"/>
      <c r="WZI107" s="1"/>
      <c r="WZJ107" s="1"/>
      <c r="WZK107" s="1"/>
      <c r="WZL107" s="1"/>
      <c r="WZM107" s="1"/>
      <c r="WZN107" s="1"/>
      <c r="WZO107" s="1"/>
      <c r="WZP107" s="1"/>
      <c r="WZQ107" s="1"/>
      <c r="WZR107" s="1"/>
      <c r="WZS107" s="1"/>
      <c r="WZT107" s="1"/>
      <c r="WZU107" s="1"/>
      <c r="WZV107" s="1"/>
      <c r="WZW107" s="1"/>
      <c r="WZX107" s="1"/>
      <c r="WZY107" s="1"/>
      <c r="WZZ107" s="1"/>
      <c r="XAA107" s="1"/>
      <c r="XAB107" s="1"/>
      <c r="XAC107" s="1"/>
      <c r="XAD107" s="1"/>
      <c r="XAE107" s="1"/>
      <c r="XAF107" s="1"/>
      <c r="XAG107" s="1"/>
      <c r="XAH107" s="1"/>
      <c r="XAI107" s="1"/>
      <c r="XAJ107" s="1"/>
      <c r="XAK107" s="1"/>
      <c r="XAL107" s="1"/>
      <c r="XAM107" s="1"/>
      <c r="XAN107" s="1"/>
      <c r="XAO107" s="1"/>
      <c r="XAP107" s="1"/>
      <c r="XAQ107" s="1"/>
      <c r="XAR107" s="1"/>
      <c r="XAS107" s="1"/>
      <c r="XAT107" s="1"/>
      <c r="XAU107" s="1"/>
      <c r="XAV107" s="1"/>
      <c r="XAW107" s="1"/>
      <c r="XAX107" s="1"/>
      <c r="XAY107" s="1"/>
      <c r="XAZ107" s="1"/>
      <c r="XBA107" s="1"/>
      <c r="XBB107" s="1"/>
      <c r="XBC107" s="1"/>
      <c r="XBD107" s="1"/>
      <c r="XBE107" s="1"/>
      <c r="XBF107" s="1"/>
      <c r="XBG107" s="1"/>
      <c r="XBH107" s="1"/>
      <c r="XBI107" s="1"/>
      <c r="XBJ107" s="1"/>
      <c r="XBK107" s="1"/>
      <c r="XBL107" s="1"/>
      <c r="XBM107" s="1"/>
      <c r="XBN107" s="1"/>
      <c r="XBO107" s="1"/>
      <c r="XBP107" s="1"/>
      <c r="XBQ107" s="1"/>
      <c r="XBR107" s="1"/>
      <c r="XBS107" s="1"/>
      <c r="XBT107" s="1"/>
      <c r="XBU107" s="1"/>
      <c r="XBV107" s="1"/>
      <c r="XBW107" s="1"/>
      <c r="XBX107" s="1"/>
      <c r="XBY107" s="1"/>
      <c r="XBZ107" s="1"/>
      <c r="XCA107" s="1"/>
      <c r="XCB107" s="1"/>
      <c r="XCC107" s="1"/>
      <c r="XCD107" s="1"/>
      <c r="XCE107" s="1"/>
      <c r="XCF107" s="1"/>
      <c r="XCG107" s="1"/>
      <c r="XCH107" s="1"/>
      <c r="XCI107" s="1"/>
      <c r="XCJ107" s="1"/>
      <c r="XCK107" s="1"/>
      <c r="XCL107" s="1"/>
      <c r="XCM107" s="1"/>
      <c r="XCN107" s="1"/>
      <c r="XCO107" s="1"/>
      <c r="XCP107" s="1"/>
      <c r="XCQ107" s="1"/>
      <c r="XCR107" s="1"/>
      <c r="XCS107" s="1"/>
      <c r="XCT107" s="1"/>
      <c r="XCU107" s="1"/>
      <c r="XCV107" s="1"/>
      <c r="XCW107" s="1"/>
      <c r="XCX107" s="1"/>
      <c r="XCY107" s="1"/>
      <c r="XCZ107" s="1"/>
      <c r="XDA107" s="1"/>
      <c r="XDB107" s="1"/>
      <c r="XDC107" s="1"/>
      <c r="XDD107" s="1"/>
      <c r="XDE107" s="1"/>
      <c r="XDF107" s="1"/>
      <c r="XDG107" s="1"/>
      <c r="XDH107" s="1"/>
      <c r="XDI107" s="1"/>
      <c r="XDJ107" s="1"/>
      <c r="XDK107" s="1"/>
      <c r="XDL107" s="1"/>
      <c r="XDM107" s="1"/>
      <c r="XDN107" s="1"/>
      <c r="XDO107" s="1"/>
      <c r="XDP107" s="1"/>
      <c r="XDQ107" s="1"/>
      <c r="XDR107" s="1"/>
      <c r="XDS107" s="1"/>
      <c r="XDT107" s="1"/>
      <c r="XDU107" s="1"/>
      <c r="XDV107" s="1"/>
      <c r="XDW107" s="1"/>
      <c r="XDX107" s="1"/>
      <c r="XDY107" s="1"/>
      <c r="XDZ107" s="1"/>
      <c r="XEA107" s="1"/>
      <c r="XEB107" s="1"/>
      <c r="XEC107" s="1"/>
      <c r="XED107" s="1"/>
      <c r="XEE107" s="1"/>
      <c r="XEF107" s="1"/>
      <c r="XEG107" s="1"/>
      <c r="XEH107" s="1"/>
      <c r="XEI107" s="1"/>
      <c r="XEJ107" s="1"/>
      <c r="XEK107" s="1"/>
      <c r="XEL107" s="1"/>
      <c r="XEM107" s="1"/>
      <c r="XEN107" s="1"/>
      <c r="XEO107" s="1"/>
      <c r="XEP107" s="1"/>
      <c r="XEQ107" s="1"/>
      <c r="XER107" s="1"/>
      <c r="XES107" s="1"/>
      <c r="XET107" s="1"/>
      <c r="XEU107" s="1"/>
      <c r="XEV107" s="1"/>
      <c r="XEW107" s="1"/>
      <c r="XEX107" s="1"/>
      <c r="XEY107" s="1"/>
      <c r="XEZ107" s="1"/>
      <c r="XFA107" s="1"/>
      <c r="XFB107" s="1"/>
      <c r="XFC107" s="1"/>
      <c r="XFD107" s="1"/>
    </row>
    <row r="108" spans="1:151 16227:16384" s="10" customFormat="1" ht="20.25" x14ac:dyDescent="0.25">
      <c r="A108" s="78"/>
      <c r="B108" s="79"/>
      <c r="C108" s="80" t="s">
        <v>95</v>
      </c>
      <c r="D108" s="81"/>
      <c r="E108" s="58" t="s">
        <v>215</v>
      </c>
      <c r="F108" s="82">
        <f>COUNT(F229:G232)+COUNT(F238:G241)+COUNT(F247:G250)+COUNT(F256:G259)+COUNT(F261:G268)*20+COUNT(F270:G273,F276:G277)*3+COUNT(F279:G282,F285:G286)+COUNT(F288:G295)*9+COUNT(F297:G300,F302:G304)</f>
        <v>279</v>
      </c>
      <c r="G108" s="83"/>
      <c r="H108" s="47">
        <f>SUM(F229:G232)+SUM(F238:G241)+SUM(F247:G250)+SUM(F256:G259)+SUM(F261:G268)*20+SUM(F270:G273,F276:G277)*3+SUM(F279:G282,F285:G286)+SUM(F288:G295)*9+SUM(F297:G300,F302:G304)</f>
        <v>142393.15846080001</v>
      </c>
      <c r="I108" s="47">
        <f>SUM(G229:I232)+SUM(G238:I241)+SUM(G247:I250)+SUM(G256:I259)+SUM(G261:I268)*20+SUM(G270:I273,G276:I277)*3+SUM(G279:I282,G285:I286)+SUM(G288:I295)*9+SUM(G297:I300,G302:I304)</f>
        <v>220709.39561424</v>
      </c>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WZC108" s="1"/>
      <c r="WZD108" s="1"/>
      <c r="WZE108" s="1"/>
      <c r="WZF108" s="1"/>
      <c r="WZG108" s="1"/>
      <c r="WZH108" s="1"/>
      <c r="WZI108" s="1"/>
      <c r="WZJ108" s="1"/>
      <c r="WZK108" s="1"/>
      <c r="WZL108" s="1"/>
      <c r="WZM108" s="1"/>
      <c r="WZN108" s="1"/>
      <c r="WZO108" s="1"/>
      <c r="WZP108" s="1"/>
      <c r="WZQ108" s="1"/>
      <c r="WZR108" s="1"/>
      <c r="WZS108" s="1"/>
      <c r="WZT108" s="1"/>
      <c r="WZU108" s="1"/>
      <c r="WZV108" s="1"/>
      <c r="WZW108" s="1"/>
      <c r="WZX108" s="1"/>
      <c r="WZY108" s="1"/>
      <c r="WZZ108" s="1"/>
      <c r="XAA108" s="1"/>
      <c r="XAB108" s="1"/>
      <c r="XAC108" s="1"/>
      <c r="XAD108" s="1"/>
      <c r="XAE108" s="1"/>
      <c r="XAF108" s="1"/>
      <c r="XAG108" s="1"/>
      <c r="XAH108" s="1"/>
      <c r="XAI108" s="1"/>
      <c r="XAJ108" s="1"/>
      <c r="XAK108" s="1"/>
      <c r="XAL108" s="1"/>
      <c r="XAM108" s="1"/>
      <c r="XAN108" s="1"/>
      <c r="XAO108" s="1"/>
      <c r="XAP108" s="1"/>
      <c r="XAQ108" s="1"/>
      <c r="XAR108" s="1"/>
      <c r="XAS108" s="1"/>
      <c r="XAT108" s="1"/>
      <c r="XAU108" s="1"/>
      <c r="XAV108" s="1"/>
      <c r="XAW108" s="1"/>
      <c r="XAX108" s="1"/>
      <c r="XAY108" s="1"/>
      <c r="XAZ108" s="1"/>
      <c r="XBA108" s="1"/>
      <c r="XBB108" s="1"/>
      <c r="XBC108" s="1"/>
      <c r="XBD108" s="1"/>
      <c r="XBE108" s="1"/>
      <c r="XBF108" s="1"/>
      <c r="XBG108" s="1"/>
      <c r="XBH108" s="1"/>
      <c r="XBI108" s="1"/>
      <c r="XBJ108" s="1"/>
      <c r="XBK108" s="1"/>
      <c r="XBL108" s="1"/>
      <c r="XBM108" s="1"/>
      <c r="XBN108" s="1"/>
      <c r="XBO108" s="1"/>
      <c r="XBP108" s="1"/>
      <c r="XBQ108" s="1"/>
      <c r="XBR108" s="1"/>
      <c r="XBS108" s="1"/>
      <c r="XBT108" s="1"/>
      <c r="XBU108" s="1"/>
      <c r="XBV108" s="1"/>
      <c r="XBW108" s="1"/>
      <c r="XBX108" s="1"/>
      <c r="XBY108" s="1"/>
      <c r="XBZ108" s="1"/>
      <c r="XCA108" s="1"/>
      <c r="XCB108" s="1"/>
      <c r="XCC108" s="1"/>
      <c r="XCD108" s="1"/>
      <c r="XCE108" s="1"/>
      <c r="XCF108" s="1"/>
      <c r="XCG108" s="1"/>
      <c r="XCH108" s="1"/>
      <c r="XCI108" s="1"/>
      <c r="XCJ108" s="1"/>
      <c r="XCK108" s="1"/>
      <c r="XCL108" s="1"/>
      <c r="XCM108" s="1"/>
      <c r="XCN108" s="1"/>
      <c r="XCO108" s="1"/>
      <c r="XCP108" s="1"/>
      <c r="XCQ108" s="1"/>
      <c r="XCR108" s="1"/>
      <c r="XCS108" s="1"/>
      <c r="XCT108" s="1"/>
      <c r="XCU108" s="1"/>
      <c r="XCV108" s="1"/>
      <c r="XCW108" s="1"/>
      <c r="XCX108" s="1"/>
      <c r="XCY108" s="1"/>
      <c r="XCZ108" s="1"/>
      <c r="XDA108" s="1"/>
      <c r="XDB108" s="1"/>
      <c r="XDC108" s="1"/>
      <c r="XDD108" s="1"/>
      <c r="XDE108" s="1"/>
      <c r="XDF108" s="1"/>
      <c r="XDG108" s="1"/>
      <c r="XDH108" s="1"/>
      <c r="XDI108" s="1"/>
      <c r="XDJ108" s="1"/>
      <c r="XDK108" s="1"/>
      <c r="XDL108" s="1"/>
      <c r="XDM108" s="1"/>
      <c r="XDN108" s="1"/>
      <c r="XDO108" s="1"/>
      <c r="XDP108" s="1"/>
      <c r="XDQ108" s="1"/>
      <c r="XDR108" s="1"/>
      <c r="XDS108" s="1"/>
      <c r="XDT108" s="1"/>
      <c r="XDU108" s="1"/>
      <c r="XDV108" s="1"/>
      <c r="XDW108" s="1"/>
      <c r="XDX108" s="1"/>
      <c r="XDY108" s="1"/>
      <c r="XDZ108" s="1"/>
      <c r="XEA108" s="1"/>
      <c r="XEB108" s="1"/>
      <c r="XEC108" s="1"/>
      <c r="XED108" s="1"/>
      <c r="XEE108" s="1"/>
      <c r="XEF108" s="1"/>
      <c r="XEG108" s="1"/>
      <c r="XEH108" s="1"/>
      <c r="XEI108" s="1"/>
      <c r="XEJ108" s="1"/>
      <c r="XEK108" s="1"/>
      <c r="XEL108" s="1"/>
      <c r="XEM108" s="1"/>
      <c r="XEN108" s="1"/>
      <c r="XEO108" s="1"/>
      <c r="XEP108" s="1"/>
      <c r="XEQ108" s="1"/>
      <c r="XER108" s="1"/>
      <c r="XES108" s="1"/>
      <c r="XET108" s="1"/>
      <c r="XEU108" s="1"/>
      <c r="XEV108" s="1"/>
      <c r="XEW108" s="1"/>
      <c r="XEX108" s="1"/>
      <c r="XEY108" s="1"/>
      <c r="XEZ108" s="1"/>
      <c r="XFA108" s="1"/>
      <c r="XFB108" s="1"/>
      <c r="XFC108" s="1"/>
      <c r="XFD108" s="1"/>
    </row>
    <row r="109" spans="1:151 16227:16384" s="10" customFormat="1" ht="20.25" x14ac:dyDescent="0.25">
      <c r="A109" s="84" t="s">
        <v>264</v>
      </c>
      <c r="B109" s="85"/>
      <c r="C109" s="84" t="s">
        <v>263</v>
      </c>
      <c r="D109" s="86"/>
      <c r="E109" s="85"/>
      <c r="F109" s="84">
        <f t="shared" ref="F109" si="0">SUM(F105:G108)</f>
        <v>590</v>
      </c>
      <c r="G109" s="85"/>
      <c r="H109" s="64">
        <f>SUM(H105:H108)</f>
        <v>291452.27052240004</v>
      </c>
      <c r="I109" s="64">
        <f>SUM(I105:I108)</f>
        <v>451751.01930972002</v>
      </c>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WZC109" s="1"/>
      <c r="WZD109" s="1"/>
      <c r="WZE109" s="1"/>
      <c r="WZF109" s="1"/>
      <c r="WZG109" s="1"/>
      <c r="WZH109" s="1"/>
      <c r="WZI109" s="1"/>
      <c r="WZJ109" s="1"/>
      <c r="WZK109" s="1"/>
      <c r="WZL109" s="1"/>
      <c r="WZM109" s="1"/>
      <c r="WZN109" s="1"/>
      <c r="WZO109" s="1"/>
      <c r="WZP109" s="1"/>
      <c r="WZQ109" s="1"/>
      <c r="WZR109" s="1"/>
      <c r="WZS109" s="1"/>
      <c r="WZT109" s="1"/>
      <c r="WZU109" s="1"/>
      <c r="WZV109" s="1"/>
      <c r="WZW109" s="1"/>
      <c r="WZX109" s="1"/>
      <c r="WZY109" s="1"/>
      <c r="WZZ109" s="1"/>
      <c r="XAA109" s="1"/>
      <c r="XAB109" s="1"/>
      <c r="XAC109" s="1"/>
      <c r="XAD109" s="1"/>
      <c r="XAE109" s="1"/>
      <c r="XAF109" s="1"/>
      <c r="XAG109" s="1"/>
      <c r="XAH109" s="1"/>
      <c r="XAI109" s="1"/>
      <c r="XAJ109" s="1"/>
      <c r="XAK109" s="1"/>
      <c r="XAL109" s="1"/>
      <c r="XAM109" s="1"/>
      <c r="XAN109" s="1"/>
      <c r="XAO109" s="1"/>
      <c r="XAP109" s="1"/>
      <c r="XAQ109" s="1"/>
      <c r="XAR109" s="1"/>
      <c r="XAS109" s="1"/>
      <c r="XAT109" s="1"/>
      <c r="XAU109" s="1"/>
      <c r="XAV109" s="1"/>
      <c r="XAW109" s="1"/>
      <c r="XAX109" s="1"/>
      <c r="XAY109" s="1"/>
      <c r="XAZ109" s="1"/>
      <c r="XBA109" s="1"/>
      <c r="XBB109" s="1"/>
      <c r="XBC109" s="1"/>
      <c r="XBD109" s="1"/>
      <c r="XBE109" s="1"/>
      <c r="XBF109" s="1"/>
      <c r="XBG109" s="1"/>
      <c r="XBH109" s="1"/>
      <c r="XBI109" s="1"/>
      <c r="XBJ109" s="1"/>
      <c r="XBK109" s="1"/>
      <c r="XBL109" s="1"/>
      <c r="XBM109" s="1"/>
      <c r="XBN109" s="1"/>
      <c r="XBO109" s="1"/>
      <c r="XBP109" s="1"/>
      <c r="XBQ109" s="1"/>
      <c r="XBR109" s="1"/>
      <c r="XBS109" s="1"/>
      <c r="XBT109" s="1"/>
      <c r="XBU109" s="1"/>
      <c r="XBV109" s="1"/>
      <c r="XBW109" s="1"/>
      <c r="XBX109" s="1"/>
      <c r="XBY109" s="1"/>
      <c r="XBZ109" s="1"/>
      <c r="XCA109" s="1"/>
      <c r="XCB109" s="1"/>
      <c r="XCC109" s="1"/>
      <c r="XCD109" s="1"/>
      <c r="XCE109" s="1"/>
      <c r="XCF109" s="1"/>
      <c r="XCG109" s="1"/>
      <c r="XCH109" s="1"/>
      <c r="XCI109" s="1"/>
      <c r="XCJ109" s="1"/>
      <c r="XCK109" s="1"/>
      <c r="XCL109" s="1"/>
      <c r="XCM109" s="1"/>
      <c r="XCN109" s="1"/>
      <c r="XCO109" s="1"/>
      <c r="XCP109" s="1"/>
      <c r="XCQ109" s="1"/>
      <c r="XCR109" s="1"/>
      <c r="XCS109" s="1"/>
      <c r="XCT109" s="1"/>
      <c r="XCU109" s="1"/>
      <c r="XCV109" s="1"/>
      <c r="XCW109" s="1"/>
      <c r="XCX109" s="1"/>
      <c r="XCY109" s="1"/>
      <c r="XCZ109" s="1"/>
      <c r="XDA109" s="1"/>
      <c r="XDB109" s="1"/>
      <c r="XDC109" s="1"/>
      <c r="XDD109" s="1"/>
      <c r="XDE109" s="1"/>
      <c r="XDF109" s="1"/>
      <c r="XDG109" s="1"/>
      <c r="XDH109" s="1"/>
      <c r="XDI109" s="1"/>
      <c r="XDJ109" s="1"/>
      <c r="XDK109" s="1"/>
      <c r="XDL109" s="1"/>
      <c r="XDM109" s="1"/>
      <c r="XDN109" s="1"/>
      <c r="XDO109" s="1"/>
      <c r="XDP109" s="1"/>
      <c r="XDQ109" s="1"/>
      <c r="XDR109" s="1"/>
      <c r="XDS109" s="1"/>
      <c r="XDT109" s="1"/>
      <c r="XDU109" s="1"/>
      <c r="XDV109" s="1"/>
      <c r="XDW109" s="1"/>
      <c r="XDX109" s="1"/>
      <c r="XDY109" s="1"/>
      <c r="XDZ109" s="1"/>
      <c r="XEA109" s="1"/>
      <c r="XEB109" s="1"/>
      <c r="XEC109" s="1"/>
      <c r="XED109" s="1"/>
      <c r="XEE109" s="1"/>
      <c r="XEF109" s="1"/>
      <c r="XEG109" s="1"/>
      <c r="XEH109" s="1"/>
      <c r="XEI109" s="1"/>
      <c r="XEJ109" s="1"/>
      <c r="XEK109" s="1"/>
      <c r="XEL109" s="1"/>
      <c r="XEM109" s="1"/>
      <c r="XEN109" s="1"/>
      <c r="XEO109" s="1"/>
      <c r="XEP109" s="1"/>
      <c r="XEQ109" s="1"/>
      <c r="XER109" s="1"/>
      <c r="XES109" s="1"/>
      <c r="XET109" s="1"/>
      <c r="XEU109" s="1"/>
      <c r="XEV109" s="1"/>
      <c r="XEW109" s="1"/>
      <c r="XEX109" s="1"/>
      <c r="XEY109" s="1"/>
      <c r="XEZ109" s="1"/>
      <c r="XFA109" s="1"/>
      <c r="XFB109" s="1"/>
      <c r="XFC109" s="1"/>
      <c r="XFD109" s="1"/>
    </row>
    <row r="110" spans="1:151 16227:16384" s="10" customFormat="1" ht="20.25" x14ac:dyDescent="0.25">
      <c r="A110" s="61"/>
      <c r="B110" s="62"/>
      <c r="C110" s="63"/>
      <c r="D110" s="63"/>
      <c r="E110" s="63"/>
      <c r="F110" s="59"/>
      <c r="G110" s="59"/>
      <c r="H110" s="59"/>
      <c r="I110" s="56"/>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WZC110" s="1"/>
      <c r="WZD110" s="1"/>
      <c r="WZE110" s="1"/>
      <c r="WZF110" s="1"/>
      <c r="WZG110" s="1"/>
      <c r="WZH110" s="1"/>
      <c r="WZI110" s="1"/>
      <c r="WZJ110" s="1"/>
      <c r="WZK110" s="1"/>
      <c r="WZL110" s="1"/>
      <c r="WZM110" s="1"/>
      <c r="WZN110" s="1"/>
      <c r="WZO110" s="1"/>
      <c r="WZP110" s="1"/>
      <c r="WZQ110" s="1"/>
      <c r="WZR110" s="1"/>
      <c r="WZS110" s="1"/>
      <c r="WZT110" s="1"/>
      <c r="WZU110" s="1"/>
      <c r="WZV110" s="1"/>
      <c r="WZW110" s="1"/>
      <c r="WZX110" s="1"/>
      <c r="WZY110" s="1"/>
      <c r="WZZ110" s="1"/>
      <c r="XAA110" s="1"/>
      <c r="XAB110" s="1"/>
      <c r="XAC110" s="1"/>
      <c r="XAD110" s="1"/>
      <c r="XAE110" s="1"/>
      <c r="XAF110" s="1"/>
      <c r="XAG110" s="1"/>
      <c r="XAH110" s="1"/>
      <c r="XAI110" s="1"/>
      <c r="XAJ110" s="1"/>
      <c r="XAK110" s="1"/>
      <c r="XAL110" s="1"/>
      <c r="XAM110" s="1"/>
      <c r="XAN110" s="1"/>
      <c r="XAO110" s="1"/>
      <c r="XAP110" s="1"/>
      <c r="XAQ110" s="1"/>
      <c r="XAR110" s="1"/>
      <c r="XAS110" s="1"/>
      <c r="XAT110" s="1"/>
      <c r="XAU110" s="1"/>
      <c r="XAV110" s="1"/>
      <c r="XAW110" s="1"/>
      <c r="XAX110" s="1"/>
      <c r="XAY110" s="1"/>
      <c r="XAZ110" s="1"/>
      <c r="XBA110" s="1"/>
      <c r="XBB110" s="1"/>
      <c r="XBC110" s="1"/>
      <c r="XBD110" s="1"/>
      <c r="XBE110" s="1"/>
      <c r="XBF110" s="1"/>
      <c r="XBG110" s="1"/>
      <c r="XBH110" s="1"/>
      <c r="XBI110" s="1"/>
      <c r="XBJ110" s="1"/>
      <c r="XBK110" s="1"/>
      <c r="XBL110" s="1"/>
      <c r="XBM110" s="1"/>
      <c r="XBN110" s="1"/>
      <c r="XBO110" s="1"/>
      <c r="XBP110" s="1"/>
      <c r="XBQ110" s="1"/>
      <c r="XBR110" s="1"/>
      <c r="XBS110" s="1"/>
      <c r="XBT110" s="1"/>
      <c r="XBU110" s="1"/>
      <c r="XBV110" s="1"/>
      <c r="XBW110" s="1"/>
      <c r="XBX110" s="1"/>
      <c r="XBY110" s="1"/>
      <c r="XBZ110" s="1"/>
      <c r="XCA110" s="1"/>
      <c r="XCB110" s="1"/>
      <c r="XCC110" s="1"/>
      <c r="XCD110" s="1"/>
      <c r="XCE110" s="1"/>
      <c r="XCF110" s="1"/>
      <c r="XCG110" s="1"/>
      <c r="XCH110" s="1"/>
      <c r="XCI110" s="1"/>
      <c r="XCJ110" s="1"/>
      <c r="XCK110" s="1"/>
      <c r="XCL110" s="1"/>
      <c r="XCM110" s="1"/>
      <c r="XCN110" s="1"/>
      <c r="XCO110" s="1"/>
      <c r="XCP110" s="1"/>
      <c r="XCQ110" s="1"/>
      <c r="XCR110" s="1"/>
      <c r="XCS110" s="1"/>
      <c r="XCT110" s="1"/>
      <c r="XCU110" s="1"/>
      <c r="XCV110" s="1"/>
      <c r="XCW110" s="1"/>
      <c r="XCX110" s="1"/>
      <c r="XCY110" s="1"/>
      <c r="XCZ110" s="1"/>
      <c r="XDA110" s="1"/>
      <c r="XDB110" s="1"/>
      <c r="XDC110" s="1"/>
      <c r="XDD110" s="1"/>
      <c r="XDE110" s="1"/>
      <c r="XDF110" s="1"/>
      <c r="XDG110" s="1"/>
      <c r="XDH110" s="1"/>
      <c r="XDI110" s="1"/>
      <c r="XDJ110" s="1"/>
      <c r="XDK110" s="1"/>
      <c r="XDL110" s="1"/>
      <c r="XDM110" s="1"/>
      <c r="XDN110" s="1"/>
      <c r="XDO110" s="1"/>
      <c r="XDP110" s="1"/>
      <c r="XDQ110" s="1"/>
      <c r="XDR110" s="1"/>
      <c r="XDS110" s="1"/>
      <c r="XDT110" s="1"/>
      <c r="XDU110" s="1"/>
      <c r="XDV110" s="1"/>
      <c r="XDW110" s="1"/>
      <c r="XDX110" s="1"/>
      <c r="XDY110" s="1"/>
      <c r="XDZ110" s="1"/>
      <c r="XEA110" s="1"/>
      <c r="XEB110" s="1"/>
      <c r="XEC110" s="1"/>
      <c r="XED110" s="1"/>
      <c r="XEE110" s="1"/>
      <c r="XEF110" s="1"/>
      <c r="XEG110" s="1"/>
      <c r="XEH110" s="1"/>
      <c r="XEI110" s="1"/>
      <c r="XEJ110" s="1"/>
      <c r="XEK110" s="1"/>
      <c r="XEL110" s="1"/>
      <c r="XEM110" s="1"/>
      <c r="XEN110" s="1"/>
      <c r="XEO110" s="1"/>
      <c r="XEP110" s="1"/>
      <c r="XEQ110" s="1"/>
      <c r="XER110" s="1"/>
      <c r="XES110" s="1"/>
      <c r="XET110" s="1"/>
      <c r="XEU110" s="1"/>
      <c r="XEV110" s="1"/>
      <c r="XEW110" s="1"/>
      <c r="XEX110" s="1"/>
      <c r="XEY110" s="1"/>
      <c r="XEZ110" s="1"/>
      <c r="XFA110" s="1"/>
      <c r="XFB110" s="1"/>
      <c r="XFC110" s="1"/>
      <c r="XFD110" s="1"/>
    </row>
    <row r="111" spans="1:151 16227:16384" ht="20.25" customHeight="1" x14ac:dyDescent="0.25">
      <c r="A111" s="176" t="s">
        <v>262</v>
      </c>
      <c r="B111" s="177"/>
      <c r="C111" s="177"/>
      <c r="D111" s="177"/>
      <c r="E111" s="177"/>
      <c r="F111" s="177"/>
      <c r="G111" s="177"/>
      <c r="H111" s="177"/>
      <c r="I111" s="178"/>
    </row>
    <row r="112" spans="1:151 16227:16384" ht="44.25" customHeight="1" x14ac:dyDescent="0.25">
      <c r="A112" s="72" t="s">
        <v>104</v>
      </c>
      <c r="B112" s="73"/>
      <c r="C112" s="72" t="s">
        <v>100</v>
      </c>
      <c r="D112" s="73"/>
      <c r="E112" s="70" t="s">
        <v>101</v>
      </c>
      <c r="F112" s="72" t="s">
        <v>102</v>
      </c>
      <c r="G112" s="73"/>
      <c r="H112" s="70" t="s">
        <v>103</v>
      </c>
      <c r="I112" s="32" t="s">
        <v>157</v>
      </c>
    </row>
    <row r="113" spans="1:151 16227:16384" s="10" customFormat="1" ht="20.25" x14ac:dyDescent="0.25">
      <c r="A113" s="74"/>
      <c r="B113" s="75"/>
      <c r="C113" s="74"/>
      <c r="D113" s="75"/>
      <c r="E113" s="71"/>
      <c r="F113" s="74"/>
      <c r="G113" s="75"/>
      <c r="H113" s="71"/>
      <c r="I113" s="33">
        <v>0.55000000000000004</v>
      </c>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WZC113" s="1"/>
      <c r="WZD113" s="1"/>
      <c r="WZE113" s="1"/>
      <c r="WZF113" s="1"/>
      <c r="WZG113" s="1"/>
      <c r="WZH113" s="1"/>
      <c r="WZI113" s="1"/>
      <c r="WZJ113" s="1"/>
      <c r="WZK113" s="1"/>
      <c r="WZL113" s="1"/>
      <c r="WZM113" s="1"/>
      <c r="WZN113" s="1"/>
      <c r="WZO113" s="1"/>
      <c r="WZP113" s="1"/>
      <c r="WZQ113" s="1"/>
      <c r="WZR113" s="1"/>
      <c r="WZS113" s="1"/>
      <c r="WZT113" s="1"/>
      <c r="WZU113" s="1"/>
      <c r="WZV113" s="1"/>
      <c r="WZW113" s="1"/>
      <c r="WZX113" s="1"/>
      <c r="WZY113" s="1"/>
      <c r="WZZ113" s="1"/>
      <c r="XAA113" s="1"/>
      <c r="XAB113" s="1"/>
      <c r="XAC113" s="1"/>
      <c r="XAD113" s="1"/>
      <c r="XAE113" s="1"/>
      <c r="XAF113" s="1"/>
      <c r="XAG113" s="1"/>
      <c r="XAH113" s="1"/>
      <c r="XAI113" s="1"/>
      <c r="XAJ113" s="1"/>
      <c r="XAK113" s="1"/>
      <c r="XAL113" s="1"/>
      <c r="XAM113" s="1"/>
      <c r="XAN113" s="1"/>
      <c r="XAO113" s="1"/>
      <c r="XAP113" s="1"/>
      <c r="XAQ113" s="1"/>
      <c r="XAR113" s="1"/>
      <c r="XAS113" s="1"/>
      <c r="XAT113" s="1"/>
      <c r="XAU113" s="1"/>
      <c r="XAV113" s="1"/>
      <c r="XAW113" s="1"/>
      <c r="XAX113" s="1"/>
      <c r="XAY113" s="1"/>
      <c r="XAZ113" s="1"/>
      <c r="XBA113" s="1"/>
      <c r="XBB113" s="1"/>
      <c r="XBC113" s="1"/>
      <c r="XBD113" s="1"/>
      <c r="XBE113" s="1"/>
      <c r="XBF113" s="1"/>
      <c r="XBG113" s="1"/>
      <c r="XBH113" s="1"/>
      <c r="XBI113" s="1"/>
      <c r="XBJ113" s="1"/>
      <c r="XBK113" s="1"/>
      <c r="XBL113" s="1"/>
      <c r="XBM113" s="1"/>
      <c r="XBN113" s="1"/>
      <c r="XBO113" s="1"/>
      <c r="XBP113" s="1"/>
      <c r="XBQ113" s="1"/>
      <c r="XBR113" s="1"/>
      <c r="XBS113" s="1"/>
      <c r="XBT113" s="1"/>
      <c r="XBU113" s="1"/>
      <c r="XBV113" s="1"/>
      <c r="XBW113" s="1"/>
      <c r="XBX113" s="1"/>
      <c r="XBY113" s="1"/>
      <c r="XBZ113" s="1"/>
      <c r="XCA113" s="1"/>
      <c r="XCB113" s="1"/>
      <c r="XCC113" s="1"/>
      <c r="XCD113" s="1"/>
      <c r="XCE113" s="1"/>
      <c r="XCF113" s="1"/>
      <c r="XCG113" s="1"/>
      <c r="XCH113" s="1"/>
      <c r="XCI113" s="1"/>
      <c r="XCJ113" s="1"/>
      <c r="XCK113" s="1"/>
      <c r="XCL113" s="1"/>
      <c r="XCM113" s="1"/>
      <c r="XCN113" s="1"/>
      <c r="XCO113" s="1"/>
      <c r="XCP113" s="1"/>
      <c r="XCQ113" s="1"/>
      <c r="XCR113" s="1"/>
      <c r="XCS113" s="1"/>
      <c r="XCT113" s="1"/>
      <c r="XCU113" s="1"/>
      <c r="XCV113" s="1"/>
      <c r="XCW113" s="1"/>
      <c r="XCX113" s="1"/>
      <c r="XCY113" s="1"/>
      <c r="XCZ113" s="1"/>
      <c r="XDA113" s="1"/>
      <c r="XDB113" s="1"/>
      <c r="XDC113" s="1"/>
      <c r="XDD113" s="1"/>
      <c r="XDE113" s="1"/>
      <c r="XDF113" s="1"/>
      <c r="XDG113" s="1"/>
      <c r="XDH113" s="1"/>
      <c r="XDI113" s="1"/>
      <c r="XDJ113" s="1"/>
      <c r="XDK113" s="1"/>
      <c r="XDL113" s="1"/>
      <c r="XDM113" s="1"/>
      <c r="XDN113" s="1"/>
      <c r="XDO113" s="1"/>
      <c r="XDP113" s="1"/>
      <c r="XDQ113" s="1"/>
      <c r="XDR113" s="1"/>
      <c r="XDS113" s="1"/>
      <c r="XDT113" s="1"/>
      <c r="XDU113" s="1"/>
      <c r="XDV113" s="1"/>
      <c r="XDW113" s="1"/>
      <c r="XDX113" s="1"/>
      <c r="XDY113" s="1"/>
      <c r="XDZ113" s="1"/>
      <c r="XEA113" s="1"/>
      <c r="XEB113" s="1"/>
      <c r="XEC113" s="1"/>
      <c r="XED113" s="1"/>
      <c r="XEE113" s="1"/>
      <c r="XEF113" s="1"/>
      <c r="XEG113" s="1"/>
      <c r="XEH113" s="1"/>
      <c r="XEI113" s="1"/>
      <c r="XEJ113" s="1"/>
      <c r="XEK113" s="1"/>
      <c r="XEL113" s="1"/>
      <c r="XEM113" s="1"/>
      <c r="XEN113" s="1"/>
      <c r="XEO113" s="1"/>
      <c r="XEP113" s="1"/>
      <c r="XEQ113" s="1"/>
      <c r="XER113" s="1"/>
      <c r="XES113" s="1"/>
      <c r="XET113" s="1"/>
      <c r="XEU113" s="1"/>
      <c r="XEV113" s="1"/>
      <c r="XEW113" s="1"/>
      <c r="XEX113" s="1"/>
      <c r="XEY113" s="1"/>
      <c r="XEZ113" s="1"/>
      <c r="XFA113" s="1"/>
      <c r="XFB113" s="1"/>
      <c r="XFC113" s="1"/>
      <c r="XFD113" s="1"/>
    </row>
    <row r="114" spans="1:151 16227:16384" s="10" customFormat="1" ht="20.25" x14ac:dyDescent="0.25">
      <c r="A114" s="109" t="s">
        <v>227</v>
      </c>
      <c r="B114" s="110"/>
      <c r="C114" s="110"/>
      <c r="D114" s="110"/>
      <c r="E114" s="110"/>
      <c r="F114" s="110"/>
      <c r="G114" s="110"/>
      <c r="H114" s="110"/>
      <c r="I114" s="112"/>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WZC114" s="1"/>
      <c r="WZD114" s="1"/>
      <c r="WZE114" s="1"/>
      <c r="WZF114" s="1"/>
      <c r="WZG114" s="1"/>
      <c r="WZH114" s="1"/>
      <c r="WZI114" s="1"/>
      <c r="WZJ114" s="1"/>
      <c r="WZK114" s="1"/>
      <c r="WZL114" s="1"/>
      <c r="WZM114" s="1"/>
      <c r="WZN114" s="1"/>
      <c r="WZO114" s="1"/>
      <c r="WZP114" s="1"/>
      <c r="WZQ114" s="1"/>
      <c r="WZR114" s="1"/>
      <c r="WZS114" s="1"/>
      <c r="WZT114" s="1"/>
      <c r="WZU114" s="1"/>
      <c r="WZV114" s="1"/>
      <c r="WZW114" s="1"/>
      <c r="WZX114" s="1"/>
      <c r="WZY114" s="1"/>
      <c r="WZZ114" s="1"/>
      <c r="XAA114" s="1"/>
      <c r="XAB114" s="1"/>
      <c r="XAC114" s="1"/>
      <c r="XAD114" s="1"/>
      <c r="XAE114" s="1"/>
      <c r="XAF114" s="1"/>
      <c r="XAG114" s="1"/>
      <c r="XAH114" s="1"/>
      <c r="XAI114" s="1"/>
      <c r="XAJ114" s="1"/>
      <c r="XAK114" s="1"/>
      <c r="XAL114" s="1"/>
      <c r="XAM114" s="1"/>
      <c r="XAN114" s="1"/>
      <c r="XAO114" s="1"/>
      <c r="XAP114" s="1"/>
      <c r="XAQ114" s="1"/>
      <c r="XAR114" s="1"/>
      <c r="XAS114" s="1"/>
      <c r="XAT114" s="1"/>
      <c r="XAU114" s="1"/>
      <c r="XAV114" s="1"/>
      <c r="XAW114" s="1"/>
      <c r="XAX114" s="1"/>
      <c r="XAY114" s="1"/>
      <c r="XAZ114" s="1"/>
      <c r="XBA114" s="1"/>
      <c r="XBB114" s="1"/>
      <c r="XBC114" s="1"/>
      <c r="XBD114" s="1"/>
      <c r="XBE114" s="1"/>
      <c r="XBF114" s="1"/>
      <c r="XBG114" s="1"/>
      <c r="XBH114" s="1"/>
      <c r="XBI114" s="1"/>
      <c r="XBJ114" s="1"/>
      <c r="XBK114" s="1"/>
      <c r="XBL114" s="1"/>
      <c r="XBM114" s="1"/>
      <c r="XBN114" s="1"/>
      <c r="XBO114" s="1"/>
      <c r="XBP114" s="1"/>
      <c r="XBQ114" s="1"/>
      <c r="XBR114" s="1"/>
      <c r="XBS114" s="1"/>
      <c r="XBT114" s="1"/>
      <c r="XBU114" s="1"/>
      <c r="XBV114" s="1"/>
      <c r="XBW114" s="1"/>
      <c r="XBX114" s="1"/>
      <c r="XBY114" s="1"/>
      <c r="XBZ114" s="1"/>
      <c r="XCA114" s="1"/>
      <c r="XCB114" s="1"/>
      <c r="XCC114" s="1"/>
      <c r="XCD114" s="1"/>
      <c r="XCE114" s="1"/>
      <c r="XCF114" s="1"/>
      <c r="XCG114" s="1"/>
      <c r="XCH114" s="1"/>
      <c r="XCI114" s="1"/>
      <c r="XCJ114" s="1"/>
      <c r="XCK114" s="1"/>
      <c r="XCL114" s="1"/>
      <c r="XCM114" s="1"/>
      <c r="XCN114" s="1"/>
      <c r="XCO114" s="1"/>
      <c r="XCP114" s="1"/>
      <c r="XCQ114" s="1"/>
      <c r="XCR114" s="1"/>
      <c r="XCS114" s="1"/>
      <c r="XCT114" s="1"/>
      <c r="XCU114" s="1"/>
      <c r="XCV114" s="1"/>
      <c r="XCW114" s="1"/>
      <c r="XCX114" s="1"/>
      <c r="XCY114" s="1"/>
      <c r="XCZ114" s="1"/>
      <c r="XDA114" s="1"/>
      <c r="XDB114" s="1"/>
      <c r="XDC114" s="1"/>
      <c r="XDD114" s="1"/>
      <c r="XDE114" s="1"/>
      <c r="XDF114" s="1"/>
      <c r="XDG114" s="1"/>
      <c r="XDH114" s="1"/>
      <c r="XDI114" s="1"/>
      <c r="XDJ114" s="1"/>
      <c r="XDK114" s="1"/>
      <c r="XDL114" s="1"/>
      <c r="XDM114" s="1"/>
      <c r="XDN114" s="1"/>
      <c r="XDO114" s="1"/>
      <c r="XDP114" s="1"/>
      <c r="XDQ114" s="1"/>
      <c r="XDR114" s="1"/>
      <c r="XDS114" s="1"/>
      <c r="XDT114" s="1"/>
      <c r="XDU114" s="1"/>
      <c r="XDV114" s="1"/>
      <c r="XDW114" s="1"/>
      <c r="XDX114" s="1"/>
      <c r="XDY114" s="1"/>
      <c r="XDZ114" s="1"/>
      <c r="XEA114" s="1"/>
      <c r="XEB114" s="1"/>
      <c r="XEC114" s="1"/>
      <c r="XED114" s="1"/>
      <c r="XEE114" s="1"/>
      <c r="XEF114" s="1"/>
      <c r="XEG114" s="1"/>
      <c r="XEH114" s="1"/>
      <c r="XEI114" s="1"/>
      <c r="XEJ114" s="1"/>
      <c r="XEK114" s="1"/>
      <c r="XEL114" s="1"/>
      <c r="XEM114" s="1"/>
      <c r="XEN114" s="1"/>
      <c r="XEO114" s="1"/>
      <c r="XEP114" s="1"/>
      <c r="XEQ114" s="1"/>
      <c r="XER114" s="1"/>
      <c r="XES114" s="1"/>
      <c r="XET114" s="1"/>
      <c r="XEU114" s="1"/>
      <c r="XEV114" s="1"/>
      <c r="XEW114" s="1"/>
      <c r="XEX114" s="1"/>
      <c r="XEY114" s="1"/>
      <c r="XEZ114" s="1"/>
      <c r="XFA114" s="1"/>
      <c r="XFB114" s="1"/>
      <c r="XFC114" s="1"/>
      <c r="XFD114" s="1"/>
    </row>
    <row r="115" spans="1:151 16227:16384" s="10" customFormat="1" ht="20.25" x14ac:dyDescent="0.25">
      <c r="A115" s="109" t="s">
        <v>246</v>
      </c>
      <c r="B115" s="110"/>
      <c r="C115" s="110"/>
      <c r="D115" s="110"/>
      <c r="E115" s="110"/>
      <c r="F115" s="110"/>
      <c r="G115" s="110"/>
      <c r="H115" s="110"/>
      <c r="I115" s="112"/>
      <c r="J115" s="1"/>
      <c r="K115" s="1"/>
      <c r="L115" s="1"/>
      <c r="M115" s="94">
        <f>10.764</f>
        <v>10.763999999999999</v>
      </c>
      <c r="N115" s="95"/>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WZC115" s="1"/>
      <c r="WZD115" s="1"/>
      <c r="WZE115" s="1"/>
      <c r="WZF115" s="1"/>
      <c r="WZG115" s="1"/>
      <c r="WZH115" s="1"/>
      <c r="WZI115" s="1"/>
      <c r="WZJ115" s="1"/>
      <c r="WZK115" s="1"/>
      <c r="WZL115" s="1"/>
      <c r="WZM115" s="1"/>
      <c r="WZN115" s="1"/>
      <c r="WZO115" s="1"/>
      <c r="WZP115" s="1"/>
      <c r="WZQ115" s="1"/>
      <c r="WZR115" s="1"/>
      <c r="WZS115" s="1"/>
      <c r="WZT115" s="1"/>
      <c r="WZU115" s="1"/>
      <c r="WZV115" s="1"/>
      <c r="WZW115" s="1"/>
      <c r="WZX115" s="1"/>
      <c r="WZY115" s="1"/>
      <c r="WZZ115" s="1"/>
      <c r="XAA115" s="1"/>
      <c r="XAB115" s="1"/>
      <c r="XAC115" s="1"/>
      <c r="XAD115" s="1"/>
      <c r="XAE115" s="1"/>
      <c r="XAF115" s="1"/>
      <c r="XAG115" s="1"/>
      <c r="XAH115" s="1"/>
      <c r="XAI115" s="1"/>
      <c r="XAJ115" s="1"/>
      <c r="XAK115" s="1"/>
      <c r="XAL115" s="1"/>
      <c r="XAM115" s="1"/>
      <c r="XAN115" s="1"/>
      <c r="XAO115" s="1"/>
      <c r="XAP115" s="1"/>
      <c r="XAQ115" s="1"/>
      <c r="XAR115" s="1"/>
      <c r="XAS115" s="1"/>
      <c r="XAT115" s="1"/>
      <c r="XAU115" s="1"/>
      <c r="XAV115" s="1"/>
      <c r="XAW115" s="1"/>
      <c r="XAX115" s="1"/>
      <c r="XAY115" s="1"/>
      <c r="XAZ115" s="1"/>
      <c r="XBA115" s="1"/>
      <c r="XBB115" s="1"/>
      <c r="XBC115" s="1"/>
      <c r="XBD115" s="1"/>
      <c r="XBE115" s="1"/>
      <c r="XBF115" s="1"/>
      <c r="XBG115" s="1"/>
      <c r="XBH115" s="1"/>
      <c r="XBI115" s="1"/>
      <c r="XBJ115" s="1"/>
      <c r="XBK115" s="1"/>
      <c r="XBL115" s="1"/>
      <c r="XBM115" s="1"/>
      <c r="XBN115" s="1"/>
      <c r="XBO115" s="1"/>
      <c r="XBP115" s="1"/>
      <c r="XBQ115" s="1"/>
      <c r="XBR115" s="1"/>
      <c r="XBS115" s="1"/>
      <c r="XBT115" s="1"/>
      <c r="XBU115" s="1"/>
      <c r="XBV115" s="1"/>
      <c r="XBW115" s="1"/>
      <c r="XBX115" s="1"/>
      <c r="XBY115" s="1"/>
      <c r="XBZ115" s="1"/>
      <c r="XCA115" s="1"/>
      <c r="XCB115" s="1"/>
      <c r="XCC115" s="1"/>
      <c r="XCD115" s="1"/>
      <c r="XCE115" s="1"/>
      <c r="XCF115" s="1"/>
      <c r="XCG115" s="1"/>
      <c r="XCH115" s="1"/>
      <c r="XCI115" s="1"/>
      <c r="XCJ115" s="1"/>
      <c r="XCK115" s="1"/>
      <c r="XCL115" s="1"/>
      <c r="XCM115" s="1"/>
      <c r="XCN115" s="1"/>
      <c r="XCO115" s="1"/>
      <c r="XCP115" s="1"/>
      <c r="XCQ115" s="1"/>
      <c r="XCR115" s="1"/>
      <c r="XCS115" s="1"/>
      <c r="XCT115" s="1"/>
      <c r="XCU115" s="1"/>
      <c r="XCV115" s="1"/>
      <c r="XCW115" s="1"/>
      <c r="XCX115" s="1"/>
      <c r="XCY115" s="1"/>
      <c r="XCZ115" s="1"/>
      <c r="XDA115" s="1"/>
      <c r="XDB115" s="1"/>
      <c r="XDC115" s="1"/>
      <c r="XDD115" s="1"/>
      <c r="XDE115" s="1"/>
      <c r="XDF115" s="1"/>
      <c r="XDG115" s="1"/>
      <c r="XDH115" s="1"/>
      <c r="XDI115" s="1"/>
      <c r="XDJ115" s="1"/>
      <c r="XDK115" s="1"/>
      <c r="XDL115" s="1"/>
      <c r="XDM115" s="1"/>
      <c r="XDN115" s="1"/>
      <c r="XDO115" s="1"/>
      <c r="XDP115" s="1"/>
      <c r="XDQ115" s="1"/>
      <c r="XDR115" s="1"/>
      <c r="XDS115" s="1"/>
      <c r="XDT115" s="1"/>
      <c r="XDU115" s="1"/>
      <c r="XDV115" s="1"/>
      <c r="XDW115" s="1"/>
      <c r="XDX115" s="1"/>
      <c r="XDY115" s="1"/>
      <c r="XDZ115" s="1"/>
      <c r="XEA115" s="1"/>
      <c r="XEB115" s="1"/>
      <c r="XEC115" s="1"/>
      <c r="XED115" s="1"/>
      <c r="XEE115" s="1"/>
      <c r="XEF115" s="1"/>
      <c r="XEG115" s="1"/>
      <c r="XEH115" s="1"/>
      <c r="XEI115" s="1"/>
      <c r="XEJ115" s="1"/>
      <c r="XEK115" s="1"/>
      <c r="XEL115" s="1"/>
      <c r="XEM115" s="1"/>
      <c r="XEN115" s="1"/>
      <c r="XEO115" s="1"/>
      <c r="XEP115" s="1"/>
      <c r="XEQ115" s="1"/>
      <c r="XER115" s="1"/>
      <c r="XES115" s="1"/>
      <c r="XET115" s="1"/>
      <c r="XEU115" s="1"/>
      <c r="XEV115" s="1"/>
      <c r="XEW115" s="1"/>
      <c r="XEX115" s="1"/>
      <c r="XEY115" s="1"/>
      <c r="XEZ115" s="1"/>
      <c r="XFA115" s="1"/>
      <c r="XFB115" s="1"/>
      <c r="XFC115" s="1"/>
      <c r="XFD115" s="1"/>
    </row>
    <row r="116" spans="1:151 16227:16384" s="10" customFormat="1" ht="20.25" customHeight="1" x14ac:dyDescent="0.25">
      <c r="A116" s="96" t="str">
        <f>A115</f>
        <v>Ground Floor For Commercial, Meter Room, Fire Control Room, Panel Room, Society Office &amp; Parking</v>
      </c>
      <c r="B116" s="106"/>
      <c r="C116" s="93">
        <v>1</v>
      </c>
      <c r="D116" s="93"/>
      <c r="E116" s="18" t="s">
        <v>210</v>
      </c>
      <c r="F116" s="94">
        <f>(2.89*6.03+0.12*0.68+1.8*1.12)*(10.764)</f>
        <v>210.15956520000003</v>
      </c>
      <c r="G116" s="95"/>
      <c r="H116" s="18">
        <v>0</v>
      </c>
      <c r="I116" s="18">
        <f t="shared" ref="I116:I123" si="1">F116*(($I$113)+1)+H116</f>
        <v>325.74732606000003</v>
      </c>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WZC116" s="1"/>
      <c r="WZD116" s="1"/>
      <c r="WZE116" s="1"/>
      <c r="WZF116" s="1"/>
      <c r="WZG116" s="1"/>
      <c r="WZH116" s="1"/>
      <c r="WZI116" s="1"/>
      <c r="WZJ116" s="1"/>
      <c r="WZK116" s="1"/>
      <c r="WZL116" s="1"/>
      <c r="WZM116" s="1"/>
      <c r="WZN116" s="1"/>
      <c r="WZO116" s="1"/>
      <c r="WZP116" s="1"/>
      <c r="WZQ116" s="1"/>
      <c r="WZR116" s="1"/>
      <c r="WZS116" s="1"/>
      <c r="WZT116" s="1"/>
      <c r="WZU116" s="1"/>
      <c r="WZV116" s="1"/>
      <c r="WZW116" s="1"/>
      <c r="WZX116" s="1"/>
      <c r="WZY116" s="1"/>
      <c r="WZZ116" s="1"/>
      <c r="XAA116" s="1"/>
      <c r="XAB116" s="1"/>
      <c r="XAC116" s="1"/>
      <c r="XAD116" s="1"/>
      <c r="XAE116" s="1"/>
      <c r="XAF116" s="1"/>
      <c r="XAG116" s="1"/>
      <c r="XAH116" s="1"/>
      <c r="XAI116" s="1"/>
      <c r="XAJ116" s="1"/>
      <c r="XAK116" s="1"/>
      <c r="XAL116" s="1"/>
      <c r="XAM116" s="1"/>
      <c r="XAN116" s="1"/>
      <c r="XAO116" s="1"/>
      <c r="XAP116" s="1"/>
      <c r="XAQ116" s="1"/>
      <c r="XAR116" s="1"/>
      <c r="XAS116" s="1"/>
      <c r="XAT116" s="1"/>
      <c r="XAU116" s="1"/>
      <c r="XAV116" s="1"/>
      <c r="XAW116" s="1"/>
      <c r="XAX116" s="1"/>
      <c r="XAY116" s="1"/>
      <c r="XAZ116" s="1"/>
      <c r="XBA116" s="1"/>
      <c r="XBB116" s="1"/>
      <c r="XBC116" s="1"/>
      <c r="XBD116" s="1"/>
      <c r="XBE116" s="1"/>
      <c r="XBF116" s="1"/>
      <c r="XBG116" s="1"/>
      <c r="XBH116" s="1"/>
      <c r="XBI116" s="1"/>
      <c r="XBJ116" s="1"/>
      <c r="XBK116" s="1"/>
      <c r="XBL116" s="1"/>
      <c r="XBM116" s="1"/>
      <c r="XBN116" s="1"/>
      <c r="XBO116" s="1"/>
      <c r="XBP116" s="1"/>
      <c r="XBQ116" s="1"/>
      <c r="XBR116" s="1"/>
      <c r="XBS116" s="1"/>
      <c r="XBT116" s="1"/>
      <c r="XBU116" s="1"/>
      <c r="XBV116" s="1"/>
      <c r="XBW116" s="1"/>
      <c r="XBX116" s="1"/>
      <c r="XBY116" s="1"/>
      <c r="XBZ116" s="1"/>
      <c r="XCA116" s="1"/>
      <c r="XCB116" s="1"/>
      <c r="XCC116" s="1"/>
      <c r="XCD116" s="1"/>
      <c r="XCE116" s="1"/>
      <c r="XCF116" s="1"/>
      <c r="XCG116" s="1"/>
      <c r="XCH116" s="1"/>
      <c r="XCI116" s="1"/>
      <c r="XCJ116" s="1"/>
      <c r="XCK116" s="1"/>
      <c r="XCL116" s="1"/>
      <c r="XCM116" s="1"/>
      <c r="XCN116" s="1"/>
      <c r="XCO116" s="1"/>
      <c r="XCP116" s="1"/>
      <c r="XCQ116" s="1"/>
      <c r="XCR116" s="1"/>
      <c r="XCS116" s="1"/>
      <c r="XCT116" s="1"/>
      <c r="XCU116" s="1"/>
      <c r="XCV116" s="1"/>
      <c r="XCW116" s="1"/>
      <c r="XCX116" s="1"/>
      <c r="XCY116" s="1"/>
      <c r="XCZ116" s="1"/>
      <c r="XDA116" s="1"/>
      <c r="XDB116" s="1"/>
      <c r="XDC116" s="1"/>
      <c r="XDD116" s="1"/>
      <c r="XDE116" s="1"/>
      <c r="XDF116" s="1"/>
      <c r="XDG116" s="1"/>
      <c r="XDH116" s="1"/>
      <c r="XDI116" s="1"/>
      <c r="XDJ116" s="1"/>
      <c r="XDK116" s="1"/>
      <c r="XDL116" s="1"/>
      <c r="XDM116" s="1"/>
      <c r="XDN116" s="1"/>
      <c r="XDO116" s="1"/>
      <c r="XDP116" s="1"/>
      <c r="XDQ116" s="1"/>
      <c r="XDR116" s="1"/>
      <c r="XDS116" s="1"/>
      <c r="XDT116" s="1"/>
      <c r="XDU116" s="1"/>
      <c r="XDV116" s="1"/>
      <c r="XDW116" s="1"/>
      <c r="XDX116" s="1"/>
      <c r="XDY116" s="1"/>
      <c r="XDZ116" s="1"/>
      <c r="XEA116" s="1"/>
      <c r="XEB116" s="1"/>
      <c r="XEC116" s="1"/>
      <c r="XED116" s="1"/>
      <c r="XEE116" s="1"/>
      <c r="XEF116" s="1"/>
      <c r="XEG116" s="1"/>
      <c r="XEH116" s="1"/>
      <c r="XEI116" s="1"/>
      <c r="XEJ116" s="1"/>
      <c r="XEK116" s="1"/>
      <c r="XEL116" s="1"/>
      <c r="XEM116" s="1"/>
      <c r="XEN116" s="1"/>
      <c r="XEO116" s="1"/>
      <c r="XEP116" s="1"/>
      <c r="XEQ116" s="1"/>
      <c r="XER116" s="1"/>
      <c r="XES116" s="1"/>
      <c r="XET116" s="1"/>
      <c r="XEU116" s="1"/>
      <c r="XEV116" s="1"/>
      <c r="XEW116" s="1"/>
      <c r="XEX116" s="1"/>
      <c r="XEY116" s="1"/>
      <c r="XEZ116" s="1"/>
      <c r="XFA116" s="1"/>
      <c r="XFB116" s="1"/>
      <c r="XFC116" s="1"/>
      <c r="XFD116" s="1"/>
    </row>
    <row r="117" spans="1:151 16227:16384" s="10" customFormat="1" ht="20.25" customHeight="1" x14ac:dyDescent="0.25">
      <c r="A117" s="98"/>
      <c r="B117" s="107"/>
      <c r="C117" s="93">
        <f>C116+1</f>
        <v>2</v>
      </c>
      <c r="D117" s="93"/>
      <c r="E117" s="18" t="s">
        <v>210</v>
      </c>
      <c r="F117" s="94">
        <f>(2.99*6.1+0.13*2.45+0.2*2.45+2.13*1.05)*(10.764)</f>
        <v>229.10097599999997</v>
      </c>
      <c r="G117" s="95"/>
      <c r="H117" s="18">
        <v>0</v>
      </c>
      <c r="I117" s="18">
        <f t="shared" si="1"/>
        <v>355.10651279999996</v>
      </c>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WZC117" s="1"/>
      <c r="WZD117" s="1"/>
      <c r="WZE117" s="1"/>
      <c r="WZF117" s="1"/>
      <c r="WZG117" s="1"/>
      <c r="WZH117" s="1"/>
      <c r="WZI117" s="1"/>
      <c r="WZJ117" s="1"/>
      <c r="WZK117" s="1"/>
      <c r="WZL117" s="1"/>
      <c r="WZM117" s="1"/>
      <c r="WZN117" s="1"/>
      <c r="WZO117" s="1"/>
      <c r="WZP117" s="1"/>
      <c r="WZQ117" s="1"/>
      <c r="WZR117" s="1"/>
      <c r="WZS117" s="1"/>
      <c r="WZT117" s="1"/>
      <c r="WZU117" s="1"/>
      <c r="WZV117" s="1"/>
      <c r="WZW117" s="1"/>
      <c r="WZX117" s="1"/>
      <c r="WZY117" s="1"/>
      <c r="WZZ117" s="1"/>
      <c r="XAA117" s="1"/>
      <c r="XAB117" s="1"/>
      <c r="XAC117" s="1"/>
      <c r="XAD117" s="1"/>
      <c r="XAE117" s="1"/>
      <c r="XAF117" s="1"/>
      <c r="XAG117" s="1"/>
      <c r="XAH117" s="1"/>
      <c r="XAI117" s="1"/>
      <c r="XAJ117" s="1"/>
      <c r="XAK117" s="1"/>
      <c r="XAL117" s="1"/>
      <c r="XAM117" s="1"/>
      <c r="XAN117" s="1"/>
      <c r="XAO117" s="1"/>
      <c r="XAP117" s="1"/>
      <c r="XAQ117" s="1"/>
      <c r="XAR117" s="1"/>
      <c r="XAS117" s="1"/>
      <c r="XAT117" s="1"/>
      <c r="XAU117" s="1"/>
      <c r="XAV117" s="1"/>
      <c r="XAW117" s="1"/>
      <c r="XAX117" s="1"/>
      <c r="XAY117" s="1"/>
      <c r="XAZ117" s="1"/>
      <c r="XBA117" s="1"/>
      <c r="XBB117" s="1"/>
      <c r="XBC117" s="1"/>
      <c r="XBD117" s="1"/>
      <c r="XBE117" s="1"/>
      <c r="XBF117" s="1"/>
      <c r="XBG117" s="1"/>
      <c r="XBH117" s="1"/>
      <c r="XBI117" s="1"/>
      <c r="XBJ117" s="1"/>
      <c r="XBK117" s="1"/>
      <c r="XBL117" s="1"/>
      <c r="XBM117" s="1"/>
      <c r="XBN117" s="1"/>
      <c r="XBO117" s="1"/>
      <c r="XBP117" s="1"/>
      <c r="XBQ117" s="1"/>
      <c r="XBR117" s="1"/>
      <c r="XBS117" s="1"/>
      <c r="XBT117" s="1"/>
      <c r="XBU117" s="1"/>
      <c r="XBV117" s="1"/>
      <c r="XBW117" s="1"/>
      <c r="XBX117" s="1"/>
      <c r="XBY117" s="1"/>
      <c r="XBZ117" s="1"/>
      <c r="XCA117" s="1"/>
      <c r="XCB117" s="1"/>
      <c r="XCC117" s="1"/>
      <c r="XCD117" s="1"/>
      <c r="XCE117" s="1"/>
      <c r="XCF117" s="1"/>
      <c r="XCG117" s="1"/>
      <c r="XCH117" s="1"/>
      <c r="XCI117" s="1"/>
      <c r="XCJ117" s="1"/>
      <c r="XCK117" s="1"/>
      <c r="XCL117" s="1"/>
      <c r="XCM117" s="1"/>
      <c r="XCN117" s="1"/>
      <c r="XCO117" s="1"/>
      <c r="XCP117" s="1"/>
      <c r="XCQ117" s="1"/>
      <c r="XCR117" s="1"/>
      <c r="XCS117" s="1"/>
      <c r="XCT117" s="1"/>
      <c r="XCU117" s="1"/>
      <c r="XCV117" s="1"/>
      <c r="XCW117" s="1"/>
      <c r="XCX117" s="1"/>
      <c r="XCY117" s="1"/>
      <c r="XCZ117" s="1"/>
      <c r="XDA117" s="1"/>
      <c r="XDB117" s="1"/>
      <c r="XDC117" s="1"/>
      <c r="XDD117" s="1"/>
      <c r="XDE117" s="1"/>
      <c r="XDF117" s="1"/>
      <c r="XDG117" s="1"/>
      <c r="XDH117" s="1"/>
      <c r="XDI117" s="1"/>
      <c r="XDJ117" s="1"/>
      <c r="XDK117" s="1"/>
      <c r="XDL117" s="1"/>
      <c r="XDM117" s="1"/>
      <c r="XDN117" s="1"/>
      <c r="XDO117" s="1"/>
      <c r="XDP117" s="1"/>
      <c r="XDQ117" s="1"/>
      <c r="XDR117" s="1"/>
      <c r="XDS117" s="1"/>
      <c r="XDT117" s="1"/>
      <c r="XDU117" s="1"/>
      <c r="XDV117" s="1"/>
      <c r="XDW117" s="1"/>
      <c r="XDX117" s="1"/>
      <c r="XDY117" s="1"/>
      <c r="XDZ117" s="1"/>
      <c r="XEA117" s="1"/>
      <c r="XEB117" s="1"/>
      <c r="XEC117" s="1"/>
      <c r="XED117" s="1"/>
      <c r="XEE117" s="1"/>
      <c r="XEF117" s="1"/>
      <c r="XEG117" s="1"/>
      <c r="XEH117" s="1"/>
      <c r="XEI117" s="1"/>
      <c r="XEJ117" s="1"/>
      <c r="XEK117" s="1"/>
      <c r="XEL117" s="1"/>
      <c r="XEM117" s="1"/>
      <c r="XEN117" s="1"/>
      <c r="XEO117" s="1"/>
      <c r="XEP117" s="1"/>
      <c r="XEQ117" s="1"/>
      <c r="XER117" s="1"/>
      <c r="XES117" s="1"/>
      <c r="XET117" s="1"/>
      <c r="XEU117" s="1"/>
      <c r="XEV117" s="1"/>
      <c r="XEW117" s="1"/>
      <c r="XEX117" s="1"/>
      <c r="XEY117" s="1"/>
      <c r="XEZ117" s="1"/>
      <c r="XFA117" s="1"/>
      <c r="XFB117" s="1"/>
      <c r="XFC117" s="1"/>
      <c r="XFD117" s="1"/>
    </row>
    <row r="118" spans="1:151 16227:16384" s="10" customFormat="1" ht="20.25" customHeight="1" x14ac:dyDescent="0.25">
      <c r="A118" s="98"/>
      <c r="B118" s="107"/>
      <c r="C118" s="93">
        <f t="shared" ref="C118:C123" si="2">C117+1</f>
        <v>3</v>
      </c>
      <c r="D118" s="93"/>
      <c r="E118" s="18" t="s">
        <v>210</v>
      </c>
      <c r="F118" s="94">
        <f>(3.04*2.83+0.22*1+1.37*0.62+1.67*1.25+1.5*7.25+0.53*1.8+1.05*1.8)*(10.764)</f>
        <v>274.25703240000001</v>
      </c>
      <c r="G118" s="95"/>
      <c r="H118" s="18">
        <v>0</v>
      </c>
      <c r="I118" s="18">
        <f t="shared" si="1"/>
        <v>425.09840022000003</v>
      </c>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
      <c r="XEO118" s="1"/>
      <c r="XEP118" s="1"/>
      <c r="XEQ118" s="1"/>
      <c r="XER118" s="1"/>
      <c r="XES118" s="1"/>
      <c r="XET118" s="1"/>
      <c r="XEU118" s="1"/>
      <c r="XEV118" s="1"/>
      <c r="XEW118" s="1"/>
      <c r="XEX118" s="1"/>
      <c r="XEY118" s="1"/>
      <c r="XEZ118" s="1"/>
      <c r="XFA118" s="1"/>
      <c r="XFB118" s="1"/>
      <c r="XFC118" s="1"/>
      <c r="XFD118" s="1"/>
    </row>
    <row r="119" spans="1:151 16227:16384" s="10" customFormat="1" ht="20.25" customHeight="1" x14ac:dyDescent="0.25">
      <c r="A119" s="98"/>
      <c r="B119" s="107"/>
      <c r="C119" s="93">
        <f t="shared" si="2"/>
        <v>4</v>
      </c>
      <c r="D119" s="93"/>
      <c r="E119" s="18" t="s">
        <v>210</v>
      </c>
      <c r="F119" s="94">
        <f>(3.04*4.7+0.15*1.25+1.55*0.75+2.04*1.8+1.05*1.8)*(10.764)</f>
        <v>228.19679999999997</v>
      </c>
      <c r="G119" s="95"/>
      <c r="H119" s="18">
        <v>0</v>
      </c>
      <c r="I119" s="18">
        <f t="shared" si="1"/>
        <v>353.70503999999994</v>
      </c>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c r="XFD119" s="1"/>
    </row>
    <row r="120" spans="1:151 16227:16384" s="10" customFormat="1" ht="20.25" customHeight="1" x14ac:dyDescent="0.25">
      <c r="A120" s="98"/>
      <c r="B120" s="107"/>
      <c r="C120" s="93">
        <f t="shared" si="2"/>
        <v>5</v>
      </c>
      <c r="D120" s="93"/>
      <c r="E120" s="18" t="s">
        <v>210</v>
      </c>
      <c r="F120" s="94">
        <f>(2.7*4.7+0.23*2.87+1.84*2.55+1.05*1.8)*(10.764)</f>
        <v>214.54912440000001</v>
      </c>
      <c r="G120" s="95"/>
      <c r="H120" s="18">
        <v>0</v>
      </c>
      <c r="I120" s="18">
        <f t="shared" si="1"/>
        <v>332.55114282000005</v>
      </c>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c r="XFD120" s="1"/>
    </row>
    <row r="121" spans="1:151 16227:16384" s="10" customFormat="1" ht="20.25" customHeight="1" x14ac:dyDescent="0.25">
      <c r="A121" s="98"/>
      <c r="B121" s="107"/>
      <c r="C121" s="93">
        <f t="shared" si="2"/>
        <v>6</v>
      </c>
      <c r="D121" s="93"/>
      <c r="E121" s="18" t="s">
        <v>210</v>
      </c>
      <c r="F121" s="94">
        <f>(3.11*4.7+1.89*2.55+1.05*1.8)*(10.764)</f>
        <v>229.55844599999998</v>
      </c>
      <c r="G121" s="95"/>
      <c r="H121" s="18">
        <v>0</v>
      </c>
      <c r="I121" s="18">
        <f t="shared" si="1"/>
        <v>355.81559129999999</v>
      </c>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c r="XFD121" s="1"/>
    </row>
    <row r="122" spans="1:151 16227:16384" s="10" customFormat="1" ht="20.25" customHeight="1" x14ac:dyDescent="0.25">
      <c r="A122" s="98"/>
      <c r="B122" s="107"/>
      <c r="C122" s="93">
        <f t="shared" si="2"/>
        <v>7</v>
      </c>
      <c r="D122" s="93"/>
      <c r="E122" s="18" t="s">
        <v>210</v>
      </c>
      <c r="F122" s="94">
        <f>(2.99*6.1+0.2*2.45+0.13*2.45+2.13*1.05)*(10.764)</f>
        <v>229.10097599999997</v>
      </c>
      <c r="G122" s="95"/>
      <c r="H122" s="18">
        <v>0</v>
      </c>
      <c r="I122" s="18">
        <f t="shared" si="1"/>
        <v>355.10651279999996</v>
      </c>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c r="XEW122" s="1"/>
      <c r="XEX122" s="1"/>
      <c r="XEY122" s="1"/>
      <c r="XEZ122" s="1"/>
      <c r="XFA122" s="1"/>
      <c r="XFB122" s="1"/>
      <c r="XFC122" s="1"/>
      <c r="XFD122" s="1"/>
    </row>
    <row r="123" spans="1:151 16227:16384" s="10" customFormat="1" ht="20.25" customHeight="1" x14ac:dyDescent="0.25">
      <c r="A123" s="100"/>
      <c r="B123" s="108"/>
      <c r="C123" s="93">
        <f t="shared" si="2"/>
        <v>8</v>
      </c>
      <c r="D123" s="93"/>
      <c r="E123" s="18" t="s">
        <v>210</v>
      </c>
      <c r="F123" s="94">
        <f>(2.89*6.03+0.13*0.62+1.8*1.13)*(10.764)</f>
        <v>210.3425532</v>
      </c>
      <c r="G123" s="95"/>
      <c r="H123" s="18">
        <v>0</v>
      </c>
      <c r="I123" s="18">
        <f t="shared" si="1"/>
        <v>326.03095746000002</v>
      </c>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c r="XFD123" s="1"/>
    </row>
    <row r="124" spans="1:151 16227:16384" s="10" customFormat="1" ht="20.25" x14ac:dyDescent="0.25">
      <c r="A124" s="109" t="s">
        <v>248</v>
      </c>
      <c r="B124" s="110"/>
      <c r="C124" s="110"/>
      <c r="D124" s="110"/>
      <c r="E124" s="110"/>
      <c r="F124" s="110"/>
      <c r="G124" s="110"/>
      <c r="H124" s="110"/>
      <c r="I124" s="112"/>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c r="XFD124" s="1"/>
    </row>
    <row r="125" spans="1:151 16227:16384" s="10" customFormat="1" ht="20.25" customHeight="1" x14ac:dyDescent="0.25">
      <c r="A125" s="96" t="str">
        <f>A124</f>
        <v>1st Podium Floor Commercial, Meter Room, LV Room, Panel Room &amp; Parking</v>
      </c>
      <c r="B125" s="97"/>
      <c r="C125" s="93">
        <v>1</v>
      </c>
      <c r="D125" s="93"/>
      <c r="E125" s="18" t="s">
        <v>210</v>
      </c>
      <c r="F125" s="94">
        <f>(3.04*3.65+3.09*2.45+2.19*1.22+0.05*0.67+1.8*1.05)*(10.764)</f>
        <v>250.39001519999999</v>
      </c>
      <c r="G125" s="95"/>
      <c r="H125" s="18">
        <v>0</v>
      </c>
      <c r="I125" s="18">
        <f t="shared" ref="I125:I132" si="3">F125*(($I$113)+1)+H125</f>
        <v>388.10452356000002</v>
      </c>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c r="XFD125" s="1"/>
    </row>
    <row r="126" spans="1:151 16227:16384" s="10" customFormat="1" ht="20.25" x14ac:dyDescent="0.25">
      <c r="A126" s="98"/>
      <c r="B126" s="99"/>
      <c r="C126" s="93" t="s">
        <v>249</v>
      </c>
      <c r="D126" s="93"/>
      <c r="E126" s="18" t="s">
        <v>210</v>
      </c>
      <c r="F126" s="114">
        <f>(3.04*3.65+3.19*1.08)*(10.764)</f>
        <v>156.52147679999999</v>
      </c>
      <c r="G126" s="115"/>
      <c r="H126" s="18">
        <v>0</v>
      </c>
      <c r="I126" s="18">
        <f t="shared" si="3"/>
        <v>242.60828903999999</v>
      </c>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c r="XFD126" s="1"/>
    </row>
    <row r="127" spans="1:151 16227:16384" s="10" customFormat="1" ht="20.25" x14ac:dyDescent="0.25">
      <c r="A127" s="98"/>
      <c r="B127" s="99"/>
      <c r="C127" s="93">
        <v>2</v>
      </c>
      <c r="D127" s="93"/>
      <c r="E127" s="18" t="s">
        <v>210</v>
      </c>
      <c r="F127" s="114">
        <f>(3.09*2.83+0.15*1.24+1.42*1.87+0.1*0.69+1.5*4.14+1.5*1.05)*(10.764)</f>
        <v>209.25323639999996</v>
      </c>
      <c r="G127" s="115"/>
      <c r="H127" s="18">
        <v>0</v>
      </c>
      <c r="I127" s="18">
        <f t="shared" si="3"/>
        <v>324.34251641999992</v>
      </c>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c r="XFD127" s="1"/>
    </row>
    <row r="128" spans="1:151 16227:16384" s="10" customFormat="1" ht="20.25" customHeight="1" x14ac:dyDescent="0.25">
      <c r="A128" s="98"/>
      <c r="B128" s="99"/>
      <c r="C128" s="93">
        <f t="shared" ref="C128:C131" si="4">C127+1</f>
        <v>3</v>
      </c>
      <c r="D128" s="93"/>
      <c r="E128" s="18" t="s">
        <v>210</v>
      </c>
      <c r="F128" s="114">
        <f>(3.09*3.22+1.67*2.08+1.42*1.37)*(10.764)</f>
        <v>165.42976319999997</v>
      </c>
      <c r="G128" s="115"/>
      <c r="H128" s="18">
        <v>0</v>
      </c>
      <c r="I128" s="18">
        <f t="shared" si="3"/>
        <v>256.41613295999997</v>
      </c>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WZC128" s="1"/>
      <c r="WZD128" s="1"/>
      <c r="WZE128" s="1"/>
      <c r="WZF128" s="1"/>
      <c r="WZG128" s="1"/>
      <c r="WZH128" s="1"/>
      <c r="WZI128" s="1"/>
      <c r="WZJ128" s="1"/>
      <c r="WZK128" s="1"/>
      <c r="WZL128" s="1"/>
      <c r="WZM128" s="1"/>
      <c r="WZN128" s="1"/>
      <c r="WZO128" s="1"/>
      <c r="WZP128" s="1"/>
      <c r="WZQ128" s="1"/>
      <c r="WZR128" s="1"/>
      <c r="WZS128" s="1"/>
      <c r="WZT128" s="1"/>
      <c r="WZU128" s="1"/>
      <c r="WZV128" s="1"/>
      <c r="WZW128" s="1"/>
      <c r="WZX128" s="1"/>
      <c r="WZY128" s="1"/>
      <c r="WZZ128" s="1"/>
      <c r="XAA128" s="1"/>
      <c r="XAB128" s="1"/>
      <c r="XAC128" s="1"/>
      <c r="XAD128" s="1"/>
      <c r="XAE128" s="1"/>
      <c r="XAF128" s="1"/>
      <c r="XAG128" s="1"/>
      <c r="XAH128" s="1"/>
      <c r="XAI128" s="1"/>
      <c r="XAJ128" s="1"/>
      <c r="XAK128" s="1"/>
      <c r="XAL128" s="1"/>
      <c r="XAM128" s="1"/>
      <c r="XAN128" s="1"/>
      <c r="XAO128" s="1"/>
      <c r="XAP128" s="1"/>
      <c r="XAQ128" s="1"/>
      <c r="XAR128" s="1"/>
      <c r="XAS128" s="1"/>
      <c r="XAT128" s="1"/>
      <c r="XAU128" s="1"/>
      <c r="XAV128" s="1"/>
      <c r="XAW128" s="1"/>
      <c r="XAX128" s="1"/>
      <c r="XAY128" s="1"/>
      <c r="XAZ128" s="1"/>
      <c r="XBA128" s="1"/>
      <c r="XBB128" s="1"/>
      <c r="XBC128" s="1"/>
      <c r="XBD128" s="1"/>
      <c r="XBE128" s="1"/>
      <c r="XBF128" s="1"/>
      <c r="XBG128" s="1"/>
      <c r="XBH128" s="1"/>
      <c r="XBI128" s="1"/>
      <c r="XBJ128" s="1"/>
      <c r="XBK128" s="1"/>
      <c r="XBL128" s="1"/>
      <c r="XBM128" s="1"/>
      <c r="XBN128" s="1"/>
      <c r="XBO128" s="1"/>
      <c r="XBP128" s="1"/>
      <c r="XBQ128" s="1"/>
      <c r="XBR128" s="1"/>
      <c r="XBS128" s="1"/>
      <c r="XBT128" s="1"/>
      <c r="XBU128" s="1"/>
      <c r="XBV128" s="1"/>
      <c r="XBW128" s="1"/>
      <c r="XBX128" s="1"/>
      <c r="XBY128" s="1"/>
      <c r="XBZ128" s="1"/>
      <c r="XCA128" s="1"/>
      <c r="XCB128" s="1"/>
      <c r="XCC128" s="1"/>
      <c r="XCD128" s="1"/>
      <c r="XCE128" s="1"/>
      <c r="XCF128" s="1"/>
      <c r="XCG128" s="1"/>
      <c r="XCH128" s="1"/>
      <c r="XCI128" s="1"/>
      <c r="XCJ128" s="1"/>
      <c r="XCK128" s="1"/>
      <c r="XCL128" s="1"/>
      <c r="XCM128" s="1"/>
      <c r="XCN128" s="1"/>
      <c r="XCO128" s="1"/>
      <c r="XCP128" s="1"/>
      <c r="XCQ128" s="1"/>
      <c r="XCR128" s="1"/>
      <c r="XCS128" s="1"/>
      <c r="XCT128" s="1"/>
      <c r="XCU128" s="1"/>
      <c r="XCV128" s="1"/>
      <c r="XCW128" s="1"/>
      <c r="XCX128" s="1"/>
      <c r="XCY128" s="1"/>
      <c r="XCZ128" s="1"/>
      <c r="XDA128" s="1"/>
      <c r="XDB128" s="1"/>
      <c r="XDC128" s="1"/>
      <c r="XDD128" s="1"/>
      <c r="XDE128" s="1"/>
      <c r="XDF128" s="1"/>
      <c r="XDG128" s="1"/>
      <c r="XDH128" s="1"/>
      <c r="XDI128" s="1"/>
      <c r="XDJ128" s="1"/>
      <c r="XDK128" s="1"/>
      <c r="XDL128" s="1"/>
      <c r="XDM128" s="1"/>
      <c r="XDN128" s="1"/>
      <c r="XDO128" s="1"/>
      <c r="XDP128" s="1"/>
      <c r="XDQ128" s="1"/>
      <c r="XDR128" s="1"/>
      <c r="XDS128" s="1"/>
      <c r="XDT128" s="1"/>
      <c r="XDU128" s="1"/>
      <c r="XDV128" s="1"/>
      <c r="XDW128" s="1"/>
      <c r="XDX128" s="1"/>
      <c r="XDY128" s="1"/>
      <c r="XDZ128" s="1"/>
      <c r="XEA128" s="1"/>
      <c r="XEB128" s="1"/>
      <c r="XEC128" s="1"/>
      <c r="XED128" s="1"/>
      <c r="XEE128" s="1"/>
      <c r="XEF128" s="1"/>
      <c r="XEG128" s="1"/>
      <c r="XEH128" s="1"/>
      <c r="XEI128" s="1"/>
      <c r="XEJ128" s="1"/>
      <c r="XEK128" s="1"/>
      <c r="XEL128" s="1"/>
      <c r="XEM128" s="1"/>
      <c r="XEN128" s="1"/>
      <c r="XEO128" s="1"/>
      <c r="XEP128" s="1"/>
      <c r="XEQ128" s="1"/>
      <c r="XER128" s="1"/>
      <c r="XES128" s="1"/>
      <c r="XET128" s="1"/>
      <c r="XEU128" s="1"/>
      <c r="XEV128" s="1"/>
      <c r="XEW128" s="1"/>
      <c r="XEX128" s="1"/>
      <c r="XEY128" s="1"/>
      <c r="XEZ128" s="1"/>
      <c r="XFA128" s="1"/>
      <c r="XFB128" s="1"/>
      <c r="XFC128" s="1"/>
      <c r="XFD128" s="1"/>
    </row>
    <row r="129" spans="1:151 16227:16384" s="10" customFormat="1" ht="20.25" customHeight="1" x14ac:dyDescent="0.25">
      <c r="A129" s="98"/>
      <c r="B129" s="99"/>
      <c r="C129" s="93">
        <f t="shared" si="4"/>
        <v>4</v>
      </c>
      <c r="D129" s="93"/>
      <c r="E129" s="18" t="s">
        <v>210</v>
      </c>
      <c r="F129" s="94">
        <f>(2.7*3.22+0.23*1.4+1.78*2.08+1.05*1.38)*(10.764)</f>
        <v>152.4978936</v>
      </c>
      <c r="G129" s="95"/>
      <c r="H129" s="18">
        <v>0</v>
      </c>
      <c r="I129" s="18">
        <f t="shared" si="3"/>
        <v>236.37173508000001</v>
      </c>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WZC129" s="1"/>
      <c r="WZD129" s="1"/>
      <c r="WZE129" s="1"/>
      <c r="WZF129" s="1"/>
      <c r="WZG129" s="1"/>
      <c r="WZH129" s="1"/>
      <c r="WZI129" s="1"/>
      <c r="WZJ129" s="1"/>
      <c r="WZK129" s="1"/>
      <c r="WZL129" s="1"/>
      <c r="WZM129" s="1"/>
      <c r="WZN129" s="1"/>
      <c r="WZO129" s="1"/>
      <c r="WZP129" s="1"/>
      <c r="WZQ129" s="1"/>
      <c r="WZR129" s="1"/>
      <c r="WZS129" s="1"/>
      <c r="WZT129" s="1"/>
      <c r="WZU129" s="1"/>
      <c r="WZV129" s="1"/>
      <c r="WZW129" s="1"/>
      <c r="WZX129" s="1"/>
      <c r="WZY129" s="1"/>
      <c r="WZZ129" s="1"/>
      <c r="XAA129" s="1"/>
      <c r="XAB129" s="1"/>
      <c r="XAC129" s="1"/>
      <c r="XAD129" s="1"/>
      <c r="XAE129" s="1"/>
      <c r="XAF129" s="1"/>
      <c r="XAG129" s="1"/>
      <c r="XAH129" s="1"/>
      <c r="XAI129" s="1"/>
      <c r="XAJ129" s="1"/>
      <c r="XAK129" s="1"/>
      <c r="XAL129" s="1"/>
      <c r="XAM129" s="1"/>
      <c r="XAN129" s="1"/>
      <c r="XAO129" s="1"/>
      <c r="XAP129" s="1"/>
      <c r="XAQ129" s="1"/>
      <c r="XAR129" s="1"/>
      <c r="XAS129" s="1"/>
      <c r="XAT129" s="1"/>
      <c r="XAU129" s="1"/>
      <c r="XAV129" s="1"/>
      <c r="XAW129" s="1"/>
      <c r="XAX129" s="1"/>
      <c r="XAY129" s="1"/>
      <c r="XAZ129" s="1"/>
      <c r="XBA129" s="1"/>
      <c r="XBB129" s="1"/>
      <c r="XBC129" s="1"/>
      <c r="XBD129" s="1"/>
      <c r="XBE129" s="1"/>
      <c r="XBF129" s="1"/>
      <c r="XBG129" s="1"/>
      <c r="XBH129" s="1"/>
      <c r="XBI129" s="1"/>
      <c r="XBJ129" s="1"/>
      <c r="XBK129" s="1"/>
      <c r="XBL129" s="1"/>
      <c r="XBM129" s="1"/>
      <c r="XBN129" s="1"/>
      <c r="XBO129" s="1"/>
      <c r="XBP129" s="1"/>
      <c r="XBQ129" s="1"/>
      <c r="XBR129" s="1"/>
      <c r="XBS129" s="1"/>
      <c r="XBT129" s="1"/>
      <c r="XBU129" s="1"/>
      <c r="XBV129" s="1"/>
      <c r="XBW129" s="1"/>
      <c r="XBX129" s="1"/>
      <c r="XBY129" s="1"/>
      <c r="XBZ129" s="1"/>
      <c r="XCA129" s="1"/>
      <c r="XCB129" s="1"/>
      <c r="XCC129" s="1"/>
      <c r="XCD129" s="1"/>
      <c r="XCE129" s="1"/>
      <c r="XCF129" s="1"/>
      <c r="XCG129" s="1"/>
      <c r="XCH129" s="1"/>
      <c r="XCI129" s="1"/>
      <c r="XCJ129" s="1"/>
      <c r="XCK129" s="1"/>
      <c r="XCL129" s="1"/>
      <c r="XCM129" s="1"/>
      <c r="XCN129" s="1"/>
      <c r="XCO129" s="1"/>
      <c r="XCP129" s="1"/>
      <c r="XCQ129" s="1"/>
      <c r="XCR129" s="1"/>
      <c r="XCS129" s="1"/>
      <c r="XCT129" s="1"/>
      <c r="XCU129" s="1"/>
      <c r="XCV129" s="1"/>
      <c r="XCW129" s="1"/>
      <c r="XCX129" s="1"/>
      <c r="XCY129" s="1"/>
      <c r="XCZ129" s="1"/>
      <c r="XDA129" s="1"/>
      <c r="XDB129" s="1"/>
      <c r="XDC129" s="1"/>
      <c r="XDD129" s="1"/>
      <c r="XDE129" s="1"/>
      <c r="XDF129" s="1"/>
      <c r="XDG129" s="1"/>
      <c r="XDH129" s="1"/>
      <c r="XDI129" s="1"/>
      <c r="XDJ129" s="1"/>
      <c r="XDK129" s="1"/>
      <c r="XDL129" s="1"/>
      <c r="XDM129" s="1"/>
      <c r="XDN129" s="1"/>
      <c r="XDO129" s="1"/>
      <c r="XDP129" s="1"/>
      <c r="XDQ129" s="1"/>
      <c r="XDR129" s="1"/>
      <c r="XDS129" s="1"/>
      <c r="XDT129" s="1"/>
      <c r="XDU129" s="1"/>
      <c r="XDV129" s="1"/>
      <c r="XDW129" s="1"/>
      <c r="XDX129" s="1"/>
      <c r="XDY129" s="1"/>
      <c r="XDZ129" s="1"/>
      <c r="XEA129" s="1"/>
      <c r="XEB129" s="1"/>
      <c r="XEC129" s="1"/>
      <c r="XED129" s="1"/>
      <c r="XEE129" s="1"/>
      <c r="XEF129" s="1"/>
      <c r="XEG129" s="1"/>
      <c r="XEH129" s="1"/>
      <c r="XEI129" s="1"/>
      <c r="XEJ129" s="1"/>
      <c r="XEK129" s="1"/>
      <c r="XEL129" s="1"/>
      <c r="XEM129" s="1"/>
      <c r="XEN129" s="1"/>
      <c r="XEO129" s="1"/>
      <c r="XEP129" s="1"/>
      <c r="XEQ129" s="1"/>
      <c r="XER129" s="1"/>
      <c r="XES129" s="1"/>
      <c r="XET129" s="1"/>
      <c r="XEU129" s="1"/>
      <c r="XEV129" s="1"/>
      <c r="XEW129" s="1"/>
      <c r="XEX129" s="1"/>
      <c r="XEY129" s="1"/>
      <c r="XEZ129" s="1"/>
      <c r="XFA129" s="1"/>
      <c r="XFB129" s="1"/>
      <c r="XFC129" s="1"/>
      <c r="XFD129" s="1"/>
    </row>
    <row r="130" spans="1:151 16227:16384" s="10" customFormat="1" ht="20.25" customHeight="1" x14ac:dyDescent="0.25">
      <c r="A130" s="98"/>
      <c r="B130" s="99"/>
      <c r="C130" s="93">
        <f t="shared" si="4"/>
        <v>5</v>
      </c>
      <c r="D130" s="93"/>
      <c r="E130" s="18" t="s">
        <v>210</v>
      </c>
      <c r="F130" s="94">
        <f>(3.1*3.22+1.05*1.38+1.95*2.08)*(10.764)</f>
        <v>166.702068</v>
      </c>
      <c r="G130" s="95"/>
      <c r="H130" s="18">
        <v>0</v>
      </c>
      <c r="I130" s="18">
        <f t="shared" si="3"/>
        <v>258.3882054</v>
      </c>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c r="XFD130" s="1"/>
    </row>
    <row r="131" spans="1:151 16227:16384" s="10" customFormat="1" ht="20.25" customHeight="1" x14ac:dyDescent="0.25">
      <c r="A131" s="98"/>
      <c r="B131" s="99"/>
      <c r="C131" s="93">
        <f t="shared" si="4"/>
        <v>6</v>
      </c>
      <c r="D131" s="93"/>
      <c r="E131" s="18" t="s">
        <v>210</v>
      </c>
      <c r="F131" s="94">
        <f>(3.04*3.65+3.19*1.08)*(10.764)</f>
        <v>156.52147679999999</v>
      </c>
      <c r="G131" s="95"/>
      <c r="H131" s="18">
        <v>0</v>
      </c>
      <c r="I131" s="18">
        <f t="shared" si="3"/>
        <v>242.60828903999999</v>
      </c>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c r="XFD131" s="1"/>
    </row>
    <row r="132" spans="1:151 16227:16384" s="10" customFormat="1" ht="20.25" customHeight="1" x14ac:dyDescent="0.25">
      <c r="A132" s="100"/>
      <c r="B132" s="101"/>
      <c r="C132" s="93" t="s">
        <v>250</v>
      </c>
      <c r="D132" s="93"/>
      <c r="E132" s="18" t="s">
        <v>210</v>
      </c>
      <c r="F132" s="94">
        <f>(3.04*3.65+3.09*2.45+2.19*1.22+0.05*0.68+1.8*1.05)*(10.764)</f>
        <v>250.39539719999999</v>
      </c>
      <c r="G132" s="95"/>
      <c r="H132" s="18">
        <v>0</v>
      </c>
      <c r="I132" s="18">
        <f t="shared" si="3"/>
        <v>388.11286566000001</v>
      </c>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c r="XFD132" s="1"/>
    </row>
    <row r="133" spans="1:151 16227:16384" s="10" customFormat="1" ht="20.25" x14ac:dyDescent="0.25">
      <c r="A133" s="84" t="s">
        <v>253</v>
      </c>
      <c r="B133" s="86"/>
      <c r="C133" s="86"/>
      <c r="D133" s="86"/>
      <c r="E133" s="86"/>
      <c r="F133" s="86"/>
      <c r="G133" s="86"/>
      <c r="H133" s="86"/>
      <c r="I133" s="113"/>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c r="XFD133" s="1"/>
    </row>
    <row r="134" spans="1:151 16227:16384" s="10" customFormat="1" ht="20.25" customHeight="1" x14ac:dyDescent="0.25">
      <c r="A134" s="196" t="str">
        <f>A133</f>
        <v>2nd Podium Floor For Residential, Part Parking &amp; Meter Room</v>
      </c>
      <c r="B134" s="197"/>
      <c r="C134" s="93">
        <v>1</v>
      </c>
      <c r="D134" s="93"/>
      <c r="E134" s="96" t="s">
        <v>229</v>
      </c>
      <c r="F134" s="97"/>
      <c r="G134" s="97"/>
      <c r="H134" s="97"/>
      <c r="I134" s="93" t="s">
        <v>110</v>
      </c>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c r="XFD134" s="1"/>
    </row>
    <row r="135" spans="1:151 16227:16384" s="10" customFormat="1" ht="20.25" x14ac:dyDescent="0.25">
      <c r="A135" s="198"/>
      <c r="B135" s="199"/>
      <c r="C135" s="93">
        <f>C134+1</f>
        <v>2</v>
      </c>
      <c r="D135" s="93"/>
      <c r="E135" s="98"/>
      <c r="F135" s="99"/>
      <c r="G135" s="99"/>
      <c r="H135" s="99"/>
      <c r="I135" s="93"/>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c r="XFD135" s="1"/>
    </row>
    <row r="136" spans="1:151 16227:16384" s="10" customFormat="1" ht="20.25" x14ac:dyDescent="0.25">
      <c r="A136" s="198"/>
      <c r="B136" s="199"/>
      <c r="C136" s="93">
        <f t="shared" ref="C136:C137" si="5">C135+1</f>
        <v>3</v>
      </c>
      <c r="D136" s="93"/>
      <c r="E136" s="98"/>
      <c r="F136" s="99"/>
      <c r="G136" s="99"/>
      <c r="H136" s="99"/>
      <c r="I136" s="93"/>
      <c r="J136" s="1"/>
      <c r="K136" s="1"/>
      <c r="L136" s="1"/>
      <c r="M136" s="1">
        <f>9200000/400</f>
        <v>23000</v>
      </c>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c r="XFD136" s="1"/>
    </row>
    <row r="137" spans="1:151 16227:16384" s="10" customFormat="1" ht="20.25" customHeight="1" x14ac:dyDescent="0.25">
      <c r="A137" s="198"/>
      <c r="B137" s="199"/>
      <c r="C137" s="93">
        <f t="shared" si="5"/>
        <v>4</v>
      </c>
      <c r="D137" s="93"/>
      <c r="E137" s="100"/>
      <c r="F137" s="101"/>
      <c r="G137" s="101"/>
      <c r="H137" s="101"/>
      <c r="I137" s="93"/>
      <c r="J137" s="1"/>
      <c r="K137" s="1"/>
      <c r="L137" s="1"/>
      <c r="M137" s="1">
        <f>M136/1.6</f>
        <v>14375</v>
      </c>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c r="XFD137" s="1"/>
    </row>
    <row r="138" spans="1:151 16227:16384" s="10" customFormat="1" ht="20.25" customHeight="1" x14ac:dyDescent="0.25">
      <c r="A138" s="198"/>
      <c r="B138" s="199"/>
      <c r="C138" s="93">
        <v>5</v>
      </c>
      <c r="D138" s="93"/>
      <c r="E138" s="18" t="s">
        <v>211</v>
      </c>
      <c r="F138" s="94">
        <f>55.94*(10.764)</f>
        <v>602.13815999999997</v>
      </c>
      <c r="G138" s="95"/>
      <c r="H138" s="18">
        <v>0</v>
      </c>
      <c r="I138" s="18">
        <f>F138*(($I$113)+1)+H138</f>
        <v>933.31414799999993</v>
      </c>
      <c r="J138" s="1"/>
      <c r="K138" s="1">
        <f>3.04*5.47+3.04*3.35+3.04*3.8+2.12*1.38+1.98*1.38+1.58*0.2+2.18*2.42+3.44*0.98</f>
        <v>52.985600000000005</v>
      </c>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c r="XFD138" s="1"/>
    </row>
    <row r="139" spans="1:151 16227:16384" s="10" customFormat="1" ht="20.25" customHeight="1" x14ac:dyDescent="0.25">
      <c r="A139" s="198"/>
      <c r="B139" s="199"/>
      <c r="C139" s="93">
        <f>C138+1</f>
        <v>6</v>
      </c>
      <c r="D139" s="93"/>
      <c r="E139" s="18" t="s">
        <v>212</v>
      </c>
      <c r="F139" s="94">
        <f>37.2*(10.764)</f>
        <v>400.42079999999999</v>
      </c>
      <c r="G139" s="95"/>
      <c r="H139" s="18">
        <v>0</v>
      </c>
      <c r="I139" s="18">
        <f>F139*(($I$113)+1)+H139</f>
        <v>620.65224000000001</v>
      </c>
      <c r="J139" s="1">
        <f>8900000/F139</f>
        <v>22226.617598286604</v>
      </c>
      <c r="K139" s="1">
        <f>3.04*5.47+2.43*1.82+3.09*2.75+1.5*1.83+0.1*0.6+1.49*0.6+1.39*1.88+0.05*0.45</f>
        <v>35.883599999999994</v>
      </c>
      <c r="L139" s="1"/>
      <c r="M139" s="1">
        <f>9200000/F140</f>
        <v>22975.829427442332</v>
      </c>
      <c r="N139" s="1"/>
      <c r="O139" s="1">
        <f>15500*1.55</f>
        <v>24025</v>
      </c>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c r="XFD139" s="1"/>
    </row>
    <row r="140" spans="1:151 16227:16384" s="10" customFormat="1" ht="20.25" customHeight="1" x14ac:dyDescent="0.25">
      <c r="A140" s="198"/>
      <c r="B140" s="199"/>
      <c r="C140" s="93">
        <f t="shared" ref="C140:C141" si="6">C139+1</f>
        <v>7</v>
      </c>
      <c r="D140" s="93"/>
      <c r="E140" s="18" t="s">
        <v>212</v>
      </c>
      <c r="F140" s="94">
        <f>37.2*(10.764)</f>
        <v>400.42079999999999</v>
      </c>
      <c r="G140" s="95"/>
      <c r="H140" s="18">
        <v>0</v>
      </c>
      <c r="I140" s="18">
        <f>F140*(($I$113)+1)+H140</f>
        <v>620.65224000000001</v>
      </c>
      <c r="J140" s="1"/>
      <c r="K140" s="1"/>
      <c r="L140" s="1"/>
      <c r="M140" s="1"/>
      <c r="N140" s="1"/>
      <c r="O140" s="1">
        <f>15500*1.55</f>
        <v>24025</v>
      </c>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c r="XFD140" s="1"/>
    </row>
    <row r="141" spans="1:151 16227:16384" s="10" customFormat="1" ht="20.25" customHeight="1" x14ac:dyDescent="0.25">
      <c r="A141" s="200"/>
      <c r="B141" s="201"/>
      <c r="C141" s="93">
        <f t="shared" si="6"/>
        <v>8</v>
      </c>
      <c r="D141" s="93"/>
      <c r="E141" s="18" t="s">
        <v>211</v>
      </c>
      <c r="F141" s="94">
        <f>55.94*(10.764)</f>
        <v>602.13815999999997</v>
      </c>
      <c r="G141" s="95"/>
      <c r="H141" s="18">
        <v>0</v>
      </c>
      <c r="I141" s="18">
        <f>F141*(($I$113)+1)+H141</f>
        <v>933.31414799999993</v>
      </c>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c r="XFD141" s="1"/>
    </row>
    <row r="142" spans="1:151 16227:16384" s="10" customFormat="1" ht="20.25" customHeight="1" x14ac:dyDescent="0.25">
      <c r="A142" s="103" t="s">
        <v>254</v>
      </c>
      <c r="B142" s="104"/>
      <c r="C142" s="104"/>
      <c r="D142" s="104"/>
      <c r="E142" s="104"/>
      <c r="F142" s="104"/>
      <c r="G142" s="104"/>
      <c r="H142" s="104"/>
      <c r="I142" s="105"/>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c r="XFD142" s="1"/>
    </row>
    <row r="143" spans="1:151 16227:16384" s="10" customFormat="1" ht="20.25" customHeight="1" x14ac:dyDescent="0.25">
      <c r="A143" s="96" t="str">
        <f>A142</f>
        <v>3rd &amp; 4th Podium Floor For Residential &amp; Part Parking</v>
      </c>
      <c r="B143" s="106"/>
      <c r="C143" s="93">
        <v>1</v>
      </c>
      <c r="D143" s="93"/>
      <c r="E143" s="96" t="s">
        <v>228</v>
      </c>
      <c r="F143" s="97"/>
      <c r="G143" s="97"/>
      <c r="H143" s="97"/>
      <c r="I143" s="93" t="s">
        <v>110</v>
      </c>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c r="XFD143" s="1"/>
    </row>
    <row r="144" spans="1:151 16227:16384" s="10" customFormat="1" ht="20.25" x14ac:dyDescent="0.25">
      <c r="A144" s="98"/>
      <c r="B144" s="107"/>
      <c r="C144" s="93">
        <f>C143+1</f>
        <v>2</v>
      </c>
      <c r="D144" s="93"/>
      <c r="E144" s="98"/>
      <c r="F144" s="99"/>
      <c r="G144" s="99"/>
      <c r="H144" s="99"/>
      <c r="I144" s="93"/>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c r="XFD144" s="1"/>
    </row>
    <row r="145" spans="1:151 16227:16384" s="10" customFormat="1" ht="20.25" x14ac:dyDescent="0.25">
      <c r="A145" s="98"/>
      <c r="B145" s="107"/>
      <c r="C145" s="93">
        <f t="shared" ref="C145:C146" si="7">C144+1</f>
        <v>3</v>
      </c>
      <c r="D145" s="93"/>
      <c r="E145" s="98"/>
      <c r="F145" s="99"/>
      <c r="G145" s="99"/>
      <c r="H145" s="99"/>
      <c r="I145" s="93"/>
      <c r="J145" s="1"/>
      <c r="K145" s="1"/>
      <c r="L145" s="1"/>
      <c r="M145" s="1">
        <f>9200000/400</f>
        <v>23000</v>
      </c>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c r="XFD145" s="1"/>
    </row>
    <row r="146" spans="1:151 16227:16384" s="10" customFormat="1" ht="20.25" customHeight="1" x14ac:dyDescent="0.25">
      <c r="A146" s="98"/>
      <c r="B146" s="107"/>
      <c r="C146" s="93">
        <f t="shared" si="7"/>
        <v>4</v>
      </c>
      <c r="D146" s="93"/>
      <c r="E146" s="100"/>
      <c r="F146" s="101"/>
      <c r="G146" s="101"/>
      <c r="H146" s="101"/>
      <c r="I146" s="93"/>
      <c r="J146" s="1"/>
      <c r="K146" s="1"/>
      <c r="L146" s="1"/>
      <c r="M146" s="1">
        <f>M145/1.6</f>
        <v>14375</v>
      </c>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c r="XFD146" s="1"/>
    </row>
    <row r="147" spans="1:151 16227:16384" s="10" customFormat="1" ht="20.25" customHeight="1" x14ac:dyDescent="0.25">
      <c r="A147" s="98"/>
      <c r="B147" s="107"/>
      <c r="C147" s="93">
        <v>5</v>
      </c>
      <c r="D147" s="93"/>
      <c r="E147" s="18" t="s">
        <v>211</v>
      </c>
      <c r="F147" s="94">
        <f>55.94*(10.764)</f>
        <v>602.13815999999997</v>
      </c>
      <c r="G147" s="95"/>
      <c r="H147" s="18">
        <v>0</v>
      </c>
      <c r="I147" s="18">
        <f>F147*(($I$113)+1)+H147</f>
        <v>933.31414799999993</v>
      </c>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c r="XFD147" s="1"/>
    </row>
    <row r="148" spans="1:151 16227:16384" s="10" customFormat="1" ht="20.25" customHeight="1" x14ac:dyDescent="0.25">
      <c r="A148" s="98"/>
      <c r="B148" s="107"/>
      <c r="C148" s="93">
        <f>C147+1</f>
        <v>6</v>
      </c>
      <c r="D148" s="93"/>
      <c r="E148" s="18" t="s">
        <v>212</v>
      </c>
      <c r="F148" s="94">
        <f>37.2*(10.764)</f>
        <v>400.42079999999999</v>
      </c>
      <c r="G148" s="95"/>
      <c r="H148" s="18">
        <v>0</v>
      </c>
      <c r="I148" s="18">
        <f>F148*(($I$113)+1)+H148</f>
        <v>620.65224000000001</v>
      </c>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c r="XFD148" s="1"/>
    </row>
    <row r="149" spans="1:151 16227:16384" s="10" customFormat="1" ht="20.25" customHeight="1" x14ac:dyDescent="0.25">
      <c r="A149" s="98"/>
      <c r="B149" s="107"/>
      <c r="C149" s="93">
        <f t="shared" ref="C149:C150" si="8">C148+1</f>
        <v>7</v>
      </c>
      <c r="D149" s="93"/>
      <c r="E149" s="18" t="s">
        <v>212</v>
      </c>
      <c r="F149" s="94">
        <f>37.2*(10.764)</f>
        <v>400.42079999999999</v>
      </c>
      <c r="G149" s="95"/>
      <c r="H149" s="18">
        <v>0</v>
      </c>
      <c r="I149" s="18">
        <f>F149*(($I$113)+1)+H149</f>
        <v>620.65224000000001</v>
      </c>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c r="XFD149" s="1"/>
    </row>
    <row r="150" spans="1:151 16227:16384" s="10" customFormat="1" ht="20.25" customHeight="1" x14ac:dyDescent="0.25">
      <c r="A150" s="100"/>
      <c r="B150" s="108"/>
      <c r="C150" s="93">
        <f t="shared" si="8"/>
        <v>8</v>
      </c>
      <c r="D150" s="93"/>
      <c r="E150" s="18" t="s">
        <v>211</v>
      </c>
      <c r="F150" s="94">
        <f>55.94*(10.764)</f>
        <v>602.13815999999997</v>
      </c>
      <c r="G150" s="95"/>
      <c r="H150" s="18">
        <v>0</v>
      </c>
      <c r="I150" s="18">
        <f>F150*(($I$113)+1)+H150</f>
        <v>933.31414799999993</v>
      </c>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c r="XFD150" s="1"/>
    </row>
    <row r="151" spans="1:151 16227:16384" s="10" customFormat="1" ht="20.25" x14ac:dyDescent="0.25">
      <c r="A151" s="109" t="s">
        <v>256</v>
      </c>
      <c r="B151" s="110"/>
      <c r="C151" s="110"/>
      <c r="D151" s="110"/>
      <c r="E151" s="110"/>
      <c r="F151" s="110"/>
      <c r="G151" s="110"/>
      <c r="H151" s="110"/>
      <c r="I151" s="112"/>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c r="XFD151" s="1"/>
    </row>
    <row r="152" spans="1:151 16227:16384" s="10" customFormat="1" ht="20.25" customHeight="1" x14ac:dyDescent="0.25">
      <c r="A152" s="96" t="str">
        <f>A151</f>
        <v>5th Podium Floor</v>
      </c>
      <c r="B152" s="106"/>
      <c r="C152" s="93">
        <v>1</v>
      </c>
      <c r="D152" s="93"/>
      <c r="E152" s="96" t="s">
        <v>228</v>
      </c>
      <c r="F152" s="97"/>
      <c r="G152" s="97"/>
      <c r="H152" s="97"/>
      <c r="I152" s="93" t="s">
        <v>110</v>
      </c>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c r="XFD152" s="1"/>
    </row>
    <row r="153" spans="1:151 16227:16384" s="10" customFormat="1" ht="20.25" x14ac:dyDescent="0.25">
      <c r="A153" s="98"/>
      <c r="B153" s="107"/>
      <c r="C153" s="93">
        <f>C152+1</f>
        <v>2</v>
      </c>
      <c r="D153" s="93"/>
      <c r="E153" s="98"/>
      <c r="F153" s="99"/>
      <c r="G153" s="99"/>
      <c r="H153" s="99"/>
      <c r="I153" s="93"/>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c r="XFD153" s="1"/>
    </row>
    <row r="154" spans="1:151 16227:16384" s="10" customFormat="1" ht="20.25" x14ac:dyDescent="0.25">
      <c r="A154" s="98"/>
      <c r="B154" s="107"/>
      <c r="C154" s="93">
        <f t="shared" ref="C154:C155" si="9">C153+1</f>
        <v>3</v>
      </c>
      <c r="D154" s="93"/>
      <c r="E154" s="98"/>
      <c r="F154" s="99"/>
      <c r="G154" s="99"/>
      <c r="H154" s="99"/>
      <c r="I154" s="93"/>
      <c r="J154" s="1"/>
      <c r="K154" s="1"/>
      <c r="L154" s="1"/>
      <c r="M154" s="1">
        <f>9200000/400</f>
        <v>23000</v>
      </c>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c r="XFD154" s="1"/>
    </row>
    <row r="155" spans="1:151 16227:16384" s="10" customFormat="1" ht="20.25" customHeight="1" x14ac:dyDescent="0.25">
      <c r="A155" s="98"/>
      <c r="B155" s="107"/>
      <c r="C155" s="93">
        <f t="shared" si="9"/>
        <v>4</v>
      </c>
      <c r="D155" s="93"/>
      <c r="E155" s="100"/>
      <c r="F155" s="101"/>
      <c r="G155" s="101"/>
      <c r="H155" s="101"/>
      <c r="I155" s="93"/>
      <c r="J155" s="1"/>
      <c r="K155" s="1"/>
      <c r="L155" s="1"/>
      <c r="M155" s="1">
        <f>M154/1.6</f>
        <v>14375</v>
      </c>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c r="XFD155" s="1"/>
    </row>
    <row r="156" spans="1:151 16227:16384" s="10" customFormat="1" ht="20.25" customHeight="1" x14ac:dyDescent="0.25">
      <c r="A156" s="98"/>
      <c r="B156" s="107"/>
      <c r="C156" s="93">
        <v>5</v>
      </c>
      <c r="D156" s="93"/>
      <c r="E156" s="18" t="s">
        <v>211</v>
      </c>
      <c r="F156" s="94">
        <f>55.94*(10.764)</f>
        <v>602.13815999999997</v>
      </c>
      <c r="G156" s="95"/>
      <c r="H156" s="18">
        <v>0</v>
      </c>
      <c r="I156" s="18">
        <f>F156*(($I$113)+1)+H156</f>
        <v>933.31414799999993</v>
      </c>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c r="XFD156" s="1"/>
    </row>
    <row r="157" spans="1:151 16227:16384" s="10" customFormat="1" ht="20.25" customHeight="1" x14ac:dyDescent="0.25">
      <c r="A157" s="98"/>
      <c r="B157" s="107"/>
      <c r="C157" s="93">
        <f>C156+1</f>
        <v>6</v>
      </c>
      <c r="D157" s="93"/>
      <c r="E157" s="18" t="s">
        <v>212</v>
      </c>
      <c r="F157" s="94">
        <f>37.2*(10.764)</f>
        <v>400.42079999999999</v>
      </c>
      <c r="G157" s="95"/>
      <c r="H157" s="18">
        <v>0</v>
      </c>
      <c r="I157" s="18">
        <f>F157*(($I$113)+1)+H157</f>
        <v>620.65224000000001</v>
      </c>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c r="XFD157" s="1"/>
    </row>
    <row r="158" spans="1:151 16227:16384" s="10" customFormat="1" ht="20.25" customHeight="1" x14ac:dyDescent="0.25">
      <c r="A158" s="98"/>
      <c r="B158" s="107"/>
      <c r="C158" s="93">
        <f t="shared" ref="C158:C159" si="10">C157+1</f>
        <v>7</v>
      </c>
      <c r="D158" s="93"/>
      <c r="E158" s="18" t="s">
        <v>212</v>
      </c>
      <c r="F158" s="94">
        <f>37.2*(10.764)</f>
        <v>400.42079999999999</v>
      </c>
      <c r="G158" s="95"/>
      <c r="H158" s="18">
        <v>0</v>
      </c>
      <c r="I158" s="18">
        <f>F158*(($I$113)+1)+H158</f>
        <v>620.65224000000001</v>
      </c>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c r="XFD158" s="1"/>
    </row>
    <row r="159" spans="1:151 16227:16384" s="10" customFormat="1" ht="20.25" customHeight="1" x14ac:dyDescent="0.25">
      <c r="A159" s="100"/>
      <c r="B159" s="108"/>
      <c r="C159" s="93">
        <f t="shared" si="10"/>
        <v>8</v>
      </c>
      <c r="D159" s="93"/>
      <c r="E159" s="18" t="s">
        <v>211</v>
      </c>
      <c r="F159" s="94">
        <f>55.94*(10.764)</f>
        <v>602.13815999999997</v>
      </c>
      <c r="G159" s="95"/>
      <c r="H159" s="18">
        <v>0</v>
      </c>
      <c r="I159" s="18">
        <f>F159*(($I$113)+1)+H159</f>
        <v>933.31414799999993</v>
      </c>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c r="XFD159" s="1"/>
    </row>
    <row r="160" spans="1:151 16227:16384" s="10" customFormat="1" ht="20.25" x14ac:dyDescent="0.25">
      <c r="A160" s="109" t="s">
        <v>223</v>
      </c>
      <c r="B160" s="110"/>
      <c r="C160" s="110"/>
      <c r="D160" s="110"/>
      <c r="E160" s="110"/>
      <c r="F160" s="110"/>
      <c r="G160" s="110"/>
      <c r="H160" s="110"/>
      <c r="I160" s="112"/>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c r="XFD160" s="1"/>
    </row>
    <row r="161" spans="1:151 16227:16384" s="10" customFormat="1" ht="20.25" customHeight="1" x14ac:dyDescent="0.25">
      <c r="A161" s="96" t="str">
        <f>A160</f>
        <v>6th, 7th, 9th to 14th, 16th to 21st &amp; 23rd to 28th Floor For Residential</v>
      </c>
      <c r="B161" s="106"/>
      <c r="C161" s="93">
        <v>1</v>
      </c>
      <c r="D161" s="93"/>
      <c r="E161" s="18" t="s">
        <v>211</v>
      </c>
      <c r="F161" s="94">
        <f>55.94*(10.764)</f>
        <v>602.13815999999997</v>
      </c>
      <c r="G161" s="95"/>
      <c r="H161" s="18">
        <v>0</v>
      </c>
      <c r="I161" s="18">
        <f t="shared" ref="I161:I168" si="11">F161*(($I$113)+1)+H161</f>
        <v>933.31414799999993</v>
      </c>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c r="XFD161" s="1"/>
    </row>
    <row r="162" spans="1:151 16227:16384" s="10" customFormat="1" ht="20.25" x14ac:dyDescent="0.25">
      <c r="A162" s="98"/>
      <c r="B162" s="107"/>
      <c r="C162" s="93">
        <f>C161+1</f>
        <v>2</v>
      </c>
      <c r="D162" s="93"/>
      <c r="E162" s="18" t="s">
        <v>212</v>
      </c>
      <c r="F162" s="94">
        <f>37.2*(10.764)</f>
        <v>400.42079999999999</v>
      </c>
      <c r="G162" s="95"/>
      <c r="H162" s="18">
        <v>0</v>
      </c>
      <c r="I162" s="18">
        <f t="shared" si="11"/>
        <v>620.65224000000001</v>
      </c>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c r="XFD162" s="1"/>
    </row>
    <row r="163" spans="1:151 16227:16384" s="10" customFormat="1" ht="20.25" x14ac:dyDescent="0.25">
      <c r="A163" s="98"/>
      <c r="B163" s="107"/>
      <c r="C163" s="93">
        <f t="shared" ref="C163:C168" si="12">C162+1</f>
        <v>3</v>
      </c>
      <c r="D163" s="93"/>
      <c r="E163" s="18" t="s">
        <v>212</v>
      </c>
      <c r="F163" s="94">
        <f>37.2*(10.764)</f>
        <v>400.42079999999999</v>
      </c>
      <c r="G163" s="95"/>
      <c r="H163" s="18">
        <v>0</v>
      </c>
      <c r="I163" s="18">
        <f t="shared" si="11"/>
        <v>620.65224000000001</v>
      </c>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c r="XFD163" s="1"/>
    </row>
    <row r="164" spans="1:151 16227:16384" s="10" customFormat="1" ht="20.25" customHeight="1" x14ac:dyDescent="0.25">
      <c r="A164" s="98"/>
      <c r="B164" s="107"/>
      <c r="C164" s="93">
        <f t="shared" si="12"/>
        <v>4</v>
      </c>
      <c r="D164" s="93"/>
      <c r="E164" s="18" t="s">
        <v>211</v>
      </c>
      <c r="F164" s="94">
        <f>55.94*(10.764)</f>
        <v>602.13815999999997</v>
      </c>
      <c r="G164" s="95"/>
      <c r="H164" s="18">
        <v>0</v>
      </c>
      <c r="I164" s="18">
        <f t="shared" si="11"/>
        <v>933.31414799999993</v>
      </c>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c r="XFD164" s="1"/>
    </row>
    <row r="165" spans="1:151 16227:16384" s="10" customFormat="1" ht="20.25" customHeight="1" x14ac:dyDescent="0.25">
      <c r="A165" s="98"/>
      <c r="B165" s="107"/>
      <c r="C165" s="93">
        <f t="shared" si="12"/>
        <v>5</v>
      </c>
      <c r="D165" s="93"/>
      <c r="E165" s="18" t="s">
        <v>211</v>
      </c>
      <c r="F165" s="94">
        <f>55.94*(10.764)</f>
        <v>602.13815999999997</v>
      </c>
      <c r="G165" s="95"/>
      <c r="H165" s="18">
        <v>0</v>
      </c>
      <c r="I165" s="18">
        <f t="shared" si="11"/>
        <v>933.31414799999993</v>
      </c>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c r="XFD165" s="1"/>
    </row>
    <row r="166" spans="1:151 16227:16384" s="10" customFormat="1" ht="20.25" customHeight="1" x14ac:dyDescent="0.25">
      <c r="A166" s="98"/>
      <c r="B166" s="107"/>
      <c r="C166" s="93">
        <f t="shared" si="12"/>
        <v>6</v>
      </c>
      <c r="D166" s="93"/>
      <c r="E166" s="18" t="s">
        <v>212</v>
      </c>
      <c r="F166" s="94">
        <f>37.2*(10.764)</f>
        <v>400.42079999999999</v>
      </c>
      <c r="G166" s="95"/>
      <c r="H166" s="18">
        <v>0</v>
      </c>
      <c r="I166" s="18">
        <f t="shared" si="11"/>
        <v>620.65224000000001</v>
      </c>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c r="XFD166" s="1"/>
    </row>
    <row r="167" spans="1:151 16227:16384" s="10" customFormat="1" ht="20.25" customHeight="1" x14ac:dyDescent="0.25">
      <c r="A167" s="98"/>
      <c r="B167" s="107"/>
      <c r="C167" s="93">
        <f t="shared" si="12"/>
        <v>7</v>
      </c>
      <c r="D167" s="93"/>
      <c r="E167" s="18" t="s">
        <v>212</v>
      </c>
      <c r="F167" s="94">
        <f>37.2*(10.764)</f>
        <v>400.42079999999999</v>
      </c>
      <c r="G167" s="95"/>
      <c r="H167" s="18">
        <v>0</v>
      </c>
      <c r="I167" s="18">
        <f t="shared" si="11"/>
        <v>620.65224000000001</v>
      </c>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c r="XFD167" s="1"/>
    </row>
    <row r="168" spans="1:151 16227:16384" s="10" customFormat="1" ht="20.25" customHeight="1" x14ac:dyDescent="0.25">
      <c r="A168" s="100"/>
      <c r="B168" s="108"/>
      <c r="C168" s="93">
        <f t="shared" si="12"/>
        <v>8</v>
      </c>
      <c r="D168" s="93"/>
      <c r="E168" s="18" t="s">
        <v>211</v>
      </c>
      <c r="F168" s="94">
        <f>55.94*(10.764)</f>
        <v>602.13815999999997</v>
      </c>
      <c r="G168" s="95"/>
      <c r="H168" s="18">
        <v>0</v>
      </c>
      <c r="I168" s="18">
        <f t="shared" si="11"/>
        <v>933.31414799999993</v>
      </c>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c r="XFD168" s="1"/>
    </row>
    <row r="169" spans="1:151 16227:16384" s="10" customFormat="1" ht="20.25" x14ac:dyDescent="0.25">
      <c r="A169" s="109" t="s">
        <v>224</v>
      </c>
      <c r="B169" s="110"/>
      <c r="C169" s="110"/>
      <c r="D169" s="110"/>
      <c r="E169" s="110"/>
      <c r="F169" s="110"/>
      <c r="G169" s="110"/>
      <c r="H169" s="110"/>
      <c r="I169" s="112"/>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c r="XFD169" s="1"/>
    </row>
    <row r="170" spans="1:151 16227:16384" s="10" customFormat="1" ht="20.25" customHeight="1" x14ac:dyDescent="0.25">
      <c r="A170" s="96" t="str">
        <f>A169</f>
        <v>8th, 15th &amp; 22nd Floor (Part Refuge Area)</v>
      </c>
      <c r="B170" s="106"/>
      <c r="C170" s="93">
        <v>1</v>
      </c>
      <c r="D170" s="93"/>
      <c r="E170" s="18" t="s">
        <v>211</v>
      </c>
      <c r="F170" s="94">
        <f>55.94*(10.764)</f>
        <v>602.13815999999997</v>
      </c>
      <c r="G170" s="95"/>
      <c r="H170" s="18">
        <v>0</v>
      </c>
      <c r="I170" s="18">
        <f>F170*(($I$113)+1)+H170</f>
        <v>933.31414799999993</v>
      </c>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c r="XFD170" s="1"/>
    </row>
    <row r="171" spans="1:151 16227:16384" s="10" customFormat="1" ht="20.25" x14ac:dyDescent="0.25">
      <c r="A171" s="98"/>
      <c r="B171" s="107"/>
      <c r="C171" s="93">
        <f>C170+1</f>
        <v>2</v>
      </c>
      <c r="D171" s="93"/>
      <c r="E171" s="18" t="s">
        <v>212</v>
      </c>
      <c r="F171" s="94">
        <f>37.2*(10.764)</f>
        <v>400.42079999999999</v>
      </c>
      <c r="G171" s="95"/>
      <c r="H171" s="18">
        <v>0</v>
      </c>
      <c r="I171" s="18">
        <f>F171*(($I$113)+1)+H171</f>
        <v>620.65224000000001</v>
      </c>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c r="XFD171" s="1"/>
    </row>
    <row r="172" spans="1:151 16227:16384" s="10" customFormat="1" ht="20.25" x14ac:dyDescent="0.25">
      <c r="A172" s="98"/>
      <c r="B172" s="107"/>
      <c r="C172" s="93">
        <f t="shared" ref="C172:C177" si="13">C171+1</f>
        <v>3</v>
      </c>
      <c r="D172" s="93"/>
      <c r="E172" s="18" t="s">
        <v>212</v>
      </c>
      <c r="F172" s="94">
        <f>37.2*(10.764)</f>
        <v>400.42079999999999</v>
      </c>
      <c r="G172" s="95"/>
      <c r="H172" s="18">
        <v>0</v>
      </c>
      <c r="I172" s="18">
        <f>F172*(($I$113)+1)+H172</f>
        <v>620.65224000000001</v>
      </c>
      <c r="J172" s="1"/>
      <c r="K172" s="1"/>
      <c r="L172" s="1"/>
      <c r="M172" s="1">
        <f>9200000/400</f>
        <v>23000</v>
      </c>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c r="XFD172" s="1"/>
    </row>
    <row r="173" spans="1:151 16227:16384" s="10" customFormat="1" ht="20.25" customHeight="1" x14ac:dyDescent="0.25">
      <c r="A173" s="98"/>
      <c r="B173" s="107"/>
      <c r="C173" s="93">
        <f t="shared" si="13"/>
        <v>4</v>
      </c>
      <c r="D173" s="93"/>
      <c r="E173" s="18" t="s">
        <v>211</v>
      </c>
      <c r="F173" s="94">
        <f>55.94*(10.764)</f>
        <v>602.13815999999997</v>
      </c>
      <c r="G173" s="95"/>
      <c r="H173" s="18">
        <v>0</v>
      </c>
      <c r="I173" s="18">
        <f>F173*(($I$113)+1)+H173</f>
        <v>933.31414799999993</v>
      </c>
      <c r="J173" s="1"/>
      <c r="K173" s="1"/>
      <c r="L173" s="1"/>
      <c r="M173" s="1">
        <f>M172/1.6</f>
        <v>14375</v>
      </c>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c r="XFD173" s="1"/>
    </row>
    <row r="174" spans="1:151 16227:16384" s="10" customFormat="1" ht="20.25" customHeight="1" x14ac:dyDescent="0.25">
      <c r="A174" s="98"/>
      <c r="B174" s="107"/>
      <c r="C174" s="93">
        <f t="shared" si="13"/>
        <v>5</v>
      </c>
      <c r="D174" s="93"/>
      <c r="E174" s="96" t="s">
        <v>213</v>
      </c>
      <c r="F174" s="97"/>
      <c r="G174" s="97"/>
      <c r="H174" s="97"/>
      <c r="I174" s="93" t="s">
        <v>110</v>
      </c>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c r="XFD174" s="1"/>
    </row>
    <row r="175" spans="1:151 16227:16384" s="10" customFormat="1" ht="20.25" customHeight="1" x14ac:dyDescent="0.25">
      <c r="A175" s="98"/>
      <c r="B175" s="107"/>
      <c r="C175" s="93">
        <f t="shared" si="13"/>
        <v>6</v>
      </c>
      <c r="D175" s="93"/>
      <c r="E175" s="100"/>
      <c r="F175" s="101"/>
      <c r="G175" s="101"/>
      <c r="H175" s="101"/>
      <c r="I175" s="93"/>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c r="XFD175" s="1"/>
    </row>
    <row r="176" spans="1:151 16227:16384" s="10" customFormat="1" ht="20.25" customHeight="1" x14ac:dyDescent="0.25">
      <c r="A176" s="98"/>
      <c r="B176" s="107"/>
      <c r="C176" s="93">
        <f t="shared" si="13"/>
        <v>7</v>
      </c>
      <c r="D176" s="93"/>
      <c r="E176" s="18" t="s">
        <v>212</v>
      </c>
      <c r="F176" s="94">
        <f>37.2*(10.764)</f>
        <v>400.42079999999999</v>
      </c>
      <c r="G176" s="95"/>
      <c r="H176" s="18">
        <v>0</v>
      </c>
      <c r="I176" s="18">
        <f>F176*(($I$113)+1)+H176</f>
        <v>620.65224000000001</v>
      </c>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c r="XFD176" s="1"/>
    </row>
    <row r="177" spans="1:151 16227:16384" s="10" customFormat="1" ht="20.25" customHeight="1" x14ac:dyDescent="0.25">
      <c r="A177" s="100"/>
      <c r="B177" s="108"/>
      <c r="C177" s="93">
        <f t="shared" si="13"/>
        <v>8</v>
      </c>
      <c r="D177" s="93"/>
      <c r="E177" s="18" t="s">
        <v>211</v>
      </c>
      <c r="F177" s="94">
        <f>55.94*(10.764)</f>
        <v>602.13815999999997</v>
      </c>
      <c r="G177" s="95"/>
      <c r="H177" s="18">
        <v>0</v>
      </c>
      <c r="I177" s="18">
        <f>F177*(($I$113)+1)+H177</f>
        <v>933.31414799999993</v>
      </c>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c r="XFD177" s="1"/>
    </row>
    <row r="178" spans="1:151 16227:16384" s="10" customFormat="1" ht="20.25" x14ac:dyDescent="0.25">
      <c r="A178" s="109" t="s">
        <v>258</v>
      </c>
      <c r="B178" s="110"/>
      <c r="C178" s="110"/>
      <c r="D178" s="110"/>
      <c r="E178" s="110"/>
      <c r="F178" s="110"/>
      <c r="G178" s="110"/>
      <c r="H178" s="110"/>
      <c r="I178" s="112"/>
      <c r="J178" s="1" t="s">
        <v>225</v>
      </c>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c r="XFD178" s="1"/>
    </row>
    <row r="179" spans="1:151 16227:16384" s="10" customFormat="1" ht="20.25" customHeight="1" x14ac:dyDescent="0.25">
      <c r="A179" s="96" t="str">
        <f>A178</f>
        <v>29th Floor For Part Refuge Area</v>
      </c>
      <c r="B179" s="106"/>
      <c r="C179" s="93">
        <v>1</v>
      </c>
      <c r="D179" s="93"/>
      <c r="E179" s="18" t="s">
        <v>211</v>
      </c>
      <c r="F179" s="94">
        <f>55.94*(10.764)</f>
        <v>602.13815999999997</v>
      </c>
      <c r="G179" s="95"/>
      <c r="H179" s="18">
        <v>0</v>
      </c>
      <c r="I179" s="18">
        <f>F179*(($I$113)+1)+H179</f>
        <v>933.31414799999993</v>
      </c>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c r="XFD179" s="1"/>
    </row>
    <row r="180" spans="1:151 16227:16384" s="10" customFormat="1" ht="20.25" x14ac:dyDescent="0.25">
      <c r="A180" s="98"/>
      <c r="B180" s="107"/>
      <c r="C180" s="93">
        <f>C179+1</f>
        <v>2</v>
      </c>
      <c r="D180" s="93"/>
      <c r="E180" s="18" t="s">
        <v>212</v>
      </c>
      <c r="F180" s="94">
        <f>37.2*(10.764)</f>
        <v>400.42079999999999</v>
      </c>
      <c r="G180" s="95"/>
      <c r="H180" s="18">
        <v>0</v>
      </c>
      <c r="I180" s="18">
        <f>F180*(($I$113)+1)+H180</f>
        <v>620.65224000000001</v>
      </c>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c r="XFD180" s="1"/>
    </row>
    <row r="181" spans="1:151 16227:16384" s="10" customFormat="1" ht="20.25" x14ac:dyDescent="0.25">
      <c r="A181" s="98"/>
      <c r="B181" s="107"/>
      <c r="C181" s="93">
        <f t="shared" ref="C181:C186" si="14">C180+1</f>
        <v>3</v>
      </c>
      <c r="D181" s="93"/>
      <c r="E181" s="18" t="s">
        <v>212</v>
      </c>
      <c r="F181" s="94">
        <f>37.2*(10.764)</f>
        <v>400.42079999999999</v>
      </c>
      <c r="G181" s="95"/>
      <c r="H181" s="18">
        <v>0</v>
      </c>
      <c r="I181" s="18">
        <f>F181*(($I$113)+1)+H181</f>
        <v>620.65224000000001</v>
      </c>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c r="XFD181" s="1"/>
    </row>
    <row r="182" spans="1:151 16227:16384" s="10" customFormat="1" ht="20.25" customHeight="1" x14ac:dyDescent="0.25">
      <c r="A182" s="98"/>
      <c r="B182" s="107"/>
      <c r="C182" s="93">
        <f t="shared" si="14"/>
        <v>4</v>
      </c>
      <c r="D182" s="93"/>
      <c r="E182" s="18" t="s">
        <v>211</v>
      </c>
      <c r="F182" s="94">
        <f>55.94*(10.764)</f>
        <v>602.13815999999997</v>
      </c>
      <c r="G182" s="95"/>
      <c r="H182" s="18">
        <v>0</v>
      </c>
      <c r="I182" s="18">
        <f>F182*(($I$113)+1)+H182</f>
        <v>933.31414799999993</v>
      </c>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c r="XFD182" s="1"/>
    </row>
    <row r="183" spans="1:151 16227:16384" s="10" customFormat="1" ht="20.25" customHeight="1" x14ac:dyDescent="0.25">
      <c r="A183" s="98"/>
      <c r="B183" s="107"/>
      <c r="C183" s="93">
        <f t="shared" si="14"/>
        <v>5</v>
      </c>
      <c r="D183" s="93"/>
      <c r="E183" s="96" t="s">
        <v>213</v>
      </c>
      <c r="F183" s="97"/>
      <c r="G183" s="97"/>
      <c r="H183" s="97"/>
      <c r="I183" s="93" t="s">
        <v>110</v>
      </c>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c r="XFD183" s="1"/>
    </row>
    <row r="184" spans="1:151 16227:16384" s="10" customFormat="1" ht="20.25" customHeight="1" x14ac:dyDescent="0.25">
      <c r="A184" s="98"/>
      <c r="B184" s="107"/>
      <c r="C184" s="93">
        <f t="shared" si="14"/>
        <v>6</v>
      </c>
      <c r="D184" s="93"/>
      <c r="E184" s="100"/>
      <c r="F184" s="101"/>
      <c r="G184" s="101"/>
      <c r="H184" s="101"/>
      <c r="I184" s="93"/>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c r="XFD184" s="1"/>
    </row>
    <row r="185" spans="1:151 16227:16384" s="10" customFormat="1" ht="20.25" customHeight="1" x14ac:dyDescent="0.25">
      <c r="A185" s="98"/>
      <c r="B185" s="107"/>
      <c r="C185" s="93">
        <f t="shared" si="14"/>
        <v>7</v>
      </c>
      <c r="D185" s="93"/>
      <c r="E185" s="18" t="s">
        <v>212</v>
      </c>
      <c r="F185" s="94">
        <f>37.2*(10.764)</f>
        <v>400.42079999999999</v>
      </c>
      <c r="G185" s="95"/>
      <c r="H185" s="18">
        <v>0</v>
      </c>
      <c r="I185" s="18">
        <f>F185*(($I$113)+1)+H185</f>
        <v>620.65224000000001</v>
      </c>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c r="XFD185" s="1"/>
    </row>
    <row r="186" spans="1:151 16227:16384" s="10" customFormat="1" ht="20.25" customHeight="1" x14ac:dyDescent="0.25">
      <c r="A186" s="100"/>
      <c r="B186" s="108"/>
      <c r="C186" s="93">
        <f t="shared" si="14"/>
        <v>8</v>
      </c>
      <c r="D186" s="93"/>
      <c r="E186" s="18" t="s">
        <v>211</v>
      </c>
      <c r="F186" s="94">
        <f>55.94*(10.764)</f>
        <v>602.13815999999997</v>
      </c>
      <c r="G186" s="95"/>
      <c r="H186" s="18">
        <v>0</v>
      </c>
      <c r="I186" s="18">
        <f>F186*(($I$113)+1)+H186</f>
        <v>933.31414799999993</v>
      </c>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c r="XFD186" s="1"/>
    </row>
    <row r="187" spans="1:151 16227:16384" s="10" customFormat="1" ht="20.25" x14ac:dyDescent="0.25">
      <c r="A187" s="109" t="s">
        <v>226</v>
      </c>
      <c r="B187" s="110"/>
      <c r="C187" s="110"/>
      <c r="D187" s="110"/>
      <c r="E187" s="110"/>
      <c r="F187" s="110"/>
      <c r="G187" s="110"/>
      <c r="H187" s="110"/>
      <c r="I187" s="112"/>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c r="XFD187" s="1"/>
    </row>
    <row r="188" spans="1:151 16227:16384" s="10" customFormat="1" ht="20.25" customHeight="1" x14ac:dyDescent="0.25">
      <c r="A188" s="96" t="str">
        <f>A187</f>
        <v>30th to 35th &amp; 37th to 39th Floor</v>
      </c>
      <c r="B188" s="106"/>
      <c r="C188" s="93">
        <v>1</v>
      </c>
      <c r="D188" s="93"/>
      <c r="E188" s="18" t="s">
        <v>211</v>
      </c>
      <c r="F188" s="94">
        <f>(55.94+3.04*1.07)*(10.764)</f>
        <v>637.15129919999993</v>
      </c>
      <c r="G188" s="95"/>
      <c r="H188" s="18">
        <v>0</v>
      </c>
      <c r="I188" s="18">
        <f t="shared" ref="I188:I195" si="15">F188*(($I$113)+1)+H188</f>
        <v>987.58451375999994</v>
      </c>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c r="XFD188" s="1"/>
    </row>
    <row r="189" spans="1:151 16227:16384" s="10" customFormat="1" ht="20.25" x14ac:dyDescent="0.25">
      <c r="A189" s="98"/>
      <c r="B189" s="107"/>
      <c r="C189" s="93">
        <f>C188+1</f>
        <v>2</v>
      </c>
      <c r="D189" s="93"/>
      <c r="E189" s="18" t="s">
        <v>212</v>
      </c>
      <c r="F189" s="94">
        <f>(37.2+2.76*1.07)*(10.764)</f>
        <v>432.20904480000002</v>
      </c>
      <c r="G189" s="95"/>
      <c r="H189" s="18">
        <v>0</v>
      </c>
      <c r="I189" s="18">
        <f t="shared" si="15"/>
        <v>669.92401944000005</v>
      </c>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c r="XFD189" s="1"/>
    </row>
    <row r="190" spans="1:151 16227:16384" s="10" customFormat="1" ht="20.25" x14ac:dyDescent="0.25">
      <c r="A190" s="98"/>
      <c r="B190" s="107"/>
      <c r="C190" s="93">
        <f t="shared" ref="C190:C195" si="16">C189+1</f>
        <v>3</v>
      </c>
      <c r="D190" s="93"/>
      <c r="E190" s="18" t="s">
        <v>212</v>
      </c>
      <c r="F190" s="94">
        <f>(37.2+2.76*1.07)*(10.764)</f>
        <v>432.20904480000002</v>
      </c>
      <c r="G190" s="95"/>
      <c r="H190" s="18">
        <v>0</v>
      </c>
      <c r="I190" s="18">
        <f t="shared" si="15"/>
        <v>669.92401944000005</v>
      </c>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c r="XFD190" s="1"/>
    </row>
    <row r="191" spans="1:151 16227:16384" s="10" customFormat="1" ht="20.25" customHeight="1" x14ac:dyDescent="0.25">
      <c r="A191" s="98"/>
      <c r="B191" s="107"/>
      <c r="C191" s="93">
        <f t="shared" si="16"/>
        <v>4</v>
      </c>
      <c r="D191" s="93"/>
      <c r="E191" s="18" t="s">
        <v>211</v>
      </c>
      <c r="F191" s="94">
        <f>(55.94+3.04*1.07)*(10.764)</f>
        <v>637.15129919999993</v>
      </c>
      <c r="G191" s="95"/>
      <c r="H191" s="18">
        <v>0</v>
      </c>
      <c r="I191" s="18">
        <f t="shared" si="15"/>
        <v>987.58451375999994</v>
      </c>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c r="XFD191" s="1"/>
    </row>
    <row r="192" spans="1:151 16227:16384" s="10" customFormat="1" ht="20.25" customHeight="1" x14ac:dyDescent="0.25">
      <c r="A192" s="98"/>
      <c r="B192" s="107"/>
      <c r="C192" s="93">
        <f t="shared" si="16"/>
        <v>5</v>
      </c>
      <c r="D192" s="93"/>
      <c r="E192" s="18" t="s">
        <v>211</v>
      </c>
      <c r="F192" s="94">
        <f>(55.94+3.04*1.07)*(10.764)</f>
        <v>637.15129919999993</v>
      </c>
      <c r="G192" s="95"/>
      <c r="H192" s="18">
        <v>0</v>
      </c>
      <c r="I192" s="18">
        <f t="shared" si="15"/>
        <v>987.58451375999994</v>
      </c>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c r="XFD192" s="1"/>
    </row>
    <row r="193" spans="1:151 16227:16384" s="10" customFormat="1" ht="20.25" customHeight="1" x14ac:dyDescent="0.25">
      <c r="A193" s="98"/>
      <c r="B193" s="107"/>
      <c r="C193" s="93">
        <f t="shared" si="16"/>
        <v>6</v>
      </c>
      <c r="D193" s="93"/>
      <c r="E193" s="18" t="s">
        <v>212</v>
      </c>
      <c r="F193" s="94">
        <f t="shared" ref="F193:F194" si="17">(37.2+2.76*1.07)*(10.764)</f>
        <v>432.20904480000002</v>
      </c>
      <c r="G193" s="95"/>
      <c r="H193" s="18">
        <v>0</v>
      </c>
      <c r="I193" s="18">
        <f t="shared" si="15"/>
        <v>669.92401944000005</v>
      </c>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c r="XFD193" s="1"/>
    </row>
    <row r="194" spans="1:151 16227:16384" s="10" customFormat="1" ht="20.25" customHeight="1" x14ac:dyDescent="0.25">
      <c r="A194" s="98"/>
      <c r="B194" s="107"/>
      <c r="C194" s="93">
        <f t="shared" si="16"/>
        <v>7</v>
      </c>
      <c r="D194" s="93"/>
      <c r="E194" s="18" t="s">
        <v>212</v>
      </c>
      <c r="F194" s="94">
        <f t="shared" si="17"/>
        <v>432.20904480000002</v>
      </c>
      <c r="G194" s="95"/>
      <c r="H194" s="18">
        <v>0</v>
      </c>
      <c r="I194" s="18">
        <f t="shared" si="15"/>
        <v>669.92401944000005</v>
      </c>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c r="XFD194" s="1"/>
    </row>
    <row r="195" spans="1:151 16227:16384" s="10" customFormat="1" ht="20.25" customHeight="1" x14ac:dyDescent="0.25">
      <c r="A195" s="100"/>
      <c r="B195" s="108"/>
      <c r="C195" s="93">
        <f t="shared" si="16"/>
        <v>8</v>
      </c>
      <c r="D195" s="93"/>
      <c r="E195" s="18" t="s">
        <v>211</v>
      </c>
      <c r="F195" s="94">
        <f>(55.94+3.04*1.07)*(10.764)</f>
        <v>637.15129919999993</v>
      </c>
      <c r="G195" s="95"/>
      <c r="H195" s="18">
        <v>0</v>
      </c>
      <c r="I195" s="18">
        <f t="shared" si="15"/>
        <v>987.58451375999994</v>
      </c>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c r="XFD195" s="1"/>
    </row>
    <row r="196" spans="1:151 16227:16384" s="10" customFormat="1" ht="20.25" x14ac:dyDescent="0.25">
      <c r="A196" s="109" t="s">
        <v>257</v>
      </c>
      <c r="B196" s="110"/>
      <c r="C196" s="110"/>
      <c r="D196" s="110"/>
      <c r="E196" s="110"/>
      <c r="F196" s="110"/>
      <c r="G196" s="110"/>
      <c r="H196" s="110"/>
      <c r="I196" s="112"/>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c r="XFD196" s="1"/>
    </row>
    <row r="197" spans="1:151 16227:16384" s="10" customFormat="1" ht="20.25" x14ac:dyDescent="0.25">
      <c r="A197" s="96" t="str">
        <f>A196</f>
        <v>36th Floor For Part Refuge Area</v>
      </c>
      <c r="B197" s="106"/>
      <c r="C197" s="93">
        <v>1</v>
      </c>
      <c r="D197" s="93"/>
      <c r="E197" s="18" t="s">
        <v>211</v>
      </c>
      <c r="F197" s="94">
        <f>(55.94+3.04*1.07)*(10.764)</f>
        <v>637.15129919999993</v>
      </c>
      <c r="G197" s="95"/>
      <c r="H197" s="18">
        <v>0</v>
      </c>
      <c r="I197" s="18">
        <f>F197*(($I$113)+1)+H197</f>
        <v>987.58451375999994</v>
      </c>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c r="XFD197" s="1"/>
    </row>
    <row r="198" spans="1:151 16227:16384" s="10" customFormat="1" ht="20.25" x14ac:dyDescent="0.25">
      <c r="A198" s="98"/>
      <c r="B198" s="107"/>
      <c r="C198" s="93">
        <f>C197+1</f>
        <v>2</v>
      </c>
      <c r="D198" s="93"/>
      <c r="E198" s="18" t="s">
        <v>212</v>
      </c>
      <c r="F198" s="94">
        <f>(37.2+2.76*1.07)*(10.764)</f>
        <v>432.20904480000002</v>
      </c>
      <c r="G198" s="95"/>
      <c r="H198" s="18">
        <v>0</v>
      </c>
      <c r="I198" s="18">
        <f>F198*(($I$113)+1)+H198</f>
        <v>669.92401944000005</v>
      </c>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c r="XFD198" s="1"/>
    </row>
    <row r="199" spans="1:151 16227:16384" s="10" customFormat="1" ht="20.25" x14ac:dyDescent="0.25">
      <c r="A199" s="98"/>
      <c r="B199" s="107"/>
      <c r="C199" s="93">
        <f t="shared" ref="C199:C204" si="18">C198+1</f>
        <v>3</v>
      </c>
      <c r="D199" s="93"/>
      <c r="E199" s="18" t="s">
        <v>212</v>
      </c>
      <c r="F199" s="94">
        <f>(37.2+2.76*1.07)*(10.764)</f>
        <v>432.20904480000002</v>
      </c>
      <c r="G199" s="95"/>
      <c r="H199" s="18">
        <v>0</v>
      </c>
      <c r="I199" s="18">
        <f>F199*(($I$113)+1)+H199</f>
        <v>669.92401944000005</v>
      </c>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c r="XFD199" s="1"/>
    </row>
    <row r="200" spans="1:151 16227:16384" s="10" customFormat="1" ht="20.25" customHeight="1" x14ac:dyDescent="0.25">
      <c r="A200" s="98"/>
      <c r="B200" s="107"/>
      <c r="C200" s="93">
        <f t="shared" si="18"/>
        <v>4</v>
      </c>
      <c r="D200" s="93"/>
      <c r="E200" s="18" t="s">
        <v>211</v>
      </c>
      <c r="F200" s="94">
        <f>(55.94+3.04*1.07)*(10.764)</f>
        <v>637.15129919999993</v>
      </c>
      <c r="G200" s="95"/>
      <c r="H200" s="18">
        <v>0</v>
      </c>
      <c r="I200" s="18">
        <f>F200*(($I$113)+1)+H200</f>
        <v>987.58451375999994</v>
      </c>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c r="XFD200" s="1"/>
    </row>
    <row r="201" spans="1:151 16227:16384" s="10" customFormat="1" ht="20.25" customHeight="1" x14ac:dyDescent="0.25">
      <c r="A201" s="98"/>
      <c r="B201" s="107"/>
      <c r="C201" s="93">
        <f t="shared" si="18"/>
        <v>5</v>
      </c>
      <c r="D201" s="93"/>
      <c r="E201" s="94" t="s">
        <v>213</v>
      </c>
      <c r="F201" s="102"/>
      <c r="G201" s="102"/>
      <c r="H201" s="102"/>
      <c r="I201" s="18" t="s">
        <v>110</v>
      </c>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c r="XFD201" s="1"/>
    </row>
    <row r="202" spans="1:151 16227:16384" s="10" customFormat="1" ht="20.25" customHeight="1" x14ac:dyDescent="0.25">
      <c r="A202" s="98"/>
      <c r="B202" s="107"/>
      <c r="C202" s="93">
        <f t="shared" si="18"/>
        <v>6</v>
      </c>
      <c r="D202" s="93"/>
      <c r="E202" s="18" t="s">
        <v>212</v>
      </c>
      <c r="F202" s="94">
        <f t="shared" ref="F202:F203" si="19">(37.2+2.76*1.07)*(10.764)</f>
        <v>432.20904480000002</v>
      </c>
      <c r="G202" s="95"/>
      <c r="H202" s="18">
        <v>0</v>
      </c>
      <c r="I202" s="18">
        <f>F202*(($I$113)+1)+H202</f>
        <v>669.92401944000005</v>
      </c>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c r="XFD202" s="1"/>
    </row>
    <row r="203" spans="1:151 16227:16384" s="10" customFormat="1" ht="20.25" customHeight="1" x14ac:dyDescent="0.25">
      <c r="A203" s="98"/>
      <c r="B203" s="107"/>
      <c r="C203" s="93">
        <f t="shared" si="18"/>
        <v>7</v>
      </c>
      <c r="D203" s="93"/>
      <c r="E203" s="18" t="s">
        <v>212</v>
      </c>
      <c r="F203" s="94">
        <f t="shared" si="19"/>
        <v>432.20904480000002</v>
      </c>
      <c r="G203" s="95"/>
      <c r="H203" s="18">
        <v>0</v>
      </c>
      <c r="I203" s="18">
        <f>F203*(($I$113)+1)+H203</f>
        <v>669.92401944000005</v>
      </c>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c r="XFD203" s="1"/>
    </row>
    <row r="204" spans="1:151 16227:16384" s="10" customFormat="1" ht="20.25" customHeight="1" x14ac:dyDescent="0.25">
      <c r="A204" s="100"/>
      <c r="B204" s="108"/>
      <c r="C204" s="93">
        <f t="shared" si="18"/>
        <v>8</v>
      </c>
      <c r="D204" s="93"/>
      <c r="E204" s="18" t="s">
        <v>211</v>
      </c>
      <c r="F204" s="94">
        <f>(55.94+3.04*1.07)*(10.764)</f>
        <v>637.15129919999993</v>
      </c>
      <c r="G204" s="95"/>
      <c r="H204" s="18">
        <v>0</v>
      </c>
      <c r="I204" s="18">
        <f>F204*(($I$113)+1)+H204</f>
        <v>987.58451375999994</v>
      </c>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c r="XFD204" s="1"/>
    </row>
    <row r="205" spans="1:151 16227:16384" ht="20.25" x14ac:dyDescent="0.25">
      <c r="A205" s="109" t="s">
        <v>243</v>
      </c>
      <c r="B205" s="110"/>
      <c r="C205" s="110"/>
      <c r="D205" s="110"/>
      <c r="E205" s="110"/>
      <c r="F205" s="110"/>
      <c r="G205" s="110"/>
      <c r="H205" s="110"/>
      <c r="I205" s="111"/>
    </row>
    <row r="206" spans="1:151 16227:16384" ht="20.25" customHeight="1" x14ac:dyDescent="0.25">
      <c r="A206" s="109" t="s">
        <v>247</v>
      </c>
      <c r="B206" s="110"/>
      <c r="C206" s="110"/>
      <c r="D206" s="110"/>
      <c r="E206" s="110"/>
      <c r="F206" s="110"/>
      <c r="G206" s="110"/>
      <c r="H206" s="110"/>
      <c r="I206" s="111"/>
    </row>
    <row r="207" spans="1:151 16227:16384" ht="20.25" customHeight="1" x14ac:dyDescent="0.25">
      <c r="A207" s="96" t="str">
        <f>A206</f>
        <v>Ground Floor For Commercial, Meter Room Panel Room, Society Office &amp; Parking</v>
      </c>
      <c r="B207" s="106"/>
      <c r="C207" s="94">
        <v>17</v>
      </c>
      <c r="D207" s="95"/>
      <c r="E207" s="18" t="s">
        <v>210</v>
      </c>
      <c r="F207" s="94">
        <f>(2.89*6.03+0.12*0.68+1.8*1.12)*(10.764)</f>
        <v>210.15956520000003</v>
      </c>
      <c r="G207" s="95"/>
      <c r="H207" s="18">
        <v>0</v>
      </c>
      <c r="I207" s="18">
        <f t="shared" ref="I207:I214" si="20">F207*(($I$113)+1)+H207</f>
        <v>325.74732606000003</v>
      </c>
    </row>
    <row r="208" spans="1:151 16227:16384" ht="20.25" x14ac:dyDescent="0.25">
      <c r="A208" s="98"/>
      <c r="B208" s="107"/>
      <c r="C208" s="94">
        <f>C207+1</f>
        <v>18</v>
      </c>
      <c r="D208" s="95"/>
      <c r="E208" s="18" t="s">
        <v>210</v>
      </c>
      <c r="F208" s="94">
        <f>(2.99*6.1+0.13*2.45+0.2*2.45+2.13*1.05)*(10.764)</f>
        <v>229.10097599999997</v>
      </c>
      <c r="G208" s="95"/>
      <c r="H208" s="18">
        <v>0</v>
      </c>
      <c r="I208" s="18">
        <f t="shared" si="20"/>
        <v>355.10651279999996</v>
      </c>
    </row>
    <row r="209" spans="1:11" ht="20.25" x14ac:dyDescent="0.25">
      <c r="A209" s="98"/>
      <c r="B209" s="107"/>
      <c r="C209" s="94">
        <f t="shared" ref="C209:C214" si="21">C208+1</f>
        <v>19</v>
      </c>
      <c r="D209" s="95"/>
      <c r="E209" s="18" t="s">
        <v>210</v>
      </c>
      <c r="F209" s="94">
        <f>(3.04*2.83+0.22*1+1.37*0.62+1.67*1.25+1.5*7.25+0.53*1.8+1.05*1.8)*(10.764)</f>
        <v>274.25703240000001</v>
      </c>
      <c r="G209" s="95"/>
      <c r="H209" s="18">
        <v>0</v>
      </c>
      <c r="I209" s="18">
        <f t="shared" si="20"/>
        <v>425.09840022000003</v>
      </c>
    </row>
    <row r="210" spans="1:11" ht="20.25" x14ac:dyDescent="0.25">
      <c r="A210" s="98"/>
      <c r="B210" s="107"/>
      <c r="C210" s="94">
        <f t="shared" si="21"/>
        <v>20</v>
      </c>
      <c r="D210" s="95"/>
      <c r="E210" s="18" t="s">
        <v>210</v>
      </c>
      <c r="F210" s="94">
        <f>(3.04*4.7+0.15*1.25+1.55*0.75+2.04*1.8+1.05*1.8)*(10.764)</f>
        <v>228.19679999999997</v>
      </c>
      <c r="G210" s="95"/>
      <c r="H210" s="18">
        <v>0</v>
      </c>
      <c r="I210" s="18">
        <f t="shared" si="20"/>
        <v>353.70503999999994</v>
      </c>
    </row>
    <row r="211" spans="1:11" ht="20.25" x14ac:dyDescent="0.25">
      <c r="A211" s="98"/>
      <c r="B211" s="107"/>
      <c r="C211" s="94">
        <f t="shared" si="21"/>
        <v>21</v>
      </c>
      <c r="D211" s="95"/>
      <c r="E211" s="18" t="s">
        <v>210</v>
      </c>
      <c r="F211" s="94">
        <f>(2.7*4.7+0.23*2.87+1.84*2.55+1.05*1.8)*(10.764)</f>
        <v>214.54912440000001</v>
      </c>
      <c r="G211" s="95"/>
      <c r="H211" s="18">
        <v>0</v>
      </c>
      <c r="I211" s="18">
        <f t="shared" si="20"/>
        <v>332.55114282000005</v>
      </c>
    </row>
    <row r="212" spans="1:11" ht="20.25" x14ac:dyDescent="0.25">
      <c r="A212" s="98"/>
      <c r="B212" s="107"/>
      <c r="C212" s="94">
        <f t="shared" si="21"/>
        <v>22</v>
      </c>
      <c r="D212" s="95"/>
      <c r="E212" s="18" t="s">
        <v>210</v>
      </c>
      <c r="F212" s="94">
        <f>(3.11*4.7+1.89*2.55+1.05*1.8)*(10.764)</f>
        <v>229.55844599999998</v>
      </c>
      <c r="G212" s="95"/>
      <c r="H212" s="18">
        <v>0</v>
      </c>
      <c r="I212" s="18">
        <f t="shared" si="20"/>
        <v>355.81559129999999</v>
      </c>
    </row>
    <row r="213" spans="1:11" ht="20.25" x14ac:dyDescent="0.25">
      <c r="A213" s="98"/>
      <c r="B213" s="107"/>
      <c r="C213" s="94">
        <f t="shared" si="21"/>
        <v>23</v>
      </c>
      <c r="D213" s="95"/>
      <c r="E213" s="18" t="s">
        <v>210</v>
      </c>
      <c r="F213" s="94">
        <f>(2.99*6.1+0.2*2.45+0.13*2.45+2.13*1.05)*(10.764)</f>
        <v>229.10097599999997</v>
      </c>
      <c r="G213" s="95"/>
      <c r="H213" s="18">
        <v>0</v>
      </c>
      <c r="I213" s="18">
        <f t="shared" si="20"/>
        <v>355.10651279999996</v>
      </c>
    </row>
    <row r="214" spans="1:11" ht="20.25" x14ac:dyDescent="0.25">
      <c r="A214" s="100"/>
      <c r="B214" s="108"/>
      <c r="C214" s="94">
        <f t="shared" si="21"/>
        <v>24</v>
      </c>
      <c r="D214" s="95"/>
      <c r="E214" s="18" t="s">
        <v>210</v>
      </c>
      <c r="F214" s="94">
        <f>(2.89*6.03+0.13*0.62+1.8*1.13)*(10.764)</f>
        <v>210.3425532</v>
      </c>
      <c r="G214" s="95"/>
      <c r="H214" s="18">
        <v>0</v>
      </c>
      <c r="I214" s="18">
        <f t="shared" si="20"/>
        <v>326.03095746000002</v>
      </c>
    </row>
    <row r="215" spans="1:11" ht="20.25" customHeight="1" x14ac:dyDescent="0.25">
      <c r="A215" s="109" t="s">
        <v>248</v>
      </c>
      <c r="B215" s="110"/>
      <c r="C215" s="110"/>
      <c r="D215" s="110"/>
      <c r="E215" s="110"/>
      <c r="F215" s="110"/>
      <c r="G215" s="110"/>
      <c r="H215" s="110"/>
      <c r="I215" s="111"/>
    </row>
    <row r="216" spans="1:11" ht="20.25" customHeight="1" x14ac:dyDescent="0.25">
      <c r="A216" s="96" t="str">
        <f>A215</f>
        <v>1st Podium Floor Commercial, Meter Room, LV Room, Panel Room &amp; Parking</v>
      </c>
      <c r="B216" s="106"/>
      <c r="C216" s="94">
        <v>13</v>
      </c>
      <c r="D216" s="95"/>
      <c r="E216" s="18" t="s">
        <v>210</v>
      </c>
      <c r="F216" s="94">
        <f>(3.04*3.65+3.09*2.45+2.19*1.22+0.05*0.67+1.8*1.05)*(10.764)</f>
        <v>250.39001519999999</v>
      </c>
      <c r="G216" s="95"/>
      <c r="H216" s="18">
        <v>0</v>
      </c>
      <c r="I216" s="18">
        <f t="shared" ref="I216:I223" si="22">F216*(($I$113)+1)+H216</f>
        <v>388.10452356000002</v>
      </c>
    </row>
    <row r="217" spans="1:11" ht="20.25" x14ac:dyDescent="0.25">
      <c r="A217" s="98"/>
      <c r="B217" s="107"/>
      <c r="C217" s="94" t="s">
        <v>251</v>
      </c>
      <c r="D217" s="95"/>
      <c r="E217" s="18" t="s">
        <v>210</v>
      </c>
      <c r="F217" s="114">
        <f>(3.04*3.65+3.19*1.08)*(10.764)</f>
        <v>156.52147679999999</v>
      </c>
      <c r="G217" s="115"/>
      <c r="H217" s="18">
        <v>0</v>
      </c>
      <c r="I217" s="18">
        <f t="shared" si="22"/>
        <v>242.60828903999999</v>
      </c>
    </row>
    <row r="218" spans="1:11" ht="20.25" x14ac:dyDescent="0.25">
      <c r="A218" s="98"/>
      <c r="B218" s="107"/>
      <c r="C218" s="94">
        <v>14</v>
      </c>
      <c r="D218" s="95"/>
      <c r="E218" s="18" t="s">
        <v>210</v>
      </c>
      <c r="F218" s="114">
        <f>(3.09*2.83+0.15*1.24+1.42*1.87+0.1*0.69+1.5*4.14+1.5*1.05)*(10.764)</f>
        <v>209.25323639999996</v>
      </c>
      <c r="G218" s="115"/>
      <c r="H218" s="18">
        <v>0</v>
      </c>
      <c r="I218" s="18">
        <f t="shared" si="22"/>
        <v>324.34251641999992</v>
      </c>
    </row>
    <row r="219" spans="1:11" ht="20.25" x14ac:dyDescent="0.25">
      <c r="A219" s="98"/>
      <c r="B219" s="107"/>
      <c r="C219" s="94">
        <f t="shared" ref="C219:C222" si="23">C218+1</f>
        <v>15</v>
      </c>
      <c r="D219" s="95"/>
      <c r="E219" s="18" t="s">
        <v>210</v>
      </c>
      <c r="F219" s="114">
        <f>(3.09*3.22+1.67*2.08+1.42*1.37)*(10.764)</f>
        <v>165.42976319999997</v>
      </c>
      <c r="G219" s="115"/>
      <c r="H219" s="18">
        <v>0</v>
      </c>
      <c r="I219" s="18">
        <f t="shared" si="22"/>
        <v>256.41613295999997</v>
      </c>
    </row>
    <row r="220" spans="1:11" ht="20.25" x14ac:dyDescent="0.25">
      <c r="A220" s="98"/>
      <c r="B220" s="107"/>
      <c r="C220" s="94">
        <f t="shared" si="23"/>
        <v>16</v>
      </c>
      <c r="D220" s="95"/>
      <c r="E220" s="18" t="s">
        <v>210</v>
      </c>
      <c r="F220" s="94">
        <f>(2.7*3.22+0.23*1.4+1.78*2.08+1.05*1.38)*(10.764)</f>
        <v>152.4978936</v>
      </c>
      <c r="G220" s="95"/>
      <c r="H220" s="18">
        <v>0</v>
      </c>
      <c r="I220" s="18">
        <f t="shared" si="22"/>
        <v>236.37173508000001</v>
      </c>
      <c r="K220" s="1">
        <f>3.04*5.47+3.04*3.35+3.04*3.8+2.12*1.38+1.98*1.38+1.58*0.2+2.18*2.42+3.44*0.98</f>
        <v>52.985600000000005</v>
      </c>
    </row>
    <row r="221" spans="1:11" ht="20.25" x14ac:dyDescent="0.25">
      <c r="A221" s="98"/>
      <c r="B221" s="107"/>
      <c r="C221" s="94">
        <f t="shared" si="23"/>
        <v>17</v>
      </c>
      <c r="D221" s="95"/>
      <c r="E221" s="18" t="s">
        <v>210</v>
      </c>
      <c r="F221" s="94">
        <f>(3.1*3.22+1.05*1.38+1.95*2.08)*(10.764)</f>
        <v>166.702068</v>
      </c>
      <c r="G221" s="95"/>
      <c r="H221" s="18">
        <v>0</v>
      </c>
      <c r="I221" s="18">
        <f t="shared" si="22"/>
        <v>258.3882054</v>
      </c>
      <c r="K221" s="1">
        <f>3.04*5.47+2.43*1.82+3.09*2.75+1.5*1.83+0.1*0.6+1.49*0.6+1.39*1.88+0.05*0.45</f>
        <v>35.883599999999994</v>
      </c>
    </row>
    <row r="222" spans="1:11" ht="20.25" x14ac:dyDescent="0.25">
      <c r="A222" s="98"/>
      <c r="B222" s="107"/>
      <c r="C222" s="94">
        <f t="shared" si="23"/>
        <v>18</v>
      </c>
      <c r="D222" s="95"/>
      <c r="E222" s="18" t="s">
        <v>210</v>
      </c>
      <c r="F222" s="94">
        <f>(3.04*3.65+3.19*1.08)*(10.764)</f>
        <v>156.52147679999999</v>
      </c>
      <c r="G222" s="95"/>
      <c r="H222" s="18">
        <v>0</v>
      </c>
      <c r="I222" s="18">
        <f t="shared" si="22"/>
        <v>242.60828903999999</v>
      </c>
    </row>
    <row r="223" spans="1:11" ht="20.25" x14ac:dyDescent="0.25">
      <c r="A223" s="100"/>
      <c r="B223" s="108"/>
      <c r="C223" s="94" t="s">
        <v>252</v>
      </c>
      <c r="D223" s="95"/>
      <c r="E223" s="18" t="s">
        <v>210</v>
      </c>
      <c r="F223" s="94">
        <f>(3.04*3.65+3.09*2.45+2.19*1.22+0.05*0.68+1.8*1.05)*(10.764)</f>
        <v>250.39539719999999</v>
      </c>
      <c r="G223" s="95"/>
      <c r="H223" s="18">
        <v>0</v>
      </c>
      <c r="I223" s="18">
        <f t="shared" si="22"/>
        <v>388.11286566000001</v>
      </c>
    </row>
    <row r="224" spans="1:11" ht="20.25" customHeight="1" x14ac:dyDescent="0.25">
      <c r="A224" s="84" t="s">
        <v>253</v>
      </c>
      <c r="B224" s="86"/>
      <c r="C224" s="86"/>
      <c r="D224" s="86"/>
      <c r="E224" s="86"/>
      <c r="F224" s="86"/>
      <c r="G224" s="86"/>
      <c r="H224" s="86"/>
      <c r="I224" s="113"/>
    </row>
    <row r="225" spans="1:9" ht="20.25" customHeight="1" x14ac:dyDescent="0.25">
      <c r="A225" s="96" t="str">
        <f>A224</f>
        <v>2nd Podium Floor For Residential, Part Parking &amp; Meter Room</v>
      </c>
      <c r="B225" s="106"/>
      <c r="C225" s="93">
        <v>1</v>
      </c>
      <c r="D225" s="93"/>
      <c r="E225" s="96" t="s">
        <v>229</v>
      </c>
      <c r="F225" s="97"/>
      <c r="G225" s="97"/>
      <c r="H225" s="97"/>
      <c r="I225" s="93" t="s">
        <v>110</v>
      </c>
    </row>
    <row r="226" spans="1:9" ht="20.25" x14ac:dyDescent="0.25">
      <c r="A226" s="98"/>
      <c r="B226" s="107"/>
      <c r="C226" s="93">
        <f>C225+1</f>
        <v>2</v>
      </c>
      <c r="D226" s="93"/>
      <c r="E226" s="98"/>
      <c r="F226" s="99"/>
      <c r="G226" s="99"/>
      <c r="H226" s="99"/>
      <c r="I226" s="93"/>
    </row>
    <row r="227" spans="1:9" ht="20.25" x14ac:dyDescent="0.25">
      <c r="A227" s="98"/>
      <c r="B227" s="107"/>
      <c r="C227" s="93">
        <f t="shared" ref="C227:C228" si="24">C226+1</f>
        <v>3</v>
      </c>
      <c r="D227" s="93"/>
      <c r="E227" s="98"/>
      <c r="F227" s="99"/>
      <c r="G227" s="99"/>
      <c r="H227" s="99"/>
      <c r="I227" s="93"/>
    </row>
    <row r="228" spans="1:9" ht="20.25" x14ac:dyDescent="0.25">
      <c r="A228" s="98"/>
      <c r="B228" s="107"/>
      <c r="C228" s="93">
        <f t="shared" si="24"/>
        <v>4</v>
      </c>
      <c r="D228" s="93"/>
      <c r="E228" s="100"/>
      <c r="F228" s="101"/>
      <c r="G228" s="101"/>
      <c r="H228" s="101"/>
      <c r="I228" s="93"/>
    </row>
    <row r="229" spans="1:9" ht="20.25" x14ac:dyDescent="0.25">
      <c r="A229" s="98"/>
      <c r="B229" s="107"/>
      <c r="C229" s="93">
        <v>5</v>
      </c>
      <c r="D229" s="93"/>
      <c r="E229" s="18" t="s">
        <v>211</v>
      </c>
      <c r="F229" s="94">
        <f>55.94*(10.764)</f>
        <v>602.13815999999997</v>
      </c>
      <c r="G229" s="95"/>
      <c r="H229" s="18">
        <v>0</v>
      </c>
      <c r="I229" s="18">
        <f>F229*(($I$113)+1)+H229</f>
        <v>933.31414799999993</v>
      </c>
    </row>
    <row r="230" spans="1:9" ht="20.25" x14ac:dyDescent="0.25">
      <c r="A230" s="98"/>
      <c r="B230" s="107"/>
      <c r="C230" s="93">
        <f>C229+1</f>
        <v>6</v>
      </c>
      <c r="D230" s="93"/>
      <c r="E230" s="18" t="s">
        <v>212</v>
      </c>
      <c r="F230" s="94">
        <f>37.2*(10.764)</f>
        <v>400.42079999999999</v>
      </c>
      <c r="G230" s="95"/>
      <c r="H230" s="18">
        <v>0</v>
      </c>
      <c r="I230" s="18">
        <f>F230*(($I$113)+1)+H230</f>
        <v>620.65224000000001</v>
      </c>
    </row>
    <row r="231" spans="1:9" ht="20.25" x14ac:dyDescent="0.25">
      <c r="A231" s="98"/>
      <c r="B231" s="107"/>
      <c r="C231" s="93">
        <f t="shared" ref="C231:C232" si="25">C230+1</f>
        <v>7</v>
      </c>
      <c r="D231" s="93"/>
      <c r="E231" s="18" t="s">
        <v>212</v>
      </c>
      <c r="F231" s="94">
        <f>37.2*(10.764)</f>
        <v>400.42079999999999</v>
      </c>
      <c r="G231" s="95"/>
      <c r="H231" s="18">
        <v>0</v>
      </c>
      <c r="I231" s="18">
        <f>F231*(($I$113)+1)+H231</f>
        <v>620.65224000000001</v>
      </c>
    </row>
    <row r="232" spans="1:9" ht="20.25" x14ac:dyDescent="0.25">
      <c r="A232" s="100"/>
      <c r="B232" s="108"/>
      <c r="C232" s="93">
        <f t="shared" si="25"/>
        <v>8</v>
      </c>
      <c r="D232" s="93"/>
      <c r="E232" s="18" t="s">
        <v>211</v>
      </c>
      <c r="F232" s="94">
        <f>55.94*(10.764)</f>
        <v>602.13815999999997</v>
      </c>
      <c r="G232" s="95"/>
      <c r="H232" s="18">
        <v>0</v>
      </c>
      <c r="I232" s="18">
        <f>F232*(($I$113)+1)+H232</f>
        <v>933.31414799999993</v>
      </c>
    </row>
    <row r="233" spans="1:9" ht="20.25" customHeight="1" x14ac:dyDescent="0.25">
      <c r="A233" s="103" t="s">
        <v>255</v>
      </c>
      <c r="B233" s="104"/>
      <c r="C233" s="104"/>
      <c r="D233" s="104"/>
      <c r="E233" s="104"/>
      <c r="F233" s="104"/>
      <c r="G233" s="104"/>
      <c r="H233" s="104"/>
      <c r="I233" s="105"/>
    </row>
    <row r="234" spans="1:9" ht="20.25" x14ac:dyDescent="0.25">
      <c r="A234" s="96" t="str">
        <f>A233</f>
        <v>3rd Podium Floor For Residential &amp; Part Parking</v>
      </c>
      <c r="B234" s="106"/>
      <c r="C234" s="93">
        <v>1</v>
      </c>
      <c r="D234" s="93"/>
      <c r="E234" s="96" t="s">
        <v>228</v>
      </c>
      <c r="F234" s="97"/>
      <c r="G234" s="97"/>
      <c r="H234" s="97"/>
      <c r="I234" s="93" t="s">
        <v>110</v>
      </c>
    </row>
    <row r="235" spans="1:9" ht="20.25" x14ac:dyDescent="0.25">
      <c r="A235" s="98"/>
      <c r="B235" s="107"/>
      <c r="C235" s="93">
        <f>C234+1</f>
        <v>2</v>
      </c>
      <c r="D235" s="93"/>
      <c r="E235" s="98"/>
      <c r="F235" s="99"/>
      <c r="G235" s="99"/>
      <c r="H235" s="99"/>
      <c r="I235" s="93"/>
    </row>
    <row r="236" spans="1:9" ht="20.25" x14ac:dyDescent="0.25">
      <c r="A236" s="98"/>
      <c r="B236" s="107"/>
      <c r="C236" s="93">
        <f t="shared" ref="C236:C237" si="26">C235+1</f>
        <v>3</v>
      </c>
      <c r="D236" s="93"/>
      <c r="E236" s="98"/>
      <c r="F236" s="99"/>
      <c r="G236" s="99"/>
      <c r="H236" s="99"/>
      <c r="I236" s="93"/>
    </row>
    <row r="237" spans="1:9" ht="20.25" x14ac:dyDescent="0.25">
      <c r="A237" s="98"/>
      <c r="B237" s="107"/>
      <c r="C237" s="93">
        <f t="shared" si="26"/>
        <v>4</v>
      </c>
      <c r="D237" s="93"/>
      <c r="E237" s="100"/>
      <c r="F237" s="101"/>
      <c r="G237" s="101"/>
      <c r="H237" s="101"/>
      <c r="I237" s="93"/>
    </row>
    <row r="238" spans="1:9" ht="20.25" x14ac:dyDescent="0.25">
      <c r="A238" s="98"/>
      <c r="B238" s="107"/>
      <c r="C238" s="93">
        <v>5</v>
      </c>
      <c r="D238" s="93"/>
      <c r="E238" s="18" t="s">
        <v>211</v>
      </c>
      <c r="F238" s="94">
        <f>55.94*(10.764)</f>
        <v>602.13815999999997</v>
      </c>
      <c r="G238" s="95"/>
      <c r="H238" s="18">
        <v>0</v>
      </c>
      <c r="I238" s="18">
        <f>F238*(($I$113)+1)+H238</f>
        <v>933.31414799999993</v>
      </c>
    </row>
    <row r="239" spans="1:9" ht="20.25" x14ac:dyDescent="0.25">
      <c r="A239" s="98"/>
      <c r="B239" s="107"/>
      <c r="C239" s="93">
        <f>C238+1</f>
        <v>6</v>
      </c>
      <c r="D239" s="93"/>
      <c r="E239" s="18" t="s">
        <v>212</v>
      </c>
      <c r="F239" s="94">
        <f>37.2*(10.764)</f>
        <v>400.42079999999999</v>
      </c>
      <c r="G239" s="95"/>
      <c r="H239" s="18">
        <v>0</v>
      </c>
      <c r="I239" s="18">
        <f>F239*(($I$113)+1)+H239</f>
        <v>620.65224000000001</v>
      </c>
    </row>
    <row r="240" spans="1:9" ht="20.25" x14ac:dyDescent="0.25">
      <c r="A240" s="98"/>
      <c r="B240" s="107"/>
      <c r="C240" s="93">
        <f t="shared" ref="C240:C241" si="27">C239+1</f>
        <v>7</v>
      </c>
      <c r="D240" s="93"/>
      <c r="E240" s="18" t="s">
        <v>212</v>
      </c>
      <c r="F240" s="94">
        <f>37.2*(10.764)</f>
        <v>400.42079999999999</v>
      </c>
      <c r="G240" s="95"/>
      <c r="H240" s="18">
        <v>0</v>
      </c>
      <c r="I240" s="18">
        <f>F240*(($I$113)+1)+H240</f>
        <v>620.65224000000001</v>
      </c>
    </row>
    <row r="241" spans="1:9" ht="20.25" x14ac:dyDescent="0.25">
      <c r="A241" s="100"/>
      <c r="B241" s="108"/>
      <c r="C241" s="93">
        <f t="shared" si="27"/>
        <v>8</v>
      </c>
      <c r="D241" s="93"/>
      <c r="E241" s="18" t="s">
        <v>211</v>
      </c>
      <c r="F241" s="94">
        <f>55.94*(10.764)</f>
        <v>602.13815999999997</v>
      </c>
      <c r="G241" s="95"/>
      <c r="H241" s="18">
        <v>0</v>
      </c>
      <c r="I241" s="18">
        <f>F241*(($I$113)+1)+H241</f>
        <v>933.31414799999993</v>
      </c>
    </row>
    <row r="242" spans="1:9" ht="20.25" customHeight="1" x14ac:dyDescent="0.25">
      <c r="A242" s="103" t="s">
        <v>260</v>
      </c>
      <c r="B242" s="104"/>
      <c r="C242" s="104"/>
      <c r="D242" s="104"/>
      <c r="E242" s="104"/>
      <c r="F242" s="104"/>
      <c r="G242" s="104"/>
      <c r="H242" s="104"/>
      <c r="I242" s="105"/>
    </row>
    <row r="243" spans="1:9" ht="20.25" customHeight="1" x14ac:dyDescent="0.25">
      <c r="A243" s="96" t="str">
        <f>A242</f>
        <v xml:space="preserve"> 4th Podium Floor</v>
      </c>
      <c r="B243" s="106"/>
      <c r="C243" s="93">
        <v>1</v>
      </c>
      <c r="D243" s="93"/>
      <c r="E243" s="96" t="s">
        <v>228</v>
      </c>
      <c r="F243" s="97"/>
      <c r="G243" s="97"/>
      <c r="H243" s="97"/>
      <c r="I243" s="93" t="s">
        <v>110</v>
      </c>
    </row>
    <row r="244" spans="1:9" ht="20.25" x14ac:dyDescent="0.25">
      <c r="A244" s="98"/>
      <c r="B244" s="107"/>
      <c r="C244" s="93">
        <f>C243+1</f>
        <v>2</v>
      </c>
      <c r="D244" s="93"/>
      <c r="E244" s="98"/>
      <c r="F244" s="99"/>
      <c r="G244" s="99"/>
      <c r="H244" s="99"/>
      <c r="I244" s="93"/>
    </row>
    <row r="245" spans="1:9" ht="20.25" x14ac:dyDescent="0.25">
      <c r="A245" s="98"/>
      <c r="B245" s="107"/>
      <c r="C245" s="93">
        <f t="shared" ref="C245:C246" si="28">C244+1</f>
        <v>3</v>
      </c>
      <c r="D245" s="93"/>
      <c r="E245" s="98"/>
      <c r="F245" s="99"/>
      <c r="G245" s="99"/>
      <c r="H245" s="99"/>
      <c r="I245" s="93"/>
    </row>
    <row r="246" spans="1:9" ht="20.25" x14ac:dyDescent="0.25">
      <c r="A246" s="98"/>
      <c r="B246" s="107"/>
      <c r="C246" s="93">
        <f t="shared" si="28"/>
        <v>4</v>
      </c>
      <c r="D246" s="93"/>
      <c r="E246" s="100"/>
      <c r="F246" s="101"/>
      <c r="G246" s="101"/>
      <c r="H246" s="101"/>
      <c r="I246" s="93"/>
    </row>
    <row r="247" spans="1:9" ht="20.25" x14ac:dyDescent="0.25">
      <c r="A247" s="98"/>
      <c r="B247" s="107"/>
      <c r="C247" s="93">
        <v>5</v>
      </c>
      <c r="D247" s="93"/>
      <c r="E247" s="18" t="s">
        <v>211</v>
      </c>
      <c r="F247" s="94">
        <f>55.94*(10.764)</f>
        <v>602.13815999999997</v>
      </c>
      <c r="G247" s="95"/>
      <c r="H247" s="18">
        <v>0</v>
      </c>
      <c r="I247" s="18">
        <f>F247*(($I$113)+1)+H247</f>
        <v>933.31414799999993</v>
      </c>
    </row>
    <row r="248" spans="1:9" ht="20.25" x14ac:dyDescent="0.25">
      <c r="A248" s="98"/>
      <c r="B248" s="107"/>
      <c r="C248" s="93">
        <f>C247+1</f>
        <v>6</v>
      </c>
      <c r="D248" s="93"/>
      <c r="E248" s="18" t="s">
        <v>212</v>
      </c>
      <c r="F248" s="94">
        <f>37.2*(10.764)</f>
        <v>400.42079999999999</v>
      </c>
      <c r="G248" s="95"/>
      <c r="H248" s="18">
        <v>0</v>
      </c>
      <c r="I248" s="18">
        <f>F248*(($I$113)+1)+H248</f>
        <v>620.65224000000001</v>
      </c>
    </row>
    <row r="249" spans="1:9" ht="20.25" x14ac:dyDescent="0.25">
      <c r="A249" s="98"/>
      <c r="B249" s="107"/>
      <c r="C249" s="93">
        <f t="shared" ref="C249:C250" si="29">C248+1</f>
        <v>7</v>
      </c>
      <c r="D249" s="93"/>
      <c r="E249" s="18" t="s">
        <v>212</v>
      </c>
      <c r="F249" s="94">
        <f>37.2*(10.764)</f>
        <v>400.42079999999999</v>
      </c>
      <c r="G249" s="95"/>
      <c r="H249" s="18">
        <v>0</v>
      </c>
      <c r="I249" s="18">
        <f>F249*(($I$113)+1)+H249</f>
        <v>620.65224000000001</v>
      </c>
    </row>
    <row r="250" spans="1:9" ht="20.25" x14ac:dyDescent="0.25">
      <c r="A250" s="100"/>
      <c r="B250" s="108"/>
      <c r="C250" s="93">
        <f t="shared" si="29"/>
        <v>8</v>
      </c>
      <c r="D250" s="93"/>
      <c r="E250" s="18" t="s">
        <v>211</v>
      </c>
      <c r="F250" s="94">
        <f>55.94*(10.764)</f>
        <v>602.13815999999997</v>
      </c>
      <c r="G250" s="95"/>
      <c r="H250" s="18">
        <v>0</v>
      </c>
      <c r="I250" s="18">
        <f>F250*(($I$113)+1)+H250</f>
        <v>933.31414799999993</v>
      </c>
    </row>
    <row r="251" spans="1:9" ht="20.25" x14ac:dyDescent="0.25">
      <c r="A251" s="109" t="s">
        <v>256</v>
      </c>
      <c r="B251" s="110"/>
      <c r="C251" s="110"/>
      <c r="D251" s="110"/>
      <c r="E251" s="110"/>
      <c r="F251" s="110"/>
      <c r="G251" s="110"/>
      <c r="H251" s="110"/>
      <c r="I251" s="111"/>
    </row>
    <row r="252" spans="1:9" ht="20.25" x14ac:dyDescent="0.25">
      <c r="A252" s="96" t="str">
        <f>A251</f>
        <v>5th Podium Floor</v>
      </c>
      <c r="B252" s="106"/>
      <c r="C252" s="94">
        <v>1</v>
      </c>
      <c r="D252" s="95"/>
      <c r="E252" s="96" t="s">
        <v>228</v>
      </c>
      <c r="F252" s="97"/>
      <c r="G252" s="97"/>
      <c r="H252" s="97"/>
      <c r="I252" s="93" t="s">
        <v>110</v>
      </c>
    </row>
    <row r="253" spans="1:9" ht="20.25" x14ac:dyDescent="0.25">
      <c r="A253" s="98"/>
      <c r="B253" s="107"/>
      <c r="C253" s="94">
        <f>C252+1</f>
        <v>2</v>
      </c>
      <c r="D253" s="95"/>
      <c r="E253" s="98"/>
      <c r="F253" s="99"/>
      <c r="G253" s="99"/>
      <c r="H253" s="99"/>
      <c r="I253" s="93"/>
    </row>
    <row r="254" spans="1:9" ht="20.25" x14ac:dyDescent="0.25">
      <c r="A254" s="98"/>
      <c r="B254" s="107"/>
      <c r="C254" s="94">
        <f t="shared" ref="C254:C255" si="30">C253+1</f>
        <v>3</v>
      </c>
      <c r="D254" s="95"/>
      <c r="E254" s="98"/>
      <c r="F254" s="99"/>
      <c r="G254" s="99"/>
      <c r="H254" s="99"/>
      <c r="I254" s="93"/>
    </row>
    <row r="255" spans="1:9" ht="20.25" x14ac:dyDescent="0.25">
      <c r="A255" s="98"/>
      <c r="B255" s="107"/>
      <c r="C255" s="94">
        <f t="shared" si="30"/>
        <v>4</v>
      </c>
      <c r="D255" s="95"/>
      <c r="E255" s="100"/>
      <c r="F255" s="101"/>
      <c r="G255" s="101"/>
      <c r="H255" s="101"/>
      <c r="I255" s="93"/>
    </row>
    <row r="256" spans="1:9" ht="20.25" x14ac:dyDescent="0.25">
      <c r="A256" s="98"/>
      <c r="B256" s="107"/>
      <c r="C256" s="94">
        <v>5</v>
      </c>
      <c r="D256" s="95"/>
      <c r="E256" s="18" t="s">
        <v>211</v>
      </c>
      <c r="F256" s="94">
        <f>55.94*(10.764)</f>
        <v>602.13815999999997</v>
      </c>
      <c r="G256" s="95"/>
      <c r="H256" s="18">
        <v>0</v>
      </c>
      <c r="I256" s="18">
        <f>F256*(($I$113)+1)+H256</f>
        <v>933.31414799999993</v>
      </c>
    </row>
    <row r="257" spans="1:9" ht="20.25" x14ac:dyDescent="0.25">
      <c r="A257" s="98"/>
      <c r="B257" s="107"/>
      <c r="C257" s="94">
        <f>C256+1</f>
        <v>6</v>
      </c>
      <c r="D257" s="95"/>
      <c r="E257" s="18" t="s">
        <v>212</v>
      </c>
      <c r="F257" s="94">
        <f>37.2*(10.764)</f>
        <v>400.42079999999999</v>
      </c>
      <c r="G257" s="95"/>
      <c r="H257" s="18">
        <v>0</v>
      </c>
      <c r="I257" s="18">
        <f>F257*(($I$113)+1)+H257</f>
        <v>620.65224000000001</v>
      </c>
    </row>
    <row r="258" spans="1:9" ht="20.25" x14ac:dyDescent="0.25">
      <c r="A258" s="98"/>
      <c r="B258" s="107"/>
      <c r="C258" s="94">
        <f t="shared" ref="C258:C259" si="31">C257+1</f>
        <v>7</v>
      </c>
      <c r="D258" s="95"/>
      <c r="E258" s="18" t="s">
        <v>212</v>
      </c>
      <c r="F258" s="94">
        <f>37.2*(10.764)</f>
        <v>400.42079999999999</v>
      </c>
      <c r="G258" s="95"/>
      <c r="H258" s="18">
        <v>0</v>
      </c>
      <c r="I258" s="18">
        <f>F258*(($I$113)+1)+H258</f>
        <v>620.65224000000001</v>
      </c>
    </row>
    <row r="259" spans="1:9" ht="20.25" x14ac:dyDescent="0.25">
      <c r="A259" s="100"/>
      <c r="B259" s="108"/>
      <c r="C259" s="94">
        <f t="shared" si="31"/>
        <v>8</v>
      </c>
      <c r="D259" s="95"/>
      <c r="E259" s="18" t="s">
        <v>211</v>
      </c>
      <c r="F259" s="94">
        <f>55.94*(10.764)</f>
        <v>602.13815999999997</v>
      </c>
      <c r="G259" s="95"/>
      <c r="H259" s="18">
        <v>0</v>
      </c>
      <c r="I259" s="18">
        <f>F259*(($I$113)+1)+H259</f>
        <v>933.31414799999993</v>
      </c>
    </row>
    <row r="260" spans="1:9" ht="20.25" x14ac:dyDescent="0.25">
      <c r="A260" s="109" t="s">
        <v>223</v>
      </c>
      <c r="B260" s="110"/>
      <c r="C260" s="110"/>
      <c r="D260" s="110"/>
      <c r="E260" s="110"/>
      <c r="F260" s="110"/>
      <c r="G260" s="110"/>
      <c r="H260" s="110"/>
      <c r="I260" s="112"/>
    </row>
    <row r="261" spans="1:9" ht="20.25" x14ac:dyDescent="0.25">
      <c r="A261" s="96" t="str">
        <f>A260</f>
        <v>6th, 7th, 9th to 14th, 16th to 21st &amp; 23rd to 28th Floor For Residential</v>
      </c>
      <c r="B261" s="106"/>
      <c r="C261" s="93">
        <v>1</v>
      </c>
      <c r="D261" s="93"/>
      <c r="E261" s="18" t="s">
        <v>211</v>
      </c>
      <c r="F261" s="94">
        <f>55.94*(10.764)</f>
        <v>602.13815999999997</v>
      </c>
      <c r="G261" s="95"/>
      <c r="H261" s="18">
        <v>0</v>
      </c>
      <c r="I261" s="18">
        <f t="shared" ref="I261:I268" si="32">F261*(($I$113)+1)+H261</f>
        <v>933.31414799999993</v>
      </c>
    </row>
    <row r="262" spans="1:9" ht="20.25" x14ac:dyDescent="0.25">
      <c r="A262" s="98"/>
      <c r="B262" s="107"/>
      <c r="C262" s="93">
        <f>C261+1</f>
        <v>2</v>
      </c>
      <c r="D262" s="93"/>
      <c r="E262" s="18" t="s">
        <v>212</v>
      </c>
      <c r="F262" s="94">
        <f>37.2*(10.764)</f>
        <v>400.42079999999999</v>
      </c>
      <c r="G262" s="95"/>
      <c r="H262" s="18">
        <v>0</v>
      </c>
      <c r="I262" s="18">
        <f t="shared" si="32"/>
        <v>620.65224000000001</v>
      </c>
    </row>
    <row r="263" spans="1:9" ht="20.25" x14ac:dyDescent="0.25">
      <c r="A263" s="98"/>
      <c r="B263" s="107"/>
      <c r="C263" s="93">
        <f t="shared" ref="C263:C268" si="33">C262+1</f>
        <v>3</v>
      </c>
      <c r="D263" s="93"/>
      <c r="E263" s="18" t="s">
        <v>212</v>
      </c>
      <c r="F263" s="94">
        <f>37.2*(10.764)</f>
        <v>400.42079999999999</v>
      </c>
      <c r="G263" s="95"/>
      <c r="H263" s="18">
        <v>0</v>
      </c>
      <c r="I263" s="18">
        <f t="shared" si="32"/>
        <v>620.65224000000001</v>
      </c>
    </row>
    <row r="264" spans="1:9" ht="20.25" x14ac:dyDescent="0.25">
      <c r="A264" s="98"/>
      <c r="B264" s="107"/>
      <c r="C264" s="93">
        <f t="shared" si="33"/>
        <v>4</v>
      </c>
      <c r="D264" s="93"/>
      <c r="E264" s="18" t="s">
        <v>211</v>
      </c>
      <c r="F264" s="94">
        <f>55.94*(10.764)</f>
        <v>602.13815999999997</v>
      </c>
      <c r="G264" s="95"/>
      <c r="H264" s="18">
        <v>0</v>
      </c>
      <c r="I264" s="18">
        <f t="shared" si="32"/>
        <v>933.31414799999993</v>
      </c>
    </row>
    <row r="265" spans="1:9" ht="20.25" x14ac:dyDescent="0.25">
      <c r="A265" s="98"/>
      <c r="B265" s="107"/>
      <c r="C265" s="93">
        <f t="shared" si="33"/>
        <v>5</v>
      </c>
      <c r="D265" s="93"/>
      <c r="E265" s="18" t="s">
        <v>211</v>
      </c>
      <c r="F265" s="94">
        <f>55.94*(10.764)</f>
        <v>602.13815999999997</v>
      </c>
      <c r="G265" s="95"/>
      <c r="H265" s="18">
        <v>0</v>
      </c>
      <c r="I265" s="18">
        <f t="shared" si="32"/>
        <v>933.31414799999993</v>
      </c>
    </row>
    <row r="266" spans="1:9" ht="20.25" x14ac:dyDescent="0.25">
      <c r="A266" s="98"/>
      <c r="B266" s="107"/>
      <c r="C266" s="93">
        <f t="shared" si="33"/>
        <v>6</v>
      </c>
      <c r="D266" s="93"/>
      <c r="E266" s="18" t="s">
        <v>212</v>
      </c>
      <c r="F266" s="94">
        <f>37.2*(10.764)</f>
        <v>400.42079999999999</v>
      </c>
      <c r="G266" s="95"/>
      <c r="H266" s="18">
        <v>0</v>
      </c>
      <c r="I266" s="18">
        <f t="shared" si="32"/>
        <v>620.65224000000001</v>
      </c>
    </row>
    <row r="267" spans="1:9" ht="20.25" x14ac:dyDescent="0.25">
      <c r="A267" s="98"/>
      <c r="B267" s="107"/>
      <c r="C267" s="93">
        <f t="shared" si="33"/>
        <v>7</v>
      </c>
      <c r="D267" s="93"/>
      <c r="E267" s="18" t="s">
        <v>212</v>
      </c>
      <c r="F267" s="94">
        <f>37.2*(10.764)</f>
        <v>400.42079999999999</v>
      </c>
      <c r="G267" s="95"/>
      <c r="H267" s="18">
        <v>0</v>
      </c>
      <c r="I267" s="18">
        <f t="shared" si="32"/>
        <v>620.65224000000001</v>
      </c>
    </row>
    <row r="268" spans="1:9" ht="20.25" x14ac:dyDescent="0.25">
      <c r="A268" s="100"/>
      <c r="B268" s="108"/>
      <c r="C268" s="93">
        <f t="shared" si="33"/>
        <v>8</v>
      </c>
      <c r="D268" s="93"/>
      <c r="E268" s="18" t="s">
        <v>211</v>
      </c>
      <c r="F268" s="94">
        <f>55.94*(10.764)</f>
        <v>602.13815999999997</v>
      </c>
      <c r="G268" s="95"/>
      <c r="H268" s="18">
        <v>0</v>
      </c>
      <c r="I268" s="18">
        <f t="shared" si="32"/>
        <v>933.31414799999993</v>
      </c>
    </row>
    <row r="269" spans="1:9" ht="20.25" x14ac:dyDescent="0.25">
      <c r="A269" s="109" t="s">
        <v>261</v>
      </c>
      <c r="B269" s="110"/>
      <c r="C269" s="110"/>
      <c r="D269" s="110"/>
      <c r="E269" s="110"/>
      <c r="F269" s="110"/>
      <c r="G269" s="110"/>
      <c r="H269" s="110"/>
      <c r="I269" s="112"/>
    </row>
    <row r="270" spans="1:9" ht="20.25" x14ac:dyDescent="0.25">
      <c r="A270" s="96" t="str">
        <f>A269</f>
        <v>8th, 15th &amp; 22nd Floor For Part Refuge Area</v>
      </c>
      <c r="B270" s="106"/>
      <c r="C270" s="93">
        <v>1</v>
      </c>
      <c r="D270" s="93"/>
      <c r="E270" s="18" t="s">
        <v>211</v>
      </c>
      <c r="F270" s="94">
        <f>55.94*(10.764)</f>
        <v>602.13815999999997</v>
      </c>
      <c r="G270" s="95"/>
      <c r="H270" s="18">
        <v>0</v>
      </c>
      <c r="I270" s="18">
        <f>F270*(($I$113)+1)+H270</f>
        <v>933.31414799999993</v>
      </c>
    </row>
    <row r="271" spans="1:9" ht="20.25" x14ac:dyDescent="0.25">
      <c r="A271" s="98"/>
      <c r="B271" s="107"/>
      <c r="C271" s="93">
        <f>C270+1</f>
        <v>2</v>
      </c>
      <c r="D271" s="93"/>
      <c r="E271" s="18" t="s">
        <v>212</v>
      </c>
      <c r="F271" s="94">
        <f>37.2*(10.764)</f>
        <v>400.42079999999999</v>
      </c>
      <c r="G271" s="95"/>
      <c r="H271" s="18">
        <v>0</v>
      </c>
      <c r="I271" s="18">
        <f>F271*(($I$113)+1)+H271</f>
        <v>620.65224000000001</v>
      </c>
    </row>
    <row r="272" spans="1:9" ht="20.25" x14ac:dyDescent="0.25">
      <c r="A272" s="98"/>
      <c r="B272" s="107"/>
      <c r="C272" s="93">
        <f t="shared" ref="C272:C277" si="34">C271+1</f>
        <v>3</v>
      </c>
      <c r="D272" s="93"/>
      <c r="E272" s="18" t="s">
        <v>212</v>
      </c>
      <c r="F272" s="94">
        <f>37.2*(10.764)</f>
        <v>400.42079999999999</v>
      </c>
      <c r="G272" s="95"/>
      <c r="H272" s="18">
        <v>0</v>
      </c>
      <c r="I272" s="18">
        <f>F272*(($I$113)+1)+H272</f>
        <v>620.65224000000001</v>
      </c>
    </row>
    <row r="273" spans="1:9" ht="20.25" x14ac:dyDescent="0.25">
      <c r="A273" s="98"/>
      <c r="B273" s="107"/>
      <c r="C273" s="93">
        <f t="shared" si="34"/>
        <v>4</v>
      </c>
      <c r="D273" s="93"/>
      <c r="E273" s="18" t="s">
        <v>211</v>
      </c>
      <c r="F273" s="94">
        <f>55.94*(10.764)</f>
        <v>602.13815999999997</v>
      </c>
      <c r="G273" s="95"/>
      <c r="H273" s="18">
        <v>0</v>
      </c>
      <c r="I273" s="18">
        <f>F273*(($I$113)+1)+H273</f>
        <v>933.31414799999993</v>
      </c>
    </row>
    <row r="274" spans="1:9" ht="20.25" x14ac:dyDescent="0.25">
      <c r="A274" s="98"/>
      <c r="B274" s="107"/>
      <c r="C274" s="93">
        <f t="shared" si="34"/>
        <v>5</v>
      </c>
      <c r="D274" s="93"/>
      <c r="E274" s="96" t="s">
        <v>213</v>
      </c>
      <c r="F274" s="97"/>
      <c r="G274" s="97"/>
      <c r="H274" s="97"/>
      <c r="I274" s="93" t="s">
        <v>110</v>
      </c>
    </row>
    <row r="275" spans="1:9" ht="20.25" x14ac:dyDescent="0.25">
      <c r="A275" s="98"/>
      <c r="B275" s="107"/>
      <c r="C275" s="93">
        <f t="shared" si="34"/>
        <v>6</v>
      </c>
      <c r="D275" s="93"/>
      <c r="E275" s="100"/>
      <c r="F275" s="101"/>
      <c r="G275" s="101"/>
      <c r="H275" s="101"/>
      <c r="I275" s="93"/>
    </row>
    <row r="276" spans="1:9" ht="20.25" x14ac:dyDescent="0.25">
      <c r="A276" s="98"/>
      <c r="B276" s="107"/>
      <c r="C276" s="93">
        <f t="shared" si="34"/>
        <v>7</v>
      </c>
      <c r="D276" s="93"/>
      <c r="E276" s="18" t="s">
        <v>212</v>
      </c>
      <c r="F276" s="94">
        <f>37.2*(10.764)</f>
        <v>400.42079999999999</v>
      </c>
      <c r="G276" s="95"/>
      <c r="H276" s="18">
        <v>0</v>
      </c>
      <c r="I276" s="18">
        <f>F276*(($I$113)+1)+H276</f>
        <v>620.65224000000001</v>
      </c>
    </row>
    <row r="277" spans="1:9" ht="20.25" x14ac:dyDescent="0.25">
      <c r="A277" s="100"/>
      <c r="B277" s="108"/>
      <c r="C277" s="93">
        <f t="shared" si="34"/>
        <v>8</v>
      </c>
      <c r="D277" s="93"/>
      <c r="E277" s="18" t="s">
        <v>211</v>
      </c>
      <c r="F277" s="94">
        <f>55.94*(10.764)</f>
        <v>602.13815999999997</v>
      </c>
      <c r="G277" s="95"/>
      <c r="H277" s="18">
        <v>0</v>
      </c>
      <c r="I277" s="18">
        <f>F277*(($I$113)+1)+H277</f>
        <v>933.31414799999993</v>
      </c>
    </row>
    <row r="278" spans="1:9" ht="20.25" x14ac:dyDescent="0.25">
      <c r="A278" s="109" t="s">
        <v>258</v>
      </c>
      <c r="B278" s="110"/>
      <c r="C278" s="110"/>
      <c r="D278" s="110"/>
      <c r="E278" s="110"/>
      <c r="F278" s="110"/>
      <c r="G278" s="110"/>
      <c r="H278" s="110"/>
      <c r="I278" s="112"/>
    </row>
    <row r="279" spans="1:9" ht="20.25" x14ac:dyDescent="0.25">
      <c r="A279" s="96" t="str">
        <f>A278</f>
        <v>29th Floor For Part Refuge Area</v>
      </c>
      <c r="B279" s="106"/>
      <c r="C279" s="93">
        <v>1</v>
      </c>
      <c r="D279" s="93"/>
      <c r="E279" s="18" t="s">
        <v>211</v>
      </c>
      <c r="F279" s="94">
        <f>55.94*(10.764)</f>
        <v>602.13815999999997</v>
      </c>
      <c r="G279" s="95"/>
      <c r="H279" s="18">
        <v>0</v>
      </c>
      <c r="I279" s="18">
        <f>F279*(($I$113)+1)+H279</f>
        <v>933.31414799999993</v>
      </c>
    </row>
    <row r="280" spans="1:9" ht="20.25" x14ac:dyDescent="0.25">
      <c r="A280" s="98"/>
      <c r="B280" s="107"/>
      <c r="C280" s="93">
        <f>C279+1</f>
        <v>2</v>
      </c>
      <c r="D280" s="93"/>
      <c r="E280" s="18" t="s">
        <v>212</v>
      </c>
      <c r="F280" s="94">
        <f>37.2*(10.764)</f>
        <v>400.42079999999999</v>
      </c>
      <c r="G280" s="95"/>
      <c r="H280" s="18">
        <v>0</v>
      </c>
      <c r="I280" s="18">
        <f>F280*(($I$113)+1)+H280</f>
        <v>620.65224000000001</v>
      </c>
    </row>
    <row r="281" spans="1:9" ht="20.25" x14ac:dyDescent="0.25">
      <c r="A281" s="98"/>
      <c r="B281" s="107"/>
      <c r="C281" s="93">
        <f t="shared" ref="C281:C286" si="35">C280+1</f>
        <v>3</v>
      </c>
      <c r="D281" s="93"/>
      <c r="E281" s="18" t="s">
        <v>212</v>
      </c>
      <c r="F281" s="94">
        <f>37.2*(10.764)</f>
        <v>400.42079999999999</v>
      </c>
      <c r="G281" s="95"/>
      <c r="H281" s="18">
        <v>0</v>
      </c>
      <c r="I281" s="18">
        <f>F281*(($I$113)+1)+H281</f>
        <v>620.65224000000001</v>
      </c>
    </row>
    <row r="282" spans="1:9" ht="20.25" x14ac:dyDescent="0.25">
      <c r="A282" s="98"/>
      <c r="B282" s="107"/>
      <c r="C282" s="93">
        <f t="shared" si="35"/>
        <v>4</v>
      </c>
      <c r="D282" s="93"/>
      <c r="E282" s="18" t="s">
        <v>211</v>
      </c>
      <c r="F282" s="94">
        <f>55.94*(10.764)</f>
        <v>602.13815999999997</v>
      </c>
      <c r="G282" s="95"/>
      <c r="H282" s="18">
        <v>0</v>
      </c>
      <c r="I282" s="18">
        <f>F282*(($I$113)+1)+H282</f>
        <v>933.31414799999993</v>
      </c>
    </row>
    <row r="283" spans="1:9" ht="20.25" x14ac:dyDescent="0.25">
      <c r="A283" s="98"/>
      <c r="B283" s="107"/>
      <c r="C283" s="93">
        <f t="shared" si="35"/>
        <v>5</v>
      </c>
      <c r="D283" s="93"/>
      <c r="E283" s="96" t="s">
        <v>213</v>
      </c>
      <c r="F283" s="97"/>
      <c r="G283" s="97"/>
      <c r="H283" s="97"/>
      <c r="I283" s="93" t="s">
        <v>110</v>
      </c>
    </row>
    <row r="284" spans="1:9" ht="20.25" x14ac:dyDescent="0.25">
      <c r="A284" s="98"/>
      <c r="B284" s="107"/>
      <c r="C284" s="93">
        <f t="shared" si="35"/>
        <v>6</v>
      </c>
      <c r="D284" s="93"/>
      <c r="E284" s="100"/>
      <c r="F284" s="101"/>
      <c r="G284" s="101"/>
      <c r="H284" s="101"/>
      <c r="I284" s="93"/>
    </row>
    <row r="285" spans="1:9" ht="20.25" x14ac:dyDescent="0.25">
      <c r="A285" s="98"/>
      <c r="B285" s="107"/>
      <c r="C285" s="93">
        <f t="shared" si="35"/>
        <v>7</v>
      </c>
      <c r="D285" s="93"/>
      <c r="E285" s="18" t="s">
        <v>212</v>
      </c>
      <c r="F285" s="94">
        <f>37.2*(10.764)</f>
        <v>400.42079999999999</v>
      </c>
      <c r="G285" s="95"/>
      <c r="H285" s="18">
        <v>0</v>
      </c>
      <c r="I285" s="18">
        <f>F285*(($I$113)+1)+H285</f>
        <v>620.65224000000001</v>
      </c>
    </row>
    <row r="286" spans="1:9" ht="20.25" x14ac:dyDescent="0.25">
      <c r="A286" s="100"/>
      <c r="B286" s="108"/>
      <c r="C286" s="93">
        <f t="shared" si="35"/>
        <v>8</v>
      </c>
      <c r="D286" s="93"/>
      <c r="E286" s="18" t="s">
        <v>211</v>
      </c>
      <c r="F286" s="94">
        <f>55.94*(10.764)</f>
        <v>602.13815999999997</v>
      </c>
      <c r="G286" s="95"/>
      <c r="H286" s="18">
        <v>0</v>
      </c>
      <c r="I286" s="18">
        <f>F286*(($I$113)+1)+H286</f>
        <v>933.31414799999993</v>
      </c>
    </row>
    <row r="287" spans="1:9" ht="20.25" x14ac:dyDescent="0.25">
      <c r="A287" s="109" t="s">
        <v>226</v>
      </c>
      <c r="B287" s="110"/>
      <c r="C287" s="110"/>
      <c r="D287" s="110"/>
      <c r="E287" s="110"/>
      <c r="F287" s="110"/>
      <c r="G287" s="110"/>
      <c r="H287" s="110"/>
      <c r="I287" s="112"/>
    </row>
    <row r="288" spans="1:9" ht="20.25" x14ac:dyDescent="0.25">
      <c r="A288" s="96" t="str">
        <f>A287</f>
        <v>30th to 35th &amp; 37th to 39th Floor</v>
      </c>
      <c r="B288" s="106"/>
      <c r="C288" s="93">
        <v>1</v>
      </c>
      <c r="D288" s="93"/>
      <c r="E288" s="18" t="s">
        <v>211</v>
      </c>
      <c r="F288" s="94">
        <f>(55.94+3.04*1.07)*(10.764)</f>
        <v>637.15129919999993</v>
      </c>
      <c r="G288" s="95"/>
      <c r="H288" s="18">
        <v>0</v>
      </c>
      <c r="I288" s="18">
        <f t="shared" ref="I288:I295" si="36">F288*(($I$113)+1)+H288</f>
        <v>987.58451375999994</v>
      </c>
    </row>
    <row r="289" spans="1:9" ht="20.25" x14ac:dyDescent="0.25">
      <c r="A289" s="98"/>
      <c r="B289" s="107"/>
      <c r="C289" s="93">
        <f>C288+1</f>
        <v>2</v>
      </c>
      <c r="D289" s="93"/>
      <c r="E289" s="18" t="s">
        <v>212</v>
      </c>
      <c r="F289" s="94">
        <f>(37.2+2.76*1.07)*(10.764)</f>
        <v>432.20904480000002</v>
      </c>
      <c r="G289" s="95"/>
      <c r="H289" s="18">
        <v>0</v>
      </c>
      <c r="I289" s="18">
        <f t="shared" si="36"/>
        <v>669.92401944000005</v>
      </c>
    </row>
    <row r="290" spans="1:9" ht="20.25" x14ac:dyDescent="0.25">
      <c r="A290" s="98"/>
      <c r="B290" s="107"/>
      <c r="C290" s="93">
        <f t="shared" ref="C290:C295" si="37">C289+1</f>
        <v>3</v>
      </c>
      <c r="D290" s="93"/>
      <c r="E290" s="18" t="s">
        <v>212</v>
      </c>
      <c r="F290" s="94">
        <f>(37.2+2.76*1.07)*(10.764)</f>
        <v>432.20904480000002</v>
      </c>
      <c r="G290" s="95"/>
      <c r="H290" s="18">
        <v>0</v>
      </c>
      <c r="I290" s="18">
        <f t="shared" si="36"/>
        <v>669.92401944000005</v>
      </c>
    </row>
    <row r="291" spans="1:9" ht="20.25" x14ac:dyDescent="0.25">
      <c r="A291" s="98"/>
      <c r="B291" s="107"/>
      <c r="C291" s="93">
        <f t="shared" si="37"/>
        <v>4</v>
      </c>
      <c r="D291" s="93"/>
      <c r="E291" s="18" t="s">
        <v>211</v>
      </c>
      <c r="F291" s="94">
        <f>(55.94+3.04*1.07)*(10.764)</f>
        <v>637.15129919999993</v>
      </c>
      <c r="G291" s="95"/>
      <c r="H291" s="18">
        <v>0</v>
      </c>
      <c r="I291" s="18">
        <f t="shared" si="36"/>
        <v>987.58451375999994</v>
      </c>
    </row>
    <row r="292" spans="1:9" ht="20.25" x14ac:dyDescent="0.25">
      <c r="A292" s="98"/>
      <c r="B292" s="107"/>
      <c r="C292" s="93">
        <f t="shared" si="37"/>
        <v>5</v>
      </c>
      <c r="D292" s="93"/>
      <c r="E292" s="18" t="s">
        <v>211</v>
      </c>
      <c r="F292" s="94">
        <f>(55.94+3.04*1.07)*(10.764)</f>
        <v>637.15129919999993</v>
      </c>
      <c r="G292" s="95"/>
      <c r="H292" s="18">
        <v>0</v>
      </c>
      <c r="I292" s="18">
        <f t="shared" si="36"/>
        <v>987.58451375999994</v>
      </c>
    </row>
    <row r="293" spans="1:9" ht="20.25" x14ac:dyDescent="0.25">
      <c r="A293" s="98"/>
      <c r="B293" s="107"/>
      <c r="C293" s="93">
        <f t="shared" si="37"/>
        <v>6</v>
      </c>
      <c r="D293" s="93"/>
      <c r="E293" s="18" t="s">
        <v>212</v>
      </c>
      <c r="F293" s="94">
        <f t="shared" ref="F293:F294" si="38">(37.2+2.76*1.07)*(10.764)</f>
        <v>432.20904480000002</v>
      </c>
      <c r="G293" s="95"/>
      <c r="H293" s="18">
        <v>0</v>
      </c>
      <c r="I293" s="18">
        <f t="shared" si="36"/>
        <v>669.92401944000005</v>
      </c>
    </row>
    <row r="294" spans="1:9" ht="20.25" x14ac:dyDescent="0.25">
      <c r="A294" s="98"/>
      <c r="B294" s="107"/>
      <c r="C294" s="93">
        <f t="shared" si="37"/>
        <v>7</v>
      </c>
      <c r="D294" s="93"/>
      <c r="E294" s="18" t="s">
        <v>212</v>
      </c>
      <c r="F294" s="94">
        <f t="shared" si="38"/>
        <v>432.20904480000002</v>
      </c>
      <c r="G294" s="95"/>
      <c r="H294" s="18">
        <v>0</v>
      </c>
      <c r="I294" s="18">
        <f t="shared" si="36"/>
        <v>669.92401944000005</v>
      </c>
    </row>
    <row r="295" spans="1:9" ht="20.25" x14ac:dyDescent="0.25">
      <c r="A295" s="100"/>
      <c r="B295" s="108"/>
      <c r="C295" s="93">
        <f t="shared" si="37"/>
        <v>8</v>
      </c>
      <c r="D295" s="93"/>
      <c r="E295" s="18" t="s">
        <v>211</v>
      </c>
      <c r="F295" s="94">
        <f>(55.94+3.04*1.07)*(10.764)</f>
        <v>637.15129919999993</v>
      </c>
      <c r="G295" s="95"/>
      <c r="H295" s="18">
        <v>0</v>
      </c>
      <c r="I295" s="18">
        <f t="shared" si="36"/>
        <v>987.58451375999994</v>
      </c>
    </row>
    <row r="296" spans="1:9" ht="20.25" x14ac:dyDescent="0.25">
      <c r="A296" s="109" t="s">
        <v>257</v>
      </c>
      <c r="B296" s="110"/>
      <c r="C296" s="110"/>
      <c r="D296" s="110"/>
      <c r="E296" s="110"/>
      <c r="F296" s="110"/>
      <c r="G296" s="110"/>
      <c r="H296" s="110"/>
      <c r="I296" s="112"/>
    </row>
    <row r="297" spans="1:9" ht="20.25" x14ac:dyDescent="0.25">
      <c r="A297" s="96" t="str">
        <f>A296</f>
        <v>36th Floor For Part Refuge Area</v>
      </c>
      <c r="B297" s="106"/>
      <c r="C297" s="93">
        <v>1</v>
      </c>
      <c r="D297" s="93"/>
      <c r="E297" s="18" t="s">
        <v>211</v>
      </c>
      <c r="F297" s="94">
        <f>(55.94+3.04*1.07)*(10.764)</f>
        <v>637.15129919999993</v>
      </c>
      <c r="G297" s="95"/>
      <c r="H297" s="18">
        <v>0</v>
      </c>
      <c r="I297" s="18">
        <f>F297*(($I$113)+1)+H297</f>
        <v>987.58451375999994</v>
      </c>
    </row>
    <row r="298" spans="1:9" ht="20.25" x14ac:dyDescent="0.25">
      <c r="A298" s="98"/>
      <c r="B298" s="107"/>
      <c r="C298" s="93">
        <f>C297+1</f>
        <v>2</v>
      </c>
      <c r="D298" s="93"/>
      <c r="E298" s="18" t="s">
        <v>212</v>
      </c>
      <c r="F298" s="94">
        <f>(37.2+2.76*1.07)*(10.764)</f>
        <v>432.20904480000002</v>
      </c>
      <c r="G298" s="95"/>
      <c r="H298" s="18">
        <v>0</v>
      </c>
      <c r="I298" s="18">
        <f>F298*(($I$113)+1)+H298</f>
        <v>669.92401944000005</v>
      </c>
    </row>
    <row r="299" spans="1:9" ht="20.25" x14ac:dyDescent="0.25">
      <c r="A299" s="98"/>
      <c r="B299" s="107"/>
      <c r="C299" s="93">
        <f t="shared" ref="C299:C304" si="39">C298+1</f>
        <v>3</v>
      </c>
      <c r="D299" s="93"/>
      <c r="E299" s="18" t="s">
        <v>212</v>
      </c>
      <c r="F299" s="94">
        <f>(37.2+2.76*1.07)*(10.764)</f>
        <v>432.20904480000002</v>
      </c>
      <c r="G299" s="95"/>
      <c r="H299" s="18">
        <v>0</v>
      </c>
      <c r="I299" s="18">
        <f>F299*(($I$113)+1)+H299</f>
        <v>669.92401944000005</v>
      </c>
    </row>
    <row r="300" spans="1:9" ht="20.25" x14ac:dyDescent="0.25">
      <c r="A300" s="98"/>
      <c r="B300" s="107"/>
      <c r="C300" s="93">
        <f t="shared" si="39"/>
        <v>4</v>
      </c>
      <c r="D300" s="93"/>
      <c r="E300" s="18" t="s">
        <v>211</v>
      </c>
      <c r="F300" s="94">
        <f>(55.94+3.04*1.07)*(10.764)</f>
        <v>637.15129919999993</v>
      </c>
      <c r="G300" s="95"/>
      <c r="H300" s="18">
        <v>0</v>
      </c>
      <c r="I300" s="18">
        <f>F300*(($I$113)+1)+H300</f>
        <v>987.58451375999994</v>
      </c>
    </row>
    <row r="301" spans="1:9" ht="20.25" x14ac:dyDescent="0.25">
      <c r="A301" s="98"/>
      <c r="B301" s="107"/>
      <c r="C301" s="93">
        <f t="shared" si="39"/>
        <v>5</v>
      </c>
      <c r="D301" s="93"/>
      <c r="E301" s="94" t="s">
        <v>213</v>
      </c>
      <c r="F301" s="102"/>
      <c r="G301" s="102"/>
      <c r="H301" s="102"/>
      <c r="I301" s="18" t="s">
        <v>110</v>
      </c>
    </row>
    <row r="302" spans="1:9" ht="20.25" x14ac:dyDescent="0.25">
      <c r="A302" s="98"/>
      <c r="B302" s="107"/>
      <c r="C302" s="93">
        <f t="shared" si="39"/>
        <v>6</v>
      </c>
      <c r="D302" s="93"/>
      <c r="E302" s="18" t="s">
        <v>212</v>
      </c>
      <c r="F302" s="94">
        <f t="shared" ref="F302:F303" si="40">(37.2+2.76*1.07)*(10.764)</f>
        <v>432.20904480000002</v>
      </c>
      <c r="G302" s="95"/>
      <c r="H302" s="18">
        <v>0</v>
      </c>
      <c r="I302" s="18">
        <f>F302*(($I$113)+1)+H302</f>
        <v>669.92401944000005</v>
      </c>
    </row>
    <row r="303" spans="1:9" ht="20.25" x14ac:dyDescent="0.25">
      <c r="A303" s="98"/>
      <c r="B303" s="107"/>
      <c r="C303" s="93">
        <f t="shared" si="39"/>
        <v>7</v>
      </c>
      <c r="D303" s="93"/>
      <c r="E303" s="18" t="s">
        <v>212</v>
      </c>
      <c r="F303" s="94">
        <f t="shared" si="40"/>
        <v>432.20904480000002</v>
      </c>
      <c r="G303" s="95"/>
      <c r="H303" s="18">
        <v>0</v>
      </c>
      <c r="I303" s="18">
        <f>F303*(($I$113)+1)+H303</f>
        <v>669.92401944000005</v>
      </c>
    </row>
    <row r="304" spans="1:9" ht="20.25" x14ac:dyDescent="0.25">
      <c r="A304" s="100"/>
      <c r="B304" s="108"/>
      <c r="C304" s="93">
        <f t="shared" si="39"/>
        <v>8</v>
      </c>
      <c r="D304" s="93"/>
      <c r="E304" s="18" t="s">
        <v>211</v>
      </c>
      <c r="F304" s="94">
        <f>(55.94+3.04*1.07)*(10.764)</f>
        <v>637.15129919999993</v>
      </c>
      <c r="G304" s="95"/>
      <c r="H304" s="18">
        <v>0</v>
      </c>
      <c r="I304" s="18">
        <f>F304*(($I$113)+1)+H304</f>
        <v>987.58451375999994</v>
      </c>
    </row>
    <row r="305" spans="1:10" ht="20.25" x14ac:dyDescent="0.25">
      <c r="A305" s="120" t="s">
        <v>71</v>
      </c>
      <c r="B305" s="120"/>
      <c r="C305" s="120"/>
      <c r="D305" s="120"/>
      <c r="E305" s="120"/>
      <c r="F305" s="120"/>
      <c r="G305" s="120"/>
      <c r="H305" s="120"/>
      <c r="I305" s="120"/>
    </row>
    <row r="306" spans="1:10" ht="273" customHeight="1" x14ac:dyDescent="0.25">
      <c r="A306" s="9" t="s">
        <v>79</v>
      </c>
      <c r="B306" s="11" t="s">
        <v>4</v>
      </c>
      <c r="C306" s="116" t="s">
        <v>283</v>
      </c>
      <c r="D306" s="116"/>
      <c r="E306" s="116"/>
      <c r="F306" s="116"/>
      <c r="G306" s="116"/>
      <c r="H306" s="116"/>
      <c r="I306" s="116"/>
      <c r="J306" s="1" t="s">
        <v>259</v>
      </c>
    </row>
    <row r="307" spans="1:10" ht="20.25" x14ac:dyDescent="0.25">
      <c r="A307" s="147" t="s">
        <v>80</v>
      </c>
      <c r="B307" s="147"/>
      <c r="C307" s="147"/>
      <c r="D307" s="147"/>
      <c r="E307" s="147"/>
      <c r="F307" s="147"/>
      <c r="G307" s="147"/>
      <c r="H307" s="147"/>
      <c r="I307" s="147"/>
    </row>
    <row r="308" spans="1:10" ht="20.25" x14ac:dyDescent="0.25">
      <c r="A308" s="69" t="s">
        <v>72</v>
      </c>
      <c r="B308" s="69"/>
      <c r="C308" s="69"/>
      <c r="D308" s="2" t="s">
        <v>4</v>
      </c>
      <c r="E308" s="87" t="str">
        <f>E3</f>
        <v>Ashford Crosstown</v>
      </c>
      <c r="F308" s="123"/>
      <c r="G308" s="123"/>
      <c r="H308" s="123"/>
      <c r="I308" s="88"/>
    </row>
    <row r="309" spans="1:10" ht="42" customHeight="1" x14ac:dyDescent="0.25">
      <c r="A309" s="69" t="s">
        <v>132</v>
      </c>
      <c r="B309" s="69"/>
      <c r="C309" s="69"/>
      <c r="D309" s="2" t="s">
        <v>4</v>
      </c>
      <c r="E309" s="87" t="str">
        <f>E10</f>
        <v>Ashford Crosstown, Bhandup Village Rd, Nahur, Industrial Area, Bhandup West, Mumbai, Maharashtra 400078</v>
      </c>
      <c r="F309" s="123"/>
      <c r="G309" s="123"/>
      <c r="H309" s="123"/>
      <c r="I309" s="88"/>
    </row>
    <row r="310" spans="1:10" ht="20.25" x14ac:dyDescent="0.25">
      <c r="A310" s="160" t="s">
        <v>138</v>
      </c>
      <c r="B310" s="160"/>
      <c r="C310" s="160"/>
      <c r="D310" s="15" t="s">
        <v>4</v>
      </c>
      <c r="E310" s="135" t="str">
        <f>I3</f>
        <v>05/08/2025 @01:25 PM</v>
      </c>
      <c r="F310" s="123"/>
      <c r="G310" s="123"/>
      <c r="H310" s="123"/>
      <c r="I310" s="88"/>
    </row>
    <row r="311" spans="1:10" ht="20.25" x14ac:dyDescent="0.25">
      <c r="A311" s="26"/>
      <c r="B311" s="27"/>
      <c r="C311" s="27"/>
      <c r="D311" s="27"/>
      <c r="E311" s="27"/>
      <c r="F311" s="27"/>
      <c r="G311" s="27"/>
      <c r="H311" s="27"/>
      <c r="I311" s="22"/>
    </row>
    <row r="312" spans="1:10" ht="20.25" x14ac:dyDescent="0.25">
      <c r="A312" s="28"/>
      <c r="B312" s="29"/>
      <c r="C312" s="29"/>
      <c r="D312" s="29"/>
      <c r="E312" s="29"/>
      <c r="F312" s="29"/>
      <c r="G312" s="29"/>
      <c r="H312" s="29"/>
      <c r="I312" s="23"/>
    </row>
    <row r="313" spans="1:10" ht="20.25" x14ac:dyDescent="0.25">
      <c r="A313" s="28"/>
      <c r="B313" s="29"/>
      <c r="C313" s="29"/>
      <c r="D313" s="29"/>
      <c r="E313" s="29"/>
      <c r="F313" s="29"/>
      <c r="G313" s="29"/>
      <c r="H313" s="29"/>
      <c r="I313" s="23"/>
    </row>
    <row r="314" spans="1:10" ht="20.25" x14ac:dyDescent="0.25">
      <c r="A314" s="28"/>
      <c r="B314" s="29"/>
      <c r="C314" s="29"/>
      <c r="D314" s="29"/>
      <c r="E314" s="29"/>
      <c r="F314" s="29"/>
      <c r="G314" s="29"/>
      <c r="H314" s="29"/>
      <c r="I314" s="23"/>
    </row>
    <row r="315" spans="1:10" ht="20.25" x14ac:dyDescent="0.25">
      <c r="A315" s="28"/>
      <c r="B315" s="29"/>
      <c r="C315" s="29"/>
      <c r="D315" s="29"/>
      <c r="E315" s="29"/>
      <c r="F315" s="29"/>
      <c r="G315" s="29"/>
      <c r="H315" s="29"/>
      <c r="I315" s="23"/>
    </row>
    <row r="316" spans="1:10" ht="20.25" x14ac:dyDescent="0.25">
      <c r="A316" s="28"/>
      <c r="B316" s="29"/>
      <c r="C316" s="29"/>
      <c r="D316" s="29"/>
      <c r="E316" s="29"/>
      <c r="F316" s="29"/>
      <c r="G316" s="29"/>
      <c r="H316" s="29"/>
      <c r="I316" s="23"/>
    </row>
    <row r="317" spans="1:10" ht="20.25" x14ac:dyDescent="0.25">
      <c r="A317" s="28"/>
      <c r="B317" s="29"/>
      <c r="C317" s="29"/>
      <c r="D317" s="29"/>
      <c r="E317" s="29"/>
      <c r="F317" s="29"/>
      <c r="G317" s="29"/>
      <c r="H317" s="29"/>
      <c r="I317" s="23"/>
    </row>
    <row r="318" spans="1:10" ht="20.25" x14ac:dyDescent="0.25">
      <c r="A318" s="28"/>
      <c r="B318" s="29"/>
      <c r="C318" s="29"/>
      <c r="D318" s="29"/>
      <c r="E318" s="29"/>
      <c r="F318" s="29"/>
      <c r="G318" s="29"/>
      <c r="H318" s="29"/>
      <c r="I318" s="23"/>
    </row>
    <row r="319" spans="1:10" ht="20.25" x14ac:dyDescent="0.25">
      <c r="A319" s="28"/>
      <c r="B319" s="29"/>
      <c r="C319" s="29"/>
      <c r="D319" s="29"/>
      <c r="E319" s="29"/>
      <c r="F319" s="29"/>
      <c r="G319" s="29"/>
      <c r="H319" s="29"/>
      <c r="I319" s="23"/>
    </row>
    <row r="320" spans="1:10" ht="20.25" x14ac:dyDescent="0.25">
      <c r="A320" s="28"/>
      <c r="B320" s="29"/>
      <c r="C320" s="29"/>
      <c r="D320" s="29"/>
      <c r="E320" s="29"/>
      <c r="F320" s="29"/>
      <c r="G320" s="29"/>
      <c r="H320" s="29"/>
      <c r="I320" s="23"/>
    </row>
    <row r="321" spans="1:9" ht="20.25" x14ac:dyDescent="0.25">
      <c r="A321" s="28"/>
      <c r="B321" s="29"/>
      <c r="C321" s="29"/>
      <c r="D321" s="29"/>
      <c r="E321" s="29"/>
      <c r="F321" s="29"/>
      <c r="G321" s="29"/>
      <c r="H321" s="29"/>
      <c r="I321" s="23"/>
    </row>
    <row r="322" spans="1:9" ht="20.25" x14ac:dyDescent="0.25">
      <c r="A322" s="28"/>
      <c r="B322" s="29"/>
      <c r="C322" s="29"/>
      <c r="D322" s="29"/>
      <c r="E322" s="29"/>
      <c r="F322" s="29"/>
      <c r="G322" s="29"/>
      <c r="H322" s="29"/>
      <c r="I322" s="23"/>
    </row>
    <row r="323" spans="1:9" ht="20.25" x14ac:dyDescent="0.25">
      <c r="A323" s="28"/>
      <c r="B323" s="29"/>
      <c r="C323" s="29"/>
      <c r="D323" s="29"/>
      <c r="E323" s="29"/>
      <c r="F323" s="29"/>
      <c r="G323" s="29"/>
      <c r="H323" s="29"/>
      <c r="I323" s="23"/>
    </row>
    <row r="324" spans="1:9" ht="29.25" customHeight="1" x14ac:dyDescent="0.25">
      <c r="A324" s="28"/>
      <c r="B324" s="29"/>
      <c r="C324" s="29"/>
      <c r="D324" s="29"/>
      <c r="E324" s="29"/>
      <c r="F324" s="29"/>
      <c r="G324" s="29"/>
      <c r="H324" s="29"/>
      <c r="I324" s="23"/>
    </row>
    <row r="325" spans="1:9" ht="20.25" x14ac:dyDescent="0.25">
      <c r="A325" s="28"/>
      <c r="B325" s="29"/>
      <c r="C325" s="29"/>
      <c r="D325" s="29"/>
      <c r="E325" s="29"/>
      <c r="F325" s="29"/>
      <c r="G325" s="29"/>
      <c r="H325" s="29"/>
      <c r="I325" s="23"/>
    </row>
    <row r="326" spans="1:9" ht="20.25" x14ac:dyDescent="0.25">
      <c r="A326" s="28"/>
      <c r="B326" s="29"/>
      <c r="C326" s="29"/>
      <c r="D326" s="29"/>
      <c r="E326" s="29"/>
      <c r="F326" s="29"/>
      <c r="G326" s="29"/>
      <c r="H326" s="29"/>
      <c r="I326" s="23"/>
    </row>
    <row r="327" spans="1:9" ht="20.25" x14ac:dyDescent="0.25">
      <c r="A327" s="28"/>
      <c r="B327" s="29"/>
      <c r="C327" s="29"/>
      <c r="D327" s="29"/>
      <c r="E327" s="29"/>
      <c r="F327" s="29"/>
      <c r="G327" s="29"/>
      <c r="H327" s="29"/>
      <c r="I327" s="23"/>
    </row>
    <row r="328" spans="1:9" ht="20.25" x14ac:dyDescent="0.25">
      <c r="A328" s="28"/>
      <c r="B328" s="29"/>
      <c r="C328" s="29"/>
      <c r="D328" s="29"/>
      <c r="E328" s="29"/>
      <c r="F328" s="29"/>
      <c r="G328" s="29"/>
      <c r="H328" s="29"/>
      <c r="I328" s="23"/>
    </row>
    <row r="329" spans="1:9" ht="20.25" x14ac:dyDescent="0.25">
      <c r="A329" s="28"/>
      <c r="B329" s="29"/>
      <c r="C329" s="29"/>
      <c r="D329" s="29"/>
      <c r="E329" s="29"/>
      <c r="F329" s="29"/>
      <c r="G329" s="29"/>
      <c r="H329" s="29"/>
      <c r="I329" s="23"/>
    </row>
    <row r="330" spans="1:9" ht="20.25" x14ac:dyDescent="0.25">
      <c r="A330" s="28"/>
      <c r="B330" s="29"/>
      <c r="C330" s="29"/>
      <c r="D330" s="29"/>
      <c r="E330" s="29"/>
      <c r="F330" s="29"/>
      <c r="G330" s="29"/>
      <c r="H330" s="29"/>
      <c r="I330" s="23"/>
    </row>
    <row r="331" spans="1:9" ht="20.25" x14ac:dyDescent="0.25">
      <c r="A331" s="28"/>
      <c r="B331" s="29"/>
      <c r="C331" s="29"/>
      <c r="D331" s="29"/>
      <c r="E331" s="29"/>
      <c r="F331" s="29"/>
      <c r="G331" s="29"/>
      <c r="H331" s="29"/>
      <c r="I331" s="23"/>
    </row>
    <row r="332" spans="1:9" ht="20.25" x14ac:dyDescent="0.25">
      <c r="A332" s="28"/>
      <c r="B332" s="29"/>
      <c r="C332" s="29"/>
      <c r="D332" s="29"/>
      <c r="E332" s="29"/>
      <c r="F332" s="29"/>
      <c r="G332" s="29"/>
      <c r="H332" s="29"/>
      <c r="I332" s="23"/>
    </row>
    <row r="333" spans="1:9" ht="20.25" x14ac:dyDescent="0.25">
      <c r="A333" s="28"/>
      <c r="B333" s="29"/>
      <c r="C333" s="29"/>
      <c r="D333" s="29"/>
      <c r="E333" s="29"/>
      <c r="F333" s="29"/>
      <c r="G333" s="29"/>
      <c r="H333" s="29"/>
      <c r="I333" s="23"/>
    </row>
    <row r="334" spans="1:9" ht="20.25" x14ac:dyDescent="0.25">
      <c r="A334" s="28"/>
      <c r="B334" s="29"/>
      <c r="C334" s="29"/>
      <c r="D334" s="29"/>
      <c r="E334" s="29"/>
      <c r="F334" s="29"/>
      <c r="G334" s="29"/>
      <c r="H334" s="29"/>
      <c r="I334" s="23"/>
    </row>
    <row r="335" spans="1:9" ht="20.25" x14ac:dyDescent="0.25">
      <c r="A335" s="28"/>
      <c r="B335" s="29"/>
      <c r="C335" s="29"/>
      <c r="D335" s="29"/>
      <c r="E335" s="29"/>
      <c r="F335" s="29"/>
      <c r="G335" s="29"/>
      <c r="H335" s="29"/>
      <c r="I335" s="23"/>
    </row>
    <row r="336" spans="1:9" ht="20.25" x14ac:dyDescent="0.25">
      <c r="A336" s="28"/>
      <c r="B336" s="29"/>
      <c r="C336" s="29"/>
      <c r="D336" s="29"/>
      <c r="E336" s="29"/>
      <c r="F336" s="29"/>
      <c r="G336" s="29"/>
      <c r="H336" s="29"/>
      <c r="I336" s="23"/>
    </row>
    <row r="337" spans="1:9" ht="20.25" x14ac:dyDescent="0.25">
      <c r="A337" s="28"/>
      <c r="B337" s="29"/>
      <c r="C337" s="29"/>
      <c r="D337" s="29"/>
      <c r="E337" s="29"/>
      <c r="F337" s="29"/>
      <c r="G337" s="29"/>
      <c r="H337" s="29"/>
      <c r="I337" s="23"/>
    </row>
    <row r="338" spans="1:9" ht="20.25" x14ac:dyDescent="0.25">
      <c r="A338" s="28"/>
      <c r="B338" s="29"/>
      <c r="C338" s="29"/>
      <c r="D338" s="29"/>
      <c r="E338" s="29"/>
      <c r="F338" s="29"/>
      <c r="G338" s="29"/>
      <c r="H338" s="29"/>
      <c r="I338" s="23"/>
    </row>
    <row r="339" spans="1:9" ht="20.25" x14ac:dyDescent="0.25">
      <c r="A339" s="28"/>
      <c r="B339" s="29"/>
      <c r="C339" s="29"/>
      <c r="D339" s="29"/>
      <c r="E339" s="29"/>
      <c r="F339" s="29"/>
      <c r="G339" s="29"/>
      <c r="H339" s="29"/>
      <c r="I339" s="23"/>
    </row>
    <row r="340" spans="1:9" ht="20.25" x14ac:dyDescent="0.25">
      <c r="A340" s="28"/>
      <c r="B340" s="29"/>
      <c r="C340" s="29"/>
      <c r="D340" s="29"/>
      <c r="E340" s="29"/>
      <c r="F340" s="29"/>
      <c r="G340" s="29"/>
      <c r="H340" s="29"/>
      <c r="I340" s="23"/>
    </row>
    <row r="341" spans="1:9" ht="20.25" x14ac:dyDescent="0.25">
      <c r="A341" s="28"/>
      <c r="B341" s="29"/>
      <c r="C341" s="29"/>
      <c r="D341" s="29"/>
      <c r="E341" s="29"/>
      <c r="F341" s="29"/>
      <c r="G341" s="29"/>
      <c r="H341" s="29"/>
      <c r="I341" s="23"/>
    </row>
    <row r="342" spans="1:9" ht="20.25" x14ac:dyDescent="0.25">
      <c r="A342" s="28"/>
      <c r="B342" s="29"/>
      <c r="C342" s="29"/>
      <c r="D342" s="29"/>
      <c r="E342" s="29"/>
      <c r="F342" s="29"/>
      <c r="G342" s="29"/>
      <c r="H342" s="29"/>
      <c r="I342" s="23"/>
    </row>
    <row r="343" spans="1:9" ht="20.25" x14ac:dyDescent="0.25">
      <c r="A343" s="28"/>
      <c r="B343" s="29"/>
      <c r="C343" s="29"/>
      <c r="D343" s="29"/>
      <c r="E343" s="29"/>
      <c r="F343" s="29"/>
      <c r="G343" s="29"/>
      <c r="H343" s="29"/>
      <c r="I343" s="23"/>
    </row>
    <row r="344" spans="1:9" ht="20.25" x14ac:dyDescent="0.25">
      <c r="A344" s="28"/>
      <c r="B344" s="29"/>
      <c r="C344" s="29"/>
      <c r="D344" s="29"/>
      <c r="E344" s="29"/>
      <c r="F344" s="29"/>
      <c r="G344" s="29"/>
      <c r="H344" s="29"/>
      <c r="I344" s="23"/>
    </row>
    <row r="345" spans="1:9" ht="20.25" x14ac:dyDescent="0.25">
      <c r="A345" s="28"/>
      <c r="B345" s="29"/>
      <c r="C345" s="29"/>
      <c r="D345" s="29"/>
      <c r="E345" s="29"/>
      <c r="F345" s="29"/>
      <c r="G345" s="29"/>
      <c r="H345" s="29"/>
      <c r="I345" s="23"/>
    </row>
    <row r="346" spans="1:9" ht="20.25" x14ac:dyDescent="0.25">
      <c r="A346" s="28"/>
      <c r="B346" s="29"/>
      <c r="C346" s="29"/>
      <c r="D346" s="29"/>
      <c r="E346" s="29"/>
      <c r="F346" s="29"/>
      <c r="G346" s="29"/>
      <c r="H346" s="29"/>
      <c r="I346" s="23"/>
    </row>
    <row r="347" spans="1:9" ht="20.25" x14ac:dyDescent="0.25">
      <c r="A347" s="28"/>
      <c r="B347" s="29"/>
      <c r="C347" s="29"/>
      <c r="D347" s="29"/>
      <c r="E347" s="29"/>
      <c r="F347" s="29"/>
      <c r="G347" s="29"/>
      <c r="H347" s="29"/>
      <c r="I347" s="23"/>
    </row>
    <row r="348" spans="1:9" ht="20.25" x14ac:dyDescent="0.25">
      <c r="A348" s="28"/>
      <c r="B348" s="29"/>
      <c r="C348" s="29"/>
      <c r="D348" s="29"/>
      <c r="E348" s="29"/>
      <c r="F348" s="29"/>
      <c r="G348" s="29"/>
      <c r="H348" s="29"/>
      <c r="I348" s="23"/>
    </row>
    <row r="349" spans="1:9" ht="20.25" hidden="1" x14ac:dyDescent="0.25">
      <c r="A349" s="28"/>
      <c r="B349" s="29"/>
      <c r="C349" s="29"/>
      <c r="D349" s="29"/>
      <c r="E349" s="29"/>
      <c r="F349" s="29"/>
      <c r="G349" s="29"/>
      <c r="H349" s="29"/>
      <c r="I349" s="23"/>
    </row>
    <row r="350" spans="1:9" ht="20.25" hidden="1" x14ac:dyDescent="0.25">
      <c r="A350" s="28"/>
      <c r="B350" s="29"/>
      <c r="C350" s="29"/>
      <c r="D350" s="29"/>
      <c r="E350" s="29"/>
      <c r="F350" s="29"/>
      <c r="G350" s="29"/>
      <c r="H350" s="29"/>
      <c r="I350" s="23"/>
    </row>
    <row r="351" spans="1:9" ht="20.25" hidden="1" x14ac:dyDescent="0.25">
      <c r="A351" s="28"/>
      <c r="B351" s="29"/>
      <c r="C351" s="29"/>
      <c r="D351" s="29"/>
      <c r="E351" s="29"/>
      <c r="F351" s="29"/>
      <c r="G351" s="29"/>
      <c r="H351" s="29"/>
      <c r="I351" s="23"/>
    </row>
    <row r="352" spans="1:9" ht="20.25" hidden="1" x14ac:dyDescent="0.25">
      <c r="A352" s="28"/>
      <c r="B352" s="29"/>
      <c r="C352" s="29"/>
      <c r="D352" s="29"/>
      <c r="E352" s="29"/>
      <c r="F352" s="29"/>
      <c r="G352" s="29"/>
      <c r="H352" s="29"/>
      <c r="I352" s="23"/>
    </row>
    <row r="353" spans="1:9" ht="20.25" hidden="1" x14ac:dyDescent="0.25">
      <c r="A353" s="28"/>
      <c r="B353" s="29"/>
      <c r="C353" s="29"/>
      <c r="D353" s="29"/>
      <c r="E353" s="29"/>
      <c r="F353" s="29"/>
      <c r="G353" s="29"/>
      <c r="H353" s="29"/>
      <c r="I353" s="23"/>
    </row>
    <row r="354" spans="1:9" ht="20.25" hidden="1" x14ac:dyDescent="0.25">
      <c r="A354" s="28"/>
      <c r="B354" s="29"/>
      <c r="C354" s="29"/>
      <c r="D354" s="29"/>
      <c r="E354" s="29"/>
      <c r="F354" s="29"/>
      <c r="G354" s="29"/>
      <c r="H354" s="29"/>
      <c r="I354" s="23"/>
    </row>
    <row r="355" spans="1:9" ht="20.25" hidden="1" x14ac:dyDescent="0.25">
      <c r="A355" s="28"/>
      <c r="B355" s="29"/>
      <c r="C355" s="29"/>
      <c r="D355" s="29"/>
      <c r="E355" s="29"/>
      <c r="F355" s="29"/>
      <c r="G355" s="29"/>
      <c r="H355" s="29"/>
      <c r="I355" s="23"/>
    </row>
    <row r="356" spans="1:9" ht="20.25" hidden="1" x14ac:dyDescent="0.25">
      <c r="A356" s="28"/>
      <c r="B356" s="29"/>
      <c r="C356" s="29"/>
      <c r="D356" s="29"/>
      <c r="E356" s="29"/>
      <c r="F356" s="29"/>
      <c r="G356" s="29"/>
      <c r="H356" s="29"/>
      <c r="I356" s="23"/>
    </row>
    <row r="357" spans="1:9" ht="20.25" hidden="1" x14ac:dyDescent="0.25">
      <c r="A357" s="28"/>
      <c r="B357" s="29"/>
      <c r="C357" s="29"/>
      <c r="D357" s="29"/>
      <c r="E357" s="29"/>
      <c r="F357" s="29"/>
      <c r="G357" s="29"/>
      <c r="H357" s="29"/>
      <c r="I357" s="23"/>
    </row>
    <row r="358" spans="1:9" ht="20.25" hidden="1" x14ac:dyDescent="0.25">
      <c r="A358" s="28"/>
      <c r="B358" s="29"/>
      <c r="C358" s="29"/>
      <c r="D358" s="29"/>
      <c r="E358" s="29"/>
      <c r="F358" s="29"/>
      <c r="G358" s="29"/>
      <c r="H358" s="29"/>
      <c r="I358" s="23"/>
    </row>
    <row r="359" spans="1:9" ht="20.25" x14ac:dyDescent="0.25">
      <c r="A359" s="28"/>
      <c r="B359" s="29"/>
      <c r="C359" s="29"/>
      <c r="D359" s="29"/>
      <c r="E359" s="29"/>
      <c r="F359" s="29"/>
      <c r="G359" s="29"/>
      <c r="H359" s="29"/>
      <c r="I359" s="23"/>
    </row>
    <row r="360" spans="1:9" ht="26.25" customHeight="1" x14ac:dyDescent="0.25">
      <c r="A360" s="157" t="s">
        <v>219</v>
      </c>
      <c r="B360" s="158"/>
      <c r="C360" s="158"/>
      <c r="D360" s="158"/>
      <c r="E360" s="158"/>
      <c r="F360" s="158"/>
      <c r="G360" s="158"/>
      <c r="H360" s="158"/>
      <c r="I360" s="159"/>
    </row>
    <row r="361" spans="1:9" ht="17.100000000000001" customHeight="1" x14ac:dyDescent="0.25">
      <c r="A361" s="26"/>
      <c r="B361" s="27"/>
      <c r="C361" s="27"/>
      <c r="D361" s="27"/>
      <c r="E361" s="27"/>
      <c r="F361" s="27"/>
      <c r="G361" s="27"/>
      <c r="H361" s="27"/>
      <c r="I361" s="22"/>
    </row>
    <row r="362" spans="1:9" ht="17.100000000000001" customHeight="1" x14ac:dyDescent="0.25">
      <c r="A362" s="28"/>
      <c r="B362" s="29"/>
      <c r="C362" s="29"/>
      <c r="D362" s="29"/>
      <c r="E362" s="29"/>
      <c r="F362" s="29"/>
      <c r="G362" s="29"/>
      <c r="H362" s="29"/>
      <c r="I362" s="23"/>
    </row>
    <row r="363" spans="1:9" ht="17.100000000000001" customHeight="1" x14ac:dyDescent="0.25">
      <c r="A363" s="28"/>
      <c r="B363" s="29"/>
      <c r="C363" s="29"/>
      <c r="D363" s="29"/>
      <c r="E363" s="29"/>
      <c r="F363" s="29"/>
      <c r="G363" s="29"/>
      <c r="H363" s="29"/>
      <c r="I363" s="23"/>
    </row>
    <row r="364" spans="1:9" ht="17.100000000000001" customHeight="1" x14ac:dyDescent="0.25">
      <c r="A364" s="28"/>
      <c r="B364" s="29"/>
      <c r="C364" s="29"/>
      <c r="D364" s="29"/>
      <c r="E364" s="29"/>
      <c r="F364" s="29"/>
      <c r="G364" s="29"/>
      <c r="H364" s="29"/>
      <c r="I364" s="23"/>
    </row>
    <row r="365" spans="1:9" ht="17.100000000000001" customHeight="1" x14ac:dyDescent="0.25">
      <c r="A365" s="28"/>
      <c r="B365" s="29"/>
      <c r="C365" s="29"/>
      <c r="D365" s="29"/>
      <c r="E365" s="29"/>
      <c r="F365" s="29"/>
      <c r="G365" s="29"/>
      <c r="H365" s="29"/>
      <c r="I365" s="23"/>
    </row>
    <row r="366" spans="1:9" ht="17.100000000000001" customHeight="1" x14ac:dyDescent="0.25">
      <c r="A366" s="28"/>
      <c r="B366" s="29"/>
      <c r="C366" s="29"/>
      <c r="D366" s="29"/>
      <c r="E366" s="29"/>
      <c r="F366" s="29"/>
      <c r="G366" s="29"/>
      <c r="H366" s="29"/>
      <c r="I366" s="23"/>
    </row>
    <row r="367" spans="1:9" ht="17.100000000000001" customHeight="1" x14ac:dyDescent="0.25">
      <c r="A367" s="28"/>
      <c r="B367" s="29"/>
      <c r="C367" s="29"/>
      <c r="D367" s="29"/>
      <c r="E367" s="29"/>
      <c r="F367" s="29"/>
      <c r="G367" s="29"/>
      <c r="H367" s="29"/>
      <c r="I367" s="23"/>
    </row>
    <row r="368" spans="1:9" ht="17.100000000000001" customHeight="1" x14ac:dyDescent="0.25">
      <c r="A368" s="28"/>
      <c r="B368" s="29"/>
      <c r="C368" s="29"/>
      <c r="D368" s="29"/>
      <c r="E368" s="29"/>
      <c r="F368" s="29"/>
      <c r="G368" s="29"/>
      <c r="H368" s="29"/>
      <c r="I368" s="23"/>
    </row>
    <row r="369" spans="1:9" ht="17.100000000000001" customHeight="1" x14ac:dyDescent="0.25">
      <c r="A369" s="28"/>
      <c r="B369" s="29"/>
      <c r="C369" s="29"/>
      <c r="D369" s="29"/>
      <c r="E369" s="29"/>
      <c r="F369" s="29"/>
      <c r="G369" s="29"/>
      <c r="H369" s="29"/>
      <c r="I369" s="23"/>
    </row>
    <row r="370" spans="1:9" ht="17.100000000000001" customHeight="1" x14ac:dyDescent="0.25">
      <c r="A370" s="28"/>
      <c r="B370" s="29"/>
      <c r="C370" s="29"/>
      <c r="D370" s="29"/>
      <c r="E370" s="29"/>
      <c r="F370" s="29"/>
      <c r="G370" s="29"/>
      <c r="H370" s="29"/>
      <c r="I370" s="23"/>
    </row>
    <row r="371" spans="1:9" ht="17.100000000000001" customHeight="1" x14ac:dyDescent="0.25">
      <c r="A371" s="28"/>
      <c r="B371" s="29"/>
      <c r="C371" s="29"/>
      <c r="D371" s="29"/>
      <c r="E371" s="29"/>
      <c r="F371" s="29"/>
      <c r="G371" s="29"/>
      <c r="H371" s="29"/>
      <c r="I371" s="23"/>
    </row>
    <row r="372" spans="1:9" ht="17.100000000000001" customHeight="1" x14ac:dyDescent="0.25">
      <c r="A372" s="28"/>
      <c r="B372" s="29"/>
      <c r="C372" s="29"/>
      <c r="D372" s="29"/>
      <c r="E372" s="29"/>
      <c r="F372" s="29"/>
      <c r="G372" s="29"/>
      <c r="H372" s="29"/>
      <c r="I372" s="23"/>
    </row>
    <row r="373" spans="1:9" ht="17.100000000000001" customHeight="1" x14ac:dyDescent="0.25">
      <c r="A373" s="28"/>
      <c r="B373" s="29"/>
      <c r="C373" s="29"/>
      <c r="D373" s="29"/>
      <c r="E373" s="29"/>
      <c r="F373" s="29"/>
      <c r="G373" s="29"/>
      <c r="H373" s="29"/>
      <c r="I373" s="23"/>
    </row>
    <row r="374" spans="1:9" ht="17.100000000000001" customHeight="1" x14ac:dyDescent="0.25">
      <c r="A374" s="28"/>
      <c r="B374" s="29"/>
      <c r="C374" s="29"/>
      <c r="D374" s="29"/>
      <c r="E374" s="29"/>
      <c r="F374" s="29"/>
      <c r="G374" s="29"/>
      <c r="H374" s="29"/>
      <c r="I374" s="23"/>
    </row>
    <row r="375" spans="1:9" ht="17.100000000000001" customHeight="1" x14ac:dyDescent="0.25">
      <c r="A375" s="28"/>
      <c r="B375" s="29"/>
      <c r="C375" s="29"/>
      <c r="D375" s="29"/>
      <c r="E375" s="29"/>
      <c r="F375" s="29"/>
      <c r="G375" s="29"/>
      <c r="H375" s="29"/>
      <c r="I375" s="23"/>
    </row>
    <row r="376" spans="1:9" ht="17.100000000000001" customHeight="1" x14ac:dyDescent="0.25">
      <c r="A376" s="28"/>
      <c r="B376" s="29"/>
      <c r="C376" s="29"/>
      <c r="D376" s="29"/>
      <c r="E376" s="29"/>
      <c r="F376" s="29"/>
      <c r="G376" s="29"/>
      <c r="H376" s="29"/>
      <c r="I376" s="23"/>
    </row>
    <row r="377" spans="1:9" ht="17.100000000000001" customHeight="1" x14ac:dyDescent="0.25">
      <c r="A377" s="28"/>
      <c r="B377" s="29"/>
      <c r="C377" s="29"/>
      <c r="D377" s="29"/>
      <c r="E377" s="29"/>
      <c r="F377" s="29"/>
      <c r="G377" s="29"/>
      <c r="H377" s="29"/>
      <c r="I377" s="23"/>
    </row>
    <row r="378" spans="1:9" ht="17.100000000000001" customHeight="1" x14ac:dyDescent="0.25">
      <c r="A378" s="28"/>
      <c r="B378" s="29"/>
      <c r="C378" s="29"/>
      <c r="D378" s="29"/>
      <c r="E378" s="29"/>
      <c r="F378" s="29"/>
      <c r="G378" s="29"/>
      <c r="H378" s="29"/>
      <c r="I378" s="23"/>
    </row>
    <row r="379" spans="1:9" ht="17.100000000000001" customHeight="1" x14ac:dyDescent="0.25">
      <c r="A379" s="28"/>
      <c r="B379" s="29"/>
      <c r="C379" s="29"/>
      <c r="D379" s="29"/>
      <c r="E379" s="29"/>
      <c r="F379" s="29"/>
      <c r="G379" s="29"/>
      <c r="H379" s="29"/>
      <c r="I379" s="23"/>
    </row>
    <row r="380" spans="1:9" ht="17.100000000000001" customHeight="1" x14ac:dyDescent="0.25">
      <c r="A380" s="28"/>
      <c r="B380" s="29"/>
      <c r="C380" s="29"/>
      <c r="D380" s="29"/>
      <c r="E380" s="29"/>
      <c r="F380" s="29"/>
      <c r="G380" s="29"/>
      <c r="H380" s="29"/>
      <c r="I380" s="23"/>
    </row>
    <row r="381" spans="1:9" ht="17.100000000000001" customHeight="1" x14ac:dyDescent="0.25">
      <c r="A381" s="28"/>
      <c r="B381" s="29"/>
      <c r="C381" s="29"/>
      <c r="D381" s="29"/>
      <c r="E381" s="29"/>
      <c r="F381" s="29"/>
      <c r="G381" s="29"/>
      <c r="H381" s="29"/>
      <c r="I381" s="23"/>
    </row>
    <row r="382" spans="1:9" ht="17.100000000000001" customHeight="1" x14ac:dyDescent="0.25">
      <c r="A382" s="28"/>
      <c r="B382" s="29"/>
      <c r="C382" s="29"/>
      <c r="D382" s="29"/>
      <c r="E382" s="29"/>
      <c r="F382" s="29"/>
      <c r="G382" s="29"/>
      <c r="H382" s="29"/>
      <c r="I382" s="23"/>
    </row>
    <row r="383" spans="1:9" ht="17.100000000000001" customHeight="1" x14ac:dyDescent="0.25">
      <c r="A383" s="28"/>
      <c r="B383" s="29"/>
      <c r="C383" s="29"/>
      <c r="D383" s="29"/>
      <c r="E383" s="29"/>
      <c r="F383" s="29"/>
      <c r="G383" s="29"/>
      <c r="H383" s="29"/>
      <c r="I383" s="23"/>
    </row>
    <row r="384" spans="1:9" ht="17.100000000000001" customHeight="1" x14ac:dyDescent="0.25">
      <c r="A384" s="28"/>
      <c r="B384" s="29"/>
      <c r="C384" s="29"/>
      <c r="D384" s="29"/>
      <c r="E384" s="29"/>
      <c r="F384" s="29"/>
      <c r="G384" s="29"/>
      <c r="H384" s="29"/>
      <c r="I384" s="23"/>
    </row>
    <row r="385" spans="1:9" ht="17.100000000000001" customHeight="1" x14ac:dyDescent="0.25">
      <c r="A385" s="28"/>
      <c r="B385" s="29"/>
      <c r="C385" s="29"/>
      <c r="D385" s="29"/>
      <c r="E385" s="29"/>
      <c r="F385" s="29"/>
      <c r="G385" s="29"/>
      <c r="H385" s="29"/>
      <c r="I385" s="23"/>
    </row>
    <row r="386" spans="1:9" ht="17.100000000000001" customHeight="1" x14ac:dyDescent="0.25">
      <c r="A386" s="28"/>
      <c r="B386" s="29"/>
      <c r="C386" s="29"/>
      <c r="D386" s="29"/>
      <c r="E386" s="29"/>
      <c r="F386" s="29"/>
      <c r="G386" s="29"/>
      <c r="H386" s="29"/>
      <c r="I386" s="23"/>
    </row>
    <row r="387" spans="1:9" ht="17.100000000000001" customHeight="1" x14ac:dyDescent="0.25">
      <c r="A387" s="28"/>
      <c r="B387" s="29"/>
      <c r="C387" s="29"/>
      <c r="D387" s="29"/>
      <c r="E387" s="29"/>
      <c r="F387" s="29"/>
      <c r="G387" s="29"/>
      <c r="H387" s="29"/>
      <c r="I387" s="23"/>
    </row>
    <row r="388" spans="1:9" ht="17.100000000000001" customHeight="1" x14ac:dyDescent="0.25">
      <c r="A388" s="28"/>
      <c r="B388" s="29"/>
      <c r="C388" s="29"/>
      <c r="D388" s="29"/>
      <c r="E388" s="29"/>
      <c r="F388" s="29"/>
      <c r="G388" s="29"/>
      <c r="H388" s="29"/>
      <c r="I388" s="23"/>
    </row>
    <row r="389" spans="1:9" ht="17.100000000000001" customHeight="1" x14ac:dyDescent="0.25">
      <c r="A389" s="28"/>
      <c r="B389" s="29"/>
      <c r="C389" s="29"/>
      <c r="D389" s="29"/>
      <c r="E389" s="29"/>
      <c r="F389" s="29"/>
      <c r="G389" s="29"/>
      <c r="H389" s="29"/>
      <c r="I389" s="23"/>
    </row>
    <row r="390" spans="1:9" ht="17.100000000000001" customHeight="1" x14ac:dyDescent="0.25">
      <c r="A390" s="28"/>
      <c r="B390" s="29"/>
      <c r="C390" s="29"/>
      <c r="D390" s="29"/>
      <c r="E390" s="29"/>
      <c r="F390" s="29"/>
      <c r="G390" s="29"/>
      <c r="H390" s="29"/>
      <c r="I390" s="23"/>
    </row>
    <row r="391" spans="1:9" ht="17.100000000000001" customHeight="1" x14ac:dyDescent="0.25">
      <c r="A391" s="28"/>
      <c r="B391" s="29"/>
      <c r="C391" s="29"/>
      <c r="D391" s="29"/>
      <c r="E391" s="29"/>
      <c r="F391" s="29"/>
      <c r="G391" s="29"/>
      <c r="H391" s="29"/>
      <c r="I391" s="23"/>
    </row>
    <row r="392" spans="1:9" ht="17.100000000000001" customHeight="1" x14ac:dyDescent="0.25">
      <c r="A392" s="28"/>
      <c r="B392" s="29"/>
      <c r="C392" s="29"/>
      <c r="D392" s="29"/>
      <c r="E392" s="29"/>
      <c r="F392" s="29"/>
      <c r="G392" s="29"/>
      <c r="H392" s="29"/>
      <c r="I392" s="23"/>
    </row>
    <row r="393" spans="1:9" ht="17.100000000000001" customHeight="1" x14ac:dyDescent="0.25">
      <c r="A393" s="28"/>
      <c r="B393" s="29"/>
      <c r="C393" s="29"/>
      <c r="D393" s="29"/>
      <c r="E393" s="29"/>
      <c r="F393" s="29"/>
      <c r="G393" s="29"/>
      <c r="H393" s="29"/>
      <c r="I393" s="23"/>
    </row>
    <row r="394" spans="1:9" ht="17.100000000000001" customHeight="1" x14ac:dyDescent="0.25">
      <c r="A394" s="28"/>
      <c r="B394" s="29"/>
      <c r="C394" s="29"/>
      <c r="D394" s="29"/>
      <c r="E394" s="29"/>
      <c r="F394" s="29"/>
      <c r="G394" s="29"/>
      <c r="H394" s="29"/>
      <c r="I394" s="23"/>
    </row>
    <row r="395" spans="1:9" ht="17.100000000000001" customHeight="1" x14ac:dyDescent="0.25">
      <c r="A395" s="28"/>
      <c r="B395" s="29"/>
      <c r="C395" s="29"/>
      <c r="D395" s="29"/>
      <c r="E395" s="29"/>
      <c r="F395" s="29"/>
      <c r="G395" s="29"/>
      <c r="H395" s="29"/>
      <c r="I395" s="23"/>
    </row>
    <row r="396" spans="1:9" ht="17.100000000000001" customHeight="1" x14ac:dyDescent="0.25">
      <c r="A396" s="28"/>
      <c r="B396" s="29"/>
      <c r="C396" s="29"/>
      <c r="D396" s="29"/>
      <c r="E396" s="29"/>
      <c r="F396" s="29"/>
      <c r="G396" s="29"/>
      <c r="H396" s="29"/>
      <c r="I396" s="23"/>
    </row>
    <row r="397" spans="1:9" ht="17.100000000000001" customHeight="1" x14ac:dyDescent="0.25">
      <c r="A397" s="28"/>
      <c r="B397" s="29"/>
      <c r="C397" s="29"/>
      <c r="D397" s="29"/>
      <c r="E397" s="29"/>
      <c r="F397" s="29"/>
      <c r="G397" s="29"/>
      <c r="H397" s="29"/>
      <c r="I397" s="23"/>
    </row>
    <row r="398" spans="1:9" ht="17.100000000000001" customHeight="1" x14ac:dyDescent="0.25">
      <c r="A398" s="28"/>
      <c r="B398" s="29"/>
      <c r="C398" s="29"/>
      <c r="D398" s="29"/>
      <c r="E398" s="29"/>
      <c r="F398" s="29"/>
      <c r="G398" s="29"/>
      <c r="H398" s="29"/>
      <c r="I398" s="23"/>
    </row>
    <row r="399" spans="1:9" ht="17.100000000000001" customHeight="1" x14ac:dyDescent="0.25">
      <c r="A399" s="28"/>
      <c r="B399" s="29"/>
      <c r="C399" s="29"/>
      <c r="D399" s="29"/>
      <c r="E399" s="29"/>
      <c r="F399" s="29"/>
      <c r="G399" s="29"/>
      <c r="H399" s="29"/>
      <c r="I399" s="23"/>
    </row>
    <row r="400" spans="1:9" ht="17.100000000000001" customHeight="1" x14ac:dyDescent="0.25">
      <c r="A400" s="28"/>
      <c r="B400" s="29"/>
      <c r="C400" s="29"/>
      <c r="D400" s="29"/>
      <c r="E400" s="29"/>
      <c r="F400" s="29"/>
      <c r="G400" s="29"/>
      <c r="H400" s="29"/>
      <c r="I400" s="23"/>
    </row>
    <row r="401" spans="1:9" ht="17.100000000000001" customHeight="1" x14ac:dyDescent="0.25">
      <c r="A401" s="28"/>
      <c r="B401" s="29"/>
      <c r="C401" s="29"/>
      <c r="D401" s="29"/>
      <c r="E401" s="29"/>
      <c r="F401" s="29"/>
      <c r="G401" s="29"/>
      <c r="H401" s="29"/>
      <c r="I401" s="23"/>
    </row>
    <row r="402" spans="1:9" ht="33.75" customHeight="1" x14ac:dyDescent="0.25">
      <c r="A402" s="30"/>
      <c r="B402" s="31"/>
      <c r="C402" s="31"/>
      <c r="D402" s="31"/>
      <c r="E402" s="31"/>
      <c r="F402" s="31"/>
      <c r="G402" s="31"/>
      <c r="H402" s="31"/>
      <c r="I402" s="24"/>
    </row>
    <row r="403" spans="1:9" ht="24.75" customHeight="1" x14ac:dyDescent="0.25">
      <c r="A403" s="157" t="s">
        <v>81</v>
      </c>
      <c r="B403" s="158"/>
      <c r="C403" s="158"/>
      <c r="D403" s="158"/>
      <c r="E403" s="158"/>
      <c r="F403" s="158"/>
      <c r="G403" s="158"/>
      <c r="H403" s="158"/>
      <c r="I403" s="159"/>
    </row>
    <row r="404" spans="1:9" ht="17.100000000000001" customHeight="1" x14ac:dyDescent="0.25">
      <c r="A404" s="26"/>
      <c r="B404" s="27"/>
      <c r="C404" s="27"/>
      <c r="D404" s="27"/>
      <c r="E404" s="27"/>
      <c r="F404" s="27"/>
      <c r="G404" s="27"/>
      <c r="H404" s="27"/>
      <c r="I404" s="22"/>
    </row>
    <row r="405" spans="1:9" ht="17.100000000000001" customHeight="1" x14ac:dyDescent="0.25">
      <c r="A405" s="28"/>
      <c r="B405" s="29"/>
      <c r="C405" s="29"/>
      <c r="D405" s="29"/>
      <c r="E405" s="29"/>
      <c r="F405" s="29"/>
      <c r="G405" s="29"/>
      <c r="H405" s="29"/>
      <c r="I405" s="23"/>
    </row>
    <row r="406" spans="1:9" ht="17.100000000000001" customHeight="1" x14ac:dyDescent="0.25">
      <c r="A406" s="28"/>
      <c r="B406" s="29"/>
      <c r="C406" s="29"/>
      <c r="D406" s="29"/>
      <c r="E406" s="29"/>
      <c r="F406" s="29"/>
      <c r="G406" s="29"/>
      <c r="H406" s="29"/>
      <c r="I406" s="23"/>
    </row>
    <row r="407" spans="1:9" ht="17.100000000000001" customHeight="1" x14ac:dyDescent="0.25">
      <c r="A407" s="28"/>
      <c r="B407" s="29"/>
      <c r="C407" s="29"/>
      <c r="D407" s="29"/>
      <c r="E407" s="29"/>
      <c r="F407" s="29"/>
      <c r="G407" s="29"/>
      <c r="H407" s="29"/>
      <c r="I407" s="23"/>
    </row>
    <row r="408" spans="1:9" ht="17.100000000000001" customHeight="1" x14ac:dyDescent="0.25">
      <c r="A408" s="28"/>
      <c r="B408" s="29"/>
      <c r="C408" s="29"/>
      <c r="D408" s="29"/>
      <c r="E408" s="29"/>
      <c r="F408" s="29"/>
      <c r="G408" s="29"/>
      <c r="H408" s="29"/>
      <c r="I408" s="23"/>
    </row>
    <row r="409" spans="1:9" ht="17.100000000000001" customHeight="1" x14ac:dyDescent="0.25">
      <c r="A409" s="28"/>
      <c r="B409" s="29"/>
      <c r="C409" s="29"/>
      <c r="D409" s="29"/>
      <c r="E409" s="29"/>
      <c r="F409" s="29"/>
      <c r="G409" s="29"/>
      <c r="H409" s="29"/>
      <c r="I409" s="23"/>
    </row>
    <row r="410" spans="1:9" ht="17.100000000000001" customHeight="1" x14ac:dyDescent="0.25">
      <c r="A410" s="28"/>
      <c r="B410" s="29"/>
      <c r="C410" s="29"/>
      <c r="D410" s="29"/>
      <c r="E410" s="29"/>
      <c r="F410" s="29"/>
      <c r="G410" s="29"/>
      <c r="H410" s="29"/>
      <c r="I410" s="23"/>
    </row>
    <row r="411" spans="1:9" ht="17.100000000000001" customHeight="1" x14ac:dyDescent="0.25">
      <c r="A411" s="28"/>
      <c r="B411" s="29"/>
      <c r="C411" s="29"/>
      <c r="D411" s="29"/>
      <c r="E411" s="29"/>
      <c r="F411" s="29"/>
      <c r="G411" s="29"/>
      <c r="H411" s="29"/>
      <c r="I411" s="23"/>
    </row>
    <row r="412" spans="1:9" ht="17.100000000000001" customHeight="1" x14ac:dyDescent="0.25">
      <c r="A412" s="28"/>
      <c r="B412" s="29"/>
      <c r="C412" s="29"/>
      <c r="D412" s="29"/>
      <c r="E412" s="29"/>
      <c r="F412" s="29"/>
      <c r="G412" s="29"/>
      <c r="H412" s="29"/>
      <c r="I412" s="23"/>
    </row>
    <row r="413" spans="1:9" ht="17.100000000000001" customHeight="1" x14ac:dyDescent="0.25">
      <c r="A413" s="28"/>
      <c r="B413" s="29"/>
      <c r="C413" s="29"/>
      <c r="D413" s="29"/>
      <c r="E413" s="29"/>
      <c r="F413" s="29"/>
      <c r="G413" s="29"/>
      <c r="H413" s="29"/>
      <c r="I413" s="23"/>
    </row>
    <row r="414" spans="1:9" ht="17.100000000000001" customHeight="1" x14ac:dyDescent="0.25">
      <c r="A414" s="28"/>
      <c r="B414" s="29"/>
      <c r="C414" s="29"/>
      <c r="D414" s="29"/>
      <c r="E414" s="29"/>
      <c r="F414" s="29"/>
      <c r="G414" s="29"/>
      <c r="H414" s="29"/>
      <c r="I414" s="23"/>
    </row>
    <row r="415" spans="1:9" ht="17.100000000000001" customHeight="1" x14ac:dyDescent="0.25">
      <c r="A415" s="28"/>
      <c r="B415" s="29"/>
      <c r="C415" s="29"/>
      <c r="D415" s="29"/>
      <c r="E415" s="29"/>
      <c r="F415" s="29"/>
      <c r="G415" s="29"/>
      <c r="H415" s="29"/>
      <c r="I415" s="23"/>
    </row>
    <row r="416" spans="1:9" ht="17.100000000000001" customHeight="1" x14ac:dyDescent="0.25">
      <c r="A416" s="28"/>
      <c r="B416" s="29"/>
      <c r="C416" s="29"/>
      <c r="D416" s="29"/>
      <c r="E416" s="29"/>
      <c r="F416" s="29"/>
      <c r="G416" s="29"/>
      <c r="H416" s="29"/>
      <c r="I416" s="23"/>
    </row>
    <row r="417" spans="1:9" ht="17.100000000000001" customHeight="1" x14ac:dyDescent="0.25">
      <c r="A417" s="28"/>
      <c r="B417" s="29"/>
      <c r="C417" s="29"/>
      <c r="D417" s="29"/>
      <c r="E417" s="29"/>
      <c r="F417" s="29"/>
      <c r="G417" s="29"/>
      <c r="H417" s="29"/>
      <c r="I417" s="23"/>
    </row>
    <row r="418" spans="1:9" ht="17.100000000000001" customHeight="1" x14ac:dyDescent="0.25">
      <c r="A418" s="28"/>
      <c r="B418" s="29"/>
      <c r="C418" s="29"/>
      <c r="D418" s="29"/>
      <c r="E418" s="29"/>
      <c r="F418" s="29"/>
      <c r="G418" s="29"/>
      <c r="H418" s="29"/>
      <c r="I418" s="23"/>
    </row>
    <row r="419" spans="1:9" ht="17.100000000000001" customHeight="1" x14ac:dyDescent="0.25">
      <c r="A419" s="28"/>
      <c r="B419" s="29"/>
      <c r="C419" s="29"/>
      <c r="D419" s="29"/>
      <c r="E419" s="29"/>
      <c r="F419" s="29"/>
      <c r="G419" s="29"/>
      <c r="H419" s="29"/>
      <c r="I419" s="23"/>
    </row>
    <row r="420" spans="1:9" ht="17.100000000000001" customHeight="1" x14ac:dyDescent="0.25">
      <c r="A420" s="28"/>
      <c r="B420" s="29"/>
      <c r="C420" s="29"/>
      <c r="D420" s="29"/>
      <c r="E420" s="29"/>
      <c r="F420" s="29"/>
      <c r="G420" s="29"/>
      <c r="H420" s="29"/>
      <c r="I420" s="23"/>
    </row>
    <row r="421" spans="1:9" ht="17.100000000000001" customHeight="1" x14ac:dyDescent="0.25">
      <c r="A421" s="28"/>
      <c r="B421" s="29"/>
      <c r="C421" s="29"/>
      <c r="D421" s="29"/>
      <c r="E421" s="29"/>
      <c r="F421" s="29"/>
      <c r="G421" s="29"/>
      <c r="H421" s="29"/>
      <c r="I421" s="23"/>
    </row>
    <row r="422" spans="1:9" ht="17.100000000000001" customHeight="1" x14ac:dyDescent="0.25">
      <c r="A422" s="28"/>
      <c r="B422" s="29"/>
      <c r="C422" s="29"/>
      <c r="D422" s="29"/>
      <c r="E422" s="29"/>
      <c r="F422" s="29"/>
      <c r="G422" s="29"/>
      <c r="H422" s="29"/>
      <c r="I422" s="23"/>
    </row>
    <row r="423" spans="1:9" ht="17.100000000000001" customHeight="1" x14ac:dyDescent="0.25">
      <c r="A423" s="28"/>
      <c r="B423" s="29"/>
      <c r="C423" s="29"/>
      <c r="D423" s="29"/>
      <c r="E423" s="29"/>
      <c r="F423" s="29"/>
      <c r="G423" s="29"/>
      <c r="H423" s="29"/>
      <c r="I423" s="23"/>
    </row>
    <row r="424" spans="1:9" ht="17.100000000000001" customHeight="1" x14ac:dyDescent="0.25">
      <c r="A424" s="28"/>
      <c r="B424" s="29"/>
      <c r="C424" s="29"/>
      <c r="D424" s="29"/>
      <c r="E424" s="29"/>
      <c r="F424" s="29"/>
      <c r="G424" s="29"/>
      <c r="H424" s="29"/>
      <c r="I424" s="23"/>
    </row>
    <row r="425" spans="1:9" ht="17.100000000000001" customHeight="1" x14ac:dyDescent="0.25">
      <c r="A425" s="28"/>
      <c r="B425" s="29"/>
      <c r="C425" s="29"/>
      <c r="D425" s="29"/>
      <c r="E425" s="29"/>
      <c r="F425" s="29"/>
      <c r="G425" s="29"/>
      <c r="H425" s="29"/>
      <c r="I425" s="23"/>
    </row>
    <row r="426" spans="1:9" ht="17.100000000000001" customHeight="1" x14ac:dyDescent="0.25">
      <c r="A426" s="28"/>
      <c r="B426" s="29"/>
      <c r="C426" s="29"/>
      <c r="D426" s="29"/>
      <c r="E426" s="29"/>
      <c r="F426" s="29"/>
      <c r="G426" s="29"/>
      <c r="H426" s="29"/>
      <c r="I426" s="23"/>
    </row>
    <row r="427" spans="1:9" ht="17.100000000000001" customHeight="1" x14ac:dyDescent="0.25">
      <c r="A427" s="28"/>
      <c r="B427" s="29"/>
      <c r="C427" s="29"/>
      <c r="D427" s="29"/>
      <c r="E427" s="29"/>
      <c r="F427" s="29"/>
      <c r="G427" s="29"/>
      <c r="H427" s="29"/>
      <c r="I427" s="23"/>
    </row>
    <row r="428" spans="1:9" ht="17.100000000000001" customHeight="1" x14ac:dyDescent="0.25">
      <c r="A428" s="28"/>
      <c r="B428" s="29"/>
      <c r="C428" s="29"/>
      <c r="D428" s="29"/>
      <c r="E428" s="29"/>
      <c r="F428" s="29"/>
      <c r="G428" s="29"/>
      <c r="H428" s="29"/>
      <c r="I428" s="23"/>
    </row>
    <row r="429" spans="1:9" ht="17.100000000000001" customHeight="1" x14ac:dyDescent="0.25">
      <c r="A429" s="28"/>
      <c r="B429" s="29"/>
      <c r="C429" s="29"/>
      <c r="D429" s="29"/>
      <c r="E429" s="29"/>
      <c r="F429" s="29"/>
      <c r="G429" s="29"/>
      <c r="H429" s="29"/>
      <c r="I429" s="23"/>
    </row>
    <row r="430" spans="1:9" ht="17.100000000000001" customHeight="1" x14ac:dyDescent="0.25">
      <c r="A430" s="28"/>
      <c r="B430" s="29"/>
      <c r="C430" s="29"/>
      <c r="D430" s="29"/>
      <c r="E430" s="29"/>
      <c r="F430" s="29"/>
      <c r="G430" s="29"/>
      <c r="H430" s="29"/>
      <c r="I430" s="23"/>
    </row>
    <row r="431" spans="1:9" ht="17.100000000000001" customHeight="1" x14ac:dyDescent="0.25">
      <c r="A431" s="28"/>
      <c r="B431" s="29"/>
      <c r="C431" s="29"/>
      <c r="D431" s="29"/>
      <c r="E431" s="29"/>
      <c r="F431" s="29"/>
      <c r="G431" s="29"/>
      <c r="H431" s="29"/>
      <c r="I431" s="23"/>
    </row>
    <row r="432" spans="1:9" ht="17.100000000000001" customHeight="1" x14ac:dyDescent="0.25">
      <c r="A432" s="28"/>
      <c r="B432" s="29"/>
      <c r="C432" s="29"/>
      <c r="D432" s="29"/>
      <c r="E432" s="29"/>
      <c r="F432" s="29"/>
      <c r="G432" s="29"/>
      <c r="H432" s="29"/>
      <c r="I432" s="23"/>
    </row>
    <row r="433" spans="1:9" ht="17.100000000000001" customHeight="1" x14ac:dyDescent="0.25">
      <c r="A433" s="28"/>
      <c r="B433" s="29"/>
      <c r="C433" s="29"/>
      <c r="D433" s="29"/>
      <c r="E433" s="29"/>
      <c r="F433" s="29"/>
      <c r="G433" s="29"/>
      <c r="H433" s="29"/>
      <c r="I433" s="23"/>
    </row>
    <row r="434" spans="1:9" ht="17.100000000000001" customHeight="1" x14ac:dyDescent="0.25">
      <c r="A434" s="28"/>
      <c r="B434" s="29"/>
      <c r="C434" s="29"/>
      <c r="D434" s="29"/>
      <c r="E434" s="29"/>
      <c r="F434" s="29"/>
      <c r="G434" s="29"/>
      <c r="H434" s="29"/>
      <c r="I434" s="23"/>
    </row>
    <row r="435" spans="1:9" ht="17.100000000000001" customHeight="1" x14ac:dyDescent="0.25">
      <c r="A435" s="28"/>
      <c r="B435" s="29"/>
      <c r="C435" s="29"/>
      <c r="D435" s="29"/>
      <c r="E435" s="29"/>
      <c r="F435" s="29"/>
      <c r="G435" s="29"/>
      <c r="H435" s="29"/>
      <c r="I435" s="23"/>
    </row>
    <row r="436" spans="1:9" ht="17.100000000000001" customHeight="1" x14ac:dyDescent="0.25">
      <c r="A436" s="28"/>
      <c r="B436" s="29"/>
      <c r="C436" s="29"/>
      <c r="D436" s="29"/>
      <c r="E436" s="29"/>
      <c r="F436" s="29"/>
      <c r="G436" s="29"/>
      <c r="H436" s="29"/>
      <c r="I436" s="23"/>
    </row>
    <row r="437" spans="1:9" ht="17.100000000000001" customHeight="1" x14ac:dyDescent="0.25">
      <c r="A437" s="28"/>
      <c r="B437" s="29"/>
      <c r="C437" s="29"/>
      <c r="D437" s="29"/>
      <c r="E437" s="29"/>
      <c r="F437" s="29"/>
      <c r="G437" s="29"/>
      <c r="H437" s="29"/>
      <c r="I437" s="23"/>
    </row>
    <row r="438" spans="1:9" ht="17.100000000000001" customHeight="1" x14ac:dyDescent="0.25">
      <c r="A438" s="28"/>
      <c r="B438" s="29"/>
      <c r="C438" s="29"/>
      <c r="D438" s="29"/>
      <c r="E438" s="29"/>
      <c r="F438" s="29"/>
      <c r="G438" s="29"/>
      <c r="H438" s="29"/>
      <c r="I438" s="23"/>
    </row>
    <row r="439" spans="1:9" ht="17.100000000000001" customHeight="1" x14ac:dyDescent="0.25">
      <c r="A439" s="28"/>
      <c r="B439" s="29"/>
      <c r="C439" s="29"/>
      <c r="D439" s="29"/>
      <c r="E439" s="29"/>
      <c r="F439" s="29"/>
      <c r="G439" s="29"/>
      <c r="H439" s="29"/>
      <c r="I439" s="23"/>
    </row>
    <row r="440" spans="1:9" ht="17.100000000000001" customHeight="1" x14ac:dyDescent="0.25">
      <c r="A440" s="28"/>
      <c r="B440" s="29"/>
      <c r="C440" s="29"/>
      <c r="D440" s="29"/>
      <c r="E440" s="29"/>
      <c r="F440" s="29"/>
      <c r="G440" s="29"/>
      <c r="H440" s="29"/>
      <c r="I440" s="23"/>
    </row>
    <row r="441" spans="1:9" ht="17.100000000000001" customHeight="1" x14ac:dyDescent="0.25">
      <c r="A441" s="28"/>
      <c r="B441" s="29"/>
      <c r="C441" s="29"/>
      <c r="D441" s="29"/>
      <c r="E441" s="29"/>
      <c r="F441" s="29"/>
      <c r="G441" s="29"/>
      <c r="H441" s="29"/>
      <c r="I441" s="23"/>
    </row>
    <row r="442" spans="1:9" ht="17.100000000000001" customHeight="1" x14ac:dyDescent="0.25">
      <c r="A442" s="28"/>
      <c r="B442" s="29"/>
      <c r="C442" s="29"/>
      <c r="D442" s="29"/>
      <c r="E442" s="29"/>
      <c r="F442" s="29"/>
      <c r="G442" s="29"/>
      <c r="H442" s="29"/>
      <c r="I442" s="23"/>
    </row>
    <row r="443" spans="1:9" ht="17.100000000000001" customHeight="1" x14ac:dyDescent="0.25">
      <c r="A443" s="28"/>
      <c r="B443" s="29"/>
      <c r="C443" s="29"/>
      <c r="D443" s="29"/>
      <c r="E443" s="29"/>
      <c r="F443" s="29"/>
      <c r="G443" s="29"/>
      <c r="H443" s="29"/>
      <c r="I443" s="23"/>
    </row>
    <row r="444" spans="1:9" ht="17.100000000000001" hidden="1" customHeight="1" x14ac:dyDescent="0.25">
      <c r="A444" s="28"/>
      <c r="B444" s="29"/>
      <c r="C444" s="29"/>
      <c r="D444" s="29"/>
      <c r="E444" s="29"/>
      <c r="F444" s="29"/>
      <c r="G444" s="29"/>
      <c r="H444" s="29"/>
      <c r="I444" s="23"/>
    </row>
    <row r="445" spans="1:9" ht="17.100000000000001" hidden="1" customHeight="1" x14ac:dyDescent="0.25">
      <c r="A445" s="28"/>
      <c r="B445" s="29"/>
      <c r="C445" s="29"/>
      <c r="D445" s="29"/>
      <c r="E445" s="29"/>
      <c r="F445" s="29"/>
      <c r="G445" s="29"/>
      <c r="H445" s="29"/>
      <c r="I445" s="23"/>
    </row>
    <row r="446" spans="1:9" ht="17.100000000000001" hidden="1" customHeight="1" x14ac:dyDescent="0.25">
      <c r="A446" s="28"/>
      <c r="B446" s="29"/>
      <c r="C446" s="29"/>
      <c r="D446" s="29"/>
      <c r="E446" s="29"/>
      <c r="F446" s="29"/>
      <c r="G446" s="29"/>
      <c r="H446" s="29"/>
      <c r="I446" s="23"/>
    </row>
    <row r="447" spans="1:9" ht="17.100000000000001" hidden="1" customHeight="1" x14ac:dyDescent="0.25">
      <c r="A447" s="28"/>
      <c r="B447" s="29"/>
      <c r="C447" s="29"/>
      <c r="D447" s="29"/>
      <c r="E447" s="29"/>
      <c r="F447" s="29"/>
      <c r="G447" s="29"/>
      <c r="H447" s="29"/>
      <c r="I447" s="23"/>
    </row>
    <row r="448" spans="1:9" ht="17.100000000000001" hidden="1" customHeight="1" x14ac:dyDescent="0.25">
      <c r="A448" s="28"/>
      <c r="B448" s="29"/>
      <c r="C448" s="29"/>
      <c r="D448" s="29"/>
      <c r="E448" s="29"/>
      <c r="F448" s="29"/>
      <c r="G448" s="29"/>
      <c r="H448" s="29"/>
      <c r="I448" s="23"/>
    </row>
    <row r="449" spans="1:9" ht="17.100000000000001" hidden="1" customHeight="1" x14ac:dyDescent="0.25">
      <c r="A449" s="28"/>
      <c r="B449" s="29"/>
      <c r="C449" s="29"/>
      <c r="D449" s="29"/>
      <c r="E449" s="29"/>
      <c r="F449" s="29"/>
      <c r="G449" s="29"/>
      <c r="H449" s="29"/>
      <c r="I449" s="23"/>
    </row>
    <row r="450" spans="1:9" ht="17.100000000000001" hidden="1" customHeight="1" x14ac:dyDescent="0.25">
      <c r="A450" s="28"/>
      <c r="B450" s="29"/>
      <c r="C450" s="29"/>
      <c r="D450" s="29"/>
      <c r="E450" s="29"/>
      <c r="F450" s="29"/>
      <c r="G450" s="29"/>
      <c r="H450" s="29"/>
      <c r="I450" s="23"/>
    </row>
    <row r="451" spans="1:9" ht="17.100000000000001" hidden="1" customHeight="1" x14ac:dyDescent="0.25">
      <c r="A451" s="28"/>
      <c r="B451" s="29"/>
      <c r="C451" s="29"/>
      <c r="D451" s="29"/>
      <c r="E451" s="29"/>
      <c r="F451" s="29"/>
      <c r="G451" s="29"/>
      <c r="H451" s="29"/>
      <c r="I451" s="23"/>
    </row>
    <row r="452" spans="1:9" ht="17.100000000000001" customHeight="1" x14ac:dyDescent="0.25">
      <c r="A452" s="28"/>
      <c r="B452" s="29"/>
      <c r="C452" s="29"/>
      <c r="D452" s="29"/>
      <c r="E452" s="29"/>
      <c r="F452" s="29"/>
      <c r="G452" s="29"/>
      <c r="H452" s="29"/>
      <c r="I452" s="23"/>
    </row>
    <row r="453" spans="1:9" ht="23.25" customHeight="1" x14ac:dyDescent="0.25">
      <c r="A453" s="120" t="s">
        <v>27</v>
      </c>
      <c r="B453" s="120"/>
      <c r="C453" s="120"/>
      <c r="D453" s="120"/>
      <c r="E453" s="120"/>
      <c r="F453" s="120"/>
      <c r="G453" s="120"/>
      <c r="H453" s="120"/>
      <c r="I453" s="120"/>
    </row>
    <row r="454" spans="1:9" ht="22.5" customHeight="1" x14ac:dyDescent="0.25">
      <c r="A454" s="148" t="s">
        <v>83</v>
      </c>
      <c r="B454" s="149"/>
      <c r="C454" s="149"/>
      <c r="D454" s="149"/>
      <c r="E454" s="149"/>
      <c r="F454" s="149"/>
      <c r="G454" s="149"/>
      <c r="H454" s="149"/>
      <c r="I454" s="150"/>
    </row>
    <row r="455" spans="1:9" ht="22.5" customHeight="1" x14ac:dyDescent="0.25">
      <c r="A455" s="151" t="s">
        <v>84</v>
      </c>
      <c r="B455" s="152"/>
      <c r="C455" s="152"/>
      <c r="D455" s="152"/>
      <c r="E455" s="152"/>
      <c r="F455" s="152"/>
      <c r="G455" s="152"/>
      <c r="H455" s="152"/>
      <c r="I455" s="153"/>
    </row>
    <row r="456" spans="1:9" ht="22.5" customHeight="1" x14ac:dyDescent="0.25">
      <c r="A456" s="151" t="s">
        <v>85</v>
      </c>
      <c r="B456" s="152"/>
      <c r="C456" s="152"/>
      <c r="D456" s="152"/>
      <c r="E456" s="152"/>
      <c r="F456" s="152"/>
      <c r="G456" s="152"/>
      <c r="H456" s="152"/>
      <c r="I456" s="153"/>
    </row>
    <row r="457" spans="1:9" ht="22.5" customHeight="1" x14ac:dyDescent="0.25">
      <c r="A457" s="151" t="s">
        <v>86</v>
      </c>
      <c r="B457" s="152"/>
      <c r="C457" s="152"/>
      <c r="D457" s="152"/>
      <c r="E457" s="152"/>
      <c r="F457" s="152"/>
      <c r="G457" s="152"/>
      <c r="H457" s="152"/>
      <c r="I457" s="153"/>
    </row>
    <row r="458" spans="1:9" ht="22.5" customHeight="1" x14ac:dyDescent="0.25">
      <c r="A458" s="151" t="s">
        <v>87</v>
      </c>
      <c r="B458" s="152"/>
      <c r="C458" s="152"/>
      <c r="D458" s="152"/>
      <c r="E458" s="152"/>
      <c r="F458" s="152"/>
      <c r="G458" s="152"/>
      <c r="H458" s="152"/>
      <c r="I458" s="153"/>
    </row>
    <row r="459" spans="1:9" ht="22.5" customHeight="1" x14ac:dyDescent="0.25">
      <c r="A459" s="151" t="s">
        <v>88</v>
      </c>
      <c r="B459" s="152"/>
      <c r="C459" s="152"/>
      <c r="D459" s="152"/>
      <c r="E459" s="152"/>
      <c r="F459" s="152"/>
      <c r="G459" s="152"/>
      <c r="H459" s="152"/>
      <c r="I459" s="153"/>
    </row>
    <row r="460" spans="1:9" ht="22.5" customHeight="1" x14ac:dyDescent="0.25">
      <c r="A460" s="151" t="s">
        <v>89</v>
      </c>
      <c r="B460" s="152"/>
      <c r="C460" s="152"/>
      <c r="D460" s="152"/>
      <c r="E460" s="152"/>
      <c r="F460" s="152"/>
      <c r="G460" s="152"/>
      <c r="H460" s="152"/>
      <c r="I460" s="153"/>
    </row>
    <row r="461" spans="1:9" ht="22.5" customHeight="1" x14ac:dyDescent="0.25">
      <c r="A461" s="151" t="s">
        <v>90</v>
      </c>
      <c r="B461" s="152"/>
      <c r="C461" s="152"/>
      <c r="D461" s="152"/>
      <c r="E461" s="152"/>
      <c r="F461" s="152"/>
      <c r="G461" s="152"/>
      <c r="H461" s="152"/>
      <c r="I461" s="153"/>
    </row>
    <row r="462" spans="1:9" ht="22.5" customHeight="1" x14ac:dyDescent="0.25">
      <c r="A462" s="154" t="s">
        <v>91</v>
      </c>
      <c r="B462" s="155"/>
      <c r="C462" s="155"/>
      <c r="D462" s="155"/>
      <c r="E462" s="155"/>
      <c r="F462" s="155"/>
      <c r="G462" s="155"/>
      <c r="H462" s="155"/>
      <c r="I462" s="156"/>
    </row>
    <row r="463" spans="1:9" ht="79.5" customHeight="1" x14ac:dyDescent="0.25">
      <c r="A463" s="145" t="s">
        <v>33</v>
      </c>
      <c r="B463" s="145"/>
      <c r="C463" s="145"/>
      <c r="D463" s="2" t="s">
        <v>4</v>
      </c>
      <c r="E463" s="20" t="s">
        <v>282</v>
      </c>
      <c r="F463" s="12" t="s">
        <v>10</v>
      </c>
      <c r="G463" s="2" t="s">
        <v>4</v>
      </c>
      <c r="H463" s="146"/>
      <c r="I463" s="146"/>
    </row>
  </sheetData>
  <mergeCells count="613">
    <mergeCell ref="F148:G148"/>
    <mergeCell ref="C149:D149"/>
    <mergeCell ref="F149:G149"/>
    <mergeCell ref="A142:I142"/>
    <mergeCell ref="C150:D150"/>
    <mergeCell ref="F150:G150"/>
    <mergeCell ref="C141:D141"/>
    <mergeCell ref="F141:G141"/>
    <mergeCell ref="C147:D147"/>
    <mergeCell ref="F147:G147"/>
    <mergeCell ref="C143:D143"/>
    <mergeCell ref="E143:H146"/>
    <mergeCell ref="I143:I146"/>
    <mergeCell ref="A196:I196"/>
    <mergeCell ref="A197:B204"/>
    <mergeCell ref="C197:D197"/>
    <mergeCell ref="F197:G197"/>
    <mergeCell ref="C198:D198"/>
    <mergeCell ref="F198:G198"/>
    <mergeCell ref="C199:D199"/>
    <mergeCell ref="F199:G199"/>
    <mergeCell ref="C200:D200"/>
    <mergeCell ref="F200:G200"/>
    <mergeCell ref="C201:D201"/>
    <mergeCell ref="C202:D202"/>
    <mergeCell ref="F202:G202"/>
    <mergeCell ref="C203:D203"/>
    <mergeCell ref="F203:G203"/>
    <mergeCell ref="C204:D204"/>
    <mergeCell ref="F204:G204"/>
    <mergeCell ref="A187:I187"/>
    <mergeCell ref="A188:B195"/>
    <mergeCell ref="C188:D188"/>
    <mergeCell ref="F188:G188"/>
    <mergeCell ref="C189:D189"/>
    <mergeCell ref="F189:G189"/>
    <mergeCell ref="C190:D190"/>
    <mergeCell ref="F190:G190"/>
    <mergeCell ref="C191:D191"/>
    <mergeCell ref="F191:G191"/>
    <mergeCell ref="C192:D192"/>
    <mergeCell ref="F192:G192"/>
    <mergeCell ref="C193:D193"/>
    <mergeCell ref="F193:G193"/>
    <mergeCell ref="C194:D194"/>
    <mergeCell ref="F194:G194"/>
    <mergeCell ref="C195:D195"/>
    <mergeCell ref="F195:G195"/>
    <mergeCell ref="A178:I178"/>
    <mergeCell ref="A179:B186"/>
    <mergeCell ref="C179:D179"/>
    <mergeCell ref="F179:G179"/>
    <mergeCell ref="C180:D180"/>
    <mergeCell ref="F180:G180"/>
    <mergeCell ref="C181:D181"/>
    <mergeCell ref="F181:G181"/>
    <mergeCell ref="C182:D182"/>
    <mergeCell ref="F182:G182"/>
    <mergeCell ref="C183:D183"/>
    <mergeCell ref="C184:D184"/>
    <mergeCell ref="C185:D185"/>
    <mergeCell ref="F185:G185"/>
    <mergeCell ref="C186:D186"/>
    <mergeCell ref="F186:G186"/>
    <mergeCell ref="E183:H184"/>
    <mergeCell ref="I183:I184"/>
    <mergeCell ref="A170:B177"/>
    <mergeCell ref="C170:D170"/>
    <mergeCell ref="F170:G170"/>
    <mergeCell ref="C171:D171"/>
    <mergeCell ref="F171:G171"/>
    <mergeCell ref="C172:D172"/>
    <mergeCell ref="F172:G172"/>
    <mergeCell ref="C173:D173"/>
    <mergeCell ref="F173:G173"/>
    <mergeCell ref="C174:D174"/>
    <mergeCell ref="C175:D175"/>
    <mergeCell ref="C176:D176"/>
    <mergeCell ref="F176:G176"/>
    <mergeCell ref="C177:D177"/>
    <mergeCell ref="F177:G177"/>
    <mergeCell ref="C152:D152"/>
    <mergeCell ref="M115:N115"/>
    <mergeCell ref="A105:B106"/>
    <mergeCell ref="C167:D167"/>
    <mergeCell ref="F167:G167"/>
    <mergeCell ref="C168:D168"/>
    <mergeCell ref="F168:G168"/>
    <mergeCell ref="A161:B168"/>
    <mergeCell ref="A169:I169"/>
    <mergeCell ref="C153:D153"/>
    <mergeCell ref="C154:D154"/>
    <mergeCell ref="C155:D155"/>
    <mergeCell ref="A143:B150"/>
    <mergeCell ref="A152:B159"/>
    <mergeCell ref="C134:D134"/>
    <mergeCell ref="C135:D135"/>
    <mergeCell ref="C136:D136"/>
    <mergeCell ref="C137:D137"/>
    <mergeCell ref="A134:B141"/>
    <mergeCell ref="C148:D148"/>
    <mergeCell ref="C144:D144"/>
    <mergeCell ref="C145:D145"/>
    <mergeCell ref="C146:D146"/>
    <mergeCell ref="C140:D140"/>
    <mergeCell ref="F159:G159"/>
    <mergeCell ref="A160:I160"/>
    <mergeCell ref="C161:D161"/>
    <mergeCell ref="F161:G161"/>
    <mergeCell ref="C162:D162"/>
    <mergeCell ref="F162:G162"/>
    <mergeCell ref="C163:D163"/>
    <mergeCell ref="F163:G163"/>
    <mergeCell ref="C164:D164"/>
    <mergeCell ref="F164:G164"/>
    <mergeCell ref="E4:F4"/>
    <mergeCell ref="G3:H4"/>
    <mergeCell ref="I3:I4"/>
    <mergeCell ref="F76:G87"/>
    <mergeCell ref="H76:I87"/>
    <mergeCell ref="A86:B86"/>
    <mergeCell ref="C86:D86"/>
    <mergeCell ref="A87:B87"/>
    <mergeCell ref="C87:D87"/>
    <mergeCell ref="C84:D84"/>
    <mergeCell ref="C15:E15"/>
    <mergeCell ref="C16:E16"/>
    <mergeCell ref="C17:E17"/>
    <mergeCell ref="C18:E18"/>
    <mergeCell ref="C19:E19"/>
    <mergeCell ref="C20:E20"/>
    <mergeCell ref="C49:I49"/>
    <mergeCell ref="C51:I51"/>
    <mergeCell ref="A85:B85"/>
    <mergeCell ref="C85:D85"/>
    <mergeCell ref="A76:B76"/>
    <mergeCell ref="C78:D78"/>
    <mergeCell ref="A77:B77"/>
    <mergeCell ref="C76:D76"/>
    <mergeCell ref="A98:C98"/>
    <mergeCell ref="A92:C92"/>
    <mergeCell ref="H88:I88"/>
    <mergeCell ref="H92:I92"/>
    <mergeCell ref="A102:F102"/>
    <mergeCell ref="H102:I102"/>
    <mergeCell ref="H100:I100"/>
    <mergeCell ref="A101:F101"/>
    <mergeCell ref="A100:F100"/>
    <mergeCell ref="A99:I99"/>
    <mergeCell ref="A95:C95"/>
    <mergeCell ref="H97:I97"/>
    <mergeCell ref="H98:I98"/>
    <mergeCell ref="H91:I91"/>
    <mergeCell ref="H93:I93"/>
    <mergeCell ref="H96:I96"/>
    <mergeCell ref="H94:I94"/>
    <mergeCell ref="C306:I306"/>
    <mergeCell ref="A305:I305"/>
    <mergeCell ref="A89:I89"/>
    <mergeCell ref="A90:C90"/>
    <mergeCell ref="H90:I90"/>
    <mergeCell ref="F140:G140"/>
    <mergeCell ref="A111:I111"/>
    <mergeCell ref="C165:D165"/>
    <mergeCell ref="F165:G165"/>
    <mergeCell ref="C166:D166"/>
    <mergeCell ref="F166:G166"/>
    <mergeCell ref="A151:I151"/>
    <mergeCell ref="C156:D156"/>
    <mergeCell ref="F156:G156"/>
    <mergeCell ref="C157:D157"/>
    <mergeCell ref="F157:G157"/>
    <mergeCell ref="C158:D158"/>
    <mergeCell ref="F158:G158"/>
    <mergeCell ref="C159:D159"/>
    <mergeCell ref="F104:G104"/>
    <mergeCell ref="A91:C91"/>
    <mergeCell ref="A93:C93"/>
    <mergeCell ref="A94:C94"/>
    <mergeCell ref="A104:B104"/>
    <mergeCell ref="A44:B44"/>
    <mergeCell ref="A45:B45"/>
    <mergeCell ref="A46:B46"/>
    <mergeCell ref="E45:G45"/>
    <mergeCell ref="E44:G44"/>
    <mergeCell ref="E46:G46"/>
    <mergeCell ref="C44:D44"/>
    <mergeCell ref="C45:D45"/>
    <mergeCell ref="C46:D46"/>
    <mergeCell ref="A72:I72"/>
    <mergeCell ref="C82:D82"/>
    <mergeCell ref="C83:D83"/>
    <mergeCell ref="A78:B78"/>
    <mergeCell ref="C77:D77"/>
    <mergeCell ref="C75:D75"/>
    <mergeCell ref="A73:C74"/>
    <mergeCell ref="D73:D74"/>
    <mergeCell ref="F73:G73"/>
    <mergeCell ref="F74:G74"/>
    <mergeCell ref="F75:G75"/>
    <mergeCell ref="A75:B75"/>
    <mergeCell ref="A79:B79"/>
    <mergeCell ref="A80:B80"/>
    <mergeCell ref="A81:B81"/>
    <mergeCell ref="A82:B82"/>
    <mergeCell ref="H75:I75"/>
    <mergeCell ref="C79:D79"/>
    <mergeCell ref="C80:D80"/>
    <mergeCell ref="C81:D81"/>
    <mergeCell ref="G2:H2"/>
    <mergeCell ref="G5:H5"/>
    <mergeCell ref="H46:I46"/>
    <mergeCell ref="H44:I44"/>
    <mergeCell ref="A3:C3"/>
    <mergeCell ref="E3:F3"/>
    <mergeCell ref="A26:I26"/>
    <mergeCell ref="H27:I27"/>
    <mergeCell ref="G41:H41"/>
    <mergeCell ref="H21:I21"/>
    <mergeCell ref="H22:I22"/>
    <mergeCell ref="A10:A12"/>
    <mergeCell ref="E11:I11"/>
    <mergeCell ref="E12:I12"/>
    <mergeCell ref="H7:I7"/>
    <mergeCell ref="A6:I6"/>
    <mergeCell ref="A13:C13"/>
    <mergeCell ref="A34:I34"/>
    <mergeCell ref="H31:I31"/>
    <mergeCell ref="H30:I30"/>
    <mergeCell ref="A14:I14"/>
    <mergeCell ref="C27:E27"/>
    <mergeCell ref="C28:E28"/>
    <mergeCell ref="A4:C4"/>
    <mergeCell ref="A1:I1"/>
    <mergeCell ref="A5:C5"/>
    <mergeCell ref="A308:C308"/>
    <mergeCell ref="H28:I28"/>
    <mergeCell ref="H29:I29"/>
    <mergeCell ref="A38:I38"/>
    <mergeCell ref="H48:I48"/>
    <mergeCell ref="A43:I43"/>
    <mergeCell ref="A47:I47"/>
    <mergeCell ref="A103:I103"/>
    <mergeCell ref="H101:I101"/>
    <mergeCell ref="A2:C2"/>
    <mergeCell ref="E2:F2"/>
    <mergeCell ref="A42:C42"/>
    <mergeCell ref="H42:I42"/>
    <mergeCell ref="E5:F5"/>
    <mergeCell ref="E13:I13"/>
    <mergeCell ref="A7:C7"/>
    <mergeCell ref="A8:C8"/>
    <mergeCell ref="A9:C9"/>
    <mergeCell ref="E9:I9"/>
    <mergeCell ref="H8:I8"/>
    <mergeCell ref="E10:I10"/>
    <mergeCell ref="C22:E22"/>
    <mergeCell ref="C25:I25"/>
    <mergeCell ref="C24:I24"/>
    <mergeCell ref="H37:I37"/>
    <mergeCell ref="A463:C463"/>
    <mergeCell ref="H463:I463"/>
    <mergeCell ref="A307:I307"/>
    <mergeCell ref="E309:I309"/>
    <mergeCell ref="A454:I454"/>
    <mergeCell ref="A460:I460"/>
    <mergeCell ref="A461:I461"/>
    <mergeCell ref="A462:I462"/>
    <mergeCell ref="A455:I455"/>
    <mergeCell ref="A456:I456"/>
    <mergeCell ref="A457:I457"/>
    <mergeCell ref="A458:I458"/>
    <mergeCell ref="A309:C309"/>
    <mergeCell ref="A453:I453"/>
    <mergeCell ref="A459:I459"/>
    <mergeCell ref="A403:I403"/>
    <mergeCell ref="E308:I308"/>
    <mergeCell ref="A310:C310"/>
    <mergeCell ref="E310:I310"/>
    <mergeCell ref="A360:I360"/>
    <mergeCell ref="A114:I114"/>
    <mergeCell ref="H15:I15"/>
    <mergeCell ref="G39:H39"/>
    <mergeCell ref="A40:C40"/>
    <mergeCell ref="A36:C36"/>
    <mergeCell ref="A41:C41"/>
    <mergeCell ref="A39:C39"/>
    <mergeCell ref="H17:I17"/>
    <mergeCell ref="H18:I18"/>
    <mergeCell ref="H16:I16"/>
    <mergeCell ref="H19:I19"/>
    <mergeCell ref="H20:I20"/>
    <mergeCell ref="H32:I32"/>
    <mergeCell ref="G40:H40"/>
    <mergeCell ref="C31:E31"/>
    <mergeCell ref="C32:E32"/>
    <mergeCell ref="C33:I33"/>
    <mergeCell ref="C29:E29"/>
    <mergeCell ref="C30:E30"/>
    <mergeCell ref="A37:C37"/>
    <mergeCell ref="H36:I36"/>
    <mergeCell ref="A35:C35"/>
    <mergeCell ref="H35:I35"/>
    <mergeCell ref="C23:I23"/>
    <mergeCell ref="C21:E21"/>
    <mergeCell ref="A116:B123"/>
    <mergeCell ref="C119:D119"/>
    <mergeCell ref="F119:G119"/>
    <mergeCell ref="C120:D120"/>
    <mergeCell ref="F120:G120"/>
    <mergeCell ref="A133:I133"/>
    <mergeCell ref="C138:D138"/>
    <mergeCell ref="F138:G138"/>
    <mergeCell ref="C117:D117"/>
    <mergeCell ref="F117:G117"/>
    <mergeCell ref="C118:D118"/>
    <mergeCell ref="F118:G118"/>
    <mergeCell ref="C128:D128"/>
    <mergeCell ref="F128:G128"/>
    <mergeCell ref="C131:D131"/>
    <mergeCell ref="F131:G131"/>
    <mergeCell ref="A125:B132"/>
    <mergeCell ref="C132:D132"/>
    <mergeCell ref="F132:G132"/>
    <mergeCell ref="F139:G139"/>
    <mergeCell ref="C121:D121"/>
    <mergeCell ref="F121:G121"/>
    <mergeCell ref="A115:I115"/>
    <mergeCell ref="C116:D116"/>
    <mergeCell ref="F116:G116"/>
    <mergeCell ref="C139:D139"/>
    <mergeCell ref="C129:D129"/>
    <mergeCell ref="F129:G129"/>
    <mergeCell ref="C130:D130"/>
    <mergeCell ref="F130:G130"/>
    <mergeCell ref="C122:D122"/>
    <mergeCell ref="F122:G122"/>
    <mergeCell ref="C123:D123"/>
    <mergeCell ref="F123:G123"/>
    <mergeCell ref="A124:I124"/>
    <mergeCell ref="C125:D125"/>
    <mergeCell ref="F125:G125"/>
    <mergeCell ref="C126:D126"/>
    <mergeCell ref="F126:G126"/>
    <mergeCell ref="C127:D127"/>
    <mergeCell ref="F127:G127"/>
    <mergeCell ref="E134:H137"/>
    <mergeCell ref="I134:I137"/>
    <mergeCell ref="K18:M18"/>
    <mergeCell ref="K19:M19"/>
    <mergeCell ref="A68:B68"/>
    <mergeCell ref="C68:D68"/>
    <mergeCell ref="A69:B69"/>
    <mergeCell ref="C69:D69"/>
    <mergeCell ref="A70:B70"/>
    <mergeCell ref="C70:D70"/>
    <mergeCell ref="A71:B71"/>
    <mergeCell ref="C71:D71"/>
    <mergeCell ref="C63:D63"/>
    <mergeCell ref="A64:B64"/>
    <mergeCell ref="C64:D64"/>
    <mergeCell ref="A65:B65"/>
    <mergeCell ref="C65:D65"/>
    <mergeCell ref="A66:B66"/>
    <mergeCell ref="C66:D66"/>
    <mergeCell ref="A67:B67"/>
    <mergeCell ref="A57:C58"/>
    <mergeCell ref="D57:D58"/>
    <mergeCell ref="F57:G57"/>
    <mergeCell ref="F58:G58"/>
    <mergeCell ref="A59:B59"/>
    <mergeCell ref="C59:D59"/>
    <mergeCell ref="H45:I45"/>
    <mergeCell ref="H60:I71"/>
    <mergeCell ref="A61:B61"/>
    <mergeCell ref="C61:D61"/>
    <mergeCell ref="A62:B62"/>
    <mergeCell ref="C62:D62"/>
    <mergeCell ref="A63:B63"/>
    <mergeCell ref="F59:G59"/>
    <mergeCell ref="A60:B60"/>
    <mergeCell ref="C60:D60"/>
    <mergeCell ref="F60:G71"/>
    <mergeCell ref="C67:D67"/>
    <mergeCell ref="C48:E48"/>
    <mergeCell ref="A56:I56"/>
    <mergeCell ref="H59:I59"/>
    <mergeCell ref="C50:I50"/>
    <mergeCell ref="A50:A51"/>
    <mergeCell ref="C52:I52"/>
    <mergeCell ref="C54:I54"/>
    <mergeCell ref="C55:I55"/>
    <mergeCell ref="C53:I53"/>
    <mergeCell ref="C220:D220"/>
    <mergeCell ref="F220:G220"/>
    <mergeCell ref="C221:D221"/>
    <mergeCell ref="F221:G221"/>
    <mergeCell ref="A216:B223"/>
    <mergeCell ref="C222:D222"/>
    <mergeCell ref="F222:G222"/>
    <mergeCell ref="C223:D223"/>
    <mergeCell ref="F223:G223"/>
    <mergeCell ref="A215:I215"/>
    <mergeCell ref="C216:D216"/>
    <mergeCell ref="F216:G216"/>
    <mergeCell ref="C217:D217"/>
    <mergeCell ref="F217:G217"/>
    <mergeCell ref="C218:D218"/>
    <mergeCell ref="F218:G218"/>
    <mergeCell ref="C219:D219"/>
    <mergeCell ref="F219:G219"/>
    <mergeCell ref="C239:D239"/>
    <mergeCell ref="F239:G239"/>
    <mergeCell ref="C240:D240"/>
    <mergeCell ref="F240:G240"/>
    <mergeCell ref="C241:D241"/>
    <mergeCell ref="F241:G241"/>
    <mergeCell ref="A224:I224"/>
    <mergeCell ref="A225:B232"/>
    <mergeCell ref="C225:D225"/>
    <mergeCell ref="C226:D226"/>
    <mergeCell ref="C227:D227"/>
    <mergeCell ref="C228:D228"/>
    <mergeCell ref="C229:D229"/>
    <mergeCell ref="F229:G229"/>
    <mergeCell ref="C230:D230"/>
    <mergeCell ref="F230:G230"/>
    <mergeCell ref="C231:D231"/>
    <mergeCell ref="F231:G231"/>
    <mergeCell ref="C232:D232"/>
    <mergeCell ref="F232:G232"/>
    <mergeCell ref="I234:I237"/>
    <mergeCell ref="I225:I228"/>
    <mergeCell ref="F214:G214"/>
    <mergeCell ref="C214:D214"/>
    <mergeCell ref="A251:I251"/>
    <mergeCell ref="A252:B259"/>
    <mergeCell ref="C252:D252"/>
    <mergeCell ref="C253:D253"/>
    <mergeCell ref="C254:D254"/>
    <mergeCell ref="C255:D255"/>
    <mergeCell ref="C256:D256"/>
    <mergeCell ref="F256:G256"/>
    <mergeCell ref="C257:D257"/>
    <mergeCell ref="F257:G257"/>
    <mergeCell ref="C258:D258"/>
    <mergeCell ref="F258:G258"/>
    <mergeCell ref="C259:D259"/>
    <mergeCell ref="F259:G259"/>
    <mergeCell ref="A233:I233"/>
    <mergeCell ref="A234:B241"/>
    <mergeCell ref="C234:D234"/>
    <mergeCell ref="C235:D235"/>
    <mergeCell ref="C236:D236"/>
    <mergeCell ref="C237:D237"/>
    <mergeCell ref="C238:D238"/>
    <mergeCell ref="F238:G238"/>
    <mergeCell ref="F300:G300"/>
    <mergeCell ref="C301:D301"/>
    <mergeCell ref="A260:I260"/>
    <mergeCell ref="A261:B268"/>
    <mergeCell ref="C261:D261"/>
    <mergeCell ref="F261:G261"/>
    <mergeCell ref="C262:D262"/>
    <mergeCell ref="F262:G262"/>
    <mergeCell ref="C263:D263"/>
    <mergeCell ref="F263:G263"/>
    <mergeCell ref="C264:D264"/>
    <mergeCell ref="F264:G264"/>
    <mergeCell ref="C265:D265"/>
    <mergeCell ref="F265:G265"/>
    <mergeCell ref="C266:D266"/>
    <mergeCell ref="F266:G266"/>
    <mergeCell ref="C267:D267"/>
    <mergeCell ref="F267:G267"/>
    <mergeCell ref="C268:D268"/>
    <mergeCell ref="F268:G268"/>
    <mergeCell ref="A269:I269"/>
    <mergeCell ref="A270:B277"/>
    <mergeCell ref="F270:G270"/>
    <mergeCell ref="C271:D271"/>
    <mergeCell ref="C304:D304"/>
    <mergeCell ref="F304:G304"/>
    <mergeCell ref="A287:I287"/>
    <mergeCell ref="A288:B295"/>
    <mergeCell ref="C288:D288"/>
    <mergeCell ref="F288:G288"/>
    <mergeCell ref="C289:D289"/>
    <mergeCell ref="F289:G289"/>
    <mergeCell ref="C290:D290"/>
    <mergeCell ref="F290:G290"/>
    <mergeCell ref="C291:D291"/>
    <mergeCell ref="F291:G291"/>
    <mergeCell ref="C292:D292"/>
    <mergeCell ref="F292:G292"/>
    <mergeCell ref="C293:D293"/>
    <mergeCell ref="F293:G293"/>
    <mergeCell ref="C294:D294"/>
    <mergeCell ref="E301:H301"/>
    <mergeCell ref="A297:B304"/>
    <mergeCell ref="C297:D297"/>
    <mergeCell ref="F297:G297"/>
    <mergeCell ref="C300:D300"/>
    <mergeCell ref="F298:G298"/>
    <mergeCell ref="C299:D299"/>
    <mergeCell ref="C207:D207"/>
    <mergeCell ref="A207:B214"/>
    <mergeCell ref="E234:H237"/>
    <mergeCell ref="E225:H228"/>
    <mergeCell ref="F208:G208"/>
    <mergeCell ref="C208:D208"/>
    <mergeCell ref="A296:I296"/>
    <mergeCell ref="C249:D249"/>
    <mergeCell ref="F249:G249"/>
    <mergeCell ref="C281:D281"/>
    <mergeCell ref="F281:G281"/>
    <mergeCell ref="C282:D282"/>
    <mergeCell ref="F282:G282"/>
    <mergeCell ref="C283:D283"/>
    <mergeCell ref="C284:D284"/>
    <mergeCell ref="C285:D285"/>
    <mergeCell ref="F285:G285"/>
    <mergeCell ref="F271:G271"/>
    <mergeCell ref="C272:D272"/>
    <mergeCell ref="F272:G272"/>
    <mergeCell ref="C286:D286"/>
    <mergeCell ref="F286:G286"/>
    <mergeCell ref="C250:D250"/>
    <mergeCell ref="F250:G250"/>
    <mergeCell ref="A206:I206"/>
    <mergeCell ref="A205:I205"/>
    <mergeCell ref="E283:H284"/>
    <mergeCell ref="I283:I284"/>
    <mergeCell ref="E274:H275"/>
    <mergeCell ref="I274:I275"/>
    <mergeCell ref="F213:G213"/>
    <mergeCell ref="C213:D213"/>
    <mergeCell ref="F212:G212"/>
    <mergeCell ref="C212:D212"/>
    <mergeCell ref="F211:G211"/>
    <mergeCell ref="C211:D211"/>
    <mergeCell ref="F210:G210"/>
    <mergeCell ref="C210:D210"/>
    <mergeCell ref="F209:G209"/>
    <mergeCell ref="C209:D209"/>
    <mergeCell ref="A278:I278"/>
    <mergeCell ref="A279:B286"/>
    <mergeCell ref="C279:D279"/>
    <mergeCell ref="F279:G279"/>
    <mergeCell ref="C280:D280"/>
    <mergeCell ref="F280:G280"/>
    <mergeCell ref="E252:H255"/>
    <mergeCell ref="I252:I255"/>
    <mergeCell ref="F299:G299"/>
    <mergeCell ref="F294:G294"/>
    <mergeCell ref="C295:D295"/>
    <mergeCell ref="F295:G295"/>
    <mergeCell ref="C273:D273"/>
    <mergeCell ref="F273:G273"/>
    <mergeCell ref="C274:D274"/>
    <mergeCell ref="C275:D275"/>
    <mergeCell ref="C276:D276"/>
    <mergeCell ref="F276:G276"/>
    <mergeCell ref="C277:D277"/>
    <mergeCell ref="F277:G277"/>
    <mergeCell ref="C302:D302"/>
    <mergeCell ref="F302:G302"/>
    <mergeCell ref="C303:D303"/>
    <mergeCell ref="F303:G303"/>
    <mergeCell ref="E152:H155"/>
    <mergeCell ref="I152:I155"/>
    <mergeCell ref="E243:H246"/>
    <mergeCell ref="I243:I246"/>
    <mergeCell ref="E174:H175"/>
    <mergeCell ref="I174:I175"/>
    <mergeCell ref="E201:H201"/>
    <mergeCell ref="F207:G207"/>
    <mergeCell ref="A242:I242"/>
    <mergeCell ref="A243:B250"/>
    <mergeCell ref="C243:D243"/>
    <mergeCell ref="C244:D244"/>
    <mergeCell ref="C245:D245"/>
    <mergeCell ref="C246:D246"/>
    <mergeCell ref="C247:D247"/>
    <mergeCell ref="F247:G247"/>
    <mergeCell ref="C248:D248"/>
    <mergeCell ref="F248:G248"/>
    <mergeCell ref="C270:D270"/>
    <mergeCell ref="C298:D298"/>
    <mergeCell ref="A84:B84"/>
    <mergeCell ref="A83:B83"/>
    <mergeCell ref="A96:C96"/>
    <mergeCell ref="H112:H113"/>
    <mergeCell ref="F112:G113"/>
    <mergeCell ref="E112:E113"/>
    <mergeCell ref="C112:D113"/>
    <mergeCell ref="A112:B113"/>
    <mergeCell ref="A107:B108"/>
    <mergeCell ref="C107:D107"/>
    <mergeCell ref="F107:G107"/>
    <mergeCell ref="C108:D108"/>
    <mergeCell ref="F108:G108"/>
    <mergeCell ref="A109:B109"/>
    <mergeCell ref="F109:G109"/>
    <mergeCell ref="C109:E109"/>
    <mergeCell ref="F105:G105"/>
    <mergeCell ref="F106:G106"/>
    <mergeCell ref="C105:D105"/>
    <mergeCell ref="C106:D106"/>
    <mergeCell ref="H95:I95"/>
    <mergeCell ref="C104:D104"/>
    <mergeCell ref="A88:G88"/>
    <mergeCell ref="A97:C97"/>
  </mergeCells>
  <hyperlinks>
    <hyperlink ref="C24" r:id="rId1"/>
  </hyperlinks>
  <printOptions horizontalCentered="1"/>
  <pageMargins left="0.27559055118110237" right="0.27559055118110237" top="0.70866141732283472" bottom="0.47244094488188981" header="0.15748031496062992" footer="0.15748031496062992"/>
  <pageSetup paperSize="9" scale="62" fitToHeight="0" orientation="portrait" r:id="rId2"/>
  <headerFooter>
    <oddHeader>&amp;C&amp;25&amp;G</oddHeader>
    <oddFooter>&amp;L&amp;"Times New Roman,Bold"&amp;16Ref No: &amp;F&amp;R&amp;"Times New Roman,Bold"&amp;16&amp;P</oddFooter>
  </headerFooter>
  <rowBreaks count="4" manualBreakCount="4">
    <brk id="102" max="8" man="1"/>
    <brk id="306" max="8" man="1"/>
    <brk id="359" max="8" man="1"/>
    <brk id="402" max="8" man="1"/>
  </rowBreaks>
  <drawing r:id="rId3"/>
  <legacyDrawing r:id="rId4"/>
  <legacyDrawingHF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Report</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cp:lastModifiedBy>
  <cp:lastPrinted>2025-08-07T10:05:44Z</cp:lastPrinted>
  <dcterms:created xsi:type="dcterms:W3CDTF">2010-11-23T11:42:48Z</dcterms:created>
  <dcterms:modified xsi:type="dcterms:W3CDTF">2025-08-07T10:05:47Z</dcterms:modified>
</cp:coreProperties>
</file>