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SJCV\Making\AXIS\2025-26\Axis\APF Old\August 2025\07-08-2025\"/>
    </mc:Choice>
  </mc:AlternateContent>
  <bookViews>
    <workbookView xWindow="0" yWindow="0" windowWidth="19200" windowHeight="6640"/>
  </bookViews>
  <sheets>
    <sheet name="Report (2)" sheetId="1" r:id="rId1"/>
    <sheet name="Valution" sheetId="6" r:id="rId2"/>
  </sheets>
  <definedNames>
    <definedName name="_xlnm.Print_Area" localSheetId="0">'Report (2)'!$A$1:$J$277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6" i="1" l="1"/>
  <c r="D175" i="1"/>
  <c r="D174" i="1"/>
  <c r="D172" i="1"/>
  <c r="D171" i="1"/>
  <c r="D170" i="1"/>
  <c r="D165" i="1"/>
  <c r="D168" i="1"/>
  <c r="D167" i="1"/>
  <c r="D166" i="1"/>
  <c r="D163" i="1"/>
  <c r="D162" i="1"/>
  <c r="D161" i="1"/>
  <c r="D160" i="1"/>
  <c r="D158" i="1"/>
  <c r="D153" i="1"/>
  <c r="D157" i="1"/>
  <c r="D156" i="1"/>
  <c r="D155" i="1"/>
  <c r="D150" i="1"/>
  <c r="F153" i="1"/>
  <c r="D151" i="1"/>
  <c r="F150" i="1"/>
  <c r="G150" i="1" s="1"/>
  <c r="F151" i="1"/>
  <c r="D144" i="1"/>
  <c r="D140" i="1"/>
  <c r="D143" i="1"/>
  <c r="D139" i="1"/>
  <c r="D131" i="1"/>
  <c r="D142" i="1"/>
  <c r="D138" i="1"/>
  <c r="D135" i="1"/>
  <c r="D134" i="1"/>
  <c r="D132" i="1"/>
  <c r="D128" i="1"/>
  <c r="D130" i="1"/>
  <c r="D127" i="1"/>
  <c r="D126" i="1"/>
  <c r="D118" i="1"/>
  <c r="D120" i="1"/>
  <c r="D119" i="1"/>
  <c r="D116" i="1"/>
  <c r="D115" i="1"/>
  <c r="D114" i="1"/>
  <c r="D109" i="1"/>
  <c r="G153" i="1" l="1"/>
  <c r="G151" i="1"/>
  <c r="D112" i="1"/>
  <c r="D111" i="1"/>
  <c r="D110" i="1"/>
  <c r="D107" i="1"/>
  <c r="D106" i="1"/>
  <c r="D101" i="1"/>
  <c r="G101" i="1" s="1"/>
  <c r="D105" i="1"/>
  <c r="D104" i="1"/>
  <c r="D99" i="1"/>
  <c r="D102" i="1"/>
  <c r="D100" i="1"/>
  <c r="F101" i="1"/>
  <c r="F100" i="1"/>
  <c r="F99" i="1"/>
  <c r="F41" i="1"/>
  <c r="F40" i="1" s="1"/>
  <c r="C58" i="1"/>
  <c r="H46" i="1"/>
  <c r="D85" i="1" l="1"/>
  <c r="G100" i="1"/>
  <c r="G99" i="1"/>
  <c r="F3" i="1"/>
  <c r="C63" i="1" l="1"/>
  <c r="L67" i="1" l="1"/>
  <c r="L66" i="1"/>
  <c r="I57" i="1"/>
  <c r="L60" i="1" l="1"/>
  <c r="D69" i="1"/>
  <c r="D67" i="1"/>
  <c r="D65" i="1"/>
  <c r="D63" i="1"/>
  <c r="L61" i="1"/>
  <c r="C60" i="1" s="1"/>
  <c r="D60" i="1" s="1"/>
  <c r="L59" i="1"/>
  <c r="L62" i="1"/>
  <c r="L63" i="1" s="1"/>
  <c r="L68" i="1" s="1"/>
  <c r="D68" i="1"/>
  <c r="D66" i="1"/>
  <c r="D64" i="1"/>
  <c r="D62" i="1"/>
  <c r="G110" i="1"/>
  <c r="L64" i="1" l="1"/>
  <c r="L65" i="1" s="1"/>
  <c r="F24" i="6"/>
  <c r="G24" i="6" s="1"/>
  <c r="F25" i="6"/>
  <c r="G25" i="6" s="1"/>
  <c r="F26" i="6"/>
  <c r="G26" i="6" s="1"/>
  <c r="F27" i="6"/>
  <c r="G27" i="6" s="1"/>
  <c r="F28" i="6"/>
  <c r="F23" i="6"/>
  <c r="G23" i="6" s="1"/>
  <c r="G28" i="6"/>
  <c r="I142" i="1"/>
  <c r="I138" i="1"/>
  <c r="I134" i="1"/>
  <c r="I130" i="1"/>
  <c r="I126" i="1"/>
  <c r="I118" i="1"/>
  <c r="I114" i="1"/>
  <c r="I109" i="1"/>
  <c r="I104" i="1"/>
  <c r="I99" i="1"/>
  <c r="I174" i="1"/>
  <c r="I170" i="1"/>
  <c r="L69" i="1" l="1"/>
  <c r="C61" i="1" s="1"/>
  <c r="G29" i="6"/>
  <c r="G140" i="1"/>
  <c r="G138" i="1"/>
  <c r="F60" i="1" l="1"/>
  <c r="K56" i="1" s="1"/>
  <c r="D61" i="1"/>
  <c r="H60" i="1"/>
  <c r="G139" i="1"/>
  <c r="G144" i="1"/>
  <c r="G143" i="1"/>
  <c r="G142" i="1"/>
  <c r="L142" i="1" s="1"/>
  <c r="C87" i="1" l="1"/>
  <c r="D87" i="1"/>
  <c r="G176" i="1"/>
  <c r="G175" i="1"/>
  <c r="G174" i="1"/>
  <c r="G172" i="1"/>
  <c r="G171" i="1"/>
  <c r="L171" i="1" s="1"/>
  <c r="G170" i="1"/>
  <c r="G168" i="1"/>
  <c r="G167" i="1"/>
  <c r="G166" i="1"/>
  <c r="I165" i="1"/>
  <c r="G165" i="1"/>
  <c r="L165" i="1" s="1"/>
  <c r="G163" i="1"/>
  <c r="L163" i="1" s="1"/>
  <c r="G162" i="1"/>
  <c r="G161" i="1"/>
  <c r="I160" i="1"/>
  <c r="G160" i="1"/>
  <c r="G135" i="1"/>
  <c r="G134" i="1"/>
  <c r="G132" i="1"/>
  <c r="G130" i="1"/>
  <c r="F127" i="1"/>
  <c r="G120" i="1"/>
  <c r="G119" i="1"/>
  <c r="L119" i="1" s="1"/>
  <c r="G118" i="1"/>
  <c r="G116" i="1"/>
  <c r="G115" i="1"/>
  <c r="L115" i="1" s="1"/>
  <c r="G114" i="1"/>
  <c r="G112" i="1"/>
  <c r="G111" i="1"/>
  <c r="L111" i="1" s="1"/>
  <c r="D95" i="1"/>
  <c r="N114" i="1" l="1"/>
  <c r="M114" i="1"/>
  <c r="L168" i="1"/>
  <c r="C85" i="1"/>
  <c r="D86" i="1"/>
  <c r="D88" i="1" s="1"/>
  <c r="C86" i="1"/>
  <c r="G109" i="1"/>
  <c r="G131" i="1"/>
  <c r="I155" i="1"/>
  <c r="C14" i="1"/>
  <c r="G158" i="1"/>
  <c r="G157" i="1"/>
  <c r="G155" i="1"/>
  <c r="G156" i="1"/>
  <c r="G128" i="1"/>
  <c r="G126" i="1"/>
  <c r="G107" i="1"/>
  <c r="G106" i="1"/>
  <c r="L106" i="1" s="1"/>
  <c r="G105" i="1"/>
  <c r="G104" i="1"/>
  <c r="G102" i="1"/>
  <c r="C88" i="1" l="1"/>
  <c r="G87" i="1"/>
  <c r="G85" i="1"/>
  <c r="G127" i="1"/>
  <c r="G86" i="1" s="1"/>
  <c r="G88" i="1" l="1"/>
  <c r="L153" i="1"/>
  <c r="D190" i="1"/>
  <c r="G82" i="1"/>
  <c r="C46" i="1"/>
  <c r="D52" i="1"/>
  <c r="F7" i="1"/>
</calcChain>
</file>

<file path=xl/sharedStrings.xml><?xml version="1.0" encoding="utf-8"?>
<sst xmlns="http://schemas.openxmlformats.org/spreadsheetml/2006/main" count="379" uniqueCount="238">
  <si>
    <t xml:space="preserve">Valuation Report </t>
  </si>
  <si>
    <t>Date:</t>
  </si>
  <si>
    <t>CPC Name:</t>
  </si>
  <si>
    <t>Date Of Property Visit</t>
  </si>
  <si>
    <t>Name of the builder group</t>
  </si>
  <si>
    <t>Name of the builder company</t>
  </si>
  <si>
    <t>Name of the Project</t>
  </si>
  <si>
    <t>Name / No of the Building</t>
  </si>
  <si>
    <t>Docouments Provided</t>
  </si>
  <si>
    <t>RERA No.</t>
  </si>
  <si>
    <t xml:space="preserve">Project location details       </t>
  </si>
  <si>
    <t>Road</t>
  </si>
  <si>
    <t>District</t>
  </si>
  <si>
    <t>City</t>
  </si>
  <si>
    <t>Pin Code</t>
  </si>
  <si>
    <t>Near by Landmark</t>
  </si>
  <si>
    <t xml:space="preserve">Distance from city centre: </t>
  </si>
  <si>
    <t>all available at  1 to 2 km.</t>
  </si>
  <si>
    <t>Does property have Electricity / Water / Drainage Connection</t>
  </si>
  <si>
    <t>Yes</t>
  </si>
  <si>
    <t>Class of locality</t>
  </si>
  <si>
    <t>Nature of land with topographical condtion</t>
  </si>
  <si>
    <t>Plane</t>
  </si>
  <si>
    <t xml:space="preserve">Nature of the locality </t>
  </si>
  <si>
    <t>Quality of infrastructure in vicinity</t>
  </si>
  <si>
    <t>Good</t>
  </si>
  <si>
    <t>Boundaries</t>
  </si>
  <si>
    <t>East</t>
  </si>
  <si>
    <t>West</t>
  </si>
  <si>
    <t>South</t>
  </si>
  <si>
    <t>North</t>
  </si>
  <si>
    <t>As per deed</t>
  </si>
  <si>
    <t>NA</t>
  </si>
  <si>
    <t>At site</t>
  </si>
  <si>
    <t>Does the boundaries at site match, as mentioned in the Docoumentation: NA</t>
  </si>
  <si>
    <t>Type of Structure : RCC Frame Structure</t>
  </si>
  <si>
    <t xml:space="preserve">Latitude &amp; Longitude </t>
  </si>
  <si>
    <t>Approval details:</t>
  </si>
  <si>
    <t xml:space="preserve">Approved usage of the Property:                                                                                                                                             </t>
  </si>
  <si>
    <t xml:space="preserve">(Restrictive Covenants in regard to Land Use, if any)    </t>
  </si>
  <si>
    <t>No</t>
  </si>
  <si>
    <t>Area Statement Details :</t>
  </si>
  <si>
    <t>Total land area of the project in Sq. Mt.</t>
  </si>
  <si>
    <t>Permissible FSI</t>
  </si>
  <si>
    <t>Permissible TDR/Paid FSI</t>
  </si>
  <si>
    <t>Total FSI availaible for the project</t>
  </si>
  <si>
    <t>Total Approved Builtup area of the project in Sq. Mt.</t>
  </si>
  <si>
    <t>Total number of Buildings</t>
  </si>
  <si>
    <t xml:space="preserve">Approval Detail : Plan approval </t>
  </si>
  <si>
    <t xml:space="preserve">Layout Approval No     </t>
  </si>
  <si>
    <t>Dated</t>
  </si>
  <si>
    <t xml:space="preserve">Approved Floor plan No.  </t>
  </si>
  <si>
    <t>Commencement Certificate No.</t>
  </si>
  <si>
    <t xml:space="preserve">Date of approval: </t>
  </si>
  <si>
    <t xml:space="preserve">Commencement date of construction </t>
  </si>
  <si>
    <t>Expected Completion</t>
  </si>
  <si>
    <t>Building wise Construction details</t>
  </si>
  <si>
    <t>Approved area of the building in Sq.Mt</t>
  </si>
  <si>
    <t>Approved no of units</t>
  </si>
  <si>
    <t>Approved no of Floors</t>
  </si>
  <si>
    <t>Type of Work</t>
  </si>
  <si>
    <t>Plinth</t>
  </si>
  <si>
    <t>Violations Observed if any : NA</t>
  </si>
  <si>
    <t>Recommended Rates of the Property :</t>
  </si>
  <si>
    <t xml:space="preserve">Recommended rate of Parking </t>
  </si>
  <si>
    <t>Distressed valuation of the Property</t>
  </si>
  <si>
    <t>Building &amp; Wing</t>
  </si>
  <si>
    <t>Total Carpet Area</t>
  </si>
  <si>
    <t>Total Saleable Area</t>
  </si>
  <si>
    <t>Total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</si>
  <si>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</si>
  <si>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</si>
  <si>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</si>
  <si>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</si>
  <si>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</si>
  <si>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Saleable area</t>
  </si>
  <si>
    <t>PLC Y/N</t>
  </si>
  <si>
    <t>Floor</t>
  </si>
  <si>
    <t>N</t>
  </si>
  <si>
    <t>Undertaking :</t>
  </si>
  <si>
    <t>1) We have personally visited the property &amp; identified the same based on the documents provided.</t>
  </si>
  <si>
    <t>2) I/We have no direct or Indirect Interest in the property being valued</t>
  </si>
  <si>
    <t>3) The information furnished above is true and correct to my/our knowledge.</t>
  </si>
  <si>
    <t>4) Legal title of the property is not verified by us.</t>
  </si>
  <si>
    <t>5) Gross carpet area =  Net Carpet area + Fungible area.</t>
  </si>
  <si>
    <t>6) Fungible Area= Enclosed Balcony + Flower Bed + Covered Balcony + Service Slab + Duct + Chajja + Wheather Shed area.</t>
  </si>
  <si>
    <t xml:space="preserve">PHOTOGRAPHS OF PROPERTY : 
</t>
  </si>
  <si>
    <t>Google Map :</t>
  </si>
  <si>
    <t xml:space="preserve">Remarks:  </t>
  </si>
  <si>
    <t>Flat</t>
  </si>
  <si>
    <t>Residential Area Details :</t>
  </si>
  <si>
    <t>Basement</t>
  </si>
  <si>
    <t>Podium</t>
  </si>
  <si>
    <t>Ground</t>
  </si>
  <si>
    <t>Locality/Village</t>
  </si>
  <si>
    <t>Taluka</t>
  </si>
  <si>
    <t>Excavation in process</t>
  </si>
  <si>
    <t>Excavation Completed</t>
  </si>
  <si>
    <t>Footing in Process</t>
  </si>
  <si>
    <t>Footing Completed</t>
  </si>
  <si>
    <t>Plinth in process</t>
  </si>
  <si>
    <t>Plinth completed</t>
  </si>
  <si>
    <t>Recommended rate of the flat Per Sq. Ft. ( on Saleable area)</t>
  </si>
  <si>
    <t>Flat/Shop No.</t>
  </si>
  <si>
    <t>Accessibility to the Project from the City: (Proximity to civic amenities like school, hospital, market, etc.)</t>
  </si>
  <si>
    <t>Inspected By :</t>
  </si>
  <si>
    <t>Report Prepared By :</t>
  </si>
  <si>
    <t>Authorized Signatory
Name &amp; Seal of the agency</t>
  </si>
  <si>
    <t>Godrej RKS</t>
  </si>
  <si>
    <t>M/s.Godrej Projects Development Limited</t>
  </si>
  <si>
    <t>CTS No</t>
  </si>
  <si>
    <t>673, 673/1 To 673/20, 783(PT)</t>
  </si>
  <si>
    <t>Borla</t>
  </si>
  <si>
    <t>Mumbai</t>
  </si>
  <si>
    <t>About 1.8Km from Govandi Railway Station</t>
  </si>
  <si>
    <t>Sion - Trombay Road</t>
  </si>
  <si>
    <t>Natraj Gardens - Wedding &amp; Party Hall</t>
  </si>
  <si>
    <t>Chembur</t>
  </si>
  <si>
    <t>A Wing</t>
  </si>
  <si>
    <t>2nd &amp; 3rd Basement Floor is For Parking</t>
  </si>
  <si>
    <t>B Wing</t>
  </si>
  <si>
    <t>C Wing</t>
  </si>
  <si>
    <t xml:space="preserve">Ground Floor is For Reasturant &amp; Retail Shop </t>
  </si>
  <si>
    <t>Ground Floor is For Amenities</t>
  </si>
  <si>
    <t>3BHK</t>
  </si>
  <si>
    <t>4BHK</t>
  </si>
  <si>
    <t>1st Floor</t>
  </si>
  <si>
    <t>2nd Floor is For Residential</t>
  </si>
  <si>
    <t>2BHK</t>
  </si>
  <si>
    <t xml:space="preserve">2nd Floor </t>
  </si>
  <si>
    <t>Quality of construction: NA</t>
  </si>
  <si>
    <t>Residential + Commercial</t>
  </si>
  <si>
    <t>A, B &amp; C Wing</t>
  </si>
  <si>
    <t>Slum</t>
  </si>
  <si>
    <t>Building</t>
  </si>
  <si>
    <t>P51800023915</t>
  </si>
  <si>
    <t>03 Wings</t>
  </si>
  <si>
    <t>No. of Flats</t>
  </si>
  <si>
    <t>Upper Class</t>
  </si>
  <si>
    <t>Developed</t>
  </si>
  <si>
    <t>Axis Goregaon</t>
  </si>
  <si>
    <t>07/10/2020.</t>
  </si>
  <si>
    <t>Asmita</t>
  </si>
  <si>
    <t xml:space="preserve">1st Floor is For Resturant &amp; Retail Shop </t>
  </si>
  <si>
    <t>1st Basement Floor is for Commercial &amp; Parking</t>
  </si>
  <si>
    <t>-</t>
  </si>
  <si>
    <t>Resturant</t>
  </si>
  <si>
    <t>14th Floor</t>
  </si>
  <si>
    <t>1st, 2nd &amp; 3rd Basement Floor is for Parking</t>
  </si>
  <si>
    <t>1st Floor for Amenities</t>
  </si>
  <si>
    <t>2nd Floor for Residential</t>
  </si>
  <si>
    <t>7th Floor (Part Refuge Area)</t>
  </si>
  <si>
    <t>Refuge Area</t>
  </si>
  <si>
    <t>1st &amp; 2nd Basement Floor for Parking (Part Amenities)</t>
  </si>
  <si>
    <t>3rd Basement Floor for Parking</t>
  </si>
  <si>
    <t>Amenity Area</t>
  </si>
  <si>
    <t>1st Floor for Residential &amp; Part Amenties</t>
  </si>
  <si>
    <t>Floors</t>
  </si>
  <si>
    <t xml:space="preserve">Stage of construction: </t>
  </si>
  <si>
    <t>Slab/Floor</t>
  </si>
  <si>
    <t>Complition %</t>
  </si>
  <si>
    <t>Progress %</t>
  </si>
  <si>
    <t>Disbursement %</t>
  </si>
  <si>
    <t>All work Completed. OC Received.</t>
  </si>
  <si>
    <t>Excavation</t>
  </si>
  <si>
    <t>Brickwork</t>
  </si>
  <si>
    <t>Brickwork &amp; Internal Plaster</t>
  </si>
  <si>
    <t>Internal Plaster</t>
  </si>
  <si>
    <t>External Plaster &amp; Plumbing</t>
  </si>
  <si>
    <t>Flooring &amp; Fitting</t>
  </si>
  <si>
    <t>Painting &amp; Wooden</t>
  </si>
  <si>
    <t>Building Common Amenities</t>
  </si>
  <si>
    <t>Possession</t>
  </si>
  <si>
    <t xml:space="preserve">Wing (A, B &amp; C) = 3B + G + 1st to 14th Floor 
</t>
  </si>
  <si>
    <t>3rd to 6th, 8th to 12th Floor</t>
  </si>
  <si>
    <t>5BHK</t>
  </si>
  <si>
    <t>01/07/2021.</t>
  </si>
  <si>
    <t>13th Floor</t>
  </si>
  <si>
    <t>3rd to 6th, 8th, 10th &amp; 12th Floor</t>
  </si>
  <si>
    <t>Market Research Data</t>
  </si>
  <si>
    <t>Source</t>
  </si>
  <si>
    <t>Distance from proposed property</t>
  </si>
  <si>
    <t>Net Carpet</t>
  </si>
  <si>
    <t>Saleable Area</t>
  </si>
  <si>
    <t>Rate on Saleable</t>
  </si>
  <si>
    <t>Market Value</t>
  </si>
  <si>
    <t>Magic Brick</t>
  </si>
  <si>
    <t>99 Acres</t>
  </si>
  <si>
    <t>Average</t>
  </si>
  <si>
    <t xml:space="preserve">Valuation Adopted </t>
  </si>
  <si>
    <t>Flats = 141</t>
  </si>
  <si>
    <t>Water Connection Charges</t>
  </si>
  <si>
    <t>Gas Connection Charges</t>
  </si>
  <si>
    <t>Electricity Connection Charges</t>
  </si>
  <si>
    <t>25,000/-</t>
  </si>
  <si>
    <t>12,00,000/-</t>
  </si>
  <si>
    <t>Corpus Amount</t>
  </si>
  <si>
    <t>5,00,000/-</t>
  </si>
  <si>
    <t>Construction details:</t>
  </si>
  <si>
    <t>Piling Work in process</t>
  </si>
  <si>
    <t>RCC (Including podiums)</t>
  </si>
  <si>
    <t>Basement 1</t>
  </si>
  <si>
    <t>Ext. Plaster &amp; Plumbing</t>
  </si>
  <si>
    <t>Basement 2</t>
  </si>
  <si>
    <t>Basement 3</t>
  </si>
  <si>
    <t>Basement 4</t>
  </si>
  <si>
    <r>
      <t xml:space="preserve">Proposed Amenities :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                                               </t>
    </r>
  </si>
  <si>
    <r>
      <rPr>
        <sz val="11"/>
        <rFont val="Times New Roman"/>
        <family val="1"/>
      </rPr>
      <t>1.Vitrified tiles flooring 2. Granite Kitchen Platform  3. Decorative Enternace  etc.</t>
    </r>
    <r>
      <rPr>
        <b/>
        <sz val="1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                                               </t>
    </r>
  </si>
  <si>
    <t>57,000/-</t>
  </si>
  <si>
    <t>Maintenance Charges</t>
  </si>
  <si>
    <t>LUC Charges</t>
  </si>
  <si>
    <t>10,00,000/-</t>
  </si>
  <si>
    <t>P-2314/2019/(673 And Other)/M/W Ward/BORLA-M/W-CFO/1/New.
1st Part Basement + Part Ground floor + Part 1st floor of Wing A</t>
  </si>
  <si>
    <t>10/03/2022.</t>
  </si>
  <si>
    <t xml:space="preserve">Wing A, B &amp; C = 3B + G + 1st to 14th Floor </t>
  </si>
  <si>
    <t>Location Link</t>
  </si>
  <si>
    <t>19.0471535,72.9075086</t>
  </si>
  <si>
    <t>https://goo.gl/maps/DLss4rTH3STEpdVJ6</t>
  </si>
  <si>
    <t>Valid upto date: 
18/06/2023</t>
  </si>
  <si>
    <t>P-2314/2019/(673  And Other)/M/W Ward/BORLA-M/W/FCC/5/Amend
Valid Up to: "Full CC for Wing B upto top of 14th upper floor + LMR + OHT i.e. total ht. of 52.80Mt. AGL and Full CC for Wing C upto top of 14th upper floor + LMR + OHT i.e. total ht. of 52.80Mt. AGL " as per last approved plans dt. 01.07.2021</t>
  </si>
  <si>
    <t>Office No. 1031, Wing J, Akshar Business Park, Plot No. 03 Sector 25, Near APMC Market,
Vashi, Navi Mumbai, Maharashtra 400703 TEL: 022-46090378/79/80                                                                                                     Email : vsjcapf@gmail.com. Web site : www.vsjadon.com</t>
  </si>
  <si>
    <t>Akash</t>
  </si>
  <si>
    <t>P-2314/2019/(673 And Other)/M/WWard/ BORLA-M/W/OCC/1/New</t>
  </si>
  <si>
    <t xml:space="preserve">P-2314/2019/(673 AND OTHER)/M/W WARD/BORLA-M/W/OCC/1/NEW
Wing- A Comprising Of 3 Level Basement + Ground Floor + 1st To 12th Upper Floors Except 13th &amp; 14th Floor, Wing- B Comprising Of 3 Level Basement + Ground Floor + 1st To 14th Upper Floors And Wing- C Comprising Of 3 Level Basement + Ground Floor + 1st To 13th Upper Floors Except 14th Floor
</t>
  </si>
  <si>
    <t>Part O. Certificate No.: 
Approved upto :</t>
  </si>
  <si>
    <t>Full O. Certificate No.: 
Approved upto :</t>
  </si>
  <si>
    <t>Wheather the construction is as per approved Building plan : Yes</t>
  </si>
  <si>
    <t>Material laying at Site: Nothing</t>
  </si>
  <si>
    <t>7th, 9th &amp; 11th Floor (Part Refuge Area)</t>
  </si>
  <si>
    <t>13th Floor (Part Refuge Area)</t>
  </si>
  <si>
    <t>Approved Layout, Approved Building Plan, CC, OC</t>
  </si>
  <si>
    <t xml:space="preserve">Ground Floor for Restaurant &amp; Retail Shop </t>
  </si>
  <si>
    <t>1.  All work completed. OC received.
2. We considered Saleable area as per our calculation
3. We considered Carpet area as per Approved Plan.
4. We considered Gross carpet area = Net carpet + Deck Area + Utility.
5. We have considered rate by verifying it from market inquire.
6. Car parking is subjected to authentic documentation.
7. We have updated approved layout plan, floor plan, CC &amp; Full OC for wing A, B &amp; C from MCGM site (on 18/12/2023).
10. Validity of CC is expired on 18/06/2022. Please provide revised CC as the construction work goes 
      beyond approved floors in CC.
7. Details of project are collected from Mr. Pratik Sanghvi - 9820779302.</t>
  </si>
  <si>
    <t>Contact Details ( Name &amp; Contact No.)</t>
  </si>
  <si>
    <t>Site Meet Person Contact Details (Name &amp; Contact No)</t>
  </si>
  <si>
    <t>Projected life of the structure: 58 Years</t>
  </si>
  <si>
    <t>Pooja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</si>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</sst>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 * #,##0_ ;_ * \-#,##0_ ;_ * &quot;-&quot;??_ ;_ @_ "/>
  </numFmts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  <xf numFmtId="165" fontId="6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59">
    <xf numFmtId="0" fontId="0" fillId="0" borderId="0" xfId="0"/>
    <xf numFmtId="1" fontId="4" fillId="0" borderId="4" xfId="1" applyNumberFormat="1" applyFont="1" applyBorder="1" applyAlignment="1">
      <alignment horizontal="center" vertical="top" wrapText="1"/>
    </xf>
    <xf numFmtId="0" fontId="7" fillId="0" borderId="4" xfId="4" applyFont="1" applyBorder="1" applyAlignment="1">
      <alignment horizontal="center" vertical="top" wrapText="1"/>
    </xf>
    <xf numFmtId="0" fontId="1" fillId="0" borderId="4" xfId="4" applyBorder="1" applyAlignment="1">
      <alignment horizontal="center" vertical="center"/>
    </xf>
    <xf numFmtId="0" fontId="1" fillId="0" borderId="4" xfId="4" applyBorder="1" applyAlignment="1">
      <alignment horizontal="left" vertical="center"/>
    </xf>
    <xf numFmtId="1" fontId="1" fillId="0" borderId="4" xfId="4" applyNumberFormat="1" applyBorder="1" applyAlignment="1">
      <alignment horizontal="center" vertical="center"/>
    </xf>
    <xf numFmtId="166" fontId="1" fillId="0" borderId="4" xfId="5" applyNumberFormat="1" applyFont="1" applyBorder="1" applyAlignment="1">
      <alignment horizontal="right" vertical="center"/>
    </xf>
    <xf numFmtId="0" fontId="7" fillId="0" borderId="4" xfId="4" applyFont="1" applyBorder="1" applyAlignment="1">
      <alignment horizontal="center" vertical="center"/>
    </xf>
    <xf numFmtId="1" fontId="11" fillId="0" borderId="4" xfId="4" applyNumberFormat="1" applyFont="1" applyBorder="1" applyAlignment="1">
      <alignment horizontal="center" vertical="center"/>
    </xf>
    <xf numFmtId="0" fontId="6" fillId="0" borderId="4" xfId="6" applyBorder="1" applyAlignment="1">
      <alignment horizontal="center" vertical="center"/>
    </xf>
    <xf numFmtId="0" fontId="10" fillId="0" borderId="13" xfId="1" applyFont="1" applyBorder="1" applyProtection="1">
      <protection hidden="1"/>
    </xf>
    <xf numFmtId="0" fontId="10" fillId="0" borderId="14" xfId="1" applyFont="1" applyBorder="1" applyProtection="1">
      <protection hidden="1"/>
    </xf>
    <xf numFmtId="0" fontId="10" fillId="0" borderId="15" xfId="1" applyFont="1" applyBorder="1" applyAlignment="1" applyProtection="1">
      <alignment horizontal="center" vertical="top"/>
      <protection locked="0"/>
    </xf>
    <xf numFmtId="0" fontId="10" fillId="0" borderId="4" xfId="1" applyFont="1" applyBorder="1" applyAlignment="1" applyProtection="1">
      <alignment horizontal="center" vertical="top"/>
      <protection locked="0"/>
    </xf>
    <xf numFmtId="0" fontId="10" fillId="0" borderId="0" xfId="1" applyFont="1" applyProtection="1">
      <protection hidden="1"/>
    </xf>
    <xf numFmtId="0" fontId="10" fillId="0" borderId="17" xfId="1" applyFont="1" applyBorder="1" applyProtection="1">
      <protection hidden="1"/>
    </xf>
    <xf numFmtId="0" fontId="10" fillId="0" borderId="4" xfId="1" applyFont="1" applyBorder="1" applyAlignment="1" applyProtection="1">
      <alignment horizontal="center" vertical="top" wrapText="1"/>
      <protection locked="0"/>
    </xf>
    <xf numFmtId="0" fontId="10" fillId="0" borderId="0" xfId="3" applyFont="1" applyProtection="1">
      <protection hidden="1"/>
    </xf>
    <xf numFmtId="0" fontId="10" fillId="0" borderId="17" xfId="1" applyFont="1" applyBorder="1"/>
    <xf numFmtId="0" fontId="10" fillId="0" borderId="4" xfId="1" applyFont="1" applyBorder="1" applyAlignment="1" applyProtection="1">
      <alignment horizontal="center" wrapText="1"/>
      <protection locked="0"/>
    </xf>
    <xf numFmtId="0" fontId="10" fillId="0" borderId="17" xfId="3" applyFont="1" applyBorder="1" applyProtection="1">
      <protection hidden="1"/>
    </xf>
    <xf numFmtId="1" fontId="10" fillId="0" borderId="4" xfId="1" applyNumberFormat="1" applyFont="1" applyBorder="1" applyAlignment="1" applyProtection="1">
      <alignment horizontal="center" wrapText="1"/>
      <protection locked="0"/>
    </xf>
    <xf numFmtId="1" fontId="13" fillId="0" borderId="17" xfId="3" applyNumberFormat="1" applyFont="1" applyBorder="1"/>
    <xf numFmtId="1" fontId="13" fillId="0" borderId="17" xfId="3" applyNumberFormat="1" applyFont="1" applyBorder="1" applyAlignment="1">
      <alignment horizontal="right"/>
    </xf>
    <xf numFmtId="0" fontId="10" fillId="0" borderId="20" xfId="1" applyFont="1" applyBorder="1" applyAlignment="1" applyProtection="1">
      <alignment horizontal="center" wrapText="1"/>
      <protection locked="0"/>
    </xf>
    <xf numFmtId="0" fontId="10" fillId="0" borderId="21" xfId="3" applyFont="1" applyBorder="1" applyProtection="1">
      <protection hidden="1"/>
    </xf>
    <xf numFmtId="1" fontId="13" fillId="0" borderId="22" xfId="3" applyNumberFormat="1" applyFont="1" applyBorder="1"/>
    <xf numFmtId="0" fontId="14" fillId="0" borderId="0" xfId="1" applyFont="1"/>
    <xf numFmtId="0" fontId="5" fillId="2" borderId="4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vertical="top"/>
    </xf>
    <xf numFmtId="0" fontId="15" fillId="0" borderId="0" xfId="1" applyFont="1"/>
    <xf numFmtId="0" fontId="5" fillId="0" borderId="0" xfId="2" applyFont="1"/>
    <xf numFmtId="0" fontId="1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1" fontId="5" fillId="0" borderId="4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0" fontId="14" fillId="0" borderId="0" xfId="0" applyFont="1"/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9" fillId="0" borderId="0" xfId="1" applyFont="1"/>
    <xf numFmtId="167" fontId="14" fillId="0" borderId="0" xfId="7" applyNumberFormat="1" applyFont="1" applyAlignment="1">
      <alignment horizontal="center" vertical="center"/>
    </xf>
    <xf numFmtId="14" fontId="5" fillId="2" borderId="4" xfId="1" applyNumberFormat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1" fontId="10" fillId="0" borderId="4" xfId="1" applyNumberFormat="1" applyFont="1" applyBorder="1" applyAlignment="1">
      <alignment horizontal="center" vertical="center" wrapText="1"/>
    </xf>
    <xf numFmtId="1" fontId="14" fillId="0" borderId="33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16" fillId="0" borderId="1" xfId="8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1" fontId="5" fillId="0" borderId="1" xfId="1" applyNumberFormat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1" fontId="10" fillId="0" borderId="3" xfId="1" applyNumberFormat="1" applyFont="1" applyBorder="1" applyAlignment="1">
      <alignment horizontal="center" vertical="center" wrapText="1"/>
    </xf>
    <xf numFmtId="1" fontId="12" fillId="0" borderId="1" xfId="1" applyNumberFormat="1" applyFont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center" vertical="center" wrapText="1"/>
    </xf>
    <xf numFmtId="1" fontId="12" fillId="0" borderId="3" xfId="1" applyNumberFormat="1" applyFont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wrapText="1"/>
    </xf>
    <xf numFmtId="1" fontId="10" fillId="0" borderId="5" xfId="1" applyNumberFormat="1" applyFont="1" applyBorder="1" applyAlignment="1">
      <alignment horizontal="center" vertical="center" wrapText="1"/>
    </xf>
    <xf numFmtId="1" fontId="10" fillId="0" borderId="7" xfId="1" applyNumberFormat="1" applyFont="1" applyBorder="1" applyAlignment="1">
      <alignment horizontal="center" vertical="center" wrapText="1"/>
    </xf>
    <xf numFmtId="1" fontId="10" fillId="0" borderId="11" xfId="1" applyNumberFormat="1" applyFont="1" applyBorder="1" applyAlignment="1">
      <alignment horizontal="center" vertical="center" wrapText="1"/>
    </xf>
    <xf numFmtId="1" fontId="10" fillId="0" borderId="12" xfId="1" applyNumberFormat="1" applyFont="1" applyBorder="1" applyAlignment="1">
      <alignment horizontal="center" vertical="center" wrapText="1"/>
    </xf>
    <xf numFmtId="1" fontId="10" fillId="0" borderId="8" xfId="1" applyNumberFormat="1" applyFont="1" applyBorder="1" applyAlignment="1">
      <alignment horizontal="center" vertical="center" wrapText="1"/>
    </xf>
    <xf numFmtId="1" fontId="10" fillId="0" borderId="10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1" fontId="5" fillId="0" borderId="11" xfId="1" applyNumberFormat="1" applyFont="1" applyBorder="1" applyAlignment="1">
      <alignment horizontal="center" vertical="center" wrapText="1"/>
    </xf>
    <xf numFmtId="1" fontId="5" fillId="0" borderId="12" xfId="1" applyNumberFormat="1" applyFont="1" applyBorder="1" applyAlignment="1">
      <alignment horizontal="center" vertical="center" wrapText="1"/>
    </xf>
    <xf numFmtId="1" fontId="5" fillId="0" borderId="8" xfId="1" applyNumberFormat="1" applyFont="1" applyBorder="1" applyAlignment="1">
      <alignment horizontal="center" vertical="center" wrapText="1"/>
    </xf>
    <xf numFmtId="1" fontId="5" fillId="0" borderId="10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center" vertical="center"/>
    </xf>
    <xf numFmtId="1" fontId="12" fillId="0" borderId="3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3" xfId="1" applyFont="1" applyBorder="1" applyAlignment="1">
      <alignment vertical="top"/>
    </xf>
    <xf numFmtId="1" fontId="9" fillId="0" borderId="1" xfId="1" applyNumberFormat="1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1" fontId="9" fillId="0" borderId="3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/>
    </xf>
    <xf numFmtId="0" fontId="10" fillId="0" borderId="2" xfId="1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 wrapText="1"/>
    </xf>
    <xf numFmtId="1" fontId="4" fillId="0" borderId="1" xfId="1" applyNumberFormat="1" applyFont="1" applyBorder="1" applyAlignment="1">
      <alignment horizontal="center" vertical="top" wrapText="1"/>
    </xf>
    <xf numFmtId="1" fontId="4" fillId="0" borderId="3" xfId="1" applyNumberFormat="1" applyFont="1" applyBorder="1" applyAlignment="1">
      <alignment horizontal="center" vertical="top" wrapText="1"/>
    </xf>
    <xf numFmtId="0" fontId="10" fillId="0" borderId="3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 applyAlignment="1">
      <alignment vertical="top"/>
    </xf>
    <xf numFmtId="0" fontId="5" fillId="0" borderId="1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10" fillId="0" borderId="1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2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/>
    </xf>
    <xf numFmtId="0" fontId="12" fillId="0" borderId="3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23" xfId="1" applyFont="1" applyBorder="1" applyAlignment="1" applyProtection="1">
      <alignment horizontal="center" vertical="top" wrapText="1"/>
      <protection locked="0"/>
    </xf>
    <xf numFmtId="0" fontId="12" fillId="0" borderId="24" xfId="1" applyFont="1" applyBorder="1" applyAlignment="1" applyProtection="1">
      <alignment horizontal="center" vertical="top" wrapText="1"/>
      <protection locked="0"/>
    </xf>
    <xf numFmtId="0" fontId="12" fillId="0" borderId="25" xfId="1" applyFont="1" applyBorder="1" applyAlignment="1" applyProtection="1">
      <alignment horizontal="left" vertical="top" wrapText="1"/>
      <protection locked="0"/>
    </xf>
    <xf numFmtId="0" fontId="12" fillId="0" borderId="26" xfId="1" applyFont="1" applyBorder="1" applyAlignment="1" applyProtection="1">
      <alignment horizontal="left" vertical="top" wrapText="1"/>
      <protection locked="0"/>
    </xf>
    <xf numFmtId="0" fontId="12" fillId="0" borderId="27" xfId="1" applyFont="1" applyBorder="1" applyAlignment="1" applyProtection="1">
      <alignment horizontal="left" vertical="top" wrapText="1"/>
      <protection locked="0"/>
    </xf>
    <xf numFmtId="9" fontId="10" fillId="2" borderId="4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20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30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31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1" applyFont="1" applyBorder="1" applyAlignment="1" applyProtection="1">
      <alignment horizontal="center" vertical="top"/>
      <protection locked="0"/>
    </xf>
    <xf numFmtId="0" fontId="10" fillId="0" borderId="18" xfId="1" applyFont="1" applyBorder="1" applyAlignment="1" applyProtection="1">
      <alignment horizontal="center" vertical="top"/>
      <protection locked="0"/>
    </xf>
    <xf numFmtId="0" fontId="12" fillId="0" borderId="15" xfId="1" applyFont="1" applyBorder="1" applyAlignment="1" applyProtection="1">
      <alignment horizontal="left" vertical="top"/>
      <protection locked="0"/>
    </xf>
    <xf numFmtId="0" fontId="12" fillId="0" borderId="4" xfId="1" applyFont="1" applyBorder="1" applyAlignment="1" applyProtection="1">
      <alignment horizontal="left" vertical="top"/>
      <protection locked="0"/>
    </xf>
    <xf numFmtId="0" fontId="12" fillId="0" borderId="1" xfId="1" applyFont="1" applyBorder="1" applyAlignment="1" applyProtection="1">
      <alignment horizontal="left" vertical="top" wrapText="1"/>
      <protection locked="0"/>
    </xf>
    <xf numFmtId="0" fontId="12" fillId="0" borderId="2" xfId="1" applyFont="1" applyBorder="1" applyAlignment="1" applyProtection="1">
      <alignment horizontal="left" vertical="top" wrapText="1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0" fontId="10" fillId="0" borderId="28" xfId="1" applyFont="1" applyBorder="1" applyAlignment="1" applyProtection="1">
      <alignment horizontal="center" vertical="top" wrapText="1"/>
      <protection locked="0"/>
    </xf>
    <xf numFmtId="0" fontId="10" fillId="0" borderId="3" xfId="1" applyFont="1" applyBorder="1" applyAlignment="1" applyProtection="1">
      <alignment horizontal="center" vertical="top" wrapText="1"/>
      <protection locked="0"/>
    </xf>
    <xf numFmtId="0" fontId="10" fillId="0" borderId="4" xfId="1" applyFont="1" applyBorder="1" applyAlignment="1" applyProtection="1">
      <alignment horizontal="center" vertical="top" wrapText="1"/>
      <protection locked="0"/>
    </xf>
    <xf numFmtId="1" fontId="4" fillId="0" borderId="34" xfId="0" applyNumberFormat="1" applyFont="1" applyBorder="1" applyAlignment="1">
      <alignment horizontal="center" vertical="center" wrapText="1"/>
    </xf>
    <xf numFmtId="1" fontId="4" fillId="0" borderId="35" xfId="0" applyNumberFormat="1" applyFont="1" applyBorder="1" applyAlignment="1">
      <alignment horizontal="center" vertical="center" wrapText="1"/>
    </xf>
    <xf numFmtId="1" fontId="12" fillId="0" borderId="37" xfId="0" applyNumberFormat="1" applyFont="1" applyBorder="1" applyAlignment="1">
      <alignment horizontal="center" vertical="top" wrapText="1"/>
    </xf>
    <xf numFmtId="1" fontId="12" fillId="0" borderId="35" xfId="0" applyNumberFormat="1" applyFont="1" applyBorder="1" applyAlignment="1">
      <alignment horizontal="center" vertical="top" wrapText="1"/>
    </xf>
    <xf numFmtId="1" fontId="12" fillId="0" borderId="38" xfId="0" applyNumberFormat="1" applyFont="1" applyBorder="1" applyAlignment="1">
      <alignment horizontal="center" vertical="top" wrapText="1"/>
    </xf>
    <xf numFmtId="1" fontId="4" fillId="0" borderId="37" xfId="0" applyNumberFormat="1" applyFont="1" applyBorder="1" applyAlignment="1">
      <alignment horizontal="center" vertical="top" wrapText="1"/>
    </xf>
    <xf numFmtId="1" fontId="4" fillId="0" borderId="35" xfId="0" applyNumberFormat="1" applyFont="1" applyBorder="1" applyAlignment="1">
      <alignment horizontal="center" vertical="top" wrapText="1"/>
    </xf>
    <xf numFmtId="1" fontId="4" fillId="0" borderId="39" xfId="0" applyNumberFormat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/>
    </xf>
    <xf numFmtId="0" fontId="4" fillId="0" borderId="9" xfId="1" applyFont="1" applyBorder="1" applyAlignment="1">
      <alignment horizontal="center" vertical="top"/>
    </xf>
    <xf numFmtId="0" fontId="4" fillId="0" borderId="10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10" fillId="0" borderId="16" xfId="1" applyFont="1" applyBorder="1" applyAlignment="1" applyProtection="1">
      <alignment horizontal="center" vertical="top" wrapText="1"/>
      <protection locked="0"/>
    </xf>
    <xf numFmtId="0" fontId="10" fillId="0" borderId="15" xfId="1" applyFont="1" applyBorder="1" applyAlignment="1" applyProtection="1">
      <alignment horizontal="center" vertical="top" wrapText="1"/>
      <protection locked="0"/>
    </xf>
    <xf numFmtId="9" fontId="10" fillId="2" borderId="1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3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19" xfId="1" applyFont="1" applyBorder="1" applyAlignment="1" applyProtection="1">
      <alignment horizontal="center" vertical="top" wrapText="1"/>
      <protection locked="0"/>
    </xf>
    <xf numFmtId="0" fontId="10" fillId="0" borderId="20" xfId="1" applyFont="1" applyBorder="1" applyAlignment="1" applyProtection="1">
      <alignment horizontal="center" vertical="top" wrapText="1"/>
      <protection locked="0"/>
    </xf>
    <xf numFmtId="0" fontId="10" fillId="0" borderId="3" xfId="1" applyFont="1" applyBorder="1" applyAlignment="1" applyProtection="1">
      <alignment horizontal="center" vertical="top"/>
      <protection locked="0"/>
    </xf>
    <xf numFmtId="9" fontId="10" fillId="2" borderId="5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6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29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11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0" xfId="1" applyNumberFormat="1" applyFont="1" applyFill="1" applyAlignment="1" applyProtection="1">
      <alignment horizontal="center" vertical="center" wrapText="1"/>
      <protection hidden="1"/>
    </xf>
    <xf numFmtId="9" fontId="10" fillId="2" borderId="17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32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21" xfId="1" applyNumberFormat="1" applyFont="1" applyFill="1" applyBorder="1" applyAlignment="1" applyProtection="1">
      <alignment horizontal="center" vertical="center" wrapText="1"/>
      <protection hidden="1"/>
    </xf>
    <xf numFmtId="9" fontId="10" fillId="2" borderId="22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left" vertical="top" wrapText="1"/>
    </xf>
    <xf numFmtId="14" fontId="4" fillId="0" borderId="2" xfId="1" applyNumberFormat="1" applyFont="1" applyBorder="1" applyAlignment="1">
      <alignment horizontal="left" vertical="top" wrapText="1"/>
    </xf>
    <xf numFmtId="14" fontId="4" fillId="0" borderId="3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top"/>
    </xf>
    <xf numFmtId="0" fontId="14" fillId="0" borderId="3" xfId="1" applyFont="1" applyBorder="1" applyAlignment="1">
      <alignment horizontal="left"/>
    </xf>
    <xf numFmtId="14" fontId="10" fillId="0" borderId="1" xfId="1" applyNumberFormat="1" applyFont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14" fillId="0" borderId="1" xfId="1" applyFont="1" applyBorder="1" applyAlignment="1" applyProtection="1">
      <alignment horizontal="left" vertical="center" wrapText="1"/>
      <protection locked="0"/>
    </xf>
    <xf numFmtId="0" fontId="14" fillId="0" borderId="2" xfId="1" applyFont="1" applyBorder="1" applyAlignment="1" applyProtection="1">
      <alignment horizontal="left" vertical="center" wrapText="1"/>
      <protection locked="0"/>
    </xf>
    <xf numFmtId="0" fontId="14" fillId="0" borderId="3" xfId="1" applyFont="1" applyBorder="1" applyAlignment="1" applyProtection="1">
      <alignment horizontal="left" vertical="center" wrapText="1"/>
      <protection locked="0"/>
    </xf>
    <xf numFmtId="0" fontId="5" fillId="0" borderId="4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14" fontId="5" fillId="0" borderId="1" xfId="1" applyNumberFormat="1" applyFont="1" applyBorder="1" applyAlignment="1">
      <alignment horizontal="left" vertical="top"/>
    </xf>
    <xf numFmtId="14" fontId="5" fillId="0" borderId="2" xfId="1" applyNumberFormat="1" applyFont="1" applyBorder="1" applyAlignment="1">
      <alignment horizontal="left" vertical="top"/>
    </xf>
    <xf numFmtId="14" fontId="5" fillId="0" borderId="3" xfId="1" applyNumberFormat="1" applyFont="1" applyBorder="1" applyAlignment="1">
      <alignment horizontal="left" vertical="top"/>
    </xf>
    <xf numFmtId="0" fontId="4" fillId="0" borderId="5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left"/>
    </xf>
    <xf numFmtId="0" fontId="14" fillId="0" borderId="1" xfId="1" applyFont="1" applyBorder="1" applyAlignment="1">
      <alignment horizontal="center" vertical="top"/>
    </xf>
    <xf numFmtId="0" fontId="14" fillId="0" borderId="3" xfId="1" applyFont="1" applyBorder="1" applyAlignment="1">
      <alignment horizontal="center" vertical="top"/>
    </xf>
    <xf numFmtId="0" fontId="10" fillId="0" borderId="1" xfId="1" applyFont="1" applyBorder="1" applyAlignment="1" applyProtection="1">
      <alignment horizontal="left" vertical="center" wrapText="1"/>
      <protection locked="0"/>
    </xf>
    <xf numFmtId="0" fontId="10" fillId="0" borderId="2" xfId="1" applyFont="1" applyBorder="1" applyAlignment="1" applyProtection="1">
      <alignment horizontal="left" vertical="center" wrapText="1"/>
      <protection locked="0"/>
    </xf>
    <xf numFmtId="0" fontId="10" fillId="0" borderId="3" xfId="1" applyFont="1" applyBorder="1" applyAlignment="1" applyProtection="1">
      <alignment horizontal="left" vertical="center" wrapText="1"/>
      <protection locked="0"/>
    </xf>
    <xf numFmtId="1" fontId="14" fillId="0" borderId="5" xfId="0" applyNumberFormat="1" applyFont="1" applyBorder="1" applyAlignment="1">
      <alignment horizontal="center" vertical="top" wrapText="1"/>
    </xf>
    <xf numFmtId="1" fontId="14" fillId="0" borderId="6" xfId="0" applyNumberFormat="1" applyFont="1" applyBorder="1" applyAlignment="1">
      <alignment horizontal="center" vertical="top" wrapText="1"/>
    </xf>
    <xf numFmtId="1" fontId="14" fillId="0" borderId="7" xfId="0" applyNumberFormat="1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center" vertical="top" wrapText="1"/>
    </xf>
    <xf numFmtId="1" fontId="5" fillId="0" borderId="6" xfId="0" applyNumberFormat="1" applyFont="1" applyBorder="1" applyAlignment="1">
      <alignment horizontal="center" vertical="top" wrapText="1"/>
    </xf>
    <xf numFmtId="1" fontId="5" fillId="0" borderId="7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1" fontId="14" fillId="0" borderId="1" xfId="0" applyNumberFormat="1" applyFont="1" applyBorder="1" applyAlignment="1">
      <alignment horizontal="center" vertical="top" wrapText="1"/>
    </xf>
    <xf numFmtId="1" fontId="14" fillId="0" borderId="2" xfId="0" applyNumberFormat="1" applyFont="1" applyBorder="1" applyAlignment="1">
      <alignment horizontal="center" vertical="top" wrapText="1"/>
    </xf>
    <xf numFmtId="1" fontId="14" fillId="0" borderId="3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" fontId="12" fillId="0" borderId="1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 vertical="center" wrapText="1"/>
    </xf>
    <xf numFmtId="0" fontId="7" fillId="0" borderId="4" xfId="4" applyFont="1" applyBorder="1" applyAlignment="1">
      <alignment horizontal="left"/>
    </xf>
    <xf numFmtId="0" fontId="4" fillId="0" borderId="4" xfId="1" applyFont="1" applyBorder="1" applyAlignment="1">
      <alignment horizontal="left" vertical="top"/>
    </xf>
    <xf numFmtId="2" fontId="5" fillId="0" borderId="4" xfId="1" applyNumberFormat="1" applyFont="1" applyBorder="1" applyAlignment="1">
      <alignment horizontal="left" vertical="top" wrapText="1"/>
    </xf>
    <xf numFmtId="164" fontId="5" fillId="0" borderId="4" xfId="1" applyNumberFormat="1" applyFont="1" applyBorder="1" applyAlignment="1">
      <alignment horizontal="left" vertical="top"/>
    </xf>
    <xf numFmtId="2" fontId="5" fillId="0" borderId="4" xfId="1" applyNumberFormat="1" applyFont="1" applyBorder="1" applyAlignment="1">
      <alignment horizontal="left" vertical="top"/>
    </xf>
    <xf numFmtId="14" fontId="5" fillId="0" borderId="4" xfId="1" applyNumberFormat="1" applyFont="1" applyBorder="1" applyAlignment="1">
      <alignment horizontal="left" vertical="top" wrapText="1"/>
    </xf>
    <xf numFmtId="1" fontId="12" fillId="0" borderId="4" xfId="1" applyNumberFormat="1" applyFont="1" applyFill="1" applyBorder="1" applyAlignment="1">
      <alignment horizontal="center" vertical="center" wrapText="1"/>
    </xf>
    <xf numFmtId="1" fontId="10" fillId="0" borderId="4" xfId="1" applyNumberFormat="1" applyFont="1" applyBorder="1" applyAlignment="1">
      <alignment horizontal="center" vertical="center" wrapText="1"/>
    </xf>
    <xf numFmtId="1" fontId="10" fillId="0" borderId="4" xfId="1" applyNumberFormat="1" applyFont="1" applyBorder="1" applyAlignment="1">
      <alignment horizontal="center" vertical="center"/>
    </xf>
    <xf numFmtId="1" fontId="12" fillId="0" borderId="4" xfId="1" applyNumberFormat="1" applyFont="1" applyBorder="1" applyAlignment="1">
      <alignment horizontal="center" vertical="center" wrapText="1"/>
    </xf>
  </cellXfs>
  <cellStyles count="9">
    <cellStyle name="Comma" xfId="7" builtinId="3"/>
    <cellStyle name="Comma 2" xfId="5"/>
    <cellStyle name="Excel Built-in Normal" xfId="2"/>
    <cellStyle name="Excel Built-in Normal 2" xfId="6"/>
    <cellStyle name="Hyperlink" xfId="8" builtinId="8"/>
    <cellStyle name="Normal" xfId="0" builtinId="0"/>
    <cellStyle name="Normal 2" xfId="3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253</xdr:row>
      <xdr:rowOff>132035</xdr:rowOff>
    </xdr:from>
    <xdr:to>
      <xdr:col>8</xdr:col>
      <xdr:colOff>681057</xdr:colOff>
      <xdr:row>272</xdr:row>
      <xdr:rowOff>142791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4801" y="55836476"/>
          <a:ext cx="6122966" cy="3630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304800</xdr:colOff>
      <xdr:row>234</xdr:row>
      <xdr:rowOff>0</xdr:rowOff>
    </xdr:from>
    <xdr:to>
      <xdr:col>8</xdr:col>
      <xdr:colOff>681056</xdr:colOff>
      <xdr:row>253</xdr:row>
      <xdr:rowOff>9075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4800" y="60579000"/>
          <a:ext cx="6114001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609600</xdr:colOff>
      <xdr:row>191</xdr:row>
      <xdr:rowOff>6350</xdr:rowOff>
    </xdr:from>
    <xdr:to>
      <xdr:col>9</xdr:col>
      <xdr:colOff>165044</xdr:colOff>
      <xdr:row>223</xdr:row>
      <xdr:rowOff>28445</xdr:rowOff>
    </xdr:to>
    <xdr:grpSp>
      <xdr:nvGrpSpPr>
        <xdr:cNvPr id="4" name="Group 3"/>
        <xdr:cNvGrpSpPr/>
      </xdr:nvGrpSpPr>
      <xdr:grpSpPr>
        <a:xfrm>
          <a:off x="609600" y="41363900"/>
          <a:ext cx="5899094" cy="5724395"/>
          <a:chOff x="609600" y="41363900"/>
          <a:chExt cx="5899094" cy="5724395"/>
        </a:xfrm>
      </xdr:grpSpPr>
      <xdr:pic>
        <xdr:nvPicPr>
          <xdr:cNvPr id="11" name="Picture 10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09600" y="44352295"/>
            <a:ext cx="2052000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56611" y="41363900"/>
            <a:ext cx="3840000" cy="288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81340" y="41363900"/>
            <a:ext cx="1620000" cy="288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789647" y="44352295"/>
            <a:ext cx="2052000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969694" y="44352295"/>
            <a:ext cx="1539000" cy="2736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154120</xdr:colOff>
      <xdr:row>18</xdr:row>
      <xdr:rowOff>171000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54945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39588</xdr:rowOff>
    </xdr:from>
    <xdr:to>
      <xdr:col>6</xdr:col>
      <xdr:colOff>97575</xdr:colOff>
      <xdr:row>52</xdr:row>
      <xdr:rowOff>20088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" y="6897588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</xdr:colOff>
      <xdr:row>52</xdr:row>
      <xdr:rowOff>108296</xdr:rowOff>
    </xdr:from>
    <xdr:to>
      <xdr:col>6</xdr:col>
      <xdr:colOff>97576</xdr:colOff>
      <xdr:row>71</xdr:row>
      <xdr:rowOff>88796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4876" y="10585796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243264</xdr:colOff>
      <xdr:row>33</xdr:row>
      <xdr:rowOff>0</xdr:rowOff>
    </xdr:from>
    <xdr:to>
      <xdr:col>14</xdr:col>
      <xdr:colOff>55089</xdr:colOff>
      <xdr:row>51</xdr:row>
      <xdr:rowOff>171000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53689" y="6858000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264580</xdr:colOff>
      <xdr:row>52</xdr:row>
      <xdr:rowOff>137020</xdr:rowOff>
    </xdr:from>
    <xdr:to>
      <xdr:col>14</xdr:col>
      <xdr:colOff>76405</xdr:colOff>
      <xdr:row>71</xdr:row>
      <xdr:rowOff>117520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75005" y="10614520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14</xdr:col>
      <xdr:colOff>234872</xdr:colOff>
      <xdr:row>33</xdr:row>
      <xdr:rowOff>0</xdr:rowOff>
    </xdr:from>
    <xdr:to>
      <xdr:col>24</xdr:col>
      <xdr:colOff>541997</xdr:colOff>
      <xdr:row>51</xdr:row>
      <xdr:rowOff>171000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36597" y="6858000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14</xdr:col>
      <xdr:colOff>224359</xdr:colOff>
      <xdr:row>52</xdr:row>
      <xdr:rowOff>137020</xdr:rowOff>
    </xdr:from>
    <xdr:to>
      <xdr:col>24</xdr:col>
      <xdr:colOff>531484</xdr:colOff>
      <xdr:row>71</xdr:row>
      <xdr:rowOff>117520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26084" y="10614520"/>
          <a:ext cx="6403125" cy="360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DLss4rTH3STEpdVJ6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3"/>
  <sheetViews>
    <sheetView tabSelected="1" view="pageBreakPreview" topLeftCell="A49" zoomScaleNormal="100" zoomScaleSheetLayoutView="100" zoomScalePageLayoutView="85" workbookViewId="0">
      <selection activeCell="A51" sqref="A51:J51"/>
    </sheetView>
  </sheetViews>
  <sheetFormatPr defaultRowHeight="14" x14ac:dyDescent="0.3"/>
  <cols>
    <col min="1" max="1" width="9.26953125" style="27" customWidth="1"/>
    <col min="2" max="2" width="11.26953125" style="27" customWidth="1"/>
    <col min="3" max="3" width="14.7265625" style="27" customWidth="1"/>
    <col min="4" max="4" width="7.26953125" style="27" customWidth="1"/>
    <col min="5" max="5" width="5.54296875" style="27" customWidth="1"/>
    <col min="6" max="6" width="9.81640625" style="27" customWidth="1"/>
    <col min="7" max="7" width="10.1796875" style="27" customWidth="1"/>
    <col min="8" max="8" width="11.54296875" style="27" customWidth="1"/>
    <col min="9" max="9" width="11.1796875" style="27" customWidth="1"/>
    <col min="10" max="10" width="7.81640625" style="27" customWidth="1"/>
    <col min="11" max="11" width="3.54296875" style="27" customWidth="1"/>
    <col min="12" max="12" width="13.26953125" style="27" customWidth="1"/>
    <col min="13" max="14" width="12.7265625" style="27" bestFit="1" customWidth="1"/>
    <col min="15" max="252" width="9.1796875" style="27"/>
    <col min="253" max="253" width="8.7265625" style="27" customWidth="1"/>
    <col min="254" max="254" width="9.81640625" style="27" customWidth="1"/>
    <col min="255" max="255" width="14.453125" style="27" customWidth="1"/>
    <col min="256" max="256" width="7.26953125" style="27" customWidth="1"/>
    <col min="257" max="257" width="5.54296875" style="27" customWidth="1"/>
    <col min="258" max="258" width="9" style="27" customWidth="1"/>
    <col min="259" max="260" width="9.81640625" style="27" customWidth="1"/>
    <col min="261" max="261" width="11.1796875" style="27" customWidth="1"/>
    <col min="262" max="262" width="2.81640625" style="27" customWidth="1"/>
    <col min="263" max="263" width="3.54296875" style="27" customWidth="1"/>
    <col min="264" max="508" width="9.1796875" style="27"/>
    <col min="509" max="509" width="8.7265625" style="27" customWidth="1"/>
    <col min="510" max="510" width="9.81640625" style="27" customWidth="1"/>
    <col min="511" max="511" width="14.453125" style="27" customWidth="1"/>
    <col min="512" max="512" width="7.26953125" style="27" customWidth="1"/>
    <col min="513" max="513" width="5.54296875" style="27" customWidth="1"/>
    <col min="514" max="514" width="9" style="27" customWidth="1"/>
    <col min="515" max="516" width="9.81640625" style="27" customWidth="1"/>
    <col min="517" max="517" width="11.1796875" style="27" customWidth="1"/>
    <col min="518" max="518" width="2.81640625" style="27" customWidth="1"/>
    <col min="519" max="519" width="3.54296875" style="27" customWidth="1"/>
    <col min="520" max="764" width="9.1796875" style="27"/>
    <col min="765" max="765" width="8.7265625" style="27" customWidth="1"/>
    <col min="766" max="766" width="9.81640625" style="27" customWidth="1"/>
    <col min="767" max="767" width="14.453125" style="27" customWidth="1"/>
    <col min="768" max="768" width="7.26953125" style="27" customWidth="1"/>
    <col min="769" max="769" width="5.54296875" style="27" customWidth="1"/>
    <col min="770" max="770" width="9" style="27" customWidth="1"/>
    <col min="771" max="772" width="9.81640625" style="27" customWidth="1"/>
    <col min="773" max="773" width="11.1796875" style="27" customWidth="1"/>
    <col min="774" max="774" width="2.81640625" style="27" customWidth="1"/>
    <col min="775" max="775" width="3.54296875" style="27" customWidth="1"/>
    <col min="776" max="1020" width="9.1796875" style="27"/>
    <col min="1021" max="1021" width="8.7265625" style="27" customWidth="1"/>
    <col min="1022" max="1022" width="9.81640625" style="27" customWidth="1"/>
    <col min="1023" max="1023" width="14.453125" style="27" customWidth="1"/>
    <col min="1024" max="1024" width="7.26953125" style="27" customWidth="1"/>
    <col min="1025" max="1025" width="5.54296875" style="27" customWidth="1"/>
    <col min="1026" max="1026" width="9" style="27" customWidth="1"/>
    <col min="1027" max="1028" width="9.81640625" style="27" customWidth="1"/>
    <col min="1029" max="1029" width="11.1796875" style="27" customWidth="1"/>
    <col min="1030" max="1030" width="2.81640625" style="27" customWidth="1"/>
    <col min="1031" max="1031" width="3.54296875" style="27" customWidth="1"/>
    <col min="1032" max="1276" width="9.1796875" style="27"/>
    <col min="1277" max="1277" width="8.7265625" style="27" customWidth="1"/>
    <col min="1278" max="1278" width="9.81640625" style="27" customWidth="1"/>
    <col min="1279" max="1279" width="14.453125" style="27" customWidth="1"/>
    <col min="1280" max="1280" width="7.26953125" style="27" customWidth="1"/>
    <col min="1281" max="1281" width="5.54296875" style="27" customWidth="1"/>
    <col min="1282" max="1282" width="9" style="27" customWidth="1"/>
    <col min="1283" max="1284" width="9.81640625" style="27" customWidth="1"/>
    <col min="1285" max="1285" width="11.1796875" style="27" customWidth="1"/>
    <col min="1286" max="1286" width="2.81640625" style="27" customWidth="1"/>
    <col min="1287" max="1287" width="3.54296875" style="27" customWidth="1"/>
    <col min="1288" max="1532" width="9.1796875" style="27"/>
    <col min="1533" max="1533" width="8.7265625" style="27" customWidth="1"/>
    <col min="1534" max="1534" width="9.81640625" style="27" customWidth="1"/>
    <col min="1535" max="1535" width="14.453125" style="27" customWidth="1"/>
    <col min="1536" max="1536" width="7.26953125" style="27" customWidth="1"/>
    <col min="1537" max="1537" width="5.54296875" style="27" customWidth="1"/>
    <col min="1538" max="1538" width="9" style="27" customWidth="1"/>
    <col min="1539" max="1540" width="9.81640625" style="27" customWidth="1"/>
    <col min="1541" max="1541" width="11.1796875" style="27" customWidth="1"/>
    <col min="1542" max="1542" width="2.81640625" style="27" customWidth="1"/>
    <col min="1543" max="1543" width="3.54296875" style="27" customWidth="1"/>
    <col min="1544" max="1788" width="9.1796875" style="27"/>
    <col min="1789" max="1789" width="8.7265625" style="27" customWidth="1"/>
    <col min="1790" max="1790" width="9.81640625" style="27" customWidth="1"/>
    <col min="1791" max="1791" width="14.453125" style="27" customWidth="1"/>
    <col min="1792" max="1792" width="7.26953125" style="27" customWidth="1"/>
    <col min="1793" max="1793" width="5.54296875" style="27" customWidth="1"/>
    <col min="1794" max="1794" width="9" style="27" customWidth="1"/>
    <col min="1795" max="1796" width="9.81640625" style="27" customWidth="1"/>
    <col min="1797" max="1797" width="11.1796875" style="27" customWidth="1"/>
    <col min="1798" max="1798" width="2.81640625" style="27" customWidth="1"/>
    <col min="1799" max="1799" width="3.54296875" style="27" customWidth="1"/>
    <col min="1800" max="2044" width="9.1796875" style="27"/>
    <col min="2045" max="2045" width="8.7265625" style="27" customWidth="1"/>
    <col min="2046" max="2046" width="9.81640625" style="27" customWidth="1"/>
    <col min="2047" max="2047" width="14.453125" style="27" customWidth="1"/>
    <col min="2048" max="2048" width="7.26953125" style="27" customWidth="1"/>
    <col min="2049" max="2049" width="5.54296875" style="27" customWidth="1"/>
    <col min="2050" max="2050" width="9" style="27" customWidth="1"/>
    <col min="2051" max="2052" width="9.81640625" style="27" customWidth="1"/>
    <col min="2053" max="2053" width="11.1796875" style="27" customWidth="1"/>
    <col min="2054" max="2054" width="2.81640625" style="27" customWidth="1"/>
    <col min="2055" max="2055" width="3.54296875" style="27" customWidth="1"/>
    <col min="2056" max="2300" width="9.1796875" style="27"/>
    <col min="2301" max="2301" width="8.7265625" style="27" customWidth="1"/>
    <col min="2302" max="2302" width="9.81640625" style="27" customWidth="1"/>
    <col min="2303" max="2303" width="14.453125" style="27" customWidth="1"/>
    <col min="2304" max="2304" width="7.26953125" style="27" customWidth="1"/>
    <col min="2305" max="2305" width="5.54296875" style="27" customWidth="1"/>
    <col min="2306" max="2306" width="9" style="27" customWidth="1"/>
    <col min="2307" max="2308" width="9.81640625" style="27" customWidth="1"/>
    <col min="2309" max="2309" width="11.1796875" style="27" customWidth="1"/>
    <col min="2310" max="2310" width="2.81640625" style="27" customWidth="1"/>
    <col min="2311" max="2311" width="3.54296875" style="27" customWidth="1"/>
    <col min="2312" max="2556" width="9.1796875" style="27"/>
    <col min="2557" max="2557" width="8.7265625" style="27" customWidth="1"/>
    <col min="2558" max="2558" width="9.81640625" style="27" customWidth="1"/>
    <col min="2559" max="2559" width="14.453125" style="27" customWidth="1"/>
    <col min="2560" max="2560" width="7.26953125" style="27" customWidth="1"/>
    <col min="2561" max="2561" width="5.54296875" style="27" customWidth="1"/>
    <col min="2562" max="2562" width="9" style="27" customWidth="1"/>
    <col min="2563" max="2564" width="9.81640625" style="27" customWidth="1"/>
    <col min="2565" max="2565" width="11.1796875" style="27" customWidth="1"/>
    <col min="2566" max="2566" width="2.81640625" style="27" customWidth="1"/>
    <col min="2567" max="2567" width="3.54296875" style="27" customWidth="1"/>
    <col min="2568" max="2812" width="9.1796875" style="27"/>
    <col min="2813" max="2813" width="8.7265625" style="27" customWidth="1"/>
    <col min="2814" max="2814" width="9.81640625" style="27" customWidth="1"/>
    <col min="2815" max="2815" width="14.453125" style="27" customWidth="1"/>
    <col min="2816" max="2816" width="7.26953125" style="27" customWidth="1"/>
    <col min="2817" max="2817" width="5.54296875" style="27" customWidth="1"/>
    <col min="2818" max="2818" width="9" style="27" customWidth="1"/>
    <col min="2819" max="2820" width="9.81640625" style="27" customWidth="1"/>
    <col min="2821" max="2821" width="11.1796875" style="27" customWidth="1"/>
    <col min="2822" max="2822" width="2.81640625" style="27" customWidth="1"/>
    <col min="2823" max="2823" width="3.54296875" style="27" customWidth="1"/>
    <col min="2824" max="3068" width="9.1796875" style="27"/>
    <col min="3069" max="3069" width="8.7265625" style="27" customWidth="1"/>
    <col min="3070" max="3070" width="9.81640625" style="27" customWidth="1"/>
    <col min="3071" max="3071" width="14.453125" style="27" customWidth="1"/>
    <col min="3072" max="3072" width="7.26953125" style="27" customWidth="1"/>
    <col min="3073" max="3073" width="5.54296875" style="27" customWidth="1"/>
    <col min="3074" max="3074" width="9" style="27" customWidth="1"/>
    <col min="3075" max="3076" width="9.81640625" style="27" customWidth="1"/>
    <col min="3077" max="3077" width="11.1796875" style="27" customWidth="1"/>
    <col min="3078" max="3078" width="2.81640625" style="27" customWidth="1"/>
    <col min="3079" max="3079" width="3.54296875" style="27" customWidth="1"/>
    <col min="3080" max="3324" width="9.1796875" style="27"/>
    <col min="3325" max="3325" width="8.7265625" style="27" customWidth="1"/>
    <col min="3326" max="3326" width="9.81640625" style="27" customWidth="1"/>
    <col min="3327" max="3327" width="14.453125" style="27" customWidth="1"/>
    <col min="3328" max="3328" width="7.26953125" style="27" customWidth="1"/>
    <col min="3329" max="3329" width="5.54296875" style="27" customWidth="1"/>
    <col min="3330" max="3330" width="9" style="27" customWidth="1"/>
    <col min="3331" max="3332" width="9.81640625" style="27" customWidth="1"/>
    <col min="3333" max="3333" width="11.1796875" style="27" customWidth="1"/>
    <col min="3334" max="3334" width="2.81640625" style="27" customWidth="1"/>
    <col min="3335" max="3335" width="3.54296875" style="27" customWidth="1"/>
    <col min="3336" max="3580" width="9.1796875" style="27"/>
    <col min="3581" max="3581" width="8.7265625" style="27" customWidth="1"/>
    <col min="3582" max="3582" width="9.81640625" style="27" customWidth="1"/>
    <col min="3583" max="3583" width="14.453125" style="27" customWidth="1"/>
    <col min="3584" max="3584" width="7.26953125" style="27" customWidth="1"/>
    <col min="3585" max="3585" width="5.54296875" style="27" customWidth="1"/>
    <col min="3586" max="3586" width="9" style="27" customWidth="1"/>
    <col min="3587" max="3588" width="9.81640625" style="27" customWidth="1"/>
    <col min="3589" max="3589" width="11.1796875" style="27" customWidth="1"/>
    <col min="3590" max="3590" width="2.81640625" style="27" customWidth="1"/>
    <col min="3591" max="3591" width="3.54296875" style="27" customWidth="1"/>
    <col min="3592" max="3836" width="9.1796875" style="27"/>
    <col min="3837" max="3837" width="8.7265625" style="27" customWidth="1"/>
    <col min="3838" max="3838" width="9.81640625" style="27" customWidth="1"/>
    <col min="3839" max="3839" width="14.453125" style="27" customWidth="1"/>
    <col min="3840" max="3840" width="7.26953125" style="27" customWidth="1"/>
    <col min="3841" max="3841" width="5.54296875" style="27" customWidth="1"/>
    <col min="3842" max="3842" width="9" style="27" customWidth="1"/>
    <col min="3843" max="3844" width="9.81640625" style="27" customWidth="1"/>
    <col min="3845" max="3845" width="11.1796875" style="27" customWidth="1"/>
    <col min="3846" max="3846" width="2.81640625" style="27" customWidth="1"/>
    <col min="3847" max="3847" width="3.54296875" style="27" customWidth="1"/>
    <col min="3848" max="4092" width="9.1796875" style="27"/>
    <col min="4093" max="4093" width="8.7265625" style="27" customWidth="1"/>
    <col min="4094" max="4094" width="9.81640625" style="27" customWidth="1"/>
    <col min="4095" max="4095" width="14.453125" style="27" customWidth="1"/>
    <col min="4096" max="4096" width="7.26953125" style="27" customWidth="1"/>
    <col min="4097" max="4097" width="5.54296875" style="27" customWidth="1"/>
    <col min="4098" max="4098" width="9" style="27" customWidth="1"/>
    <col min="4099" max="4100" width="9.81640625" style="27" customWidth="1"/>
    <col min="4101" max="4101" width="11.1796875" style="27" customWidth="1"/>
    <col min="4102" max="4102" width="2.81640625" style="27" customWidth="1"/>
    <col min="4103" max="4103" width="3.54296875" style="27" customWidth="1"/>
    <col min="4104" max="4348" width="9.1796875" style="27"/>
    <col min="4349" max="4349" width="8.7265625" style="27" customWidth="1"/>
    <col min="4350" max="4350" width="9.81640625" style="27" customWidth="1"/>
    <col min="4351" max="4351" width="14.453125" style="27" customWidth="1"/>
    <col min="4352" max="4352" width="7.26953125" style="27" customWidth="1"/>
    <col min="4353" max="4353" width="5.54296875" style="27" customWidth="1"/>
    <col min="4354" max="4354" width="9" style="27" customWidth="1"/>
    <col min="4355" max="4356" width="9.81640625" style="27" customWidth="1"/>
    <col min="4357" max="4357" width="11.1796875" style="27" customWidth="1"/>
    <col min="4358" max="4358" width="2.81640625" style="27" customWidth="1"/>
    <col min="4359" max="4359" width="3.54296875" style="27" customWidth="1"/>
    <col min="4360" max="4604" width="9.1796875" style="27"/>
    <col min="4605" max="4605" width="8.7265625" style="27" customWidth="1"/>
    <col min="4606" max="4606" width="9.81640625" style="27" customWidth="1"/>
    <col min="4607" max="4607" width="14.453125" style="27" customWidth="1"/>
    <col min="4608" max="4608" width="7.26953125" style="27" customWidth="1"/>
    <col min="4609" max="4609" width="5.54296875" style="27" customWidth="1"/>
    <col min="4610" max="4610" width="9" style="27" customWidth="1"/>
    <col min="4611" max="4612" width="9.81640625" style="27" customWidth="1"/>
    <col min="4613" max="4613" width="11.1796875" style="27" customWidth="1"/>
    <col min="4614" max="4614" width="2.81640625" style="27" customWidth="1"/>
    <col min="4615" max="4615" width="3.54296875" style="27" customWidth="1"/>
    <col min="4616" max="4860" width="9.1796875" style="27"/>
    <col min="4861" max="4861" width="8.7265625" style="27" customWidth="1"/>
    <col min="4862" max="4862" width="9.81640625" style="27" customWidth="1"/>
    <col min="4863" max="4863" width="14.453125" style="27" customWidth="1"/>
    <col min="4864" max="4864" width="7.26953125" style="27" customWidth="1"/>
    <col min="4865" max="4865" width="5.54296875" style="27" customWidth="1"/>
    <col min="4866" max="4866" width="9" style="27" customWidth="1"/>
    <col min="4867" max="4868" width="9.81640625" style="27" customWidth="1"/>
    <col min="4869" max="4869" width="11.1796875" style="27" customWidth="1"/>
    <col min="4870" max="4870" width="2.81640625" style="27" customWidth="1"/>
    <col min="4871" max="4871" width="3.54296875" style="27" customWidth="1"/>
    <col min="4872" max="5116" width="9.1796875" style="27"/>
    <col min="5117" max="5117" width="8.7265625" style="27" customWidth="1"/>
    <col min="5118" max="5118" width="9.81640625" style="27" customWidth="1"/>
    <col min="5119" max="5119" width="14.453125" style="27" customWidth="1"/>
    <col min="5120" max="5120" width="7.26953125" style="27" customWidth="1"/>
    <col min="5121" max="5121" width="5.54296875" style="27" customWidth="1"/>
    <col min="5122" max="5122" width="9" style="27" customWidth="1"/>
    <col min="5123" max="5124" width="9.81640625" style="27" customWidth="1"/>
    <col min="5125" max="5125" width="11.1796875" style="27" customWidth="1"/>
    <col min="5126" max="5126" width="2.81640625" style="27" customWidth="1"/>
    <col min="5127" max="5127" width="3.54296875" style="27" customWidth="1"/>
    <col min="5128" max="5372" width="9.1796875" style="27"/>
    <col min="5373" max="5373" width="8.7265625" style="27" customWidth="1"/>
    <col min="5374" max="5374" width="9.81640625" style="27" customWidth="1"/>
    <col min="5375" max="5375" width="14.453125" style="27" customWidth="1"/>
    <col min="5376" max="5376" width="7.26953125" style="27" customWidth="1"/>
    <col min="5377" max="5377" width="5.54296875" style="27" customWidth="1"/>
    <col min="5378" max="5378" width="9" style="27" customWidth="1"/>
    <col min="5379" max="5380" width="9.81640625" style="27" customWidth="1"/>
    <col min="5381" max="5381" width="11.1796875" style="27" customWidth="1"/>
    <col min="5382" max="5382" width="2.81640625" style="27" customWidth="1"/>
    <col min="5383" max="5383" width="3.54296875" style="27" customWidth="1"/>
    <col min="5384" max="5628" width="9.1796875" style="27"/>
    <col min="5629" max="5629" width="8.7265625" style="27" customWidth="1"/>
    <col min="5630" max="5630" width="9.81640625" style="27" customWidth="1"/>
    <col min="5631" max="5631" width="14.453125" style="27" customWidth="1"/>
    <col min="5632" max="5632" width="7.26953125" style="27" customWidth="1"/>
    <col min="5633" max="5633" width="5.54296875" style="27" customWidth="1"/>
    <col min="5634" max="5634" width="9" style="27" customWidth="1"/>
    <col min="5635" max="5636" width="9.81640625" style="27" customWidth="1"/>
    <col min="5637" max="5637" width="11.1796875" style="27" customWidth="1"/>
    <col min="5638" max="5638" width="2.81640625" style="27" customWidth="1"/>
    <col min="5639" max="5639" width="3.54296875" style="27" customWidth="1"/>
    <col min="5640" max="5884" width="9.1796875" style="27"/>
    <col min="5885" max="5885" width="8.7265625" style="27" customWidth="1"/>
    <col min="5886" max="5886" width="9.81640625" style="27" customWidth="1"/>
    <col min="5887" max="5887" width="14.453125" style="27" customWidth="1"/>
    <col min="5888" max="5888" width="7.26953125" style="27" customWidth="1"/>
    <col min="5889" max="5889" width="5.54296875" style="27" customWidth="1"/>
    <col min="5890" max="5890" width="9" style="27" customWidth="1"/>
    <col min="5891" max="5892" width="9.81640625" style="27" customWidth="1"/>
    <col min="5893" max="5893" width="11.1796875" style="27" customWidth="1"/>
    <col min="5894" max="5894" width="2.81640625" style="27" customWidth="1"/>
    <col min="5895" max="5895" width="3.54296875" style="27" customWidth="1"/>
    <col min="5896" max="6140" width="9.1796875" style="27"/>
    <col min="6141" max="6141" width="8.7265625" style="27" customWidth="1"/>
    <col min="6142" max="6142" width="9.81640625" style="27" customWidth="1"/>
    <col min="6143" max="6143" width="14.453125" style="27" customWidth="1"/>
    <col min="6144" max="6144" width="7.26953125" style="27" customWidth="1"/>
    <col min="6145" max="6145" width="5.54296875" style="27" customWidth="1"/>
    <col min="6146" max="6146" width="9" style="27" customWidth="1"/>
    <col min="6147" max="6148" width="9.81640625" style="27" customWidth="1"/>
    <col min="6149" max="6149" width="11.1796875" style="27" customWidth="1"/>
    <col min="6150" max="6150" width="2.81640625" style="27" customWidth="1"/>
    <col min="6151" max="6151" width="3.54296875" style="27" customWidth="1"/>
    <col min="6152" max="6396" width="9.1796875" style="27"/>
    <col min="6397" max="6397" width="8.7265625" style="27" customWidth="1"/>
    <col min="6398" max="6398" width="9.81640625" style="27" customWidth="1"/>
    <col min="6399" max="6399" width="14.453125" style="27" customWidth="1"/>
    <col min="6400" max="6400" width="7.26953125" style="27" customWidth="1"/>
    <col min="6401" max="6401" width="5.54296875" style="27" customWidth="1"/>
    <col min="6402" max="6402" width="9" style="27" customWidth="1"/>
    <col min="6403" max="6404" width="9.81640625" style="27" customWidth="1"/>
    <col min="6405" max="6405" width="11.1796875" style="27" customWidth="1"/>
    <col min="6406" max="6406" width="2.81640625" style="27" customWidth="1"/>
    <col min="6407" max="6407" width="3.54296875" style="27" customWidth="1"/>
    <col min="6408" max="6652" width="9.1796875" style="27"/>
    <col min="6653" max="6653" width="8.7265625" style="27" customWidth="1"/>
    <col min="6654" max="6654" width="9.81640625" style="27" customWidth="1"/>
    <col min="6655" max="6655" width="14.453125" style="27" customWidth="1"/>
    <col min="6656" max="6656" width="7.26953125" style="27" customWidth="1"/>
    <col min="6657" max="6657" width="5.54296875" style="27" customWidth="1"/>
    <col min="6658" max="6658" width="9" style="27" customWidth="1"/>
    <col min="6659" max="6660" width="9.81640625" style="27" customWidth="1"/>
    <col min="6661" max="6661" width="11.1796875" style="27" customWidth="1"/>
    <col min="6662" max="6662" width="2.81640625" style="27" customWidth="1"/>
    <col min="6663" max="6663" width="3.54296875" style="27" customWidth="1"/>
    <col min="6664" max="6908" width="9.1796875" style="27"/>
    <col min="6909" max="6909" width="8.7265625" style="27" customWidth="1"/>
    <col min="6910" max="6910" width="9.81640625" style="27" customWidth="1"/>
    <col min="6911" max="6911" width="14.453125" style="27" customWidth="1"/>
    <col min="6912" max="6912" width="7.26953125" style="27" customWidth="1"/>
    <col min="6913" max="6913" width="5.54296875" style="27" customWidth="1"/>
    <col min="6914" max="6914" width="9" style="27" customWidth="1"/>
    <col min="6915" max="6916" width="9.81640625" style="27" customWidth="1"/>
    <col min="6917" max="6917" width="11.1796875" style="27" customWidth="1"/>
    <col min="6918" max="6918" width="2.81640625" style="27" customWidth="1"/>
    <col min="6919" max="6919" width="3.54296875" style="27" customWidth="1"/>
    <col min="6920" max="7164" width="9.1796875" style="27"/>
    <col min="7165" max="7165" width="8.7265625" style="27" customWidth="1"/>
    <col min="7166" max="7166" width="9.81640625" style="27" customWidth="1"/>
    <col min="7167" max="7167" width="14.453125" style="27" customWidth="1"/>
    <col min="7168" max="7168" width="7.26953125" style="27" customWidth="1"/>
    <col min="7169" max="7169" width="5.54296875" style="27" customWidth="1"/>
    <col min="7170" max="7170" width="9" style="27" customWidth="1"/>
    <col min="7171" max="7172" width="9.81640625" style="27" customWidth="1"/>
    <col min="7173" max="7173" width="11.1796875" style="27" customWidth="1"/>
    <col min="7174" max="7174" width="2.81640625" style="27" customWidth="1"/>
    <col min="7175" max="7175" width="3.54296875" style="27" customWidth="1"/>
    <col min="7176" max="7420" width="9.1796875" style="27"/>
    <col min="7421" max="7421" width="8.7265625" style="27" customWidth="1"/>
    <col min="7422" max="7422" width="9.81640625" style="27" customWidth="1"/>
    <col min="7423" max="7423" width="14.453125" style="27" customWidth="1"/>
    <col min="7424" max="7424" width="7.26953125" style="27" customWidth="1"/>
    <col min="7425" max="7425" width="5.54296875" style="27" customWidth="1"/>
    <col min="7426" max="7426" width="9" style="27" customWidth="1"/>
    <col min="7427" max="7428" width="9.81640625" style="27" customWidth="1"/>
    <col min="7429" max="7429" width="11.1796875" style="27" customWidth="1"/>
    <col min="7430" max="7430" width="2.81640625" style="27" customWidth="1"/>
    <col min="7431" max="7431" width="3.54296875" style="27" customWidth="1"/>
    <col min="7432" max="7676" width="9.1796875" style="27"/>
    <col min="7677" max="7677" width="8.7265625" style="27" customWidth="1"/>
    <col min="7678" max="7678" width="9.81640625" style="27" customWidth="1"/>
    <col min="7679" max="7679" width="14.453125" style="27" customWidth="1"/>
    <col min="7680" max="7680" width="7.26953125" style="27" customWidth="1"/>
    <col min="7681" max="7681" width="5.54296875" style="27" customWidth="1"/>
    <col min="7682" max="7682" width="9" style="27" customWidth="1"/>
    <col min="7683" max="7684" width="9.81640625" style="27" customWidth="1"/>
    <col min="7685" max="7685" width="11.1796875" style="27" customWidth="1"/>
    <col min="7686" max="7686" width="2.81640625" style="27" customWidth="1"/>
    <col min="7687" max="7687" width="3.54296875" style="27" customWidth="1"/>
    <col min="7688" max="7932" width="9.1796875" style="27"/>
    <col min="7933" max="7933" width="8.7265625" style="27" customWidth="1"/>
    <col min="7934" max="7934" width="9.81640625" style="27" customWidth="1"/>
    <col min="7935" max="7935" width="14.453125" style="27" customWidth="1"/>
    <col min="7936" max="7936" width="7.26953125" style="27" customWidth="1"/>
    <col min="7937" max="7937" width="5.54296875" style="27" customWidth="1"/>
    <col min="7938" max="7938" width="9" style="27" customWidth="1"/>
    <col min="7939" max="7940" width="9.81640625" style="27" customWidth="1"/>
    <col min="7941" max="7941" width="11.1796875" style="27" customWidth="1"/>
    <col min="7942" max="7942" width="2.81640625" style="27" customWidth="1"/>
    <col min="7943" max="7943" width="3.54296875" style="27" customWidth="1"/>
    <col min="7944" max="8188" width="9.1796875" style="27"/>
    <col min="8189" max="8189" width="8.7265625" style="27" customWidth="1"/>
    <col min="8190" max="8190" width="9.81640625" style="27" customWidth="1"/>
    <col min="8191" max="8191" width="14.453125" style="27" customWidth="1"/>
    <col min="8192" max="8192" width="7.26953125" style="27" customWidth="1"/>
    <col min="8193" max="8193" width="5.54296875" style="27" customWidth="1"/>
    <col min="8194" max="8194" width="9" style="27" customWidth="1"/>
    <col min="8195" max="8196" width="9.81640625" style="27" customWidth="1"/>
    <col min="8197" max="8197" width="11.1796875" style="27" customWidth="1"/>
    <col min="8198" max="8198" width="2.81640625" style="27" customWidth="1"/>
    <col min="8199" max="8199" width="3.54296875" style="27" customWidth="1"/>
    <col min="8200" max="8444" width="9.1796875" style="27"/>
    <col min="8445" max="8445" width="8.7265625" style="27" customWidth="1"/>
    <col min="8446" max="8446" width="9.81640625" style="27" customWidth="1"/>
    <col min="8447" max="8447" width="14.453125" style="27" customWidth="1"/>
    <col min="8448" max="8448" width="7.26953125" style="27" customWidth="1"/>
    <col min="8449" max="8449" width="5.54296875" style="27" customWidth="1"/>
    <col min="8450" max="8450" width="9" style="27" customWidth="1"/>
    <col min="8451" max="8452" width="9.81640625" style="27" customWidth="1"/>
    <col min="8453" max="8453" width="11.1796875" style="27" customWidth="1"/>
    <col min="8454" max="8454" width="2.81640625" style="27" customWidth="1"/>
    <col min="8455" max="8455" width="3.54296875" style="27" customWidth="1"/>
    <col min="8456" max="8700" width="9.1796875" style="27"/>
    <col min="8701" max="8701" width="8.7265625" style="27" customWidth="1"/>
    <col min="8702" max="8702" width="9.81640625" style="27" customWidth="1"/>
    <col min="8703" max="8703" width="14.453125" style="27" customWidth="1"/>
    <col min="8704" max="8704" width="7.26953125" style="27" customWidth="1"/>
    <col min="8705" max="8705" width="5.54296875" style="27" customWidth="1"/>
    <col min="8706" max="8706" width="9" style="27" customWidth="1"/>
    <col min="8707" max="8708" width="9.81640625" style="27" customWidth="1"/>
    <col min="8709" max="8709" width="11.1796875" style="27" customWidth="1"/>
    <col min="8710" max="8710" width="2.81640625" style="27" customWidth="1"/>
    <col min="8711" max="8711" width="3.54296875" style="27" customWidth="1"/>
    <col min="8712" max="8956" width="9.1796875" style="27"/>
    <col min="8957" max="8957" width="8.7265625" style="27" customWidth="1"/>
    <col min="8958" max="8958" width="9.81640625" style="27" customWidth="1"/>
    <col min="8959" max="8959" width="14.453125" style="27" customWidth="1"/>
    <col min="8960" max="8960" width="7.26953125" style="27" customWidth="1"/>
    <col min="8961" max="8961" width="5.54296875" style="27" customWidth="1"/>
    <col min="8962" max="8962" width="9" style="27" customWidth="1"/>
    <col min="8963" max="8964" width="9.81640625" style="27" customWidth="1"/>
    <col min="8965" max="8965" width="11.1796875" style="27" customWidth="1"/>
    <col min="8966" max="8966" width="2.81640625" style="27" customWidth="1"/>
    <col min="8967" max="8967" width="3.54296875" style="27" customWidth="1"/>
    <col min="8968" max="9212" width="9.1796875" style="27"/>
    <col min="9213" max="9213" width="8.7265625" style="27" customWidth="1"/>
    <col min="9214" max="9214" width="9.81640625" style="27" customWidth="1"/>
    <col min="9215" max="9215" width="14.453125" style="27" customWidth="1"/>
    <col min="9216" max="9216" width="7.26953125" style="27" customWidth="1"/>
    <col min="9217" max="9217" width="5.54296875" style="27" customWidth="1"/>
    <col min="9218" max="9218" width="9" style="27" customWidth="1"/>
    <col min="9219" max="9220" width="9.81640625" style="27" customWidth="1"/>
    <col min="9221" max="9221" width="11.1796875" style="27" customWidth="1"/>
    <col min="9222" max="9222" width="2.81640625" style="27" customWidth="1"/>
    <col min="9223" max="9223" width="3.54296875" style="27" customWidth="1"/>
    <col min="9224" max="9468" width="9.1796875" style="27"/>
    <col min="9469" max="9469" width="8.7265625" style="27" customWidth="1"/>
    <col min="9470" max="9470" width="9.81640625" style="27" customWidth="1"/>
    <col min="9471" max="9471" width="14.453125" style="27" customWidth="1"/>
    <col min="9472" max="9472" width="7.26953125" style="27" customWidth="1"/>
    <col min="9473" max="9473" width="5.54296875" style="27" customWidth="1"/>
    <col min="9474" max="9474" width="9" style="27" customWidth="1"/>
    <col min="9475" max="9476" width="9.81640625" style="27" customWidth="1"/>
    <col min="9477" max="9477" width="11.1796875" style="27" customWidth="1"/>
    <col min="9478" max="9478" width="2.81640625" style="27" customWidth="1"/>
    <col min="9479" max="9479" width="3.54296875" style="27" customWidth="1"/>
    <col min="9480" max="9724" width="9.1796875" style="27"/>
    <col min="9725" max="9725" width="8.7265625" style="27" customWidth="1"/>
    <col min="9726" max="9726" width="9.81640625" style="27" customWidth="1"/>
    <col min="9727" max="9727" width="14.453125" style="27" customWidth="1"/>
    <col min="9728" max="9728" width="7.26953125" style="27" customWidth="1"/>
    <col min="9729" max="9729" width="5.54296875" style="27" customWidth="1"/>
    <col min="9730" max="9730" width="9" style="27" customWidth="1"/>
    <col min="9731" max="9732" width="9.81640625" style="27" customWidth="1"/>
    <col min="9733" max="9733" width="11.1796875" style="27" customWidth="1"/>
    <col min="9734" max="9734" width="2.81640625" style="27" customWidth="1"/>
    <col min="9735" max="9735" width="3.54296875" style="27" customWidth="1"/>
    <col min="9736" max="9980" width="9.1796875" style="27"/>
    <col min="9981" max="9981" width="8.7265625" style="27" customWidth="1"/>
    <col min="9982" max="9982" width="9.81640625" style="27" customWidth="1"/>
    <col min="9983" max="9983" width="14.453125" style="27" customWidth="1"/>
    <col min="9984" max="9984" width="7.26953125" style="27" customWidth="1"/>
    <col min="9985" max="9985" width="5.54296875" style="27" customWidth="1"/>
    <col min="9986" max="9986" width="9" style="27" customWidth="1"/>
    <col min="9987" max="9988" width="9.81640625" style="27" customWidth="1"/>
    <col min="9989" max="9989" width="11.1796875" style="27" customWidth="1"/>
    <col min="9990" max="9990" width="2.81640625" style="27" customWidth="1"/>
    <col min="9991" max="9991" width="3.54296875" style="27" customWidth="1"/>
    <col min="9992" max="10236" width="9.1796875" style="27"/>
    <col min="10237" max="10237" width="8.7265625" style="27" customWidth="1"/>
    <col min="10238" max="10238" width="9.81640625" style="27" customWidth="1"/>
    <col min="10239" max="10239" width="14.453125" style="27" customWidth="1"/>
    <col min="10240" max="10240" width="7.26953125" style="27" customWidth="1"/>
    <col min="10241" max="10241" width="5.54296875" style="27" customWidth="1"/>
    <col min="10242" max="10242" width="9" style="27" customWidth="1"/>
    <col min="10243" max="10244" width="9.81640625" style="27" customWidth="1"/>
    <col min="10245" max="10245" width="11.1796875" style="27" customWidth="1"/>
    <col min="10246" max="10246" width="2.81640625" style="27" customWidth="1"/>
    <col min="10247" max="10247" width="3.54296875" style="27" customWidth="1"/>
    <col min="10248" max="10492" width="9.1796875" style="27"/>
    <col min="10493" max="10493" width="8.7265625" style="27" customWidth="1"/>
    <col min="10494" max="10494" width="9.81640625" style="27" customWidth="1"/>
    <col min="10495" max="10495" width="14.453125" style="27" customWidth="1"/>
    <col min="10496" max="10496" width="7.26953125" style="27" customWidth="1"/>
    <col min="10497" max="10497" width="5.54296875" style="27" customWidth="1"/>
    <col min="10498" max="10498" width="9" style="27" customWidth="1"/>
    <col min="10499" max="10500" width="9.81640625" style="27" customWidth="1"/>
    <col min="10501" max="10501" width="11.1796875" style="27" customWidth="1"/>
    <col min="10502" max="10502" width="2.81640625" style="27" customWidth="1"/>
    <col min="10503" max="10503" width="3.54296875" style="27" customWidth="1"/>
    <col min="10504" max="10748" width="9.1796875" style="27"/>
    <col min="10749" max="10749" width="8.7265625" style="27" customWidth="1"/>
    <col min="10750" max="10750" width="9.81640625" style="27" customWidth="1"/>
    <col min="10751" max="10751" width="14.453125" style="27" customWidth="1"/>
    <col min="10752" max="10752" width="7.26953125" style="27" customWidth="1"/>
    <col min="10753" max="10753" width="5.54296875" style="27" customWidth="1"/>
    <col min="10754" max="10754" width="9" style="27" customWidth="1"/>
    <col min="10755" max="10756" width="9.81640625" style="27" customWidth="1"/>
    <col min="10757" max="10757" width="11.1796875" style="27" customWidth="1"/>
    <col min="10758" max="10758" width="2.81640625" style="27" customWidth="1"/>
    <col min="10759" max="10759" width="3.54296875" style="27" customWidth="1"/>
    <col min="10760" max="11004" width="9.1796875" style="27"/>
    <col min="11005" max="11005" width="8.7265625" style="27" customWidth="1"/>
    <col min="11006" max="11006" width="9.81640625" style="27" customWidth="1"/>
    <col min="11007" max="11007" width="14.453125" style="27" customWidth="1"/>
    <col min="11008" max="11008" width="7.26953125" style="27" customWidth="1"/>
    <col min="11009" max="11009" width="5.54296875" style="27" customWidth="1"/>
    <col min="11010" max="11010" width="9" style="27" customWidth="1"/>
    <col min="11011" max="11012" width="9.81640625" style="27" customWidth="1"/>
    <col min="11013" max="11013" width="11.1796875" style="27" customWidth="1"/>
    <col min="11014" max="11014" width="2.81640625" style="27" customWidth="1"/>
    <col min="11015" max="11015" width="3.54296875" style="27" customWidth="1"/>
    <col min="11016" max="11260" width="9.1796875" style="27"/>
    <col min="11261" max="11261" width="8.7265625" style="27" customWidth="1"/>
    <col min="11262" max="11262" width="9.81640625" style="27" customWidth="1"/>
    <col min="11263" max="11263" width="14.453125" style="27" customWidth="1"/>
    <col min="11264" max="11264" width="7.26953125" style="27" customWidth="1"/>
    <col min="11265" max="11265" width="5.54296875" style="27" customWidth="1"/>
    <col min="11266" max="11266" width="9" style="27" customWidth="1"/>
    <col min="11267" max="11268" width="9.81640625" style="27" customWidth="1"/>
    <col min="11269" max="11269" width="11.1796875" style="27" customWidth="1"/>
    <col min="11270" max="11270" width="2.81640625" style="27" customWidth="1"/>
    <col min="11271" max="11271" width="3.54296875" style="27" customWidth="1"/>
    <col min="11272" max="11516" width="9.1796875" style="27"/>
    <col min="11517" max="11517" width="8.7265625" style="27" customWidth="1"/>
    <col min="11518" max="11518" width="9.81640625" style="27" customWidth="1"/>
    <col min="11519" max="11519" width="14.453125" style="27" customWidth="1"/>
    <col min="11520" max="11520" width="7.26953125" style="27" customWidth="1"/>
    <col min="11521" max="11521" width="5.54296875" style="27" customWidth="1"/>
    <col min="11522" max="11522" width="9" style="27" customWidth="1"/>
    <col min="11523" max="11524" width="9.81640625" style="27" customWidth="1"/>
    <col min="11525" max="11525" width="11.1796875" style="27" customWidth="1"/>
    <col min="11526" max="11526" width="2.81640625" style="27" customWidth="1"/>
    <col min="11527" max="11527" width="3.54296875" style="27" customWidth="1"/>
    <col min="11528" max="11772" width="9.1796875" style="27"/>
    <col min="11773" max="11773" width="8.7265625" style="27" customWidth="1"/>
    <col min="11774" max="11774" width="9.81640625" style="27" customWidth="1"/>
    <col min="11775" max="11775" width="14.453125" style="27" customWidth="1"/>
    <col min="11776" max="11776" width="7.26953125" style="27" customWidth="1"/>
    <col min="11777" max="11777" width="5.54296875" style="27" customWidth="1"/>
    <col min="11778" max="11778" width="9" style="27" customWidth="1"/>
    <col min="11779" max="11780" width="9.81640625" style="27" customWidth="1"/>
    <col min="11781" max="11781" width="11.1796875" style="27" customWidth="1"/>
    <col min="11782" max="11782" width="2.81640625" style="27" customWidth="1"/>
    <col min="11783" max="11783" width="3.54296875" style="27" customWidth="1"/>
    <col min="11784" max="12028" width="9.1796875" style="27"/>
    <col min="12029" max="12029" width="8.7265625" style="27" customWidth="1"/>
    <col min="12030" max="12030" width="9.81640625" style="27" customWidth="1"/>
    <col min="12031" max="12031" width="14.453125" style="27" customWidth="1"/>
    <col min="12032" max="12032" width="7.26953125" style="27" customWidth="1"/>
    <col min="12033" max="12033" width="5.54296875" style="27" customWidth="1"/>
    <col min="12034" max="12034" width="9" style="27" customWidth="1"/>
    <col min="12035" max="12036" width="9.81640625" style="27" customWidth="1"/>
    <col min="12037" max="12037" width="11.1796875" style="27" customWidth="1"/>
    <col min="12038" max="12038" width="2.81640625" style="27" customWidth="1"/>
    <col min="12039" max="12039" width="3.54296875" style="27" customWidth="1"/>
    <col min="12040" max="12284" width="9.1796875" style="27"/>
    <col min="12285" max="12285" width="8.7265625" style="27" customWidth="1"/>
    <col min="12286" max="12286" width="9.81640625" style="27" customWidth="1"/>
    <col min="12287" max="12287" width="14.453125" style="27" customWidth="1"/>
    <col min="12288" max="12288" width="7.26953125" style="27" customWidth="1"/>
    <col min="12289" max="12289" width="5.54296875" style="27" customWidth="1"/>
    <col min="12290" max="12290" width="9" style="27" customWidth="1"/>
    <col min="12291" max="12292" width="9.81640625" style="27" customWidth="1"/>
    <col min="12293" max="12293" width="11.1796875" style="27" customWidth="1"/>
    <col min="12294" max="12294" width="2.81640625" style="27" customWidth="1"/>
    <col min="12295" max="12295" width="3.54296875" style="27" customWidth="1"/>
    <col min="12296" max="12540" width="9.1796875" style="27"/>
    <col min="12541" max="12541" width="8.7265625" style="27" customWidth="1"/>
    <col min="12542" max="12542" width="9.81640625" style="27" customWidth="1"/>
    <col min="12543" max="12543" width="14.453125" style="27" customWidth="1"/>
    <col min="12544" max="12544" width="7.26953125" style="27" customWidth="1"/>
    <col min="12545" max="12545" width="5.54296875" style="27" customWidth="1"/>
    <col min="12546" max="12546" width="9" style="27" customWidth="1"/>
    <col min="12547" max="12548" width="9.81640625" style="27" customWidth="1"/>
    <col min="12549" max="12549" width="11.1796875" style="27" customWidth="1"/>
    <col min="12550" max="12550" width="2.81640625" style="27" customWidth="1"/>
    <col min="12551" max="12551" width="3.54296875" style="27" customWidth="1"/>
    <col min="12552" max="12796" width="9.1796875" style="27"/>
    <col min="12797" max="12797" width="8.7265625" style="27" customWidth="1"/>
    <col min="12798" max="12798" width="9.81640625" style="27" customWidth="1"/>
    <col min="12799" max="12799" width="14.453125" style="27" customWidth="1"/>
    <col min="12800" max="12800" width="7.26953125" style="27" customWidth="1"/>
    <col min="12801" max="12801" width="5.54296875" style="27" customWidth="1"/>
    <col min="12802" max="12802" width="9" style="27" customWidth="1"/>
    <col min="12803" max="12804" width="9.81640625" style="27" customWidth="1"/>
    <col min="12805" max="12805" width="11.1796875" style="27" customWidth="1"/>
    <col min="12806" max="12806" width="2.81640625" style="27" customWidth="1"/>
    <col min="12807" max="12807" width="3.54296875" style="27" customWidth="1"/>
    <col min="12808" max="13052" width="9.1796875" style="27"/>
    <col min="13053" max="13053" width="8.7265625" style="27" customWidth="1"/>
    <col min="13054" max="13054" width="9.81640625" style="27" customWidth="1"/>
    <col min="13055" max="13055" width="14.453125" style="27" customWidth="1"/>
    <col min="13056" max="13056" width="7.26953125" style="27" customWidth="1"/>
    <col min="13057" max="13057" width="5.54296875" style="27" customWidth="1"/>
    <col min="13058" max="13058" width="9" style="27" customWidth="1"/>
    <col min="13059" max="13060" width="9.81640625" style="27" customWidth="1"/>
    <col min="13061" max="13061" width="11.1796875" style="27" customWidth="1"/>
    <col min="13062" max="13062" width="2.81640625" style="27" customWidth="1"/>
    <col min="13063" max="13063" width="3.54296875" style="27" customWidth="1"/>
    <col min="13064" max="13308" width="9.1796875" style="27"/>
    <col min="13309" max="13309" width="8.7265625" style="27" customWidth="1"/>
    <col min="13310" max="13310" width="9.81640625" style="27" customWidth="1"/>
    <col min="13311" max="13311" width="14.453125" style="27" customWidth="1"/>
    <col min="13312" max="13312" width="7.26953125" style="27" customWidth="1"/>
    <col min="13313" max="13313" width="5.54296875" style="27" customWidth="1"/>
    <col min="13314" max="13314" width="9" style="27" customWidth="1"/>
    <col min="13315" max="13316" width="9.81640625" style="27" customWidth="1"/>
    <col min="13317" max="13317" width="11.1796875" style="27" customWidth="1"/>
    <col min="13318" max="13318" width="2.81640625" style="27" customWidth="1"/>
    <col min="13319" max="13319" width="3.54296875" style="27" customWidth="1"/>
    <col min="13320" max="13564" width="9.1796875" style="27"/>
    <col min="13565" max="13565" width="8.7265625" style="27" customWidth="1"/>
    <col min="13566" max="13566" width="9.81640625" style="27" customWidth="1"/>
    <col min="13567" max="13567" width="14.453125" style="27" customWidth="1"/>
    <col min="13568" max="13568" width="7.26953125" style="27" customWidth="1"/>
    <col min="13569" max="13569" width="5.54296875" style="27" customWidth="1"/>
    <col min="13570" max="13570" width="9" style="27" customWidth="1"/>
    <col min="13571" max="13572" width="9.81640625" style="27" customWidth="1"/>
    <col min="13573" max="13573" width="11.1796875" style="27" customWidth="1"/>
    <col min="13574" max="13574" width="2.81640625" style="27" customWidth="1"/>
    <col min="13575" max="13575" width="3.54296875" style="27" customWidth="1"/>
    <col min="13576" max="13820" width="9.1796875" style="27"/>
    <col min="13821" max="13821" width="8.7265625" style="27" customWidth="1"/>
    <col min="13822" max="13822" width="9.81640625" style="27" customWidth="1"/>
    <col min="13823" max="13823" width="14.453125" style="27" customWidth="1"/>
    <col min="13824" max="13824" width="7.26953125" style="27" customWidth="1"/>
    <col min="13825" max="13825" width="5.54296875" style="27" customWidth="1"/>
    <col min="13826" max="13826" width="9" style="27" customWidth="1"/>
    <col min="13827" max="13828" width="9.81640625" style="27" customWidth="1"/>
    <col min="13829" max="13829" width="11.1796875" style="27" customWidth="1"/>
    <col min="13830" max="13830" width="2.81640625" style="27" customWidth="1"/>
    <col min="13831" max="13831" width="3.54296875" style="27" customWidth="1"/>
    <col min="13832" max="14076" width="9.1796875" style="27"/>
    <col min="14077" max="14077" width="8.7265625" style="27" customWidth="1"/>
    <col min="14078" max="14078" width="9.81640625" style="27" customWidth="1"/>
    <col min="14079" max="14079" width="14.453125" style="27" customWidth="1"/>
    <col min="14080" max="14080" width="7.26953125" style="27" customWidth="1"/>
    <col min="14081" max="14081" width="5.54296875" style="27" customWidth="1"/>
    <col min="14082" max="14082" width="9" style="27" customWidth="1"/>
    <col min="14083" max="14084" width="9.81640625" style="27" customWidth="1"/>
    <col min="14085" max="14085" width="11.1796875" style="27" customWidth="1"/>
    <col min="14086" max="14086" width="2.81640625" style="27" customWidth="1"/>
    <col min="14087" max="14087" width="3.54296875" style="27" customWidth="1"/>
    <col min="14088" max="14332" width="9.1796875" style="27"/>
    <col min="14333" max="14333" width="8.7265625" style="27" customWidth="1"/>
    <col min="14334" max="14334" width="9.81640625" style="27" customWidth="1"/>
    <col min="14335" max="14335" width="14.453125" style="27" customWidth="1"/>
    <col min="14336" max="14336" width="7.26953125" style="27" customWidth="1"/>
    <col min="14337" max="14337" width="5.54296875" style="27" customWidth="1"/>
    <col min="14338" max="14338" width="9" style="27" customWidth="1"/>
    <col min="14339" max="14340" width="9.81640625" style="27" customWidth="1"/>
    <col min="14341" max="14341" width="11.1796875" style="27" customWidth="1"/>
    <col min="14342" max="14342" width="2.81640625" style="27" customWidth="1"/>
    <col min="14343" max="14343" width="3.54296875" style="27" customWidth="1"/>
    <col min="14344" max="14588" width="9.1796875" style="27"/>
    <col min="14589" max="14589" width="8.7265625" style="27" customWidth="1"/>
    <col min="14590" max="14590" width="9.81640625" style="27" customWidth="1"/>
    <col min="14591" max="14591" width="14.453125" style="27" customWidth="1"/>
    <col min="14592" max="14592" width="7.26953125" style="27" customWidth="1"/>
    <col min="14593" max="14593" width="5.54296875" style="27" customWidth="1"/>
    <col min="14594" max="14594" width="9" style="27" customWidth="1"/>
    <col min="14595" max="14596" width="9.81640625" style="27" customWidth="1"/>
    <col min="14597" max="14597" width="11.1796875" style="27" customWidth="1"/>
    <col min="14598" max="14598" width="2.81640625" style="27" customWidth="1"/>
    <col min="14599" max="14599" width="3.54296875" style="27" customWidth="1"/>
    <col min="14600" max="14844" width="9.1796875" style="27"/>
    <col min="14845" max="14845" width="8.7265625" style="27" customWidth="1"/>
    <col min="14846" max="14846" width="9.81640625" style="27" customWidth="1"/>
    <col min="14847" max="14847" width="14.453125" style="27" customWidth="1"/>
    <col min="14848" max="14848" width="7.26953125" style="27" customWidth="1"/>
    <col min="14849" max="14849" width="5.54296875" style="27" customWidth="1"/>
    <col min="14850" max="14850" width="9" style="27" customWidth="1"/>
    <col min="14851" max="14852" width="9.81640625" style="27" customWidth="1"/>
    <col min="14853" max="14853" width="11.1796875" style="27" customWidth="1"/>
    <col min="14854" max="14854" width="2.81640625" style="27" customWidth="1"/>
    <col min="14855" max="14855" width="3.54296875" style="27" customWidth="1"/>
    <col min="14856" max="15100" width="9.1796875" style="27"/>
    <col min="15101" max="15101" width="8.7265625" style="27" customWidth="1"/>
    <col min="15102" max="15102" width="9.81640625" style="27" customWidth="1"/>
    <col min="15103" max="15103" width="14.453125" style="27" customWidth="1"/>
    <col min="15104" max="15104" width="7.26953125" style="27" customWidth="1"/>
    <col min="15105" max="15105" width="5.54296875" style="27" customWidth="1"/>
    <col min="15106" max="15106" width="9" style="27" customWidth="1"/>
    <col min="15107" max="15108" width="9.81640625" style="27" customWidth="1"/>
    <col min="15109" max="15109" width="11.1796875" style="27" customWidth="1"/>
    <col min="15110" max="15110" width="2.81640625" style="27" customWidth="1"/>
    <col min="15111" max="15111" width="3.54296875" style="27" customWidth="1"/>
    <col min="15112" max="15356" width="9.1796875" style="27"/>
    <col min="15357" max="15357" width="8.7265625" style="27" customWidth="1"/>
    <col min="15358" max="15358" width="9.81640625" style="27" customWidth="1"/>
    <col min="15359" max="15359" width="14.453125" style="27" customWidth="1"/>
    <col min="15360" max="15360" width="7.26953125" style="27" customWidth="1"/>
    <col min="15361" max="15361" width="5.54296875" style="27" customWidth="1"/>
    <col min="15362" max="15362" width="9" style="27" customWidth="1"/>
    <col min="15363" max="15364" width="9.81640625" style="27" customWidth="1"/>
    <col min="15365" max="15365" width="11.1796875" style="27" customWidth="1"/>
    <col min="15366" max="15366" width="2.81640625" style="27" customWidth="1"/>
    <col min="15367" max="15367" width="3.54296875" style="27" customWidth="1"/>
    <col min="15368" max="15612" width="9.1796875" style="27"/>
    <col min="15613" max="15613" width="8.7265625" style="27" customWidth="1"/>
    <col min="15614" max="15614" width="9.81640625" style="27" customWidth="1"/>
    <col min="15615" max="15615" width="14.453125" style="27" customWidth="1"/>
    <col min="15616" max="15616" width="7.26953125" style="27" customWidth="1"/>
    <col min="15617" max="15617" width="5.54296875" style="27" customWidth="1"/>
    <col min="15618" max="15618" width="9" style="27" customWidth="1"/>
    <col min="15619" max="15620" width="9.81640625" style="27" customWidth="1"/>
    <col min="15621" max="15621" width="11.1796875" style="27" customWidth="1"/>
    <col min="15622" max="15622" width="2.81640625" style="27" customWidth="1"/>
    <col min="15623" max="15623" width="3.54296875" style="27" customWidth="1"/>
    <col min="15624" max="15868" width="9.1796875" style="27"/>
    <col min="15869" max="15869" width="8.7265625" style="27" customWidth="1"/>
    <col min="15870" max="15870" width="9.81640625" style="27" customWidth="1"/>
    <col min="15871" max="15871" width="14.453125" style="27" customWidth="1"/>
    <col min="15872" max="15872" width="7.26953125" style="27" customWidth="1"/>
    <col min="15873" max="15873" width="5.54296875" style="27" customWidth="1"/>
    <col min="15874" max="15874" width="9" style="27" customWidth="1"/>
    <col min="15875" max="15876" width="9.81640625" style="27" customWidth="1"/>
    <col min="15877" max="15877" width="11.1796875" style="27" customWidth="1"/>
    <col min="15878" max="15878" width="2.81640625" style="27" customWidth="1"/>
    <col min="15879" max="15879" width="3.54296875" style="27" customWidth="1"/>
    <col min="15880" max="16124" width="9.1796875" style="27"/>
    <col min="16125" max="16125" width="8.7265625" style="27" customWidth="1"/>
    <col min="16126" max="16126" width="9.81640625" style="27" customWidth="1"/>
    <col min="16127" max="16127" width="14.453125" style="27" customWidth="1"/>
    <col min="16128" max="16128" width="7.26953125" style="27" customWidth="1"/>
    <col min="16129" max="16129" width="5.54296875" style="27" customWidth="1"/>
    <col min="16130" max="16130" width="9" style="27" customWidth="1"/>
    <col min="16131" max="16132" width="9.81640625" style="27" customWidth="1"/>
    <col min="16133" max="16133" width="11.1796875" style="27" customWidth="1"/>
    <col min="16134" max="16134" width="2.81640625" style="27" customWidth="1"/>
    <col min="16135" max="16135" width="3.54296875" style="27" customWidth="1"/>
    <col min="16136" max="16384" width="9.1796875" style="27"/>
  </cols>
  <sheetData>
    <row r="1" spans="1:10" ht="46.5" customHeight="1" x14ac:dyDescent="0.3">
      <c r="A1" s="201" t="s">
        <v>220</v>
      </c>
      <c r="B1" s="202"/>
      <c r="C1" s="202"/>
      <c r="D1" s="202"/>
      <c r="E1" s="202"/>
      <c r="F1" s="202"/>
      <c r="G1" s="202"/>
      <c r="H1" s="202"/>
      <c r="I1" s="202"/>
      <c r="J1" s="203"/>
    </row>
    <row r="2" spans="1:10" ht="16.5" customHeight="1" x14ac:dyDescent="0.3">
      <c r="A2" s="149" t="s">
        <v>0</v>
      </c>
      <c r="B2" s="150"/>
      <c r="C2" s="150"/>
      <c r="D2" s="150"/>
      <c r="E2" s="150"/>
      <c r="F2" s="150"/>
      <c r="G2" s="150"/>
      <c r="H2" s="150"/>
      <c r="I2" s="150"/>
      <c r="J2" s="151"/>
    </row>
    <row r="3" spans="1:10" x14ac:dyDescent="0.3">
      <c r="A3" s="54" t="s">
        <v>1</v>
      </c>
      <c r="B3" s="52"/>
      <c r="C3" s="52"/>
      <c r="D3" s="52"/>
      <c r="E3" s="53"/>
      <c r="F3" s="204" t="str">
        <f ca="1">TEXT(TODAY(),"DD/MM/YYYY")</f>
        <v>07/08/2025</v>
      </c>
      <c r="G3" s="205"/>
      <c r="H3" s="205"/>
      <c r="I3" s="205"/>
      <c r="J3" s="206"/>
    </row>
    <row r="4" spans="1:10" ht="15" customHeight="1" x14ac:dyDescent="0.3">
      <c r="A4" s="54" t="s">
        <v>2</v>
      </c>
      <c r="B4" s="52"/>
      <c r="C4" s="52"/>
      <c r="D4" s="52"/>
      <c r="E4" s="53"/>
      <c r="F4" s="189" t="s">
        <v>140</v>
      </c>
      <c r="G4" s="190"/>
      <c r="H4" s="190"/>
      <c r="I4" s="190"/>
      <c r="J4" s="191"/>
    </row>
    <row r="5" spans="1:10" x14ac:dyDescent="0.3">
      <c r="A5" s="54" t="s">
        <v>3</v>
      </c>
      <c r="B5" s="52"/>
      <c r="C5" s="52"/>
      <c r="D5" s="52"/>
      <c r="E5" s="53"/>
      <c r="F5" s="204">
        <v>45876</v>
      </c>
      <c r="G5" s="205"/>
      <c r="H5" s="205"/>
      <c r="I5" s="205"/>
      <c r="J5" s="206"/>
    </row>
    <row r="6" spans="1:10" ht="16.5" customHeight="1" x14ac:dyDescent="0.3">
      <c r="A6" s="54" t="s">
        <v>4</v>
      </c>
      <c r="B6" s="52"/>
      <c r="C6" s="52"/>
      <c r="D6" s="52"/>
      <c r="E6" s="53"/>
      <c r="F6" s="61" t="s">
        <v>109</v>
      </c>
      <c r="G6" s="62"/>
      <c r="H6" s="62"/>
      <c r="I6" s="62"/>
      <c r="J6" s="63"/>
    </row>
    <row r="7" spans="1:10" ht="15" customHeight="1" x14ac:dyDescent="0.3">
      <c r="A7" s="54" t="s">
        <v>5</v>
      </c>
      <c r="B7" s="52"/>
      <c r="C7" s="52"/>
      <c r="D7" s="52"/>
      <c r="E7" s="53"/>
      <c r="F7" s="61" t="str">
        <f>F6</f>
        <v>M/s.Godrej Projects Development Limited</v>
      </c>
      <c r="G7" s="62"/>
      <c r="H7" s="62"/>
      <c r="I7" s="62"/>
      <c r="J7" s="63"/>
    </row>
    <row r="8" spans="1:10" x14ac:dyDescent="0.3">
      <c r="A8" s="54" t="s">
        <v>6</v>
      </c>
      <c r="B8" s="52"/>
      <c r="C8" s="52"/>
      <c r="D8" s="52"/>
      <c r="E8" s="53"/>
      <c r="F8" s="49" t="s">
        <v>108</v>
      </c>
      <c r="G8" s="103"/>
      <c r="H8" s="103"/>
      <c r="I8" s="103"/>
      <c r="J8" s="50"/>
    </row>
    <row r="9" spans="1:10" x14ac:dyDescent="0.3">
      <c r="A9" s="54" t="s">
        <v>233</v>
      </c>
      <c r="B9" s="52"/>
      <c r="C9" s="52"/>
      <c r="D9" s="52"/>
      <c r="E9" s="53"/>
      <c r="F9" s="54">
        <v>9821422860</v>
      </c>
      <c r="G9" s="52"/>
      <c r="H9" s="52"/>
      <c r="I9" s="52"/>
      <c r="J9" s="53"/>
    </row>
    <row r="10" spans="1:10" x14ac:dyDescent="0.3">
      <c r="A10" s="54" t="s">
        <v>234</v>
      </c>
      <c r="B10" s="52"/>
      <c r="C10" s="52"/>
      <c r="D10" s="52"/>
      <c r="E10" s="53"/>
      <c r="F10" s="54" t="s">
        <v>32</v>
      </c>
      <c r="G10" s="52"/>
      <c r="H10" s="52"/>
      <c r="I10" s="52"/>
      <c r="J10" s="53"/>
    </row>
    <row r="11" spans="1:10" x14ac:dyDescent="0.3">
      <c r="A11" s="54" t="s">
        <v>7</v>
      </c>
      <c r="B11" s="52"/>
      <c r="C11" s="52"/>
      <c r="D11" s="52"/>
      <c r="E11" s="53"/>
      <c r="F11" s="96" t="s">
        <v>132</v>
      </c>
      <c r="G11" s="97"/>
      <c r="H11" s="97"/>
      <c r="I11" s="97"/>
      <c r="J11" s="102"/>
    </row>
    <row r="12" spans="1:10" ht="16.5" customHeight="1" x14ac:dyDescent="0.3">
      <c r="A12" s="54" t="s">
        <v>8</v>
      </c>
      <c r="B12" s="52"/>
      <c r="C12" s="52"/>
      <c r="D12" s="52"/>
      <c r="E12" s="53"/>
      <c r="F12" s="61" t="s">
        <v>230</v>
      </c>
      <c r="G12" s="62"/>
      <c r="H12" s="62"/>
      <c r="I12" s="62"/>
      <c r="J12" s="63"/>
    </row>
    <row r="13" spans="1:10" x14ac:dyDescent="0.3">
      <c r="A13" s="54" t="s">
        <v>9</v>
      </c>
      <c r="B13" s="52"/>
      <c r="C13" s="52"/>
      <c r="D13" s="52"/>
      <c r="E13" s="53"/>
      <c r="F13" s="54" t="s">
        <v>135</v>
      </c>
      <c r="G13" s="52"/>
      <c r="H13" s="52"/>
      <c r="I13" s="52"/>
      <c r="J13" s="53"/>
    </row>
    <row r="14" spans="1:10" ht="31.5" customHeight="1" x14ac:dyDescent="0.3">
      <c r="A14" s="192" t="s">
        <v>10</v>
      </c>
      <c r="B14" s="192"/>
      <c r="C14" s="55" t="str">
        <f>CONCATENATE((IF(OR(F8="",F8="NA"),"",F8)),", ",(IF(OR(A15="",A15="NA"),"",A15)),".",(IF(OR(C15="",C15="NA"),"",C15)),", ",(IF(OR(C16="",C16="NA"),"",C16)),", ",(IF(OR(H16="",H16="NA"),"",H16)),", ",(IF(OR(C17="",C17="NA"),"",C17)),", ",(IF(OR(H17="",H17="NA"),"",H17)),".")</f>
        <v>Godrej RKS, CTS No.673, 673/1 To 673/20, 783(PT), Sion - Trombay Road, Borla, Chembur, Mumbai.</v>
      </c>
      <c r="D14" s="95"/>
      <c r="E14" s="95"/>
      <c r="F14" s="95"/>
      <c r="G14" s="95"/>
      <c r="H14" s="95"/>
      <c r="I14" s="95"/>
      <c r="J14" s="56"/>
    </row>
    <row r="15" spans="1:10" ht="15.75" customHeight="1" x14ac:dyDescent="0.3">
      <c r="A15" s="55" t="s">
        <v>110</v>
      </c>
      <c r="B15" s="56"/>
      <c r="C15" s="61" t="s">
        <v>111</v>
      </c>
      <c r="D15" s="62"/>
      <c r="E15" s="62"/>
      <c r="F15" s="62"/>
      <c r="G15" s="62"/>
      <c r="H15" s="62"/>
      <c r="I15" s="62"/>
      <c r="J15" s="63"/>
    </row>
    <row r="16" spans="1:10" ht="15.75" customHeight="1" x14ac:dyDescent="0.3">
      <c r="A16" s="55" t="s">
        <v>11</v>
      </c>
      <c r="B16" s="56"/>
      <c r="C16" s="186" t="s">
        <v>115</v>
      </c>
      <c r="D16" s="186"/>
      <c r="E16" s="186"/>
      <c r="F16" s="187" t="s">
        <v>94</v>
      </c>
      <c r="G16" s="188"/>
      <c r="H16" s="61" t="s">
        <v>112</v>
      </c>
      <c r="I16" s="62"/>
      <c r="J16" s="63"/>
    </row>
    <row r="17" spans="1:10" x14ac:dyDescent="0.3">
      <c r="A17" s="178" t="s">
        <v>13</v>
      </c>
      <c r="B17" s="178"/>
      <c r="C17" s="186" t="s">
        <v>117</v>
      </c>
      <c r="D17" s="186"/>
      <c r="E17" s="186"/>
      <c r="F17" s="187" t="s">
        <v>12</v>
      </c>
      <c r="G17" s="188"/>
      <c r="H17" s="215" t="s">
        <v>113</v>
      </c>
      <c r="I17" s="215"/>
      <c r="J17" s="215"/>
    </row>
    <row r="18" spans="1:10" x14ac:dyDescent="0.3">
      <c r="A18" s="178" t="s">
        <v>95</v>
      </c>
      <c r="B18" s="178"/>
      <c r="C18" s="61" t="s">
        <v>113</v>
      </c>
      <c r="D18" s="62"/>
      <c r="E18" s="63"/>
      <c r="F18" s="187" t="s">
        <v>14</v>
      </c>
      <c r="G18" s="188"/>
      <c r="H18" s="61">
        <v>400071</v>
      </c>
      <c r="I18" s="62"/>
      <c r="J18" s="63"/>
    </row>
    <row r="19" spans="1:10" ht="32.25" customHeight="1" x14ac:dyDescent="0.3">
      <c r="A19" s="178" t="s">
        <v>15</v>
      </c>
      <c r="B19" s="178"/>
      <c r="C19" s="60" t="s">
        <v>116</v>
      </c>
      <c r="D19" s="60"/>
      <c r="E19" s="60"/>
      <c r="F19" s="192" t="s">
        <v>16</v>
      </c>
      <c r="G19" s="192"/>
      <c r="H19" s="62" t="s">
        <v>114</v>
      </c>
      <c r="I19" s="62"/>
      <c r="J19" s="63"/>
    </row>
    <row r="20" spans="1:10" ht="15" customHeight="1" x14ac:dyDescent="0.3">
      <c r="A20" s="187" t="s">
        <v>104</v>
      </c>
      <c r="B20" s="193"/>
      <c r="C20" s="193"/>
      <c r="D20" s="193"/>
      <c r="E20" s="188"/>
      <c r="F20" s="195" t="s">
        <v>17</v>
      </c>
      <c r="G20" s="196"/>
      <c r="H20" s="196"/>
      <c r="I20" s="196"/>
      <c r="J20" s="197"/>
    </row>
    <row r="21" spans="1:10" ht="18.75" customHeight="1" x14ac:dyDescent="0.3">
      <c r="A21" s="168"/>
      <c r="B21" s="169"/>
      <c r="C21" s="169"/>
      <c r="D21" s="169"/>
      <c r="E21" s="194"/>
      <c r="F21" s="198"/>
      <c r="G21" s="199"/>
      <c r="H21" s="199"/>
      <c r="I21" s="199"/>
      <c r="J21" s="200"/>
    </row>
    <row r="22" spans="1:10" ht="15" customHeight="1" x14ac:dyDescent="0.3">
      <c r="A22" s="187" t="s">
        <v>18</v>
      </c>
      <c r="B22" s="193"/>
      <c r="C22" s="193"/>
      <c r="D22" s="193"/>
      <c r="E22" s="188"/>
      <c r="F22" s="187" t="s">
        <v>19</v>
      </c>
      <c r="G22" s="193"/>
      <c r="H22" s="193"/>
      <c r="I22" s="193"/>
      <c r="J22" s="188"/>
    </row>
    <row r="23" spans="1:10" ht="15" customHeight="1" x14ac:dyDescent="0.3">
      <c r="A23" s="54" t="s">
        <v>20</v>
      </c>
      <c r="B23" s="52"/>
      <c r="C23" s="52"/>
      <c r="D23" s="52"/>
      <c r="E23" s="53"/>
      <c r="F23" s="189" t="s">
        <v>138</v>
      </c>
      <c r="G23" s="190"/>
      <c r="H23" s="190"/>
      <c r="I23" s="190"/>
      <c r="J23" s="191"/>
    </row>
    <row r="24" spans="1:10" x14ac:dyDescent="0.3">
      <c r="A24" s="54" t="s">
        <v>21</v>
      </c>
      <c r="B24" s="52"/>
      <c r="C24" s="52"/>
      <c r="D24" s="52"/>
      <c r="E24" s="53"/>
      <c r="F24" s="189" t="s">
        <v>22</v>
      </c>
      <c r="G24" s="190"/>
      <c r="H24" s="190"/>
      <c r="I24" s="190"/>
      <c r="J24" s="191"/>
    </row>
    <row r="25" spans="1:10" ht="15" customHeight="1" x14ac:dyDescent="0.3">
      <c r="A25" s="54" t="s">
        <v>23</v>
      </c>
      <c r="B25" s="52"/>
      <c r="C25" s="52"/>
      <c r="D25" s="52"/>
      <c r="E25" s="53"/>
      <c r="F25" s="189" t="s">
        <v>139</v>
      </c>
      <c r="G25" s="190"/>
      <c r="H25" s="190"/>
      <c r="I25" s="190"/>
      <c r="J25" s="191"/>
    </row>
    <row r="26" spans="1:10" x14ac:dyDescent="0.3">
      <c r="A26" s="54" t="s">
        <v>24</v>
      </c>
      <c r="B26" s="52"/>
      <c r="C26" s="52"/>
      <c r="D26" s="52"/>
      <c r="E26" s="53"/>
      <c r="F26" s="189" t="s">
        <v>25</v>
      </c>
      <c r="G26" s="190"/>
      <c r="H26" s="190"/>
      <c r="I26" s="190"/>
      <c r="J26" s="191"/>
    </row>
    <row r="27" spans="1:10" x14ac:dyDescent="0.3">
      <c r="A27" s="216" t="s">
        <v>26</v>
      </c>
      <c r="B27" s="217"/>
      <c r="C27" s="216" t="s">
        <v>27</v>
      </c>
      <c r="D27" s="217"/>
      <c r="E27" s="216" t="s">
        <v>28</v>
      </c>
      <c r="F27" s="217"/>
      <c r="G27" s="216" t="s">
        <v>30</v>
      </c>
      <c r="H27" s="217"/>
      <c r="I27" s="216" t="s">
        <v>29</v>
      </c>
      <c r="J27" s="217"/>
    </row>
    <row r="28" spans="1:10" x14ac:dyDescent="0.3">
      <c r="A28" s="109" t="s">
        <v>31</v>
      </c>
      <c r="B28" s="110"/>
      <c r="C28" s="109" t="s">
        <v>32</v>
      </c>
      <c r="D28" s="110"/>
      <c r="E28" s="109" t="s">
        <v>32</v>
      </c>
      <c r="F28" s="110"/>
      <c r="G28" s="109" t="s">
        <v>32</v>
      </c>
      <c r="H28" s="110"/>
      <c r="I28" s="109" t="s">
        <v>32</v>
      </c>
      <c r="J28" s="110"/>
    </row>
    <row r="29" spans="1:10" x14ac:dyDescent="0.3">
      <c r="A29" s="109" t="s">
        <v>33</v>
      </c>
      <c r="B29" s="110"/>
      <c r="C29" s="184" t="s">
        <v>11</v>
      </c>
      <c r="D29" s="185"/>
      <c r="E29" s="184" t="s">
        <v>11</v>
      </c>
      <c r="F29" s="185"/>
      <c r="G29" s="184" t="s">
        <v>134</v>
      </c>
      <c r="H29" s="185"/>
      <c r="I29" s="184" t="s">
        <v>133</v>
      </c>
      <c r="J29" s="185"/>
    </row>
    <row r="30" spans="1:10" x14ac:dyDescent="0.3">
      <c r="A30" s="54" t="s">
        <v>34</v>
      </c>
      <c r="B30" s="52"/>
      <c r="C30" s="52"/>
      <c r="D30" s="52"/>
      <c r="E30" s="52"/>
      <c r="F30" s="52"/>
      <c r="G30" s="52"/>
      <c r="H30" s="52"/>
      <c r="I30" s="52"/>
      <c r="J30" s="53"/>
    </row>
    <row r="31" spans="1:10" x14ac:dyDescent="0.3">
      <c r="A31" s="54" t="s">
        <v>35</v>
      </c>
      <c r="B31" s="52"/>
      <c r="C31" s="52"/>
      <c r="D31" s="52"/>
      <c r="E31" s="52"/>
      <c r="F31" s="52"/>
      <c r="G31" s="52"/>
      <c r="H31" s="52"/>
      <c r="I31" s="52"/>
      <c r="J31" s="53"/>
    </row>
    <row r="32" spans="1:10" x14ac:dyDescent="0.3">
      <c r="A32" s="49" t="s">
        <v>36</v>
      </c>
      <c r="B32" s="50"/>
      <c r="C32" s="54" t="s">
        <v>216</v>
      </c>
      <c r="D32" s="52"/>
      <c r="E32" s="52"/>
      <c r="F32" s="52"/>
      <c r="G32" s="52"/>
      <c r="H32" s="52"/>
      <c r="I32" s="52"/>
      <c r="J32" s="53"/>
    </row>
    <row r="33" spans="1:10" ht="14.5" x14ac:dyDescent="0.3">
      <c r="A33" s="49" t="s">
        <v>215</v>
      </c>
      <c r="B33" s="50"/>
      <c r="C33" s="51" t="s">
        <v>217</v>
      </c>
      <c r="D33" s="52"/>
      <c r="E33" s="52"/>
      <c r="F33" s="52"/>
      <c r="G33" s="52"/>
      <c r="H33" s="52"/>
      <c r="I33" s="52"/>
      <c r="J33" s="53"/>
    </row>
    <row r="34" spans="1:10" x14ac:dyDescent="0.3">
      <c r="A34" s="49" t="s">
        <v>37</v>
      </c>
      <c r="B34" s="103"/>
      <c r="C34" s="103"/>
      <c r="D34" s="103"/>
      <c r="E34" s="103"/>
      <c r="F34" s="103"/>
      <c r="G34" s="103"/>
      <c r="H34" s="103"/>
      <c r="I34" s="103"/>
      <c r="J34" s="50"/>
    </row>
    <row r="35" spans="1:10" ht="15" customHeight="1" x14ac:dyDescent="0.3">
      <c r="A35" s="55" t="s">
        <v>38</v>
      </c>
      <c r="B35" s="95"/>
      <c r="C35" s="95"/>
      <c r="D35" s="95"/>
      <c r="E35" s="56"/>
      <c r="F35" s="218" t="s">
        <v>131</v>
      </c>
      <c r="G35" s="219"/>
      <c r="H35" s="219"/>
      <c r="I35" s="219"/>
      <c r="J35" s="220"/>
    </row>
    <row r="36" spans="1:10" ht="15" customHeight="1" x14ac:dyDescent="0.3">
      <c r="A36" s="168" t="s">
        <v>39</v>
      </c>
      <c r="B36" s="169"/>
      <c r="C36" s="169"/>
      <c r="D36" s="169"/>
      <c r="E36" s="169"/>
      <c r="F36" s="55" t="s">
        <v>40</v>
      </c>
      <c r="G36" s="95"/>
      <c r="H36" s="95"/>
      <c r="I36" s="95"/>
      <c r="J36" s="56"/>
    </row>
    <row r="37" spans="1:10" x14ac:dyDescent="0.3">
      <c r="A37" s="250" t="s">
        <v>41</v>
      </c>
      <c r="B37" s="250"/>
      <c r="C37" s="250"/>
      <c r="D37" s="250"/>
      <c r="E37" s="250"/>
      <c r="F37" s="250"/>
      <c r="G37" s="250"/>
      <c r="H37" s="250"/>
      <c r="I37" s="250"/>
      <c r="J37" s="250"/>
    </row>
    <row r="38" spans="1:10" x14ac:dyDescent="0.3">
      <c r="A38" s="178" t="s">
        <v>42</v>
      </c>
      <c r="B38" s="178"/>
      <c r="C38" s="178"/>
      <c r="D38" s="178"/>
      <c r="E38" s="178"/>
      <c r="F38" s="251">
        <v>7015.06</v>
      </c>
      <c r="G38" s="251"/>
      <c r="H38" s="251"/>
      <c r="I38" s="251"/>
      <c r="J38" s="251"/>
    </row>
    <row r="39" spans="1:10" x14ac:dyDescent="0.3">
      <c r="A39" s="178" t="s">
        <v>43</v>
      </c>
      <c r="B39" s="178"/>
      <c r="C39" s="178"/>
      <c r="D39" s="178"/>
      <c r="E39" s="178"/>
      <c r="F39" s="252">
        <v>1</v>
      </c>
      <c r="G39" s="252"/>
      <c r="H39" s="252"/>
      <c r="I39" s="252"/>
      <c r="J39" s="252"/>
    </row>
    <row r="40" spans="1:10" x14ac:dyDescent="0.3">
      <c r="A40" s="178" t="s">
        <v>44</v>
      </c>
      <c r="B40" s="178"/>
      <c r="C40" s="178"/>
      <c r="D40" s="178"/>
      <c r="E40" s="178"/>
      <c r="F40" s="252">
        <f>F41-F39</f>
        <v>1.5</v>
      </c>
      <c r="G40" s="252"/>
      <c r="H40" s="252"/>
      <c r="I40" s="252"/>
      <c r="J40" s="252"/>
    </row>
    <row r="41" spans="1:10" x14ac:dyDescent="0.3">
      <c r="A41" s="178" t="s">
        <v>45</v>
      </c>
      <c r="B41" s="178"/>
      <c r="C41" s="178"/>
      <c r="D41" s="178"/>
      <c r="E41" s="178"/>
      <c r="F41" s="252">
        <f>F42/F38</f>
        <v>2.5</v>
      </c>
      <c r="G41" s="252"/>
      <c r="H41" s="252"/>
      <c r="I41" s="252"/>
      <c r="J41" s="252"/>
    </row>
    <row r="42" spans="1:10" x14ac:dyDescent="0.3">
      <c r="A42" s="178" t="s">
        <v>46</v>
      </c>
      <c r="B42" s="178"/>
      <c r="C42" s="178"/>
      <c r="D42" s="178"/>
      <c r="E42" s="178"/>
      <c r="F42" s="253">
        <v>17537.650000000001</v>
      </c>
      <c r="G42" s="253"/>
      <c r="H42" s="253"/>
      <c r="I42" s="253"/>
      <c r="J42" s="253"/>
    </row>
    <row r="43" spans="1:10" x14ac:dyDescent="0.3">
      <c r="A43" s="178" t="s">
        <v>47</v>
      </c>
      <c r="B43" s="178"/>
      <c r="C43" s="178"/>
      <c r="D43" s="178"/>
      <c r="E43" s="178"/>
      <c r="F43" s="186" t="s">
        <v>136</v>
      </c>
      <c r="G43" s="186"/>
      <c r="H43" s="186"/>
      <c r="I43" s="186"/>
      <c r="J43" s="186"/>
    </row>
    <row r="44" spans="1:10" x14ac:dyDescent="0.3">
      <c r="A44" s="250" t="s">
        <v>48</v>
      </c>
      <c r="B44" s="250"/>
      <c r="C44" s="250"/>
      <c r="D44" s="250"/>
      <c r="E44" s="250"/>
      <c r="F44" s="250"/>
      <c r="G44" s="250"/>
      <c r="H44" s="250"/>
      <c r="I44" s="250"/>
      <c r="J44" s="250"/>
    </row>
    <row r="45" spans="1:10" ht="33.75" customHeight="1" x14ac:dyDescent="0.3">
      <c r="A45" s="192" t="s">
        <v>49</v>
      </c>
      <c r="B45" s="192"/>
      <c r="C45" s="60" t="s">
        <v>222</v>
      </c>
      <c r="D45" s="60"/>
      <c r="E45" s="60"/>
      <c r="F45" s="60"/>
      <c r="G45" s="28" t="s">
        <v>50</v>
      </c>
      <c r="H45" s="254">
        <v>45006</v>
      </c>
      <c r="I45" s="192"/>
      <c r="J45" s="192"/>
    </row>
    <row r="46" spans="1:10" ht="32.25" customHeight="1" x14ac:dyDescent="0.3">
      <c r="A46" s="192" t="s">
        <v>51</v>
      </c>
      <c r="B46" s="192"/>
      <c r="C46" s="60" t="str">
        <f>C45</f>
        <v>P-2314/2019/(673 And Other)/M/WWard/ BORLA-M/W/OCC/1/New</v>
      </c>
      <c r="D46" s="60"/>
      <c r="E46" s="60"/>
      <c r="F46" s="60"/>
      <c r="G46" s="28" t="s">
        <v>50</v>
      </c>
      <c r="H46" s="254">
        <f>H45</f>
        <v>45006</v>
      </c>
      <c r="I46" s="192"/>
      <c r="J46" s="192"/>
    </row>
    <row r="47" spans="1:10" ht="118.5" customHeight="1" x14ac:dyDescent="0.3">
      <c r="A47" s="55" t="s">
        <v>52</v>
      </c>
      <c r="B47" s="56"/>
      <c r="C47" s="57" t="s">
        <v>219</v>
      </c>
      <c r="D47" s="58"/>
      <c r="E47" s="58"/>
      <c r="F47" s="59"/>
      <c r="G47" s="29" t="s">
        <v>50</v>
      </c>
      <c r="H47" s="44">
        <v>44848</v>
      </c>
      <c r="I47" s="60" t="s">
        <v>218</v>
      </c>
      <c r="J47" s="60"/>
    </row>
    <row r="48" spans="1:10" s="42" customFormat="1" ht="60.75" customHeight="1" x14ac:dyDescent="0.3">
      <c r="A48" s="173" t="s">
        <v>224</v>
      </c>
      <c r="B48" s="174"/>
      <c r="C48" s="175" t="s">
        <v>212</v>
      </c>
      <c r="D48" s="176"/>
      <c r="E48" s="176"/>
      <c r="F48" s="177" t="s">
        <v>53</v>
      </c>
      <c r="G48" s="45" t="s">
        <v>50</v>
      </c>
      <c r="H48" s="170" t="s">
        <v>213</v>
      </c>
      <c r="I48" s="171"/>
      <c r="J48" s="172"/>
    </row>
    <row r="49" spans="1:12" s="42" customFormat="1" ht="159.75" customHeight="1" x14ac:dyDescent="0.3">
      <c r="A49" s="173" t="s">
        <v>225</v>
      </c>
      <c r="B49" s="174"/>
      <c r="C49" s="175" t="s">
        <v>223</v>
      </c>
      <c r="D49" s="176"/>
      <c r="E49" s="176"/>
      <c r="F49" s="177" t="s">
        <v>53</v>
      </c>
      <c r="G49" s="45" t="s">
        <v>50</v>
      </c>
      <c r="H49" s="170">
        <v>45006</v>
      </c>
      <c r="I49" s="171"/>
      <c r="J49" s="172"/>
    </row>
    <row r="50" spans="1:12" x14ac:dyDescent="0.3">
      <c r="A50" s="178" t="s">
        <v>54</v>
      </c>
      <c r="B50" s="178"/>
      <c r="C50" s="178"/>
      <c r="D50" s="179" t="s">
        <v>176</v>
      </c>
      <c r="E50" s="179"/>
      <c r="F50" s="54" t="s">
        <v>55</v>
      </c>
      <c r="G50" s="180"/>
      <c r="H50" s="181" t="s">
        <v>237</v>
      </c>
      <c r="I50" s="97"/>
      <c r="J50" s="102"/>
    </row>
    <row r="51" spans="1:12" x14ac:dyDescent="0.3">
      <c r="A51" s="106" t="s">
        <v>56</v>
      </c>
      <c r="B51" s="107"/>
      <c r="C51" s="107"/>
      <c r="D51" s="107"/>
      <c r="E51" s="107"/>
      <c r="F51" s="107"/>
      <c r="G51" s="107"/>
      <c r="H51" s="107"/>
      <c r="I51" s="107"/>
      <c r="J51" s="108"/>
    </row>
    <row r="52" spans="1:12" ht="15.75" customHeight="1" x14ac:dyDescent="0.3">
      <c r="A52" s="54" t="s">
        <v>57</v>
      </c>
      <c r="B52" s="52"/>
      <c r="C52" s="53"/>
      <c r="D52" s="109">
        <f>F42</f>
        <v>17537.650000000001</v>
      </c>
      <c r="E52" s="110"/>
      <c r="F52" s="111" t="s">
        <v>58</v>
      </c>
      <c r="G52" s="112"/>
      <c r="H52" s="111" t="s">
        <v>190</v>
      </c>
      <c r="I52" s="113"/>
      <c r="J52" s="112"/>
    </row>
    <row r="53" spans="1:12" x14ac:dyDescent="0.3">
      <c r="A53" s="96" t="s">
        <v>59</v>
      </c>
      <c r="B53" s="97"/>
      <c r="C53" s="61" t="s">
        <v>173</v>
      </c>
      <c r="D53" s="62"/>
      <c r="E53" s="62"/>
      <c r="F53" s="62"/>
      <c r="G53" s="62"/>
      <c r="H53" s="62"/>
      <c r="I53" s="62"/>
      <c r="J53" s="63"/>
    </row>
    <row r="54" spans="1:12" ht="15.75" customHeight="1" x14ac:dyDescent="0.3">
      <c r="A54" s="96" t="s">
        <v>130</v>
      </c>
      <c r="B54" s="97"/>
      <c r="C54" s="97"/>
      <c r="D54" s="61" t="s">
        <v>235</v>
      </c>
      <c r="E54" s="62"/>
      <c r="F54" s="62"/>
      <c r="G54" s="62"/>
      <c r="H54" s="62"/>
      <c r="I54" s="62"/>
      <c r="J54" s="63"/>
    </row>
    <row r="55" spans="1:12" ht="14.5" thickBot="1" x14ac:dyDescent="0.35">
      <c r="A55" s="96" t="s">
        <v>227</v>
      </c>
      <c r="B55" s="97"/>
      <c r="C55" s="97"/>
      <c r="D55" s="97"/>
      <c r="E55" s="97"/>
      <c r="F55" s="97"/>
      <c r="G55" s="97"/>
      <c r="H55" s="97"/>
      <c r="I55" s="97"/>
      <c r="J55" s="102"/>
    </row>
    <row r="56" spans="1:12" ht="15.75" customHeight="1" x14ac:dyDescent="0.3">
      <c r="A56" s="119" t="s">
        <v>198</v>
      </c>
      <c r="B56" s="120"/>
      <c r="C56" s="121" t="s">
        <v>214</v>
      </c>
      <c r="D56" s="122"/>
      <c r="E56" s="122"/>
      <c r="F56" s="122"/>
      <c r="G56" s="122"/>
      <c r="H56" s="122"/>
      <c r="I56" s="122"/>
      <c r="J56" s="123"/>
      <c r="K56" s="10" t="str">
        <f ca="1">(IF(F60&gt;99%,"All work completed. Please provide OC.",IF(F60&gt;89.8%,"Plinth, RCC, Brick, Plaster, Flooring, Painting work Completed. Finishing work is in process.",IF(F60&lt;94%,(IF(C60=0,"Work not yet Started.",IF(D60=25%,"Piling work in process",IF(D60=50%,"Excavation work in process",IF(D60=100%,"Excavation work Completed. ","0")))&amp;(IF(C61=0%,"",IF(C61=L62,"Footing work is process",IF(C61=L63,"Footing work Completed",IF(C61=L64,"1st Basement Completed",IF(C61=L65,"1st &amp; 2nd Basement Completed",IF(C61=L66,"1st to 3rd Basement Completed",IF(C61=L67,"1st to 4th Basement Completed",IF(C61=L68,"Plinth work is process",IF(C61=L69,"Plinth work completed","0")))))))))))&amp;(IF(C62=(D57+G57+I57),", RCC Slab",IF(C62&gt;0,", RCC upto "&amp;C62&amp;" Slab",""))&amp;(IF(C63=I57,", Brickwork",IF(C63&gt;0,", Brickwork upto "&amp;C63&amp;" Floor",""))&amp;(IF(C64=I57,", Internal Plaster",IF(C64&gt;0,", Internal Plaster upto "&amp;C64&amp;" Floor",""))&amp;(IF(C65=I57,", External Plaster",IF(C65&gt;0,", External Plaster upto "&amp;C65&amp;" Floor",""))&amp;(IF(C66=I57,", Flooring",IF(C66&gt;0,", Flooring upto "&amp;C66&amp;" Floor",""))&amp;(IF(C67=I57,", Painting",IF(C67&gt;0,", Painting upto "&amp;C67&amp;" Floor",""))&amp;(IF(C68&gt;0,", Finishing upto "&amp;C68&amp;" Floor","")&amp;(IF(C62&gt;0.5," Completed",""))))))))))))))</f>
        <v>All work completed. Please provide OC.</v>
      </c>
      <c r="L56" s="11"/>
    </row>
    <row r="57" spans="1:12" ht="15" customHeight="1" x14ac:dyDescent="0.3">
      <c r="A57" s="12" t="s">
        <v>91</v>
      </c>
      <c r="B57" s="13">
        <v>3</v>
      </c>
      <c r="C57" s="13" t="s">
        <v>93</v>
      </c>
      <c r="D57" s="13">
        <v>1</v>
      </c>
      <c r="E57" s="128" t="s">
        <v>92</v>
      </c>
      <c r="F57" s="158"/>
      <c r="G57" s="13">
        <v>0</v>
      </c>
      <c r="H57" s="13" t="s">
        <v>157</v>
      </c>
      <c r="I57" s="128">
        <f ca="1">--TRIM(RIGHT(SUBSTITUTE(LEFT(C56,_xlfn.AGGREGATE(16,6,FIND({0,1,2,3,4,5,6,7,8,9},C56,ROW(INDIRECT("1:"&amp;LEN(C56)))),1))," ",REPT(" ",LEN(C56))),LEN(C56)))</f>
        <v>14</v>
      </c>
      <c r="J57" s="129"/>
      <c r="K57" s="14"/>
      <c r="L57" s="15"/>
    </row>
    <row r="58" spans="1:12" x14ac:dyDescent="0.3">
      <c r="A58" s="130" t="s">
        <v>158</v>
      </c>
      <c r="B58" s="131"/>
      <c r="C58" s="132" t="str">
        <f>K58</f>
        <v>All work Completed. OC Received.</v>
      </c>
      <c r="D58" s="133"/>
      <c r="E58" s="133"/>
      <c r="F58" s="133"/>
      <c r="G58" s="133"/>
      <c r="H58" s="133"/>
      <c r="I58" s="133"/>
      <c r="J58" s="134"/>
      <c r="K58" s="14" t="s">
        <v>163</v>
      </c>
      <c r="L58" s="15"/>
    </row>
    <row r="59" spans="1:12" ht="15.75" customHeight="1" x14ac:dyDescent="0.3">
      <c r="A59" s="135" t="s">
        <v>60</v>
      </c>
      <c r="B59" s="136"/>
      <c r="C59" s="16" t="s">
        <v>159</v>
      </c>
      <c r="D59" s="137" t="s">
        <v>160</v>
      </c>
      <c r="E59" s="137"/>
      <c r="F59" s="137" t="s">
        <v>161</v>
      </c>
      <c r="G59" s="137"/>
      <c r="H59" s="137" t="s">
        <v>162</v>
      </c>
      <c r="I59" s="137"/>
      <c r="J59" s="152"/>
      <c r="K59" s="17" t="s">
        <v>199</v>
      </c>
      <c r="L59" s="18">
        <f ca="1">I57*25%</f>
        <v>3.5</v>
      </c>
    </row>
    <row r="60" spans="1:12" ht="15.75" customHeight="1" x14ac:dyDescent="0.3">
      <c r="A60" s="153" t="s">
        <v>164</v>
      </c>
      <c r="B60" s="137"/>
      <c r="C60" s="19">
        <f ca="1">L61</f>
        <v>14</v>
      </c>
      <c r="D60" s="154">
        <f ca="1">((100/I57)*C60)/100</f>
        <v>1</v>
      </c>
      <c r="E60" s="155"/>
      <c r="F60" s="124">
        <f ca="1">(((C61/I57*10)+(40/(D57+G57+I57)*C62)+(7.5/(I57)*C63)+(7.5/(I57)*C64)+(10/I57*C65)+(10/I57*C66)+(5/I57*C67)+(5/I57*C68)+(5/I57*C69))/100)</f>
        <v>1</v>
      </c>
      <c r="G60" s="124"/>
      <c r="H60" s="159">
        <f ca="1">((((C60/I57)*20)+((C61/I57)*25)+(30/(I57+G57+D57)*C62)+(5/I57*C63)+(5/I57*C64)+(5/I57*C65)+(5/I57*C66)+(0/I57*C67)+(0/I57*C68)+(5/I57*C69))/100)</f>
        <v>1</v>
      </c>
      <c r="I60" s="160"/>
      <c r="J60" s="161"/>
      <c r="K60" s="17" t="s">
        <v>96</v>
      </c>
      <c r="L60" s="20">
        <f ca="1">I57*50%</f>
        <v>7</v>
      </c>
    </row>
    <row r="61" spans="1:12" x14ac:dyDescent="0.3">
      <c r="A61" s="153" t="s">
        <v>61</v>
      </c>
      <c r="B61" s="137"/>
      <c r="C61" s="21">
        <f ca="1">L69</f>
        <v>13.999999999999998</v>
      </c>
      <c r="D61" s="154">
        <f ca="1">((100/I57)*C61)/100</f>
        <v>0.99999999999999989</v>
      </c>
      <c r="E61" s="155"/>
      <c r="F61" s="124"/>
      <c r="G61" s="124"/>
      <c r="H61" s="162"/>
      <c r="I61" s="163"/>
      <c r="J61" s="164"/>
      <c r="K61" s="17" t="s">
        <v>97</v>
      </c>
      <c r="L61" s="20">
        <f ca="1">I57</f>
        <v>14</v>
      </c>
    </row>
    <row r="62" spans="1:12" ht="14.5" x14ac:dyDescent="0.35">
      <c r="A62" s="153" t="s">
        <v>200</v>
      </c>
      <c r="B62" s="137"/>
      <c r="C62" s="21">
        <v>15</v>
      </c>
      <c r="D62" s="154">
        <f ca="1">((100/(D57+G57+I57))*C62)/100</f>
        <v>1</v>
      </c>
      <c r="E62" s="155"/>
      <c r="F62" s="124"/>
      <c r="G62" s="124"/>
      <c r="H62" s="162"/>
      <c r="I62" s="163"/>
      <c r="J62" s="164"/>
      <c r="K62" s="17" t="s">
        <v>98</v>
      </c>
      <c r="L62" s="22">
        <f ca="1">(IF(B57&gt;1,(I57/(B57+2)),I57/4))</f>
        <v>2.8</v>
      </c>
    </row>
    <row r="63" spans="1:12" ht="15" customHeight="1" x14ac:dyDescent="0.35">
      <c r="A63" s="153" t="s">
        <v>165</v>
      </c>
      <c r="B63" s="137" t="s">
        <v>166</v>
      </c>
      <c r="C63" s="21">
        <f>C62-1</f>
        <v>14</v>
      </c>
      <c r="D63" s="154">
        <f ca="1">((100/I57)*C63)/100</f>
        <v>1</v>
      </c>
      <c r="E63" s="155"/>
      <c r="F63" s="124"/>
      <c r="G63" s="124"/>
      <c r="H63" s="162"/>
      <c r="I63" s="163"/>
      <c r="J63" s="164"/>
      <c r="K63" s="17" t="s">
        <v>99</v>
      </c>
      <c r="L63" s="22">
        <f ca="1">(IF(B57&gt;1,(I57/(B57+2)+L62),I57/4+L62))</f>
        <v>5.6</v>
      </c>
    </row>
    <row r="64" spans="1:12" ht="15.75" customHeight="1" x14ac:dyDescent="0.35">
      <c r="A64" s="153" t="s">
        <v>167</v>
      </c>
      <c r="B64" s="137" t="s">
        <v>166</v>
      </c>
      <c r="C64" s="19">
        <v>14</v>
      </c>
      <c r="D64" s="154">
        <f ca="1">((100/I57)*C64)/100</f>
        <v>1</v>
      </c>
      <c r="E64" s="155"/>
      <c r="F64" s="124"/>
      <c r="G64" s="124"/>
      <c r="H64" s="162"/>
      <c r="I64" s="163"/>
      <c r="J64" s="164"/>
      <c r="K64" s="17" t="s">
        <v>201</v>
      </c>
      <c r="L64" s="22">
        <f ca="1">(IF(B57&gt;1,(I57/(B57+2)+L63),0))</f>
        <v>8.3999999999999986</v>
      </c>
    </row>
    <row r="65" spans="1:13" ht="14.5" x14ac:dyDescent="0.35">
      <c r="A65" s="153" t="s">
        <v>202</v>
      </c>
      <c r="B65" s="137" t="s">
        <v>168</v>
      </c>
      <c r="C65" s="19">
        <v>14</v>
      </c>
      <c r="D65" s="154">
        <f ca="1">((100/(I57))*C65)/100</f>
        <v>1</v>
      </c>
      <c r="E65" s="155"/>
      <c r="F65" s="124"/>
      <c r="G65" s="124"/>
      <c r="H65" s="162"/>
      <c r="I65" s="163"/>
      <c r="J65" s="164"/>
      <c r="K65" s="17" t="s">
        <v>203</v>
      </c>
      <c r="L65" s="22">
        <f ca="1">(IF(B57&gt;2,(I57/(B57+2)+L64),0))</f>
        <v>11.2</v>
      </c>
      <c r="M65" s="30"/>
    </row>
    <row r="66" spans="1:13" ht="15.75" customHeight="1" x14ac:dyDescent="0.35">
      <c r="A66" s="153" t="s">
        <v>169</v>
      </c>
      <c r="B66" s="137" t="s">
        <v>169</v>
      </c>
      <c r="C66" s="19">
        <v>14</v>
      </c>
      <c r="D66" s="154">
        <f ca="1">((100/I57)*C66)/100</f>
        <v>1</v>
      </c>
      <c r="E66" s="155"/>
      <c r="F66" s="124"/>
      <c r="G66" s="124"/>
      <c r="H66" s="162"/>
      <c r="I66" s="163"/>
      <c r="J66" s="164"/>
      <c r="K66" s="17" t="s">
        <v>204</v>
      </c>
      <c r="L66" s="23">
        <f>(IF(B57&gt;3,(I57/(B57+2)+L65),0))</f>
        <v>0</v>
      </c>
      <c r="M66" s="30"/>
    </row>
    <row r="67" spans="1:13" ht="15" customHeight="1" x14ac:dyDescent="0.35">
      <c r="A67" s="153" t="s">
        <v>170</v>
      </c>
      <c r="B67" s="137"/>
      <c r="C67" s="19">
        <v>14</v>
      </c>
      <c r="D67" s="154">
        <f ca="1">((100/I57)*C67)/100</f>
        <v>1</v>
      </c>
      <c r="E67" s="155"/>
      <c r="F67" s="124"/>
      <c r="G67" s="124"/>
      <c r="H67" s="162"/>
      <c r="I67" s="163"/>
      <c r="J67" s="164"/>
      <c r="K67" s="17" t="s">
        <v>205</v>
      </c>
      <c r="L67" s="22">
        <f>(IF(B57&gt;4,(I57/(B57+2)+L66),0))</f>
        <v>0</v>
      </c>
      <c r="M67" s="30"/>
    </row>
    <row r="68" spans="1:13" ht="15.75" customHeight="1" x14ac:dyDescent="0.35">
      <c r="A68" s="153" t="s">
        <v>171</v>
      </c>
      <c r="B68" s="137" t="s">
        <v>171</v>
      </c>
      <c r="C68" s="19">
        <v>14</v>
      </c>
      <c r="D68" s="154">
        <f ca="1">((100/(I57))*C68)/100</f>
        <v>1</v>
      </c>
      <c r="E68" s="155"/>
      <c r="F68" s="124"/>
      <c r="G68" s="124"/>
      <c r="H68" s="162"/>
      <c r="I68" s="163"/>
      <c r="J68" s="164"/>
      <c r="K68" s="17" t="s">
        <v>100</v>
      </c>
      <c r="L68" s="22">
        <f>(IF(B57=1,(I57/(B57+3)+L63),IF(B57=0,(I57/4+L63),IF(B57&gt;1,0))))</f>
        <v>0</v>
      </c>
      <c r="M68" s="30"/>
    </row>
    <row r="69" spans="1:13" ht="16.5" customHeight="1" thickBot="1" x14ac:dyDescent="0.4">
      <c r="A69" s="156" t="s">
        <v>172</v>
      </c>
      <c r="B69" s="157"/>
      <c r="C69" s="24">
        <v>14</v>
      </c>
      <c r="D69" s="126">
        <f ca="1">((100/(I57))*C69)/100</f>
        <v>1</v>
      </c>
      <c r="E69" s="127"/>
      <c r="F69" s="125"/>
      <c r="G69" s="125"/>
      <c r="H69" s="165"/>
      <c r="I69" s="166"/>
      <c r="J69" s="167"/>
      <c r="K69" s="25" t="s">
        <v>101</v>
      </c>
      <c r="L69" s="26">
        <f ca="1">(IF(B57&gt;1.5,(I57/(B57+2)+L63+MAX(0,L64-L63)+MAX(0,L65-L64)+MAX(0,L66-L65)+MAX(0,L67-L66)+MAX(0,L68-L67)),IF(B57=1,(I57/(B57+3)+L68),IF(B57=0,I57/4+L68))))</f>
        <v>13.999999999999998</v>
      </c>
      <c r="M69" s="30"/>
    </row>
    <row r="70" spans="1:13" x14ac:dyDescent="0.3">
      <c r="A70" s="96" t="s">
        <v>226</v>
      </c>
      <c r="B70" s="97"/>
      <c r="C70" s="97"/>
      <c r="D70" s="97"/>
      <c r="E70" s="97"/>
      <c r="F70" s="97"/>
      <c r="G70" s="97"/>
      <c r="H70" s="97"/>
      <c r="I70" s="97"/>
      <c r="J70" s="102"/>
    </row>
    <row r="71" spans="1:13" x14ac:dyDescent="0.3">
      <c r="A71" s="54" t="s">
        <v>62</v>
      </c>
      <c r="B71" s="52"/>
      <c r="C71" s="52"/>
      <c r="D71" s="52"/>
      <c r="E71" s="52"/>
      <c r="F71" s="52"/>
      <c r="G71" s="52"/>
      <c r="H71" s="52"/>
      <c r="I71" s="52"/>
      <c r="J71" s="53"/>
    </row>
    <row r="72" spans="1:13" ht="15" customHeight="1" x14ac:dyDescent="0.3">
      <c r="A72" s="114" t="s">
        <v>206</v>
      </c>
      <c r="B72" s="115"/>
      <c r="C72" s="116" t="s">
        <v>207</v>
      </c>
      <c r="D72" s="117"/>
      <c r="E72" s="117"/>
      <c r="F72" s="117"/>
      <c r="G72" s="117"/>
      <c r="H72" s="117"/>
      <c r="I72" s="117"/>
      <c r="J72" s="118"/>
    </row>
    <row r="73" spans="1:13" x14ac:dyDescent="0.3">
      <c r="A73" s="49" t="s">
        <v>63</v>
      </c>
      <c r="B73" s="103"/>
      <c r="C73" s="103"/>
      <c r="D73" s="103"/>
      <c r="E73" s="103"/>
      <c r="F73" s="103"/>
      <c r="G73" s="103"/>
      <c r="H73" s="103"/>
      <c r="I73" s="103"/>
      <c r="J73" s="50"/>
    </row>
    <row r="74" spans="1:13" x14ac:dyDescent="0.3">
      <c r="A74" s="54" t="s">
        <v>102</v>
      </c>
      <c r="B74" s="52"/>
      <c r="C74" s="52"/>
      <c r="D74" s="52"/>
      <c r="E74" s="52"/>
      <c r="F74" s="53"/>
      <c r="G74" s="237">
        <v>31000</v>
      </c>
      <c r="H74" s="176"/>
      <c r="I74" s="176"/>
      <c r="J74" s="177"/>
    </row>
    <row r="75" spans="1:13" x14ac:dyDescent="0.3">
      <c r="A75" s="54" t="s">
        <v>209</v>
      </c>
      <c r="B75" s="52"/>
      <c r="C75" s="52"/>
      <c r="D75" s="52"/>
      <c r="E75" s="52"/>
      <c r="F75" s="53"/>
      <c r="G75" s="57" t="s">
        <v>208</v>
      </c>
      <c r="H75" s="182"/>
      <c r="I75" s="182"/>
      <c r="J75" s="183"/>
    </row>
    <row r="76" spans="1:13" x14ac:dyDescent="0.3">
      <c r="A76" s="54" t="s">
        <v>196</v>
      </c>
      <c r="B76" s="52"/>
      <c r="C76" s="52"/>
      <c r="D76" s="52"/>
      <c r="E76" s="52"/>
      <c r="F76" s="53"/>
      <c r="G76" s="57" t="s">
        <v>197</v>
      </c>
      <c r="H76" s="182"/>
      <c r="I76" s="182"/>
      <c r="J76" s="183"/>
    </row>
    <row r="77" spans="1:13" x14ac:dyDescent="0.3">
      <c r="A77" s="54" t="s">
        <v>210</v>
      </c>
      <c r="B77" s="52"/>
      <c r="C77" s="52"/>
      <c r="D77" s="52"/>
      <c r="E77" s="52"/>
      <c r="F77" s="53"/>
      <c r="G77" s="57" t="s">
        <v>211</v>
      </c>
      <c r="H77" s="182"/>
      <c r="I77" s="182"/>
      <c r="J77" s="183"/>
    </row>
    <row r="78" spans="1:13" x14ac:dyDescent="0.3">
      <c r="A78" s="54" t="s">
        <v>191</v>
      </c>
      <c r="B78" s="52"/>
      <c r="C78" s="52"/>
      <c r="D78" s="52"/>
      <c r="E78" s="52"/>
      <c r="F78" s="53"/>
      <c r="G78" s="57" t="s">
        <v>194</v>
      </c>
      <c r="H78" s="182"/>
      <c r="I78" s="182"/>
      <c r="J78" s="183"/>
    </row>
    <row r="79" spans="1:13" x14ac:dyDescent="0.3">
      <c r="A79" s="54" t="s">
        <v>192</v>
      </c>
      <c r="B79" s="52"/>
      <c r="C79" s="52"/>
      <c r="D79" s="52"/>
      <c r="E79" s="52"/>
      <c r="F79" s="53"/>
      <c r="G79" s="57" t="s">
        <v>194</v>
      </c>
      <c r="H79" s="182"/>
      <c r="I79" s="182"/>
      <c r="J79" s="183"/>
    </row>
    <row r="80" spans="1:13" x14ac:dyDescent="0.3">
      <c r="A80" s="54" t="s">
        <v>193</v>
      </c>
      <c r="B80" s="52"/>
      <c r="C80" s="52"/>
      <c r="D80" s="52"/>
      <c r="E80" s="52"/>
      <c r="F80" s="53"/>
      <c r="G80" s="57" t="s">
        <v>194</v>
      </c>
      <c r="H80" s="182"/>
      <c r="I80" s="182"/>
      <c r="J80" s="183"/>
    </row>
    <row r="81" spans="1:10" x14ac:dyDescent="0.3">
      <c r="A81" s="54" t="s">
        <v>64</v>
      </c>
      <c r="B81" s="52"/>
      <c r="C81" s="52"/>
      <c r="D81" s="52"/>
      <c r="E81" s="52"/>
      <c r="F81" s="53"/>
      <c r="G81" s="57" t="s">
        <v>195</v>
      </c>
      <c r="H81" s="182"/>
      <c r="I81" s="182"/>
      <c r="J81" s="183"/>
    </row>
    <row r="82" spans="1:10" s="31" customFormat="1" ht="14.5" customHeight="1" x14ac:dyDescent="0.3">
      <c r="A82" s="49" t="s">
        <v>65</v>
      </c>
      <c r="B82" s="103"/>
      <c r="C82" s="103"/>
      <c r="D82" s="103"/>
      <c r="E82" s="103"/>
      <c r="F82" s="50"/>
      <c r="G82" s="238">
        <f>G74*0.8</f>
        <v>24800</v>
      </c>
      <c r="H82" s="58"/>
      <c r="I82" s="58"/>
      <c r="J82" s="59"/>
    </row>
    <row r="83" spans="1:10" s="32" customFormat="1" x14ac:dyDescent="0.35">
      <c r="A83" s="227" t="s">
        <v>90</v>
      </c>
      <c r="B83" s="228"/>
      <c r="C83" s="228"/>
      <c r="D83" s="228"/>
      <c r="E83" s="228"/>
      <c r="F83" s="228"/>
      <c r="G83" s="228"/>
      <c r="H83" s="228"/>
      <c r="I83" s="228"/>
      <c r="J83" s="229"/>
    </row>
    <row r="84" spans="1:10" s="32" customFormat="1" x14ac:dyDescent="0.35">
      <c r="A84" s="232" t="s">
        <v>66</v>
      </c>
      <c r="B84" s="233"/>
      <c r="C84" s="33" t="s">
        <v>137</v>
      </c>
      <c r="D84" s="234" t="s">
        <v>67</v>
      </c>
      <c r="E84" s="235"/>
      <c r="F84" s="236"/>
      <c r="G84" s="232" t="s">
        <v>68</v>
      </c>
      <c r="H84" s="245"/>
      <c r="I84" s="245"/>
      <c r="J84" s="233"/>
    </row>
    <row r="85" spans="1:10" s="32" customFormat="1" x14ac:dyDescent="0.35">
      <c r="A85" s="230" t="s">
        <v>118</v>
      </c>
      <c r="B85" s="231"/>
      <c r="C85" s="34">
        <f>COUNT(D99:E102)+COUNT(D104:E107)*7+COUNT(D109:E112)*3+COUNT(D114:E116)+COUNT(D118:E120)</f>
        <v>50</v>
      </c>
      <c r="D85" s="239">
        <f>SUM(D99:E102)+SUM(D104:E107)*7+SUM(D109:E112)*3+SUM(D114:E116)+SUM(D118:E120)</f>
        <v>85077.329875199997</v>
      </c>
      <c r="E85" s="240"/>
      <c r="F85" s="241"/>
      <c r="G85" s="242">
        <f>SUM(G99:G102)+SUM(G104:G107)*7+SUM(G109:G112)*3+SUM(G114:G116)+SUM(G118:G120)</f>
        <v>127841.4826728</v>
      </c>
      <c r="H85" s="243"/>
      <c r="I85" s="243"/>
      <c r="J85" s="244"/>
    </row>
    <row r="86" spans="1:10" s="32" customFormat="1" x14ac:dyDescent="0.35">
      <c r="A86" s="230" t="s">
        <v>120</v>
      </c>
      <c r="B86" s="231"/>
      <c r="C86" s="34">
        <f>COUNT(D126:E128)+COUNT(D130:E132)*9+COUNT(D134:E135)+COUNT(D138:E140)+COUNT(D142:E144)</f>
        <v>38</v>
      </c>
      <c r="D86" s="239">
        <f>SUM(D126:E128)+SUM(D130:E132)*9+SUM(D134:E135)+SUM(D138:E140)+SUM(D142:E144)</f>
        <v>32634.451278</v>
      </c>
      <c r="E86" s="240"/>
      <c r="F86" s="241"/>
      <c r="G86" s="242">
        <f>SUM(G126:G128)+SUM(G130:G132)*9+SUM(G134:G135)+SUM(G138:G140)+SUM(G142:G144)</f>
        <v>49009.318137000002</v>
      </c>
      <c r="H86" s="243"/>
      <c r="I86" s="243"/>
      <c r="J86" s="244"/>
    </row>
    <row r="87" spans="1:10" s="32" customFormat="1" ht="14.5" thickBot="1" x14ac:dyDescent="0.4">
      <c r="A87" s="104" t="s">
        <v>121</v>
      </c>
      <c r="B87" s="105"/>
      <c r="C87" s="47">
        <f>COUNT(D150:E151)+COUNT(D153)+COUNT(D155:E158)+COUNT(D160:E163)*7+COUNT(D165:E168)*3+COUNT(D170:E172)+COUNT(D174:E176)</f>
        <v>53</v>
      </c>
      <c r="D87" s="221">
        <f>SUM(D150:E151)+SUM(D153)+SUM(D155:E158)+SUM(D160:E163)*7+SUM(D165:E168)*3+SUM(D170:E172)+SUM(D174:E176)</f>
        <v>90183.155774400002</v>
      </c>
      <c r="E87" s="222"/>
      <c r="F87" s="223"/>
      <c r="G87" s="224">
        <f>SUM(G150:G151)+SUM(G153)+SUM(G155:G158)+SUM(G160:G163)*7+SUM(G165:G168)*3+SUM(G170:G172)+SUM(G174:G176)</f>
        <v>135529.54606619998</v>
      </c>
      <c r="H87" s="225"/>
      <c r="I87" s="225"/>
      <c r="J87" s="226"/>
    </row>
    <row r="88" spans="1:10" s="32" customFormat="1" ht="14.5" thickBot="1" x14ac:dyDescent="0.4">
      <c r="A88" s="138" t="s">
        <v>69</v>
      </c>
      <c r="B88" s="139"/>
      <c r="C88" s="48">
        <f>SUM(C85:C87)</f>
        <v>141</v>
      </c>
      <c r="D88" s="140">
        <f>SUM(D85:D87)</f>
        <v>207894.93692760001</v>
      </c>
      <c r="E88" s="141"/>
      <c r="F88" s="142"/>
      <c r="G88" s="143">
        <f>SUM(G85:G87)</f>
        <v>312380.346876</v>
      </c>
      <c r="H88" s="144"/>
      <c r="I88" s="144"/>
      <c r="J88" s="145"/>
    </row>
    <row r="89" spans="1:10" s="31" customFormat="1" x14ac:dyDescent="0.3">
      <c r="A89" s="146" t="s">
        <v>70</v>
      </c>
      <c r="B89" s="147"/>
      <c r="C89" s="147"/>
      <c r="D89" s="147"/>
      <c r="E89" s="147"/>
      <c r="F89" s="147"/>
      <c r="G89" s="147"/>
      <c r="H89" s="147"/>
      <c r="I89" s="147"/>
      <c r="J89" s="148"/>
    </row>
    <row r="90" spans="1:10" x14ac:dyDescent="0.3">
      <c r="A90" s="149" t="s">
        <v>71</v>
      </c>
      <c r="B90" s="150"/>
      <c r="C90" s="150"/>
      <c r="D90" s="150"/>
      <c r="E90" s="150"/>
      <c r="F90" s="150"/>
      <c r="G90" s="150"/>
      <c r="H90" s="150"/>
      <c r="I90" s="150"/>
      <c r="J90" s="151"/>
    </row>
    <row r="91" spans="1:10" ht="42" x14ac:dyDescent="0.3">
      <c r="A91" s="100" t="s">
        <v>103</v>
      </c>
      <c r="B91" s="101"/>
      <c r="C91" s="1" t="s">
        <v>72</v>
      </c>
      <c r="D91" s="100" t="s">
        <v>73</v>
      </c>
      <c r="E91" s="101"/>
      <c r="F91" s="1" t="s">
        <v>74</v>
      </c>
      <c r="G91" s="1" t="s">
        <v>75</v>
      </c>
      <c r="H91" s="1" t="s">
        <v>76</v>
      </c>
      <c r="I91" s="100" t="s">
        <v>77</v>
      </c>
      <c r="J91" s="101"/>
    </row>
    <row r="92" spans="1:10" s="35" customFormat="1" x14ac:dyDescent="0.35">
      <c r="A92" s="84" t="s">
        <v>118</v>
      </c>
      <c r="B92" s="85"/>
      <c r="C92" s="85"/>
      <c r="D92" s="85"/>
      <c r="E92" s="85"/>
      <c r="F92" s="85"/>
      <c r="G92" s="85"/>
      <c r="H92" s="85"/>
      <c r="I92" s="85"/>
      <c r="J92" s="86"/>
    </row>
    <row r="93" spans="1:10" s="35" customFormat="1" x14ac:dyDescent="0.35">
      <c r="A93" s="84" t="s">
        <v>119</v>
      </c>
      <c r="B93" s="85"/>
      <c r="C93" s="85"/>
      <c r="D93" s="85"/>
      <c r="E93" s="85"/>
      <c r="F93" s="85"/>
      <c r="G93" s="85"/>
      <c r="H93" s="85"/>
      <c r="I93" s="85"/>
      <c r="J93" s="86"/>
    </row>
    <row r="94" spans="1:10" s="35" customFormat="1" x14ac:dyDescent="0.35">
      <c r="A94" s="84" t="s">
        <v>144</v>
      </c>
      <c r="B94" s="85"/>
      <c r="C94" s="85"/>
      <c r="D94" s="85"/>
      <c r="E94" s="85"/>
      <c r="F94" s="85"/>
      <c r="G94" s="85"/>
      <c r="H94" s="85"/>
      <c r="I94" s="85"/>
      <c r="J94" s="86"/>
    </row>
    <row r="95" spans="1:10" s="35" customFormat="1" ht="15.75" hidden="1" customHeight="1" x14ac:dyDescent="0.35">
      <c r="A95" s="64" t="s">
        <v>145</v>
      </c>
      <c r="B95" s="65"/>
      <c r="C95" s="36" t="s">
        <v>146</v>
      </c>
      <c r="D95" s="64">
        <f>15.38*9.28+5.61*1.28*2+4.57*1.28+4.77*2.78+1.83*2.2+2.95*4</f>
        <v>192.02420000000004</v>
      </c>
      <c r="E95" s="65"/>
      <c r="F95" s="36"/>
      <c r="G95" s="36"/>
      <c r="H95" s="36"/>
      <c r="I95" s="37"/>
      <c r="J95" s="38"/>
    </row>
    <row r="96" spans="1:10" s="35" customFormat="1" x14ac:dyDescent="0.35">
      <c r="A96" s="84" t="s">
        <v>122</v>
      </c>
      <c r="B96" s="85"/>
      <c r="C96" s="85"/>
      <c r="D96" s="85"/>
      <c r="E96" s="85"/>
      <c r="F96" s="85"/>
      <c r="G96" s="85"/>
      <c r="H96" s="85"/>
      <c r="I96" s="85"/>
      <c r="J96" s="86"/>
    </row>
    <row r="97" spans="1:12" s="35" customFormat="1" x14ac:dyDescent="0.35">
      <c r="A97" s="68" t="s">
        <v>143</v>
      </c>
      <c r="B97" s="69"/>
      <c r="C97" s="69"/>
      <c r="D97" s="69"/>
      <c r="E97" s="69"/>
      <c r="F97" s="69"/>
      <c r="G97" s="69"/>
      <c r="H97" s="69"/>
      <c r="I97" s="69"/>
      <c r="J97" s="70"/>
    </row>
    <row r="98" spans="1:12" s="35" customFormat="1" x14ac:dyDescent="0.35">
      <c r="A98" s="255" t="s">
        <v>127</v>
      </c>
      <c r="B98" s="255"/>
      <c r="C98" s="255"/>
      <c r="D98" s="255"/>
      <c r="E98" s="255"/>
      <c r="F98" s="255"/>
      <c r="G98" s="255"/>
      <c r="H98" s="255"/>
      <c r="I98" s="255"/>
      <c r="J98" s="255"/>
    </row>
    <row r="99" spans="1:12" s="35" customFormat="1" x14ac:dyDescent="0.35">
      <c r="A99" s="256">
        <v>1</v>
      </c>
      <c r="B99" s="256"/>
      <c r="C99" s="46" t="s">
        <v>124</v>
      </c>
      <c r="D99" s="256">
        <f>(126.05+1.9*1.68+1.1*3.35)*10.764</f>
        <v>1430.8262279999999</v>
      </c>
      <c r="E99" s="256"/>
      <c r="F99" s="46">
        <f>5.2*4.4*10.764</f>
        <v>246.28032000000002</v>
      </c>
      <c r="G99" s="46">
        <f>D99*1.5+(F99/3)</f>
        <v>2228.332782</v>
      </c>
      <c r="H99" s="46" t="s">
        <v>78</v>
      </c>
      <c r="I99" s="256" t="str">
        <f>A98</f>
        <v>2nd Floor is For Residential</v>
      </c>
      <c r="J99" s="256"/>
    </row>
    <row r="100" spans="1:12" s="35" customFormat="1" x14ac:dyDescent="0.35">
      <c r="A100" s="256">
        <v>2</v>
      </c>
      <c r="B100" s="256"/>
      <c r="C100" s="46" t="s">
        <v>124</v>
      </c>
      <c r="D100" s="256">
        <f>(126.05+1.9*1.68+1.1*3.35)*10.764</f>
        <v>1430.8262279999999</v>
      </c>
      <c r="E100" s="256"/>
      <c r="F100" s="46">
        <f>5.2*4.4*10.764</f>
        <v>246.28032000000002</v>
      </c>
      <c r="G100" s="46">
        <f>D99*1.5+(F99/3)</f>
        <v>2228.332782</v>
      </c>
      <c r="H100" s="46" t="s">
        <v>78</v>
      </c>
      <c r="I100" s="256"/>
      <c r="J100" s="256"/>
    </row>
    <row r="101" spans="1:12" s="35" customFormat="1" x14ac:dyDescent="0.35">
      <c r="A101" s="256">
        <v>3</v>
      </c>
      <c r="B101" s="256"/>
      <c r="C101" s="46" t="s">
        <v>125</v>
      </c>
      <c r="D101" s="256">
        <f>(188.8+1.9*4.58+2.66*1.67+1.4*3.99+2.15*0.98)*10.764</f>
        <v>2256.5348208</v>
      </c>
      <c r="E101" s="256"/>
      <c r="F101" s="46">
        <f>(6.7*1.7)*10.764</f>
        <v>122.60196000000001</v>
      </c>
      <c r="G101" s="46">
        <f>D101*1.5+F101/2</f>
        <v>3446.1032112000003</v>
      </c>
      <c r="H101" s="46" t="s">
        <v>78</v>
      </c>
      <c r="I101" s="256"/>
      <c r="J101" s="256"/>
    </row>
    <row r="102" spans="1:12" s="35" customFormat="1" x14ac:dyDescent="0.35">
      <c r="A102" s="256">
        <v>4</v>
      </c>
      <c r="B102" s="256"/>
      <c r="C102" s="46" t="s">
        <v>124</v>
      </c>
      <c r="D102" s="256">
        <f>(113.24+4.19*1.5+1.87*1.2)*10.764</f>
        <v>1310.7215159999998</v>
      </c>
      <c r="E102" s="256"/>
      <c r="F102" s="257">
        <v>0</v>
      </c>
      <c r="G102" s="46">
        <f t="shared" ref="G102:G107" si="0">D102*1.5+F102</f>
        <v>1966.0822739999999</v>
      </c>
      <c r="H102" s="46" t="s">
        <v>78</v>
      </c>
      <c r="I102" s="256"/>
      <c r="J102" s="256"/>
    </row>
    <row r="103" spans="1:12" s="35" customFormat="1" x14ac:dyDescent="0.35">
      <c r="A103" s="258" t="s">
        <v>178</v>
      </c>
      <c r="B103" s="258"/>
      <c r="C103" s="258"/>
      <c r="D103" s="258"/>
      <c r="E103" s="258"/>
      <c r="F103" s="258"/>
      <c r="G103" s="258"/>
      <c r="H103" s="258"/>
      <c r="I103" s="258"/>
      <c r="J103" s="258"/>
    </row>
    <row r="104" spans="1:12" s="35" customFormat="1" x14ac:dyDescent="0.35">
      <c r="A104" s="256">
        <v>1</v>
      </c>
      <c r="B104" s="256"/>
      <c r="C104" s="46" t="s">
        <v>124</v>
      </c>
      <c r="D104" s="256">
        <f>(125.53+1.9*1.68+1.1*3.35+1.55*4.07+1*0.35)*10.764</f>
        <v>1496.901042</v>
      </c>
      <c r="E104" s="256"/>
      <c r="F104" s="46">
        <v>0</v>
      </c>
      <c r="G104" s="46">
        <f t="shared" si="0"/>
        <v>2245.3515630000002</v>
      </c>
      <c r="H104" s="46" t="s">
        <v>78</v>
      </c>
      <c r="I104" s="256" t="str">
        <f>A103</f>
        <v>3rd to 6th, 8th, 10th &amp; 12th Floor</v>
      </c>
      <c r="J104" s="256"/>
    </row>
    <row r="105" spans="1:12" s="35" customFormat="1" x14ac:dyDescent="0.35">
      <c r="A105" s="256">
        <v>2</v>
      </c>
      <c r="B105" s="256"/>
      <c r="C105" s="46" t="s">
        <v>124</v>
      </c>
      <c r="D105" s="256">
        <f>(125.53+1.9*1.68+1.1*3.35+1.55*4.07+1*0.35)*10.764</f>
        <v>1496.901042</v>
      </c>
      <c r="E105" s="256"/>
      <c r="F105" s="46">
        <v>0</v>
      </c>
      <c r="G105" s="46">
        <f t="shared" si="0"/>
        <v>2245.3515630000002</v>
      </c>
      <c r="H105" s="46" t="s">
        <v>78</v>
      </c>
      <c r="I105" s="256"/>
      <c r="J105" s="256"/>
    </row>
    <row r="106" spans="1:12" s="35" customFormat="1" x14ac:dyDescent="0.35">
      <c r="A106" s="256">
        <v>3</v>
      </c>
      <c r="B106" s="256"/>
      <c r="C106" s="46" t="s">
        <v>125</v>
      </c>
      <c r="D106" s="256">
        <f>(187.56+1.9*4.58+2.66*1.67+1.4*3.99+2.15*0.86)*10.764</f>
        <v>2240.4103488000001</v>
      </c>
      <c r="E106" s="256"/>
      <c r="F106" s="46">
        <v>0</v>
      </c>
      <c r="G106" s="46">
        <f t="shared" si="0"/>
        <v>3360.6155232000001</v>
      </c>
      <c r="H106" s="46" t="s">
        <v>78</v>
      </c>
      <c r="I106" s="256"/>
      <c r="J106" s="256"/>
      <c r="L106" s="35">
        <f>109000000/G106</f>
        <v>32434.534461773088</v>
      </c>
    </row>
    <row r="107" spans="1:12" s="35" customFormat="1" x14ac:dyDescent="0.35">
      <c r="A107" s="256">
        <v>4</v>
      </c>
      <c r="B107" s="256"/>
      <c r="C107" s="46" t="s">
        <v>124</v>
      </c>
      <c r="D107" s="256">
        <f>(113.24+4.19*1.5+1.87*1.2)*10.764</f>
        <v>1310.7215159999998</v>
      </c>
      <c r="E107" s="256"/>
      <c r="F107" s="46">
        <v>0</v>
      </c>
      <c r="G107" s="46">
        <f t="shared" si="0"/>
        <v>1966.0822739999999</v>
      </c>
      <c r="H107" s="46" t="s">
        <v>78</v>
      </c>
      <c r="I107" s="256"/>
      <c r="J107" s="256"/>
    </row>
    <row r="108" spans="1:12" s="35" customFormat="1" x14ac:dyDescent="0.35">
      <c r="A108" s="258" t="s">
        <v>228</v>
      </c>
      <c r="B108" s="258"/>
      <c r="C108" s="258"/>
      <c r="D108" s="258"/>
      <c r="E108" s="258"/>
      <c r="F108" s="258"/>
      <c r="G108" s="258"/>
      <c r="H108" s="258"/>
      <c r="I108" s="258"/>
      <c r="J108" s="258"/>
    </row>
    <row r="109" spans="1:12" s="35" customFormat="1" x14ac:dyDescent="0.35">
      <c r="A109" s="256">
        <v>1</v>
      </c>
      <c r="B109" s="256"/>
      <c r="C109" s="46" t="s">
        <v>124</v>
      </c>
      <c r="D109" s="256">
        <f>(125.53+1.9*1.68+1.1*3.35+1.55*4.07+1*0.35)*10.764</f>
        <v>1496.901042</v>
      </c>
      <c r="E109" s="256"/>
      <c r="F109" s="46">
        <v>0</v>
      </c>
      <c r="G109" s="46">
        <f>D109*1.5+F109</f>
        <v>2245.3515630000002</v>
      </c>
      <c r="H109" s="46" t="s">
        <v>78</v>
      </c>
      <c r="I109" s="256" t="str">
        <f>A108</f>
        <v>7th, 9th &amp; 11th Floor (Part Refuge Area)</v>
      </c>
      <c r="J109" s="256"/>
    </row>
    <row r="110" spans="1:12" s="35" customFormat="1" x14ac:dyDescent="0.35">
      <c r="A110" s="256">
        <v>2</v>
      </c>
      <c r="B110" s="256"/>
      <c r="C110" s="46" t="s">
        <v>124</v>
      </c>
      <c r="D110" s="256">
        <f>(125.53+1.9*1.68+1.1*3.35+1.55*4.07+1*0.35)*10.764</f>
        <v>1496.901042</v>
      </c>
      <c r="E110" s="256"/>
      <c r="F110" s="46">
        <v>0</v>
      </c>
      <c r="G110" s="46">
        <f t="shared" ref="G110" si="1">D110*1.5+F110</f>
        <v>2245.3515630000002</v>
      </c>
      <c r="H110" s="46" t="s">
        <v>78</v>
      </c>
      <c r="I110" s="256"/>
      <c r="J110" s="256"/>
    </row>
    <row r="111" spans="1:12" s="35" customFormat="1" x14ac:dyDescent="0.35">
      <c r="A111" s="256">
        <v>3</v>
      </c>
      <c r="B111" s="256"/>
      <c r="C111" s="46" t="s">
        <v>125</v>
      </c>
      <c r="D111" s="256">
        <f>(187.56+1.9*4.58+2.66*1.67+1.4*3.99+2.15*0.86)*10.764</f>
        <v>2240.4103488000001</v>
      </c>
      <c r="E111" s="256"/>
      <c r="F111" s="46">
        <v>0</v>
      </c>
      <c r="G111" s="46">
        <f>D111*1.5+F111</f>
        <v>3360.6155232000001</v>
      </c>
      <c r="H111" s="46" t="s">
        <v>78</v>
      </c>
      <c r="I111" s="256"/>
      <c r="J111" s="256"/>
      <c r="L111" s="35">
        <f>109000000/G111</f>
        <v>32434.534461773088</v>
      </c>
    </row>
    <row r="112" spans="1:12" s="35" customFormat="1" x14ac:dyDescent="0.35">
      <c r="A112" s="256">
        <v>4</v>
      </c>
      <c r="B112" s="256"/>
      <c r="C112" s="46" t="s">
        <v>124</v>
      </c>
      <c r="D112" s="256">
        <f>(113.24+4.19*1.5+1.87*1.2)*10.764</f>
        <v>1310.7215159999998</v>
      </c>
      <c r="E112" s="256"/>
      <c r="F112" s="46">
        <v>0</v>
      </c>
      <c r="G112" s="46">
        <f>D112*1.5+F112</f>
        <v>1966.0822739999999</v>
      </c>
      <c r="H112" s="46" t="s">
        <v>78</v>
      </c>
      <c r="I112" s="256"/>
      <c r="J112" s="256"/>
    </row>
    <row r="113" spans="1:14" s="35" customFormat="1" x14ac:dyDescent="0.35">
      <c r="A113" s="68" t="s">
        <v>229</v>
      </c>
      <c r="B113" s="69"/>
      <c r="C113" s="69"/>
      <c r="D113" s="69"/>
      <c r="E113" s="69"/>
      <c r="F113" s="69"/>
      <c r="G113" s="69"/>
      <c r="H113" s="69"/>
      <c r="I113" s="69"/>
      <c r="J113" s="70"/>
    </row>
    <row r="114" spans="1:14" s="35" customFormat="1" x14ac:dyDescent="0.35">
      <c r="A114" s="66">
        <v>1</v>
      </c>
      <c r="B114" s="67"/>
      <c r="C114" s="46" t="s">
        <v>175</v>
      </c>
      <c r="D114" s="66">
        <f>(252.74+1.9*1.68+2*1.1*3.38+2*1.55*4.09+0.99*4.09+1.85*1.68)*10.764</f>
        <v>3048.4089323999997</v>
      </c>
      <c r="E114" s="67"/>
      <c r="F114" s="46">
        <v>0</v>
      </c>
      <c r="G114" s="46">
        <f>D114*1.5+F114</f>
        <v>4572.6133985999995</v>
      </c>
      <c r="H114" s="46" t="s">
        <v>78</v>
      </c>
      <c r="I114" s="72" t="str">
        <f>A113</f>
        <v>13th Floor (Part Refuge Area)</v>
      </c>
      <c r="J114" s="73"/>
      <c r="M114" s="43">
        <f>G114*14</f>
        <v>64016.587580399995</v>
      </c>
      <c r="N114" s="43">
        <f>G114*278</f>
        <v>1271186.5248107999</v>
      </c>
    </row>
    <row r="115" spans="1:14" s="35" customFormat="1" x14ac:dyDescent="0.35">
      <c r="A115" s="66">
        <v>3</v>
      </c>
      <c r="B115" s="67"/>
      <c r="C115" s="46" t="s">
        <v>125</v>
      </c>
      <c r="D115" s="66">
        <f>(187.56+1.9*4.58+2.66*1.67+1.4*3.99+2.15*0.86)*10.764</f>
        <v>2240.4103488000001</v>
      </c>
      <c r="E115" s="67"/>
      <c r="F115" s="46">
        <v>0</v>
      </c>
      <c r="G115" s="46">
        <f>D115*1.5+F115</f>
        <v>3360.6155232000001</v>
      </c>
      <c r="H115" s="46" t="s">
        <v>78</v>
      </c>
      <c r="I115" s="74"/>
      <c r="J115" s="75"/>
      <c r="L115" s="35">
        <f>109000000/G115</f>
        <v>32434.534461773088</v>
      </c>
    </row>
    <row r="116" spans="1:14" s="35" customFormat="1" x14ac:dyDescent="0.35">
      <c r="A116" s="66">
        <v>4</v>
      </c>
      <c r="B116" s="67"/>
      <c r="C116" s="46" t="s">
        <v>124</v>
      </c>
      <c r="D116" s="66">
        <f>(113.24+4.19*1.5+1.87*1.2)*10.764</f>
        <v>1310.7215159999998</v>
      </c>
      <c r="E116" s="67"/>
      <c r="F116" s="46">
        <v>0</v>
      </c>
      <c r="G116" s="46">
        <f>D116*1.5+F116</f>
        <v>1966.0822739999999</v>
      </c>
      <c r="H116" s="46" t="s">
        <v>78</v>
      </c>
      <c r="I116" s="76"/>
      <c r="J116" s="77"/>
    </row>
    <row r="117" spans="1:14" s="35" customFormat="1" x14ac:dyDescent="0.35">
      <c r="A117" s="68" t="s">
        <v>147</v>
      </c>
      <c r="B117" s="69"/>
      <c r="C117" s="69"/>
      <c r="D117" s="69"/>
      <c r="E117" s="69"/>
      <c r="F117" s="69"/>
      <c r="G117" s="69"/>
      <c r="H117" s="69"/>
      <c r="I117" s="69"/>
      <c r="J117" s="70"/>
    </row>
    <row r="118" spans="1:14" s="35" customFormat="1" x14ac:dyDescent="0.35">
      <c r="A118" s="66">
        <v>1</v>
      </c>
      <c r="B118" s="67"/>
      <c r="C118" s="46" t="s">
        <v>175</v>
      </c>
      <c r="D118" s="66">
        <f>(252.74+1.9*1.68+2*1.1*3.38+2*1.55*4.09+0.99*4.09+1.85*1.68)*10.764</f>
        <v>3048.4089323999997</v>
      </c>
      <c r="E118" s="67"/>
      <c r="F118" s="46">
        <v>0</v>
      </c>
      <c r="G118" s="46">
        <f>D118*1.5+F118</f>
        <v>4572.6133985999995</v>
      </c>
      <c r="H118" s="46" t="s">
        <v>78</v>
      </c>
      <c r="I118" s="72" t="str">
        <f>A117</f>
        <v>14th Floor</v>
      </c>
      <c r="J118" s="73"/>
    </row>
    <row r="119" spans="1:14" s="35" customFormat="1" x14ac:dyDescent="0.35">
      <c r="A119" s="66">
        <v>3</v>
      </c>
      <c r="B119" s="67"/>
      <c r="C119" s="46" t="s">
        <v>125</v>
      </c>
      <c r="D119" s="66">
        <f>(187.56+1.9*4.58+2.66*1.67+1.4*3.99+2.15*0.86)*10.764</f>
        <v>2240.4103488000001</v>
      </c>
      <c r="E119" s="67"/>
      <c r="F119" s="46">
        <v>0</v>
      </c>
      <c r="G119" s="46">
        <f>D119*1.5+F119</f>
        <v>3360.6155232000001</v>
      </c>
      <c r="H119" s="46" t="s">
        <v>78</v>
      </c>
      <c r="I119" s="74"/>
      <c r="J119" s="75"/>
      <c r="L119" s="35">
        <f>109000000/G119</f>
        <v>32434.534461773088</v>
      </c>
    </row>
    <row r="120" spans="1:14" s="35" customFormat="1" x14ac:dyDescent="0.35">
      <c r="A120" s="66">
        <v>4</v>
      </c>
      <c r="B120" s="67"/>
      <c r="C120" s="46" t="s">
        <v>124</v>
      </c>
      <c r="D120" s="66">
        <f>(113.24+4.19*1.5+1.87*1.2)*10.764</f>
        <v>1310.7215159999998</v>
      </c>
      <c r="E120" s="67"/>
      <c r="F120" s="46">
        <v>0</v>
      </c>
      <c r="G120" s="46">
        <f>D120*1.5+F120</f>
        <v>1966.0822739999999</v>
      </c>
      <c r="H120" s="46" t="s">
        <v>78</v>
      </c>
      <c r="I120" s="76"/>
      <c r="J120" s="77"/>
    </row>
    <row r="121" spans="1:14" s="35" customFormat="1" x14ac:dyDescent="0.35">
      <c r="A121" s="246" t="s">
        <v>120</v>
      </c>
      <c r="B121" s="247"/>
      <c r="C121" s="247"/>
      <c r="D121" s="247"/>
      <c r="E121" s="247"/>
      <c r="F121" s="247"/>
      <c r="G121" s="247"/>
      <c r="H121" s="247"/>
      <c r="I121" s="247"/>
      <c r="J121" s="248"/>
    </row>
    <row r="122" spans="1:14" s="35" customFormat="1" x14ac:dyDescent="0.35">
      <c r="A122" s="68" t="s">
        <v>148</v>
      </c>
      <c r="B122" s="69"/>
      <c r="C122" s="69"/>
      <c r="D122" s="69"/>
      <c r="E122" s="69"/>
      <c r="F122" s="69"/>
      <c r="G122" s="69"/>
      <c r="H122" s="69"/>
      <c r="I122" s="69"/>
      <c r="J122" s="70"/>
    </row>
    <row r="123" spans="1:14" s="35" customFormat="1" x14ac:dyDescent="0.35">
      <c r="A123" s="68" t="s">
        <v>123</v>
      </c>
      <c r="B123" s="69"/>
      <c r="C123" s="69"/>
      <c r="D123" s="69"/>
      <c r="E123" s="69"/>
      <c r="F123" s="69"/>
      <c r="G123" s="69"/>
      <c r="H123" s="69"/>
      <c r="I123" s="69"/>
      <c r="J123" s="70"/>
    </row>
    <row r="124" spans="1:14" s="35" customFormat="1" x14ac:dyDescent="0.35">
      <c r="A124" s="68" t="s">
        <v>149</v>
      </c>
      <c r="B124" s="69"/>
      <c r="C124" s="69"/>
      <c r="D124" s="69"/>
      <c r="E124" s="69"/>
      <c r="F124" s="69"/>
      <c r="G124" s="69"/>
      <c r="H124" s="69"/>
      <c r="I124" s="69"/>
      <c r="J124" s="70"/>
    </row>
    <row r="125" spans="1:14" s="35" customFormat="1" x14ac:dyDescent="0.35">
      <c r="A125" s="68" t="s">
        <v>150</v>
      </c>
      <c r="B125" s="69"/>
      <c r="C125" s="69"/>
      <c r="D125" s="69"/>
      <c r="E125" s="69"/>
      <c r="F125" s="69"/>
      <c r="G125" s="69"/>
      <c r="H125" s="69"/>
      <c r="I125" s="69"/>
      <c r="J125" s="70"/>
    </row>
    <row r="126" spans="1:14" s="35" customFormat="1" x14ac:dyDescent="0.35">
      <c r="A126" s="66">
        <v>1</v>
      </c>
      <c r="B126" s="67"/>
      <c r="C126" s="46" t="s">
        <v>128</v>
      </c>
      <c r="D126" s="66">
        <f>(49.98+2.1*0.98)*10.764</f>
        <v>560.13703199999998</v>
      </c>
      <c r="E126" s="67"/>
      <c r="F126" s="46">
        <v>0</v>
      </c>
      <c r="G126" s="46">
        <f>D126*1.5+F126</f>
        <v>840.20554799999991</v>
      </c>
      <c r="H126" s="46" t="s">
        <v>78</v>
      </c>
      <c r="I126" s="72" t="str">
        <f>A125</f>
        <v>2nd Floor for Residential</v>
      </c>
      <c r="J126" s="73"/>
    </row>
    <row r="127" spans="1:14" s="35" customFormat="1" x14ac:dyDescent="0.35">
      <c r="A127" s="66">
        <v>2</v>
      </c>
      <c r="B127" s="67"/>
      <c r="C127" s="46" t="s">
        <v>124</v>
      </c>
      <c r="D127" s="66">
        <f>(117.73+6.46*1.55+1.85*1.55+3.3*1.55)*10.764</f>
        <v>1460.949282</v>
      </c>
      <c r="E127" s="67"/>
      <c r="F127" s="46">
        <f>1.53*3.5*10.764</f>
        <v>57.641220000000004</v>
      </c>
      <c r="G127" s="46">
        <f>D127*1.5+F127</f>
        <v>2249.0651430000003</v>
      </c>
      <c r="H127" s="46" t="s">
        <v>78</v>
      </c>
      <c r="I127" s="74"/>
      <c r="J127" s="75"/>
    </row>
    <row r="128" spans="1:14" s="35" customFormat="1" x14ac:dyDescent="0.35">
      <c r="A128" s="66">
        <v>3</v>
      </c>
      <c r="B128" s="67"/>
      <c r="C128" s="46" t="s">
        <v>128</v>
      </c>
      <c r="D128" s="66">
        <f>(49.98+2.1*1.02)*10.764</f>
        <v>561.04120799999998</v>
      </c>
      <c r="E128" s="67"/>
      <c r="F128" s="46">
        <v>0</v>
      </c>
      <c r="G128" s="46">
        <f>D128*1.5+F128</f>
        <v>841.56181199999992</v>
      </c>
      <c r="H128" s="46" t="s">
        <v>78</v>
      </c>
      <c r="I128" s="74"/>
      <c r="J128" s="75"/>
    </row>
    <row r="129" spans="1:12" s="35" customFormat="1" ht="15.75" customHeight="1" x14ac:dyDescent="0.35">
      <c r="A129" s="68" t="s">
        <v>174</v>
      </c>
      <c r="B129" s="69"/>
      <c r="C129" s="69"/>
      <c r="D129" s="69"/>
      <c r="E129" s="69"/>
      <c r="F129" s="69"/>
      <c r="G129" s="69"/>
      <c r="H129" s="69"/>
      <c r="I129" s="69"/>
      <c r="J129" s="70"/>
    </row>
    <row r="130" spans="1:12" s="35" customFormat="1" x14ac:dyDescent="0.35">
      <c r="A130" s="66">
        <v>1</v>
      </c>
      <c r="B130" s="67"/>
      <c r="C130" s="46" t="s">
        <v>128</v>
      </c>
      <c r="D130" s="66">
        <f>(49.98+2.1*0.98)*10.764</f>
        <v>560.13703199999998</v>
      </c>
      <c r="E130" s="67"/>
      <c r="F130" s="46">
        <v>0</v>
      </c>
      <c r="G130" s="46">
        <f>D130*1.5+F130</f>
        <v>840.20554799999991</v>
      </c>
      <c r="H130" s="46" t="s">
        <v>78</v>
      </c>
      <c r="I130" s="72" t="str">
        <f>A129</f>
        <v>3rd to 6th, 8th to 12th Floor</v>
      </c>
      <c r="J130" s="73"/>
    </row>
    <row r="131" spans="1:12" s="35" customFormat="1" x14ac:dyDescent="0.35">
      <c r="A131" s="66">
        <v>2</v>
      </c>
      <c r="B131" s="67"/>
      <c r="C131" s="46" t="s">
        <v>124</v>
      </c>
      <c r="D131" s="66">
        <f>(117.73+6.46*1.55+1.85*1.55+3.3*1.55)*10.764</f>
        <v>1460.949282</v>
      </c>
      <c r="E131" s="67"/>
      <c r="F131" s="46">
        <v>0</v>
      </c>
      <c r="G131" s="46">
        <f>D131*1.5+F131</f>
        <v>2191.4239230000003</v>
      </c>
      <c r="H131" s="46" t="s">
        <v>78</v>
      </c>
      <c r="I131" s="74"/>
      <c r="J131" s="75"/>
    </row>
    <row r="132" spans="1:12" s="35" customFormat="1" x14ac:dyDescent="0.35">
      <c r="A132" s="66">
        <v>3</v>
      </c>
      <c r="B132" s="67"/>
      <c r="C132" s="46" t="s">
        <v>128</v>
      </c>
      <c r="D132" s="66">
        <f>(49.98+2.1*1.02)*10.764</f>
        <v>561.04120799999998</v>
      </c>
      <c r="E132" s="67"/>
      <c r="F132" s="46">
        <v>0</v>
      </c>
      <c r="G132" s="46">
        <f>D132*1.5+F132</f>
        <v>841.56181199999992</v>
      </c>
      <c r="H132" s="46" t="s">
        <v>78</v>
      </c>
      <c r="I132" s="74"/>
      <c r="J132" s="75"/>
    </row>
    <row r="133" spans="1:12" s="35" customFormat="1" x14ac:dyDescent="0.35">
      <c r="A133" s="68" t="s">
        <v>151</v>
      </c>
      <c r="B133" s="87"/>
      <c r="C133" s="87"/>
      <c r="D133" s="87"/>
      <c r="E133" s="87"/>
      <c r="F133" s="87"/>
      <c r="G133" s="87"/>
      <c r="H133" s="87"/>
      <c r="I133" s="87"/>
      <c r="J133" s="88"/>
    </row>
    <row r="134" spans="1:12" s="35" customFormat="1" x14ac:dyDescent="0.35">
      <c r="A134" s="66">
        <v>1</v>
      </c>
      <c r="B134" s="67"/>
      <c r="C134" s="46" t="s">
        <v>128</v>
      </c>
      <c r="D134" s="66">
        <f>(49.98+2.1*0.98)*10.764</f>
        <v>560.13703199999998</v>
      </c>
      <c r="E134" s="67"/>
      <c r="F134" s="46">
        <v>0</v>
      </c>
      <c r="G134" s="46">
        <f>D134*1.5+F134</f>
        <v>840.20554799999991</v>
      </c>
      <c r="H134" s="46" t="s">
        <v>78</v>
      </c>
      <c r="I134" s="72" t="str">
        <f>A133</f>
        <v>7th Floor (Part Refuge Area)</v>
      </c>
      <c r="J134" s="73"/>
    </row>
    <row r="135" spans="1:12" s="35" customFormat="1" x14ac:dyDescent="0.35">
      <c r="A135" s="66">
        <v>2</v>
      </c>
      <c r="B135" s="67"/>
      <c r="C135" s="46" t="s">
        <v>128</v>
      </c>
      <c r="D135" s="66">
        <f>(89.37+6.46*1.55+1.85*1.55)*10.764</f>
        <v>1100.6243820000002</v>
      </c>
      <c r="E135" s="67"/>
      <c r="F135" s="46">
        <v>0</v>
      </c>
      <c r="G135" s="46">
        <f>D135*1.5+F135</f>
        <v>1650.9365730000004</v>
      </c>
      <c r="H135" s="46" t="s">
        <v>78</v>
      </c>
      <c r="I135" s="74"/>
      <c r="J135" s="75"/>
    </row>
    <row r="136" spans="1:12" s="35" customFormat="1" x14ac:dyDescent="0.35">
      <c r="A136" s="66">
        <v>3</v>
      </c>
      <c r="B136" s="67"/>
      <c r="C136" s="66" t="s">
        <v>152</v>
      </c>
      <c r="D136" s="71"/>
      <c r="E136" s="71"/>
      <c r="F136" s="71"/>
      <c r="G136" s="71"/>
      <c r="H136" s="67"/>
      <c r="I136" s="74"/>
      <c r="J136" s="75"/>
    </row>
    <row r="137" spans="1:12" s="35" customFormat="1" ht="15.75" customHeight="1" x14ac:dyDescent="0.35">
      <c r="A137" s="68" t="s">
        <v>177</v>
      </c>
      <c r="B137" s="69"/>
      <c r="C137" s="69"/>
      <c r="D137" s="69"/>
      <c r="E137" s="69"/>
      <c r="F137" s="69"/>
      <c r="G137" s="69"/>
      <c r="H137" s="69"/>
      <c r="I137" s="69"/>
      <c r="J137" s="70"/>
    </row>
    <row r="138" spans="1:12" s="35" customFormat="1" x14ac:dyDescent="0.35">
      <c r="A138" s="66">
        <v>1</v>
      </c>
      <c r="B138" s="67"/>
      <c r="C138" s="46" t="s">
        <v>128</v>
      </c>
      <c r="D138" s="66">
        <f>(49.98+2.1*0.98)*10.764</f>
        <v>560.13703199999998</v>
      </c>
      <c r="E138" s="67"/>
      <c r="F138" s="46">
        <v>0</v>
      </c>
      <c r="G138" s="46">
        <f>D138*1.5+F138</f>
        <v>840.20554799999991</v>
      </c>
      <c r="H138" s="46" t="s">
        <v>78</v>
      </c>
      <c r="I138" s="72" t="str">
        <f>A137</f>
        <v>13th Floor</v>
      </c>
      <c r="J138" s="73"/>
    </row>
    <row r="139" spans="1:12" s="35" customFormat="1" x14ac:dyDescent="0.35">
      <c r="A139" s="66">
        <v>2</v>
      </c>
      <c r="B139" s="67"/>
      <c r="C139" s="46" t="s">
        <v>124</v>
      </c>
      <c r="D139" s="66">
        <f>(117.18+6.46*1.55+1.85*1.55+3.3*1.55)*10.764</f>
        <v>1455.0290820000002</v>
      </c>
      <c r="E139" s="67"/>
      <c r="F139" s="46">
        <v>0</v>
      </c>
      <c r="G139" s="46">
        <f>D139*1.5+F139</f>
        <v>2182.5436230000005</v>
      </c>
      <c r="H139" s="46" t="s">
        <v>78</v>
      </c>
      <c r="I139" s="74"/>
      <c r="J139" s="75"/>
    </row>
    <row r="140" spans="1:12" s="35" customFormat="1" x14ac:dyDescent="0.35">
      <c r="A140" s="66">
        <v>3</v>
      </c>
      <c r="B140" s="67"/>
      <c r="C140" s="46" t="s">
        <v>128</v>
      </c>
      <c r="D140" s="66">
        <f>(49.98+2.1*1.02)*10.764</f>
        <v>561.04120799999998</v>
      </c>
      <c r="E140" s="67"/>
      <c r="F140" s="46">
        <v>0</v>
      </c>
      <c r="G140" s="46">
        <f>D140*1.5+F140</f>
        <v>841.56181199999992</v>
      </c>
      <c r="H140" s="46" t="s">
        <v>78</v>
      </c>
      <c r="I140" s="74"/>
      <c r="J140" s="75"/>
    </row>
    <row r="141" spans="1:12" s="35" customFormat="1" ht="15.75" customHeight="1" x14ac:dyDescent="0.35">
      <c r="A141" s="68" t="s">
        <v>147</v>
      </c>
      <c r="B141" s="69"/>
      <c r="C141" s="69"/>
      <c r="D141" s="69"/>
      <c r="E141" s="69"/>
      <c r="F141" s="69"/>
      <c r="G141" s="69"/>
      <c r="H141" s="69"/>
      <c r="I141" s="69"/>
      <c r="J141" s="70"/>
    </row>
    <row r="142" spans="1:12" s="35" customFormat="1" x14ac:dyDescent="0.35">
      <c r="A142" s="66">
        <v>1</v>
      </c>
      <c r="B142" s="67"/>
      <c r="C142" s="46" t="s">
        <v>128</v>
      </c>
      <c r="D142" s="66">
        <f>(49.98+2.1*0.98)*10.764</f>
        <v>560.13703199999998</v>
      </c>
      <c r="E142" s="67"/>
      <c r="F142" s="46">
        <v>0</v>
      </c>
      <c r="G142" s="46">
        <f>D142*1.5+F142</f>
        <v>840.20554799999991</v>
      </c>
      <c r="H142" s="46" t="s">
        <v>78</v>
      </c>
      <c r="I142" s="72" t="str">
        <f>A141</f>
        <v>14th Floor</v>
      </c>
      <c r="J142" s="73"/>
      <c r="L142" s="35">
        <f>24300000/G142</f>
        <v>28921.494338906701</v>
      </c>
    </row>
    <row r="143" spans="1:12" s="35" customFormat="1" x14ac:dyDescent="0.35">
      <c r="A143" s="66">
        <v>2</v>
      </c>
      <c r="B143" s="67"/>
      <c r="C143" s="46" t="s">
        <v>124</v>
      </c>
      <c r="D143" s="66">
        <f>(117.18+6.46*1.55+1.85*1.55+3.3*1.55)*10.764</f>
        <v>1455.0290820000002</v>
      </c>
      <c r="E143" s="67"/>
      <c r="F143" s="46">
        <v>0</v>
      </c>
      <c r="G143" s="46">
        <f>D143*1.5+F143</f>
        <v>2182.5436230000005</v>
      </c>
      <c r="H143" s="46" t="s">
        <v>78</v>
      </c>
      <c r="I143" s="74"/>
      <c r="J143" s="75"/>
    </row>
    <row r="144" spans="1:12" s="35" customFormat="1" x14ac:dyDescent="0.35">
      <c r="A144" s="66">
        <v>3</v>
      </c>
      <c r="B144" s="67"/>
      <c r="C144" s="46" t="s">
        <v>128</v>
      </c>
      <c r="D144" s="66">
        <f>(49.98+2.1*1.02)*10.764</f>
        <v>561.04120799999998</v>
      </c>
      <c r="E144" s="67"/>
      <c r="F144" s="46">
        <v>0</v>
      </c>
      <c r="G144" s="46">
        <f>D144*1.5+F144</f>
        <v>841.56181199999992</v>
      </c>
      <c r="H144" s="46" t="s">
        <v>78</v>
      </c>
      <c r="I144" s="74"/>
      <c r="J144" s="75"/>
    </row>
    <row r="145" spans="1:12" s="35" customFormat="1" x14ac:dyDescent="0.35">
      <c r="A145" s="92" t="s">
        <v>121</v>
      </c>
      <c r="B145" s="93"/>
      <c r="C145" s="93"/>
      <c r="D145" s="93"/>
      <c r="E145" s="93"/>
      <c r="F145" s="93"/>
      <c r="G145" s="93"/>
      <c r="H145" s="93"/>
      <c r="I145" s="93"/>
      <c r="J145" s="94"/>
    </row>
    <row r="146" spans="1:12" s="35" customFormat="1" x14ac:dyDescent="0.35">
      <c r="A146" s="68" t="s">
        <v>153</v>
      </c>
      <c r="B146" s="69"/>
      <c r="C146" s="69"/>
      <c r="D146" s="69"/>
      <c r="E146" s="69"/>
      <c r="F146" s="69"/>
      <c r="G146" s="69"/>
      <c r="H146" s="69"/>
      <c r="I146" s="69"/>
      <c r="J146" s="70"/>
    </row>
    <row r="147" spans="1:12" s="35" customFormat="1" x14ac:dyDescent="0.35">
      <c r="A147" s="68" t="s">
        <v>154</v>
      </c>
      <c r="B147" s="69"/>
      <c r="C147" s="69"/>
      <c r="D147" s="69"/>
      <c r="E147" s="69"/>
      <c r="F147" s="69"/>
      <c r="G147" s="69"/>
      <c r="H147" s="69"/>
      <c r="I147" s="69"/>
      <c r="J147" s="70"/>
    </row>
    <row r="148" spans="1:12" s="35" customFormat="1" x14ac:dyDescent="0.35">
      <c r="A148" s="68" t="s">
        <v>231</v>
      </c>
      <c r="B148" s="69"/>
      <c r="C148" s="69"/>
      <c r="D148" s="69"/>
      <c r="E148" s="69"/>
      <c r="F148" s="69"/>
      <c r="G148" s="69"/>
      <c r="H148" s="69"/>
      <c r="I148" s="69"/>
      <c r="J148" s="70"/>
    </row>
    <row r="149" spans="1:12" s="35" customFormat="1" x14ac:dyDescent="0.35">
      <c r="A149" s="68" t="s">
        <v>156</v>
      </c>
      <c r="B149" s="69"/>
      <c r="C149" s="69"/>
      <c r="D149" s="69"/>
      <c r="E149" s="69"/>
      <c r="F149" s="69"/>
      <c r="G149" s="69"/>
      <c r="H149" s="69"/>
      <c r="I149" s="69"/>
      <c r="J149" s="70"/>
    </row>
    <row r="150" spans="1:12" s="35" customFormat="1" x14ac:dyDescent="0.35">
      <c r="A150" s="66">
        <v>1</v>
      </c>
      <c r="B150" s="67"/>
      <c r="C150" s="46" t="s">
        <v>124</v>
      </c>
      <c r="D150" s="66">
        <f>(125.51+1.85*1.68)*10.764</f>
        <v>1384.4441519999998</v>
      </c>
      <c r="E150" s="67"/>
      <c r="F150" s="46">
        <f>(4.12*4.02+2.48*0.42+1*0.4)*10.764</f>
        <v>193.79505599999996</v>
      </c>
      <c r="G150" s="46">
        <f>D150*1.5+(F150/2)</f>
        <v>2173.5637559999996</v>
      </c>
      <c r="H150" s="46" t="s">
        <v>78</v>
      </c>
      <c r="I150" s="72" t="s">
        <v>126</v>
      </c>
      <c r="J150" s="73"/>
    </row>
    <row r="151" spans="1:12" s="35" customFormat="1" x14ac:dyDescent="0.35">
      <c r="A151" s="66">
        <v>2</v>
      </c>
      <c r="B151" s="67"/>
      <c r="C151" s="46" t="s">
        <v>124</v>
      </c>
      <c r="D151" s="66">
        <f>(125.51+1.85*1.68)*10.764</f>
        <v>1384.4441519999998</v>
      </c>
      <c r="E151" s="67"/>
      <c r="F151" s="46">
        <f>(4.12*4.02+2.48*0.42+1*0.4)*10.764</f>
        <v>193.79505599999996</v>
      </c>
      <c r="G151" s="46">
        <f>D150*1.5+(F150/2)</f>
        <v>2173.5637559999996</v>
      </c>
      <c r="H151" s="46" t="s">
        <v>78</v>
      </c>
      <c r="I151" s="74"/>
      <c r="J151" s="75"/>
    </row>
    <row r="152" spans="1:12" s="35" customFormat="1" x14ac:dyDescent="0.35">
      <c r="A152" s="66">
        <v>3</v>
      </c>
      <c r="B152" s="67"/>
      <c r="C152" s="66" t="s">
        <v>155</v>
      </c>
      <c r="D152" s="71"/>
      <c r="E152" s="71"/>
      <c r="F152" s="71"/>
      <c r="G152" s="71"/>
      <c r="H152" s="67"/>
      <c r="I152" s="74"/>
      <c r="J152" s="75"/>
    </row>
    <row r="153" spans="1:12" s="35" customFormat="1" x14ac:dyDescent="0.35">
      <c r="A153" s="66">
        <v>4</v>
      </c>
      <c r="B153" s="67"/>
      <c r="C153" s="46" t="s">
        <v>125</v>
      </c>
      <c r="D153" s="66">
        <f>(188.98+1.9*4.48+2.66*1.67+1.4*3.99+2.15*0.86)*10.764</f>
        <v>2253.6500687999996</v>
      </c>
      <c r="E153" s="67"/>
      <c r="F153" s="46">
        <f>(1.71*6.63)*10.764</f>
        <v>122.03469719999998</v>
      </c>
      <c r="G153" s="46">
        <f>D153*1.5+(F153/2)</f>
        <v>3441.4924517999993</v>
      </c>
      <c r="H153" s="46" t="s">
        <v>78</v>
      </c>
      <c r="I153" s="76"/>
      <c r="J153" s="77"/>
      <c r="L153" s="35">
        <f>109000000/G153</f>
        <v>31672.305410110625</v>
      </c>
    </row>
    <row r="154" spans="1:12" s="35" customFormat="1" x14ac:dyDescent="0.35">
      <c r="A154" s="68" t="s">
        <v>129</v>
      </c>
      <c r="B154" s="69"/>
      <c r="C154" s="69"/>
      <c r="D154" s="69"/>
      <c r="E154" s="69"/>
      <c r="F154" s="69"/>
      <c r="G154" s="69"/>
      <c r="H154" s="69"/>
      <c r="I154" s="69"/>
      <c r="J154" s="70"/>
    </row>
    <row r="155" spans="1:12" s="35" customFormat="1" x14ac:dyDescent="0.35">
      <c r="A155" s="66">
        <v>1</v>
      </c>
      <c r="B155" s="67"/>
      <c r="C155" s="46" t="s">
        <v>124</v>
      </c>
      <c r="D155" s="66">
        <f>(125.53+1.85*1.68+1.1*3.35+1.54*4.07+1*0.35)*10.764</f>
        <v>1495.5587711999999</v>
      </c>
      <c r="E155" s="67"/>
      <c r="F155" s="46">
        <v>0</v>
      </c>
      <c r="G155" s="46">
        <f>D155*1.5+F155</f>
        <v>2243.3381568</v>
      </c>
      <c r="H155" s="46" t="s">
        <v>78</v>
      </c>
      <c r="I155" s="72" t="str">
        <f>A154</f>
        <v xml:space="preserve">2nd Floor </v>
      </c>
      <c r="J155" s="73"/>
    </row>
    <row r="156" spans="1:12" s="35" customFormat="1" x14ac:dyDescent="0.35">
      <c r="A156" s="66">
        <v>2</v>
      </c>
      <c r="B156" s="67"/>
      <c r="C156" s="46" t="s">
        <v>124</v>
      </c>
      <c r="D156" s="66">
        <f>(125.53+1.85*1.68+1.1*3.35+1.54*4.07+1*0.35)*10.764</f>
        <v>1495.5587711999999</v>
      </c>
      <c r="E156" s="67"/>
      <c r="F156" s="46">
        <v>0</v>
      </c>
      <c r="G156" s="46">
        <f>D156*1.5+F156</f>
        <v>2243.3381568</v>
      </c>
      <c r="H156" s="46" t="s">
        <v>78</v>
      </c>
      <c r="I156" s="74"/>
      <c r="J156" s="75"/>
    </row>
    <row r="157" spans="1:12" s="35" customFormat="1" x14ac:dyDescent="0.35">
      <c r="A157" s="66">
        <v>3</v>
      </c>
      <c r="B157" s="67"/>
      <c r="C157" s="46" t="s">
        <v>124</v>
      </c>
      <c r="D157" s="66">
        <f>(113.24+4.19*1.5+1.87*1.2)*10.764</f>
        <v>1310.7215159999998</v>
      </c>
      <c r="E157" s="67"/>
      <c r="F157" s="46">
        <v>0</v>
      </c>
      <c r="G157" s="46">
        <f>D157*1.5+F157</f>
        <v>1966.0822739999999</v>
      </c>
      <c r="H157" s="46" t="s">
        <v>78</v>
      </c>
      <c r="I157" s="74"/>
      <c r="J157" s="75"/>
    </row>
    <row r="158" spans="1:12" s="35" customFormat="1" x14ac:dyDescent="0.35">
      <c r="A158" s="66">
        <v>4</v>
      </c>
      <c r="B158" s="67"/>
      <c r="C158" s="46" t="s">
        <v>125</v>
      </c>
      <c r="D158" s="66">
        <f>(187.74+1.9*4.48+2.66*1.67+1.4*3.99+2.15*0.86)*10.764</f>
        <v>2240.3027088000003</v>
      </c>
      <c r="E158" s="67"/>
      <c r="F158" s="46">
        <v>0</v>
      </c>
      <c r="G158" s="46">
        <f>D158*1.5+F158</f>
        <v>3360.4540632000007</v>
      </c>
      <c r="H158" s="46" t="s">
        <v>78</v>
      </c>
      <c r="I158" s="76"/>
      <c r="J158" s="77"/>
    </row>
    <row r="159" spans="1:12" s="35" customFormat="1" ht="15.75" customHeight="1" x14ac:dyDescent="0.35">
      <c r="A159" s="68" t="s">
        <v>178</v>
      </c>
      <c r="B159" s="69"/>
      <c r="C159" s="69"/>
      <c r="D159" s="69"/>
      <c r="E159" s="69"/>
      <c r="F159" s="69"/>
      <c r="G159" s="69"/>
      <c r="H159" s="69"/>
      <c r="I159" s="69"/>
      <c r="J159" s="70"/>
    </row>
    <row r="160" spans="1:12" s="35" customFormat="1" ht="15.75" customHeight="1" x14ac:dyDescent="0.35">
      <c r="A160" s="66">
        <v>1</v>
      </c>
      <c r="B160" s="67"/>
      <c r="C160" s="46" t="s">
        <v>124</v>
      </c>
      <c r="D160" s="66">
        <f t="shared" ref="D160:D161" si="2">(125.53+1.85*1.68+1.1*3.35+1.54*4.07+1*0.35)*10.764</f>
        <v>1495.5587711999999</v>
      </c>
      <c r="E160" s="67"/>
      <c r="F160" s="46">
        <v>0</v>
      </c>
      <c r="G160" s="46">
        <f>D160*1.5+F160</f>
        <v>2243.3381568</v>
      </c>
      <c r="H160" s="46" t="s">
        <v>78</v>
      </c>
      <c r="I160" s="72" t="str">
        <f>A159</f>
        <v>3rd to 6th, 8th, 10th &amp; 12th Floor</v>
      </c>
      <c r="J160" s="73"/>
    </row>
    <row r="161" spans="1:12" s="35" customFormat="1" x14ac:dyDescent="0.35">
      <c r="A161" s="66">
        <v>2</v>
      </c>
      <c r="B161" s="67"/>
      <c r="C161" s="46" t="s">
        <v>124</v>
      </c>
      <c r="D161" s="66">
        <f t="shared" si="2"/>
        <v>1495.5587711999999</v>
      </c>
      <c r="E161" s="67"/>
      <c r="F161" s="46">
        <v>0</v>
      </c>
      <c r="G161" s="46">
        <f>D161*1.5+F161</f>
        <v>2243.3381568</v>
      </c>
      <c r="H161" s="46" t="s">
        <v>78</v>
      </c>
      <c r="I161" s="74"/>
      <c r="J161" s="75"/>
    </row>
    <row r="162" spans="1:12" s="35" customFormat="1" ht="15.75" customHeight="1" x14ac:dyDescent="0.35">
      <c r="A162" s="66">
        <v>3</v>
      </c>
      <c r="B162" s="67"/>
      <c r="C162" s="46" t="s">
        <v>124</v>
      </c>
      <c r="D162" s="66">
        <f>(113.24+4.19*1.5+1.87*1.2)*10.764</f>
        <v>1310.7215159999998</v>
      </c>
      <c r="E162" s="67"/>
      <c r="F162" s="46">
        <v>0</v>
      </c>
      <c r="G162" s="46">
        <f>D162*1.5+F162</f>
        <v>1966.0822739999999</v>
      </c>
      <c r="H162" s="46" t="s">
        <v>78</v>
      </c>
      <c r="I162" s="74"/>
      <c r="J162" s="75"/>
    </row>
    <row r="163" spans="1:12" s="35" customFormat="1" x14ac:dyDescent="0.35">
      <c r="A163" s="66">
        <v>4</v>
      </c>
      <c r="B163" s="67"/>
      <c r="C163" s="46" t="s">
        <v>125</v>
      </c>
      <c r="D163" s="66">
        <f>(187.74+1.9*4.48+2.66*1.67+1.4*3.99+2.15*0.86)*10.764</f>
        <v>2240.3027088000003</v>
      </c>
      <c r="E163" s="67"/>
      <c r="F163" s="46">
        <v>0</v>
      </c>
      <c r="G163" s="46">
        <f>D163*1.5+F163</f>
        <v>3360.4540632000007</v>
      </c>
      <c r="H163" s="46" t="s">
        <v>78</v>
      </c>
      <c r="I163" s="76"/>
      <c r="J163" s="77"/>
      <c r="L163" s="35">
        <f>109000000/G163</f>
        <v>32436.092846394833</v>
      </c>
    </row>
    <row r="164" spans="1:12" s="35" customFormat="1" ht="15.75" customHeight="1" x14ac:dyDescent="0.35">
      <c r="A164" s="68" t="s">
        <v>228</v>
      </c>
      <c r="B164" s="69"/>
      <c r="C164" s="69"/>
      <c r="D164" s="69"/>
      <c r="E164" s="69"/>
      <c r="F164" s="69"/>
      <c r="G164" s="69"/>
      <c r="H164" s="69"/>
      <c r="I164" s="69"/>
      <c r="J164" s="70"/>
    </row>
    <row r="165" spans="1:12" s="35" customFormat="1" ht="15.75" customHeight="1" x14ac:dyDescent="0.35">
      <c r="A165" s="64">
        <v>1</v>
      </c>
      <c r="B165" s="65"/>
      <c r="C165" s="36" t="s">
        <v>124</v>
      </c>
      <c r="D165" s="66">
        <f>(125.53+1.85*1.68+1.1*3.35+1.54*4.07+1*0.35)*10.764</f>
        <v>1495.5587711999999</v>
      </c>
      <c r="E165" s="67"/>
      <c r="F165" s="36">
        <v>0</v>
      </c>
      <c r="G165" s="36">
        <f>D165*1.5+F165</f>
        <v>2243.3381568</v>
      </c>
      <c r="H165" s="36" t="s">
        <v>78</v>
      </c>
      <c r="I165" s="78" t="str">
        <f>A164</f>
        <v>7th, 9th &amp; 11th Floor (Part Refuge Area)</v>
      </c>
      <c r="J165" s="79"/>
      <c r="L165" s="35">
        <f>63300000/G165</f>
        <v>28216.878408689849</v>
      </c>
    </row>
    <row r="166" spans="1:12" s="35" customFormat="1" x14ac:dyDescent="0.35">
      <c r="A166" s="64">
        <v>2</v>
      </c>
      <c r="B166" s="65"/>
      <c r="C166" s="36" t="s">
        <v>124</v>
      </c>
      <c r="D166" s="66">
        <f t="shared" ref="D166" si="3">(125.53+1.85*1.68+1.1*3.35+1.54*4.07+1*0.35)*10.764</f>
        <v>1495.5587711999999</v>
      </c>
      <c r="E166" s="67"/>
      <c r="F166" s="36">
        <v>0</v>
      </c>
      <c r="G166" s="36">
        <f>D166*1.5+F166</f>
        <v>2243.3381568</v>
      </c>
      <c r="H166" s="36" t="s">
        <v>78</v>
      </c>
      <c r="I166" s="80"/>
      <c r="J166" s="81"/>
    </row>
    <row r="167" spans="1:12" s="35" customFormat="1" ht="15.75" customHeight="1" x14ac:dyDescent="0.35">
      <c r="A167" s="64">
        <v>3</v>
      </c>
      <c r="B167" s="65"/>
      <c r="C167" s="36" t="s">
        <v>124</v>
      </c>
      <c r="D167" s="66">
        <f>(113.24+4.19*1.5+1.87*1.2)*10.764</f>
        <v>1310.7215159999998</v>
      </c>
      <c r="E167" s="67"/>
      <c r="F167" s="36">
        <v>0</v>
      </c>
      <c r="G167" s="36">
        <f>D167*1.5+F167</f>
        <v>1966.0822739999999</v>
      </c>
      <c r="H167" s="36" t="s">
        <v>78</v>
      </c>
      <c r="I167" s="80"/>
      <c r="J167" s="81"/>
    </row>
    <row r="168" spans="1:12" s="35" customFormat="1" x14ac:dyDescent="0.35">
      <c r="A168" s="64">
        <v>4</v>
      </c>
      <c r="B168" s="65"/>
      <c r="C168" s="36" t="s">
        <v>125</v>
      </c>
      <c r="D168" s="66">
        <f>(187.74+1.9*4.48+2.66*1.67+1.4*3.99+2.15*0.86)*10.764</f>
        <v>2240.3027088000003</v>
      </c>
      <c r="E168" s="67"/>
      <c r="F168" s="36">
        <v>0</v>
      </c>
      <c r="G168" s="36">
        <f>D168*1.5+F168</f>
        <v>3360.4540632000007</v>
      </c>
      <c r="H168" s="36" t="s">
        <v>78</v>
      </c>
      <c r="I168" s="82"/>
      <c r="J168" s="83"/>
      <c r="L168" s="36">
        <f>88513600/G168</f>
        <v>26339.773832739942</v>
      </c>
    </row>
    <row r="169" spans="1:12" s="35" customFormat="1" ht="15.75" customHeight="1" x14ac:dyDescent="0.35">
      <c r="A169" s="84" t="s">
        <v>229</v>
      </c>
      <c r="B169" s="85"/>
      <c r="C169" s="85"/>
      <c r="D169" s="85"/>
      <c r="E169" s="85"/>
      <c r="F169" s="85"/>
      <c r="G169" s="85"/>
      <c r="H169" s="85"/>
      <c r="I169" s="85"/>
      <c r="J169" s="86"/>
    </row>
    <row r="170" spans="1:12" s="35" customFormat="1" x14ac:dyDescent="0.35">
      <c r="A170" s="64">
        <v>2</v>
      </c>
      <c r="B170" s="65"/>
      <c r="C170" s="36" t="s">
        <v>175</v>
      </c>
      <c r="D170" s="66">
        <f>(252.74+2*1.85*1.68+2*1.1*3.38+2*1.55*4.09+0.99*4.09)*10.764</f>
        <v>3047.5047563999997</v>
      </c>
      <c r="E170" s="67"/>
      <c r="F170" s="36">
        <v>0</v>
      </c>
      <c r="G170" s="36">
        <f>D170*1.5+F170</f>
        <v>4571.2571345999995</v>
      </c>
      <c r="H170" s="36" t="s">
        <v>78</v>
      </c>
      <c r="I170" s="78" t="str">
        <f>A169</f>
        <v>13th Floor (Part Refuge Area)</v>
      </c>
      <c r="J170" s="79"/>
    </row>
    <row r="171" spans="1:12" s="35" customFormat="1" x14ac:dyDescent="0.35">
      <c r="A171" s="64">
        <v>3</v>
      </c>
      <c r="B171" s="65"/>
      <c r="C171" s="36" t="s">
        <v>124</v>
      </c>
      <c r="D171" s="66">
        <f>(113.24+4.19*1.5+1.87*1.2)*10.764</f>
        <v>1310.7215159999998</v>
      </c>
      <c r="E171" s="67"/>
      <c r="F171" s="36">
        <v>0</v>
      </c>
      <c r="G171" s="36">
        <f>D171*1.5+F171</f>
        <v>1966.0822739999999</v>
      </c>
      <c r="H171" s="36" t="s">
        <v>78</v>
      </c>
      <c r="I171" s="80"/>
      <c r="J171" s="81"/>
      <c r="L171" s="35">
        <f>57000000/G171</f>
        <v>28991.665686519485</v>
      </c>
    </row>
    <row r="172" spans="1:12" s="35" customFormat="1" x14ac:dyDescent="0.35">
      <c r="A172" s="64">
        <v>4</v>
      </c>
      <c r="B172" s="65"/>
      <c r="C172" s="36" t="s">
        <v>125</v>
      </c>
      <c r="D172" s="66">
        <f>(187.74+1.9*4.48+2.66*1.67+1.4*3.99+2.15*0.86)*10.764</f>
        <v>2240.3027088000003</v>
      </c>
      <c r="E172" s="67"/>
      <c r="F172" s="36">
        <v>0</v>
      </c>
      <c r="G172" s="36">
        <f>D172*1.5+F172</f>
        <v>3360.4540632000007</v>
      </c>
      <c r="H172" s="36" t="s">
        <v>78</v>
      </c>
      <c r="I172" s="82"/>
      <c r="J172" s="83"/>
    </row>
    <row r="173" spans="1:12" s="35" customFormat="1" ht="15.75" customHeight="1" x14ac:dyDescent="0.35">
      <c r="A173" s="84" t="s">
        <v>147</v>
      </c>
      <c r="B173" s="85"/>
      <c r="C173" s="85"/>
      <c r="D173" s="85"/>
      <c r="E173" s="85"/>
      <c r="F173" s="85"/>
      <c r="G173" s="85"/>
      <c r="H173" s="85"/>
      <c r="I173" s="85"/>
      <c r="J173" s="86"/>
    </row>
    <row r="174" spans="1:12" s="35" customFormat="1" x14ac:dyDescent="0.35">
      <c r="A174" s="64">
        <v>2</v>
      </c>
      <c r="B174" s="65"/>
      <c r="C174" s="36" t="s">
        <v>175</v>
      </c>
      <c r="D174" s="66">
        <f>(252.74+2*1.85*1.68+2*1.1*3.38+2*1.55*4.09+0.99*4.09)*10.764</f>
        <v>3047.5047563999997</v>
      </c>
      <c r="E174" s="67"/>
      <c r="F174" s="36">
        <v>0</v>
      </c>
      <c r="G174" s="36">
        <f>D174*1.5+F174</f>
        <v>4571.2571345999995</v>
      </c>
      <c r="H174" s="36" t="s">
        <v>78</v>
      </c>
      <c r="I174" s="78" t="str">
        <f>A173</f>
        <v>14th Floor</v>
      </c>
      <c r="J174" s="79"/>
    </row>
    <row r="175" spans="1:12" s="35" customFormat="1" x14ac:dyDescent="0.35">
      <c r="A175" s="64">
        <v>3</v>
      </c>
      <c r="B175" s="65"/>
      <c r="C175" s="36" t="s">
        <v>124</v>
      </c>
      <c r="D175" s="66">
        <f>(113.24+4.19*1.5+1.87*1.2)*10.764</f>
        <v>1310.7215159999998</v>
      </c>
      <c r="E175" s="67"/>
      <c r="F175" s="36">
        <v>0</v>
      </c>
      <c r="G175" s="36">
        <f>D175*1.5+F175</f>
        <v>1966.0822739999999</v>
      </c>
      <c r="H175" s="36" t="s">
        <v>78</v>
      </c>
      <c r="I175" s="80"/>
      <c r="J175" s="81"/>
    </row>
    <row r="176" spans="1:12" s="35" customFormat="1" x14ac:dyDescent="0.35">
      <c r="A176" s="64">
        <v>4</v>
      </c>
      <c r="B176" s="65"/>
      <c r="C176" s="36" t="s">
        <v>125</v>
      </c>
      <c r="D176" s="66">
        <f>(187.74+1.9*4.48+2.66*1.67+1.4*3.99+2.15*0.86)*10.764</f>
        <v>2240.3027088000003</v>
      </c>
      <c r="E176" s="67"/>
      <c r="F176" s="36">
        <v>0</v>
      </c>
      <c r="G176" s="36">
        <f>D176*1.5+F176</f>
        <v>3360.4540632000007</v>
      </c>
      <c r="H176" s="36" t="s">
        <v>78</v>
      </c>
      <c r="I176" s="82"/>
      <c r="J176" s="83"/>
    </row>
    <row r="177" spans="1:10" s="32" customFormat="1" x14ac:dyDescent="0.35">
      <c r="A177" s="98" t="s">
        <v>88</v>
      </c>
      <c r="B177" s="98"/>
      <c r="C177" s="98"/>
      <c r="D177" s="98"/>
      <c r="E177" s="98"/>
      <c r="F177" s="98"/>
      <c r="G177" s="98"/>
      <c r="H177" s="98"/>
      <c r="I177" s="98"/>
      <c r="J177" s="98"/>
    </row>
    <row r="178" spans="1:10" s="39" customFormat="1" ht="117.75" customHeight="1" x14ac:dyDescent="0.3">
      <c r="A178" s="99" t="s">
        <v>232</v>
      </c>
      <c r="B178" s="99"/>
      <c r="C178" s="99"/>
      <c r="D178" s="99"/>
      <c r="E178" s="99"/>
      <c r="F178" s="99"/>
      <c r="G178" s="99"/>
      <c r="H178" s="99"/>
      <c r="I178" s="99"/>
      <c r="J178" s="99"/>
    </row>
    <row r="179" spans="1:10" x14ac:dyDescent="0.3">
      <c r="A179" s="89" t="s">
        <v>79</v>
      </c>
      <c r="B179" s="90"/>
      <c r="C179" s="90"/>
      <c r="D179" s="90"/>
      <c r="E179" s="90"/>
      <c r="F179" s="90"/>
      <c r="G179" s="90"/>
      <c r="H179" s="90"/>
      <c r="I179" s="90"/>
      <c r="J179" s="91"/>
    </row>
    <row r="180" spans="1:10" x14ac:dyDescent="0.3">
      <c r="A180" s="54" t="s">
        <v>80</v>
      </c>
      <c r="B180" s="52"/>
      <c r="C180" s="52"/>
      <c r="D180" s="52"/>
      <c r="E180" s="52"/>
      <c r="F180" s="52"/>
      <c r="G180" s="52"/>
      <c r="H180" s="52"/>
      <c r="I180" s="52"/>
      <c r="J180" s="53"/>
    </row>
    <row r="181" spans="1:10" ht="15.75" customHeight="1" x14ac:dyDescent="0.3">
      <c r="A181" s="89" t="s">
        <v>81</v>
      </c>
      <c r="B181" s="90"/>
      <c r="C181" s="90"/>
      <c r="D181" s="90"/>
      <c r="E181" s="90"/>
      <c r="F181" s="90"/>
      <c r="G181" s="90"/>
      <c r="H181" s="90"/>
      <c r="I181" s="90"/>
      <c r="J181" s="91"/>
    </row>
    <row r="182" spans="1:10" x14ac:dyDescent="0.3">
      <c r="A182" s="54" t="s">
        <v>82</v>
      </c>
      <c r="B182" s="52"/>
      <c r="C182" s="52"/>
      <c r="D182" s="52"/>
      <c r="E182" s="52"/>
      <c r="F182" s="52"/>
      <c r="G182" s="52"/>
      <c r="H182" s="52"/>
      <c r="I182" s="52"/>
      <c r="J182" s="53"/>
    </row>
    <row r="183" spans="1:10" x14ac:dyDescent="0.3">
      <c r="A183" s="54" t="s">
        <v>83</v>
      </c>
      <c r="B183" s="52"/>
      <c r="C183" s="52"/>
      <c r="D183" s="52"/>
      <c r="E183" s="52"/>
      <c r="F183" s="52"/>
      <c r="G183" s="52"/>
      <c r="H183" s="52"/>
      <c r="I183" s="52"/>
      <c r="J183" s="53"/>
    </row>
    <row r="184" spans="1:10" x14ac:dyDescent="0.3">
      <c r="A184" s="54" t="s">
        <v>84</v>
      </c>
      <c r="B184" s="52"/>
      <c r="C184" s="52"/>
      <c r="D184" s="52"/>
      <c r="E184" s="52"/>
      <c r="F184" s="52"/>
      <c r="G184" s="52"/>
      <c r="H184" s="52"/>
      <c r="I184" s="52"/>
      <c r="J184" s="53"/>
    </row>
    <row r="185" spans="1:10" x14ac:dyDescent="0.3">
      <c r="A185" s="55" t="s">
        <v>85</v>
      </c>
      <c r="B185" s="95"/>
      <c r="C185" s="95"/>
      <c r="D185" s="95"/>
      <c r="E185" s="95"/>
      <c r="F185" s="95"/>
      <c r="G185" s="95"/>
      <c r="H185" s="95"/>
      <c r="I185" s="95"/>
      <c r="J185" s="56"/>
    </row>
    <row r="186" spans="1:10" x14ac:dyDescent="0.3">
      <c r="A186" s="213" t="s">
        <v>105</v>
      </c>
      <c r="B186" s="213"/>
      <c r="C186" s="214" t="s">
        <v>221</v>
      </c>
      <c r="D186" s="214"/>
      <c r="E186" s="214" t="s">
        <v>106</v>
      </c>
      <c r="F186" s="214"/>
      <c r="G186" s="214"/>
      <c r="H186" s="214" t="s">
        <v>236</v>
      </c>
      <c r="I186" s="214"/>
      <c r="J186" s="214"/>
    </row>
    <row r="187" spans="1:10" x14ac:dyDescent="0.3">
      <c r="A187" s="207" t="s">
        <v>107</v>
      </c>
      <c r="B187" s="208"/>
      <c r="C187" s="208"/>
      <c r="D187" s="208"/>
      <c r="E187" s="208"/>
      <c r="F187" s="208"/>
      <c r="G187" s="208"/>
      <c r="H187" s="208"/>
      <c r="I187" s="208"/>
      <c r="J187" s="209"/>
    </row>
    <row r="188" spans="1:10" x14ac:dyDescent="0.3">
      <c r="A188" s="210"/>
      <c r="B188" s="211"/>
      <c r="C188" s="211"/>
      <c r="D188" s="211"/>
      <c r="E188" s="211"/>
      <c r="F188" s="211"/>
      <c r="G188" s="211"/>
      <c r="H188" s="211"/>
      <c r="I188" s="211"/>
      <c r="J188" s="212"/>
    </row>
    <row r="189" spans="1:10" x14ac:dyDescent="0.3">
      <c r="A189" s="210"/>
      <c r="B189" s="211"/>
      <c r="C189" s="211"/>
      <c r="D189" s="211"/>
      <c r="E189" s="211"/>
      <c r="F189" s="211"/>
      <c r="G189" s="211"/>
      <c r="H189" s="211"/>
      <c r="I189" s="211"/>
      <c r="J189" s="212"/>
    </row>
    <row r="190" spans="1:10" x14ac:dyDescent="0.3">
      <c r="A190" s="40" t="s">
        <v>86</v>
      </c>
      <c r="B190" s="41"/>
      <c r="C190" s="41"/>
      <c r="D190" s="40" t="str">
        <f>F8</f>
        <v>Godrej RKS</v>
      </c>
      <c r="G190" s="41"/>
      <c r="H190" s="41"/>
      <c r="I190" s="41"/>
      <c r="J190" s="41"/>
    </row>
    <row r="191" spans="1:10" x14ac:dyDescent="0.3">
      <c r="A191" s="41"/>
      <c r="B191" s="41"/>
      <c r="C191" s="41"/>
      <c r="D191" s="41"/>
      <c r="E191" s="41"/>
      <c r="F191" s="41"/>
      <c r="G191" s="41"/>
      <c r="H191" s="41"/>
      <c r="I191" s="41"/>
      <c r="J191" s="41"/>
    </row>
    <row r="192" spans="1:10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</row>
    <row r="193" ht="15" customHeight="1" x14ac:dyDescent="0.3"/>
    <row r="233" spans="1:1" x14ac:dyDescent="0.3">
      <c r="A233" s="42" t="s">
        <v>87</v>
      </c>
    </row>
  </sheetData>
  <mergeCells count="372">
    <mergeCell ref="A49:B49"/>
    <mergeCell ref="C49:F49"/>
    <mergeCell ref="H49:J49"/>
    <mergeCell ref="A123:J123"/>
    <mergeCell ref="D109:E109"/>
    <mergeCell ref="I109:J112"/>
    <mergeCell ref="A111:B111"/>
    <mergeCell ref="D111:E111"/>
    <mergeCell ref="A112:B112"/>
    <mergeCell ref="D112:E112"/>
    <mergeCell ref="A110:B110"/>
    <mergeCell ref="D110:E110"/>
    <mergeCell ref="A116:B116"/>
    <mergeCell ref="D116:E116"/>
    <mergeCell ref="A117:J117"/>
    <mergeCell ref="A118:B118"/>
    <mergeCell ref="D118:E118"/>
    <mergeCell ref="I118:J120"/>
    <mergeCell ref="D119:E119"/>
    <mergeCell ref="A119:B119"/>
    <mergeCell ref="A120:B120"/>
    <mergeCell ref="D120:E120"/>
    <mergeCell ref="A114:B114"/>
    <mergeCell ref="D114:E114"/>
    <mergeCell ref="A115:B115"/>
    <mergeCell ref="D115:E115"/>
    <mergeCell ref="A121:J121"/>
    <mergeCell ref="A98:J98"/>
    <mergeCell ref="I99:J102"/>
    <mergeCell ref="A106:B106"/>
    <mergeCell ref="D106:E106"/>
    <mergeCell ref="A107:B107"/>
    <mergeCell ref="D107:E107"/>
    <mergeCell ref="A100:B100"/>
    <mergeCell ref="D100:E100"/>
    <mergeCell ref="A101:B101"/>
    <mergeCell ref="D101:E101"/>
    <mergeCell ref="A102:B102"/>
    <mergeCell ref="D102:E102"/>
    <mergeCell ref="I114:J116"/>
    <mergeCell ref="A109:B109"/>
    <mergeCell ref="D104:E104"/>
    <mergeCell ref="A73:J73"/>
    <mergeCell ref="A74:F74"/>
    <mergeCell ref="G74:J74"/>
    <mergeCell ref="A81:F81"/>
    <mergeCell ref="G81:J81"/>
    <mergeCell ref="A82:F82"/>
    <mergeCell ref="G82:J82"/>
    <mergeCell ref="A86:B86"/>
    <mergeCell ref="D86:F86"/>
    <mergeCell ref="G86:J86"/>
    <mergeCell ref="G84:J84"/>
    <mergeCell ref="D85:F85"/>
    <mergeCell ref="G85:J85"/>
    <mergeCell ref="A78:F78"/>
    <mergeCell ref="A76:F76"/>
    <mergeCell ref="G76:J76"/>
    <mergeCell ref="A77:F77"/>
    <mergeCell ref="G77:J77"/>
    <mergeCell ref="D87:F87"/>
    <mergeCell ref="G87:J87"/>
    <mergeCell ref="G78:J78"/>
    <mergeCell ref="A75:F75"/>
    <mergeCell ref="G75:J75"/>
    <mergeCell ref="A79:F79"/>
    <mergeCell ref="G79:J79"/>
    <mergeCell ref="A80:F80"/>
    <mergeCell ref="G80:J80"/>
    <mergeCell ref="A83:J83"/>
    <mergeCell ref="A85:B85"/>
    <mergeCell ref="A84:B84"/>
    <mergeCell ref="D84:F84"/>
    <mergeCell ref="A187:J189"/>
    <mergeCell ref="A186:B186"/>
    <mergeCell ref="E186:G186"/>
    <mergeCell ref="C186:D186"/>
    <mergeCell ref="H186:J186"/>
    <mergeCell ref="A17:B17"/>
    <mergeCell ref="C17:E17"/>
    <mergeCell ref="F17:G17"/>
    <mergeCell ref="H17:J17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9:E39"/>
    <mergeCell ref="F39:J39"/>
    <mergeCell ref="A35:E35"/>
    <mergeCell ref="F35:J35"/>
    <mergeCell ref="D105:E105"/>
    <mergeCell ref="A7:E7"/>
    <mergeCell ref="F7:J7"/>
    <mergeCell ref="A15:B15"/>
    <mergeCell ref="A12:E12"/>
    <mergeCell ref="F12:J12"/>
    <mergeCell ref="A13:E13"/>
    <mergeCell ref="F13:J13"/>
    <mergeCell ref="A14:B14"/>
    <mergeCell ref="C14:J14"/>
    <mergeCell ref="C15:J15"/>
    <mergeCell ref="A10:E10"/>
    <mergeCell ref="F10:J10"/>
    <mergeCell ref="A19:B19"/>
    <mergeCell ref="C19:E19"/>
    <mergeCell ref="F19:G19"/>
    <mergeCell ref="H19:J19"/>
    <mergeCell ref="A20:E21"/>
    <mergeCell ref="F20:J21"/>
    <mergeCell ref="A22:E22"/>
    <mergeCell ref="F22:J22"/>
    <mergeCell ref="A1:J1"/>
    <mergeCell ref="A2:J2"/>
    <mergeCell ref="A3:E3"/>
    <mergeCell ref="F3:J3"/>
    <mergeCell ref="A4:E4"/>
    <mergeCell ref="A8:E8"/>
    <mergeCell ref="F8:J8"/>
    <mergeCell ref="A9:E9"/>
    <mergeCell ref="F9:J9"/>
    <mergeCell ref="F4:J4"/>
    <mergeCell ref="A11:E11"/>
    <mergeCell ref="F11:J11"/>
    <mergeCell ref="A5:E5"/>
    <mergeCell ref="F5:J5"/>
    <mergeCell ref="A6:E6"/>
    <mergeCell ref="F6:J6"/>
    <mergeCell ref="A29:B29"/>
    <mergeCell ref="C29:D29"/>
    <mergeCell ref="E29:F29"/>
    <mergeCell ref="G29:H29"/>
    <mergeCell ref="I29:J29"/>
    <mergeCell ref="A31:J31"/>
    <mergeCell ref="A32:B32"/>
    <mergeCell ref="A30:J30"/>
    <mergeCell ref="A16:B16"/>
    <mergeCell ref="C16:E16"/>
    <mergeCell ref="F16:G16"/>
    <mergeCell ref="H16:J16"/>
    <mergeCell ref="A24:E24"/>
    <mergeCell ref="A25:E25"/>
    <mergeCell ref="F25:J25"/>
    <mergeCell ref="F24:J24"/>
    <mergeCell ref="A26:E26"/>
    <mergeCell ref="F26:J26"/>
    <mergeCell ref="A23:E23"/>
    <mergeCell ref="F23:J23"/>
    <mergeCell ref="A18:B18"/>
    <mergeCell ref="C18:E18"/>
    <mergeCell ref="F18:G18"/>
    <mergeCell ref="H18:J18"/>
    <mergeCell ref="A34:J34"/>
    <mergeCell ref="A36:E36"/>
    <mergeCell ref="F36:J36"/>
    <mergeCell ref="A37:J37"/>
    <mergeCell ref="H48:J48"/>
    <mergeCell ref="A48:B48"/>
    <mergeCell ref="C48:F48"/>
    <mergeCell ref="A50:C50"/>
    <mergeCell ref="D50:E50"/>
    <mergeCell ref="F50:G50"/>
    <mergeCell ref="H50:J50"/>
    <mergeCell ref="A38:E38"/>
    <mergeCell ref="F38:J38"/>
    <mergeCell ref="H45:J45"/>
    <mergeCell ref="H46:J46"/>
    <mergeCell ref="A46:B46"/>
    <mergeCell ref="C46:F46"/>
    <mergeCell ref="A45:B45"/>
    <mergeCell ref="C45:F45"/>
    <mergeCell ref="A40:E40"/>
    <mergeCell ref="F40:J40"/>
    <mergeCell ref="A41:E41"/>
    <mergeCell ref="F41:J41"/>
    <mergeCell ref="A42:E42"/>
    <mergeCell ref="F59:G59"/>
    <mergeCell ref="H59:J59"/>
    <mergeCell ref="A68:B68"/>
    <mergeCell ref="D68:E68"/>
    <mergeCell ref="A69:B69"/>
    <mergeCell ref="E57:F57"/>
    <mergeCell ref="A60:B60"/>
    <mergeCell ref="D60:E60"/>
    <mergeCell ref="H60:J69"/>
    <mergeCell ref="A61:B61"/>
    <mergeCell ref="D61:E61"/>
    <mergeCell ref="A62:B62"/>
    <mergeCell ref="D62:E62"/>
    <mergeCell ref="A63:B63"/>
    <mergeCell ref="D63:E63"/>
    <mergeCell ref="A64:B64"/>
    <mergeCell ref="D64:E64"/>
    <mergeCell ref="A65:B65"/>
    <mergeCell ref="D65:E65"/>
    <mergeCell ref="A66:B66"/>
    <mergeCell ref="D66:E66"/>
    <mergeCell ref="A67:B67"/>
    <mergeCell ref="D67:E67"/>
    <mergeCell ref="A153:B153"/>
    <mergeCell ref="D153:E153"/>
    <mergeCell ref="A151:B151"/>
    <mergeCell ref="D151:E151"/>
    <mergeCell ref="A124:J124"/>
    <mergeCell ref="A149:J149"/>
    <mergeCell ref="I150:J153"/>
    <mergeCell ref="A88:B88"/>
    <mergeCell ref="D88:F88"/>
    <mergeCell ref="G88:J88"/>
    <mergeCell ref="A89:J89"/>
    <mergeCell ref="A90:J90"/>
    <mergeCell ref="A150:B150"/>
    <mergeCell ref="D150:E150"/>
    <mergeCell ref="A91:B91"/>
    <mergeCell ref="D91:E91"/>
    <mergeCell ref="A113:J113"/>
    <mergeCell ref="A103:J103"/>
    <mergeCell ref="A104:B104"/>
    <mergeCell ref="A108:J108"/>
    <mergeCell ref="I104:J107"/>
    <mergeCell ref="A105:B105"/>
    <mergeCell ref="A96:J96"/>
    <mergeCell ref="A97:J97"/>
    <mergeCell ref="F42:J42"/>
    <mergeCell ref="A43:E43"/>
    <mergeCell ref="F43:J43"/>
    <mergeCell ref="A44:J44"/>
    <mergeCell ref="A87:B87"/>
    <mergeCell ref="A51:J51"/>
    <mergeCell ref="A52:C52"/>
    <mergeCell ref="D52:E52"/>
    <mergeCell ref="F52:G52"/>
    <mergeCell ref="H52:J52"/>
    <mergeCell ref="A71:J71"/>
    <mergeCell ref="A72:B72"/>
    <mergeCell ref="C72:J72"/>
    <mergeCell ref="A55:J55"/>
    <mergeCell ref="A70:J70"/>
    <mergeCell ref="A56:B56"/>
    <mergeCell ref="C56:J56"/>
    <mergeCell ref="F60:G69"/>
    <mergeCell ref="D69:E69"/>
    <mergeCell ref="I57:J57"/>
    <mergeCell ref="A58:B58"/>
    <mergeCell ref="C58:J58"/>
    <mergeCell ref="A59:B59"/>
    <mergeCell ref="D59:E59"/>
    <mergeCell ref="A157:B157"/>
    <mergeCell ref="D157:E157"/>
    <mergeCell ref="A176:B176"/>
    <mergeCell ref="A182:J182"/>
    <mergeCell ref="A183:J183"/>
    <mergeCell ref="A184:J184"/>
    <mergeCell ref="A185:J185"/>
    <mergeCell ref="A53:B53"/>
    <mergeCell ref="A54:C54"/>
    <mergeCell ref="D54:J54"/>
    <mergeCell ref="A177:J177"/>
    <mergeCell ref="A178:J178"/>
    <mergeCell ref="A179:J179"/>
    <mergeCell ref="A180:J180"/>
    <mergeCell ref="A99:B99"/>
    <mergeCell ref="D99:E99"/>
    <mergeCell ref="A158:B158"/>
    <mergeCell ref="D158:E158"/>
    <mergeCell ref="I91:J91"/>
    <mergeCell ref="A92:J92"/>
    <mergeCell ref="A94:J94"/>
    <mergeCell ref="A93:J93"/>
    <mergeCell ref="A95:B95"/>
    <mergeCell ref="D95:E95"/>
    <mergeCell ref="A128:B128"/>
    <mergeCell ref="D128:E128"/>
    <mergeCell ref="A155:B155"/>
    <mergeCell ref="D155:E155"/>
    <mergeCell ref="A181:J181"/>
    <mergeCell ref="A147:J147"/>
    <mergeCell ref="A145:J145"/>
    <mergeCell ref="A146:J146"/>
    <mergeCell ref="A129:J129"/>
    <mergeCell ref="A130:B130"/>
    <mergeCell ref="A148:J148"/>
    <mergeCell ref="A140:B140"/>
    <mergeCell ref="D140:E140"/>
    <mergeCell ref="A137:J137"/>
    <mergeCell ref="D130:E130"/>
    <mergeCell ref="I130:J132"/>
    <mergeCell ref="A131:B131"/>
    <mergeCell ref="D131:E131"/>
    <mergeCell ref="A132:B132"/>
    <mergeCell ref="D132:E132"/>
    <mergeCell ref="I138:J140"/>
    <mergeCell ref="A139:B139"/>
    <mergeCell ref="D139:E139"/>
    <mergeCell ref="A156:B156"/>
    <mergeCell ref="A122:J122"/>
    <mergeCell ref="A133:J133"/>
    <mergeCell ref="A134:B134"/>
    <mergeCell ref="D134:E134"/>
    <mergeCell ref="I134:J136"/>
    <mergeCell ref="A135:B135"/>
    <mergeCell ref="D135:E135"/>
    <mergeCell ref="A141:J141"/>
    <mergeCell ref="A142:B142"/>
    <mergeCell ref="D142:E142"/>
    <mergeCell ref="I142:J144"/>
    <mergeCell ref="A143:B143"/>
    <mergeCell ref="D143:E143"/>
    <mergeCell ref="A144:B144"/>
    <mergeCell ref="D144:E144"/>
    <mergeCell ref="A136:B136"/>
    <mergeCell ref="C136:H136"/>
    <mergeCell ref="D138:E138"/>
    <mergeCell ref="A125:J125"/>
    <mergeCell ref="A126:B126"/>
    <mergeCell ref="D126:E126"/>
    <mergeCell ref="I126:J128"/>
    <mergeCell ref="A127:B127"/>
    <mergeCell ref="D127:E127"/>
    <mergeCell ref="D176:E176"/>
    <mergeCell ref="A171:B171"/>
    <mergeCell ref="I155:J158"/>
    <mergeCell ref="I160:J163"/>
    <mergeCell ref="I165:J168"/>
    <mergeCell ref="I170:J172"/>
    <mergeCell ref="I174:J176"/>
    <mergeCell ref="D171:E171"/>
    <mergeCell ref="A172:B172"/>
    <mergeCell ref="D172:E172"/>
    <mergeCell ref="A173:J173"/>
    <mergeCell ref="A174:B174"/>
    <mergeCell ref="D174:E174"/>
    <mergeCell ref="A167:B167"/>
    <mergeCell ref="D167:E167"/>
    <mergeCell ref="A168:B168"/>
    <mergeCell ref="D168:E168"/>
    <mergeCell ref="A169:J169"/>
    <mergeCell ref="A170:B170"/>
    <mergeCell ref="D170:E170"/>
    <mergeCell ref="A162:B162"/>
    <mergeCell ref="D162:E162"/>
    <mergeCell ref="A163:B163"/>
    <mergeCell ref="D156:E156"/>
    <mergeCell ref="A33:B33"/>
    <mergeCell ref="C33:J33"/>
    <mergeCell ref="C32:J32"/>
    <mergeCell ref="A47:B47"/>
    <mergeCell ref="C47:F47"/>
    <mergeCell ref="I47:J47"/>
    <mergeCell ref="C53:J53"/>
    <mergeCell ref="A175:B175"/>
    <mergeCell ref="D175:E175"/>
    <mergeCell ref="A138:B138"/>
    <mergeCell ref="D163:E163"/>
    <mergeCell ref="A164:J164"/>
    <mergeCell ref="A165:B165"/>
    <mergeCell ref="D165:E165"/>
    <mergeCell ref="A166:B166"/>
    <mergeCell ref="D166:E166"/>
    <mergeCell ref="A152:B152"/>
    <mergeCell ref="C152:H152"/>
    <mergeCell ref="A159:J159"/>
    <mergeCell ref="A160:B160"/>
    <mergeCell ref="D160:E160"/>
    <mergeCell ref="A161:B161"/>
    <mergeCell ref="D161:E161"/>
    <mergeCell ref="A154:J154"/>
  </mergeCells>
  <hyperlinks>
    <hyperlink ref="C33" r:id="rId1"/>
  </hyperlinks>
  <pageMargins left="0.39370078740157483" right="0.39370078740157483" top="0.78740157480314965" bottom="0.78740157480314965" header="0.19685039370078741" footer="0.19685039370078741"/>
  <pageSetup scale="99" fitToHeight="0" orientation="portrait" r:id="rId2"/>
  <headerFooter>
    <oddHeader>&amp;C&amp;G</oddHeader>
    <oddFooter>&amp;L&amp;"Times New Roman,Bold"&amp;12Ref No: &amp;F&amp;C&amp;G&amp;R&amp;"Times New Roman,Bold"&amp;12&amp;P</oddFooter>
  </headerFooter>
  <rowBreaks count="3" manualBreakCount="3">
    <brk id="55" max="16383" man="1"/>
    <brk id="189" max="16383" man="1"/>
    <brk id="232" max="16383" man="1"/>
  </rowBreaks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22" workbookViewId="0">
      <selection activeCell="B32" sqref="B32"/>
    </sheetView>
  </sheetViews>
  <sheetFormatPr defaultRowHeight="14.5" x14ac:dyDescent="0.35"/>
  <cols>
    <col min="1" max="1" width="13.54296875" customWidth="1"/>
    <col min="2" max="2" width="22.453125" customWidth="1"/>
    <col min="3" max="3" width="44.7265625" customWidth="1"/>
    <col min="7" max="7" width="20.1796875" customWidth="1"/>
    <col min="8" max="8" width="23.81640625" customWidth="1"/>
  </cols>
  <sheetData>
    <row r="1" spans="1:2" x14ac:dyDescent="0.35">
      <c r="A1" t="s">
        <v>141</v>
      </c>
      <c r="B1" t="s">
        <v>142</v>
      </c>
    </row>
    <row r="21" spans="2:8" x14ac:dyDescent="0.35">
      <c r="B21" s="249" t="s">
        <v>179</v>
      </c>
      <c r="C21" s="249"/>
      <c r="D21" s="249"/>
      <c r="E21" s="249"/>
      <c r="F21" s="249"/>
      <c r="G21" s="249"/>
      <c r="H21" s="249"/>
    </row>
    <row r="22" spans="2:8" ht="29" x14ac:dyDescent="0.35">
      <c r="B22" s="2" t="s">
        <v>180</v>
      </c>
      <c r="C22" s="2" t="s">
        <v>181</v>
      </c>
      <c r="D22" s="2" t="s">
        <v>89</v>
      </c>
      <c r="E22" s="2" t="s">
        <v>182</v>
      </c>
      <c r="F22" s="2" t="s">
        <v>183</v>
      </c>
      <c r="G22" s="2" t="s">
        <v>184</v>
      </c>
      <c r="H22" s="2" t="s">
        <v>185</v>
      </c>
    </row>
    <row r="23" spans="2:8" x14ac:dyDescent="0.35">
      <c r="B23" s="3" t="s">
        <v>187</v>
      </c>
      <c r="C23" s="4" t="s">
        <v>108</v>
      </c>
      <c r="D23" s="3" t="s">
        <v>128</v>
      </c>
      <c r="E23" s="3">
        <v>537.98</v>
      </c>
      <c r="F23" s="5">
        <f>E23*1.5</f>
        <v>806.97</v>
      </c>
      <c r="G23" s="5">
        <f>H23/F23</f>
        <v>30112.643592698612</v>
      </c>
      <c r="H23" s="6">
        <v>24300000</v>
      </c>
    </row>
    <row r="24" spans="2:8" x14ac:dyDescent="0.35">
      <c r="B24" s="3" t="s">
        <v>187</v>
      </c>
      <c r="C24" s="4" t="s">
        <v>108</v>
      </c>
      <c r="D24" s="3" t="s">
        <v>128</v>
      </c>
      <c r="E24" s="3">
        <v>560</v>
      </c>
      <c r="F24" s="5">
        <f t="shared" ref="F24:F28" si="0">E24*1.5</f>
        <v>840</v>
      </c>
      <c r="G24" s="5">
        <f t="shared" ref="G24:G28" si="1">H24/F24</f>
        <v>30119.047619047618</v>
      </c>
      <c r="H24" s="6">
        <v>25300000</v>
      </c>
    </row>
    <row r="25" spans="2:8" x14ac:dyDescent="0.35">
      <c r="B25" s="3" t="s">
        <v>187</v>
      </c>
      <c r="C25" s="4" t="s">
        <v>108</v>
      </c>
      <c r="D25" s="3" t="s">
        <v>124</v>
      </c>
      <c r="E25" s="3">
        <v>1213.8499999999999</v>
      </c>
      <c r="F25" s="5">
        <f t="shared" si="0"/>
        <v>1820.7749999999999</v>
      </c>
      <c r="G25" s="5">
        <f t="shared" si="1"/>
        <v>31305.350743502084</v>
      </c>
      <c r="H25" s="6">
        <v>57000000</v>
      </c>
    </row>
    <row r="26" spans="2:8" x14ac:dyDescent="0.35">
      <c r="B26" s="3" t="s">
        <v>187</v>
      </c>
      <c r="C26" s="4" t="s">
        <v>108</v>
      </c>
      <c r="D26" s="3" t="s">
        <v>124</v>
      </c>
      <c r="E26" s="3">
        <v>1350.33</v>
      </c>
      <c r="F26" s="5">
        <f t="shared" si="0"/>
        <v>2025.4949999999999</v>
      </c>
      <c r="G26" s="5">
        <f t="shared" si="1"/>
        <v>31251.619974376634</v>
      </c>
      <c r="H26" s="6">
        <v>63300000</v>
      </c>
    </row>
    <row r="27" spans="2:8" x14ac:dyDescent="0.35">
      <c r="B27" s="3" t="s">
        <v>186</v>
      </c>
      <c r="C27" s="4" t="s">
        <v>108</v>
      </c>
      <c r="D27" s="3" t="s">
        <v>125</v>
      </c>
      <c r="E27" s="3">
        <v>2017.91</v>
      </c>
      <c r="F27" s="5">
        <f t="shared" si="0"/>
        <v>3026.8650000000002</v>
      </c>
      <c r="G27" s="5">
        <f t="shared" si="1"/>
        <v>36010.856116807321</v>
      </c>
      <c r="H27" s="6">
        <v>109000000</v>
      </c>
    </row>
    <row r="28" spans="2:8" x14ac:dyDescent="0.35">
      <c r="B28" s="3" t="s">
        <v>187</v>
      </c>
      <c r="C28" s="4"/>
      <c r="D28" s="3" t="s">
        <v>125</v>
      </c>
      <c r="E28" s="3">
        <v>2258</v>
      </c>
      <c r="F28" s="5">
        <f t="shared" si="0"/>
        <v>3387</v>
      </c>
      <c r="G28" s="5">
        <f t="shared" si="1"/>
        <v>36020.076764098019</v>
      </c>
      <c r="H28" s="6">
        <v>122000000</v>
      </c>
    </row>
    <row r="29" spans="2:8" x14ac:dyDescent="0.35">
      <c r="B29" s="7" t="s">
        <v>188</v>
      </c>
      <c r="C29" s="3"/>
      <c r="D29" s="3"/>
      <c r="E29" s="3"/>
      <c r="F29" s="3"/>
      <c r="G29" s="8">
        <f>AVERAGE(G23:G28)</f>
        <v>32469.932468421717</v>
      </c>
      <c r="H29" s="3"/>
    </row>
    <row r="30" spans="2:8" x14ac:dyDescent="0.35">
      <c r="B30" s="7" t="s">
        <v>189</v>
      </c>
      <c r="C30" s="3"/>
      <c r="D30" s="3"/>
      <c r="E30" s="3"/>
      <c r="F30" s="9"/>
      <c r="G30" s="7">
        <v>32500</v>
      </c>
      <c r="H30" s="7"/>
    </row>
  </sheetData>
  <mergeCells count="1">
    <mergeCell ref="B21:H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(2)</vt:lpstr>
      <vt:lpstr>Valution</vt:lpstr>
      <vt:lpstr>'Report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 Elitebook 840 G6</cp:lastModifiedBy>
  <cp:lastPrinted>2025-08-07T08:13:39Z</cp:lastPrinted>
  <dcterms:created xsi:type="dcterms:W3CDTF">2019-07-16T09:29:46Z</dcterms:created>
  <dcterms:modified xsi:type="dcterms:W3CDTF">2025-08-07T08:14:35Z</dcterms:modified>
</cp:coreProperties>
</file>