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07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Report!$A$1:$H$287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43" i="1" l="1"/>
  <c r="E44" i="1" s="1"/>
  <c r="N111" i="1" l="1"/>
  <c r="N112" i="1"/>
  <c r="N113" i="1"/>
  <c r="N110" i="1"/>
  <c r="J43" i="1" l="1"/>
  <c r="J44" i="1" s="1"/>
  <c r="D113" i="1" l="1"/>
  <c r="L113" i="1" s="1"/>
  <c r="D112" i="1"/>
  <c r="L112" i="1" s="1"/>
  <c r="D111" i="1"/>
  <c r="L111" i="1" s="1"/>
  <c r="D110" i="1"/>
  <c r="J109" i="1"/>
  <c r="C96" i="1" l="1"/>
  <c r="E96" i="1"/>
  <c r="L110" i="1"/>
  <c r="Z12" i="1"/>
  <c r="I14" i="1"/>
  <c r="F102" i="1" l="1"/>
  <c r="C15" i="1" l="1"/>
  <c r="E30" i="1" l="1"/>
  <c r="A111" i="1" l="1"/>
  <c r="A112" i="1" s="1"/>
  <c r="A113" i="1" s="1"/>
  <c r="G110" i="1"/>
  <c r="G96" i="1" l="1"/>
  <c r="F93" i="1"/>
  <c r="F103" i="1" l="1"/>
  <c r="F104" i="1"/>
  <c r="F105" i="1"/>
  <c r="B140" i="1" l="1"/>
  <c r="A133" i="1"/>
  <c r="A127" i="1"/>
  <c r="A121" i="1"/>
  <c r="F137" i="1" l="1"/>
  <c r="F136" i="1"/>
  <c r="F135" i="1"/>
  <c r="F134" i="1"/>
  <c r="F133" i="1"/>
  <c r="F131" i="1"/>
  <c r="F130" i="1"/>
  <c r="F129" i="1"/>
  <c r="F128" i="1"/>
  <c r="F127" i="1"/>
  <c r="F125" i="1"/>
  <c r="F124" i="1"/>
  <c r="F123" i="1"/>
  <c r="F122" i="1"/>
  <c r="F121" i="1"/>
  <c r="F119" i="1"/>
  <c r="F118" i="1"/>
  <c r="F116" i="1"/>
  <c r="F115" i="1"/>
  <c r="F117" i="1"/>
  <c r="A134" i="1"/>
  <c r="A122" i="1"/>
  <c r="A128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63" i="1"/>
  <c r="G133" i="1"/>
  <c r="G134" i="1" s="1"/>
  <c r="G135" i="1" s="1"/>
  <c r="G136" i="1" s="1"/>
  <c r="G137" i="1" s="1"/>
  <c r="G127" i="1"/>
  <c r="G128" i="1" s="1"/>
  <c r="G129" i="1" s="1"/>
  <c r="G130" i="1" s="1"/>
  <c r="G131" i="1" s="1"/>
  <c r="G121" i="1"/>
  <c r="G122" i="1" s="1"/>
  <c r="G123" i="1" s="1"/>
  <c r="G124" i="1" s="1"/>
  <c r="G125" i="1" s="1"/>
  <c r="G115" i="1"/>
  <c r="G116" i="1" s="1"/>
  <c r="G117" i="1" s="1"/>
  <c r="G118" i="1" s="1"/>
  <c r="G119" i="1" s="1"/>
  <c r="A115" i="1"/>
  <c r="A116" i="1" s="1"/>
  <c r="A117" i="1" s="1"/>
  <c r="A118" i="1" s="1"/>
  <c r="A119" i="1" s="1"/>
  <c r="A103" i="1"/>
  <c r="A104" i="1" s="1"/>
  <c r="A105" i="1" s="1"/>
  <c r="G102" i="1"/>
  <c r="G103" i="1" s="1"/>
  <c r="G104" i="1" s="1"/>
  <c r="G105" i="1" s="1"/>
  <c r="C66" i="1"/>
  <c r="B67" i="1" s="1"/>
  <c r="G51" i="1"/>
  <c r="E27" i="1"/>
  <c r="E25" i="1"/>
  <c r="E7" i="1"/>
  <c r="E3" i="1"/>
  <c r="A135" i="1"/>
  <c r="A129" i="1"/>
  <c r="A123" i="1"/>
  <c r="D60" i="1" l="1"/>
  <c r="A136" i="1"/>
  <c r="H67" i="1"/>
  <c r="A130" i="1"/>
  <c r="A124" i="1"/>
  <c r="D79" i="1" l="1"/>
  <c r="D77" i="1"/>
  <c r="D76" i="1"/>
  <c r="D73" i="1"/>
  <c r="D75" i="1"/>
  <c r="J72" i="1"/>
  <c r="D78" i="1"/>
  <c r="J66" i="1"/>
  <c r="J68" i="1" s="1"/>
  <c r="D74" i="1"/>
  <c r="J70" i="1"/>
  <c r="J71" i="1"/>
  <c r="C70" i="1" s="1"/>
  <c r="D70" i="1" s="1"/>
  <c r="J69" i="1"/>
  <c r="J74" i="1"/>
  <c r="J75" i="1" s="1"/>
  <c r="J76" i="1" s="1"/>
  <c r="J77" i="1" s="1"/>
  <c r="D72" i="1"/>
  <c r="A137" i="1"/>
  <c r="A125" i="1"/>
  <c r="A131" i="1"/>
  <c r="J73" i="1" l="1"/>
  <c r="J78" i="1" s="1"/>
  <c r="J79" i="1" l="1"/>
  <c r="J67" i="1" s="1"/>
  <c r="G70" i="1"/>
  <c r="D64" i="1" s="1"/>
  <c r="D65" i="1" s="1"/>
  <c r="D71" i="1"/>
  <c r="I67" i="1" s="1"/>
  <c r="I68" i="1" s="1"/>
  <c r="E70" i="1" l="1"/>
  <c r="F65" i="1"/>
  <c r="I66" i="1"/>
  <c r="C68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5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<sst xmlns="http://schemas.openxmlformats.org/spreadsheetml/2006/main" count="378" uniqueCount="278">
  <si>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</si>
  <si>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</si>
  <si>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</si>
  <si>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</si>
  <si>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</si>
  <si>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</si>
  <si>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</si>
  <si>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</si>
  <si>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</si>
  <si>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</si>
  <si>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</si>
  <si>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</si>
  <si>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</si>
  <si>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</si>
  <si>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</si>
  <si>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</si>
  <si>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</si>
  <si>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</si>
  <si>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</si>
  <si>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</si>
  <si>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</si>
  <si>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</si>
  <si>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</si>
  <si>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</si>
  <si>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</si>
  <si>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</si>
  <si>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</si>
  <si>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</si>
  <si>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</si>
  <si>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</si>
  <si>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</si>
  <si>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</si>
  <si>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</si>
  <si>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</si>
  <si>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</si>
  <si>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</si>
  <si>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</si>
  <si>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</si>
  <si>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</si>
  <si>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</si>
  <si>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</si>
  <si>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</si>
  <si>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</si>
  <si>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</si>
  <si>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</si>
  <si>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</si>
  <si>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</si>
  <si>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</si>
  <si>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</si>
  <si>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</si>
  <si>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</si>
  <si>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</si>
  <si>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</si>
  <si>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</si>
  <si>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</si>
  <si>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</si>
  <si>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</si>
  <si>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</si>
  <si>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</si>
  <si>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</si>
  <si>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</si>
  <si>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</si>
  <si>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</si>
  <si>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</si>
  <si>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</si>
  <si>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</si>
  <si>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</si>
  <si>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</si>
  <si>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</si>
  <si>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</si>
  <si>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</si>
  <si>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</si>
  <si>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</si>
  <si>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</si>
  <si>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</si>
  <si>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</si>
  <si>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</si>
  <si>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</si>
  <si>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</si>
  <si>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</si>
  <si>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</si>
  <si>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</si>
  <si>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</si>
  <si>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</si>
  <si>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</si>
  <si>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</si>
  <si>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</si>
  <si>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</si>
  <si>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</si>
  <si>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</si>
  <si>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</si>
  <si>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</si>
  <si>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</si>
  <si>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</si>
  <si>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</si>
  <si>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</si>
  <si>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</si>
  <si>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</si>
  <si>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</si>
  <si>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</si>
  <si>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</si>
  <si>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</si>
  <si>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</si>
  <si>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</si>
  <si>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</si>
  <si>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</si>
  <si>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</si>
  <si>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</si>
  <si>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</si>
  <si>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</si>
  <si>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</si>
  <si>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</si>
  <si>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</si>
  <si>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</si>
  <si>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</si>
  <si>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</si>
  <si>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</si>
  <si>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</si>
  <si>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</si>
  <si>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</si>
  <si>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</si>
  <si>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</si>
  <si>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</si>
  <si>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</si>
  <si>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</si>
  <si>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</si>
  <si>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</si>
  <si>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</si>
  <si>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</si>
  <si>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</si>
  <si>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</si>
  <si>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</si>
  <si>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</si>
  <si>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</si>
  <si>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</si>
  <si>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</si>
  <si>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</si>
  <si>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</si>
  <si>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</si>
  <si>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</si>
  <si>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</si>
  <si>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</si>
  <si>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</si>
  <si>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</si>
  <si>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</si>
  <si>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</si>
  <si>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</si>
  <si>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</si>
  <si>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</si>
  <si>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</si>
  <si>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</si>
  <si>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</si>
  <si>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</si>
  <si>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</si>
  <si>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</si>
  <si>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</si>
  <si>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</si>
  <si>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</si>
  <si>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</si>
  <si>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</si>
  <si>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</si>
  <si>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</si>
  <si>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</si>
  <si>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Office Per Sq. Ft.</t>
  </si>
  <si>
    <t>On Saleable Area</t>
  </si>
  <si>
    <t>Legal Charges</t>
  </si>
  <si>
    <t>Location Link</t>
  </si>
  <si>
    <t>Locality</t>
  </si>
  <si>
    <t>Latitude, Longitude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</si>
  <si>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</si>
  <si>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</si>
  <si>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</si>
  <si>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Axis Goregaon</t>
  </si>
  <si>
    <t>Name / No of the Existing Building</t>
  </si>
  <si>
    <t>Mumbai</t>
  </si>
  <si>
    <t>As per Layout</t>
  </si>
  <si>
    <t>Floor Rise Rate from    Floor</t>
  </si>
  <si>
    <t>Shop No. (Sale Plan)</t>
  </si>
  <si>
    <t>Flat No. (Sale Plan)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</si>
  <si>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</si>
  <si>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</si>
  <si>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</si>
  <si>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</si>
  <si>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</si>
  <si>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</si>
  <si>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</si>
  <si>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</si>
  <si>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</si>
  <si>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</si>
  <si>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</si>
  <si>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</si>
  <si>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</si>
  <si>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</si>
  <si>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</si>
  <si>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</si>
  <si>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</si>
  <si>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</si>
  <si>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</si>
  <si>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</si>
  <si>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</si>
  <si>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</si>
  <si>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</si>
  <si>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</si>
  <si>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</si>
  <si>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</si>
  <si>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</si>
  <si>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</si>
  <si>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</si>
  <si>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</si>
  <si>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</si>
  <si>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</si>
  <si>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</si>
  <si>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</si>
  <si>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</si>
  <si>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</si>
  <si>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</si>
  <si>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</si>
  <si>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</si>
  <si>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</si>
  <si>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</si>
  <si>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</si>
  <si>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</si>
  <si>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</si>
  <si>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</si>
  <si>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</si>
  <si>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</si>
  <si>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</si>
  <si>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</si>
  <si>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</si>
  <si>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</si>
  <si>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</si>
  <si>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</si>
  <si>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Star-1 Builder &amp; Developers</t>
  </si>
  <si>
    <t>8149394831/9284920927</t>
  </si>
  <si>
    <t>Survey No</t>
  </si>
  <si>
    <t>50/4/B, Plot No. 29</t>
  </si>
  <si>
    <t>Navali</t>
  </si>
  <si>
    <t>Internal Road</t>
  </si>
  <si>
    <t>Palghar West</t>
  </si>
  <si>
    <t>Amba Wadi</t>
  </si>
  <si>
    <t>Sai Muktidham</t>
  </si>
  <si>
    <t>1.3KM from Palghar Railway Station</t>
  </si>
  <si>
    <t>Residential Building</t>
  </si>
  <si>
    <t>Sai Shakti Dham</t>
  </si>
  <si>
    <t>19.688909,72.773834</t>
  </si>
  <si>
    <t>https://goo.gl/maps/XtEGXX55dtk7Q8Y79</t>
  </si>
  <si>
    <t>PALGHAR MUNICIPAL COUNCIL</t>
  </si>
  <si>
    <t>N.R.V-1023</t>
  </si>
  <si>
    <t>PNP/NRV/1023/2021-2022</t>
  </si>
  <si>
    <t>Gr + 1st to 5th Floor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</si>
  <si>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</si>
  <si>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 xml:space="preserve">Details of Residential in Building   </t>
  </si>
  <si>
    <t>Ground Floor For Parking &amp; Society Office</t>
  </si>
  <si>
    <t>1st to 5th Floor For Residential</t>
  </si>
  <si>
    <t>We considered Gross carpet area = Net carpet.</t>
  </si>
  <si>
    <t>Flats</t>
  </si>
  <si>
    <t>Flats - 20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</si>
  <si>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</si>
  <si>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The Railway track on East Side about 50m from Project.</t>
  </si>
  <si>
    <t>The Railway Subpower Station on South Side about 20m from Project.</t>
  </si>
  <si>
    <t>Layout to be attached</t>
  </si>
  <si>
    <t>Please provide the latest approved layout plan.</t>
  </si>
  <si>
    <t>Builder Saleable area</t>
  </si>
  <si>
    <t>Approved Plans, CC, Builder Saleable Area</t>
  </si>
  <si>
    <t>1 Building</t>
  </si>
  <si>
    <t>Not Registerd</t>
  </si>
  <si>
    <t>Entrance Lobby, Vitrified Tiles, Kitchen platform, etc.</t>
  </si>
  <si>
    <t>Layout Plan :</t>
  </si>
  <si>
    <t>Surya Apartment 1</t>
  </si>
  <si>
    <t>As per RERA - NR</t>
  </si>
  <si>
    <t>3500 to 4100</t>
  </si>
  <si>
    <t xml:space="preserve">Nikhil </t>
  </si>
  <si>
    <t>Recommended Rates of the Property have been revised on 07/11/2023.</t>
  </si>
  <si>
    <t>Recommended rate of the Flat Per Sq. Ft.
Including all other charges</t>
  </si>
  <si>
    <t>Mr. Anil : 9849200992</t>
  </si>
  <si>
    <t>Pooja Kawale</t>
  </si>
  <si>
    <t>Harshad Pawade</t>
  </si>
  <si>
    <t>Construction work is in process at the time of visit.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</si>
</sst>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7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3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8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7" xfId="1" applyFont="1" applyBorder="1"/>
    <xf numFmtId="0" fontId="17" fillId="0" borderId="7" xfId="0" applyFont="1" applyBorder="1" applyProtection="1">
      <protection hidden="1"/>
    </xf>
    <xf numFmtId="1" fontId="0" fillId="0" borderId="7" xfId="0" applyNumberFormat="1" applyBorder="1"/>
    <xf numFmtId="1" fontId="0" fillId="0" borderId="7" xfId="0" applyNumberFormat="1" applyBorder="1" applyAlignment="1">
      <alignment horizontal="right"/>
    </xf>
    <xf numFmtId="1" fontId="0" fillId="0" borderId="9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24" xfId="0" applyFont="1" applyFill="1" applyBorder="1"/>
    <xf numFmtId="0" fontId="25" fillId="0" borderId="25" xfId="0" applyFont="1" applyBorder="1"/>
    <xf numFmtId="0" fontId="25" fillId="0" borderId="1" xfId="0" applyFont="1" applyBorder="1"/>
    <xf numFmtId="0" fontId="25" fillId="0" borderId="4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13" fillId="0" borderId="0" xfId="1" applyFont="1" applyProtection="1"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2" borderId="0" xfId="1" applyFont="1" applyFill="1"/>
    <xf numFmtId="14" fontId="7" fillId="2" borderId="0" xfId="1" applyNumberFormat="1" applyFont="1" applyFill="1"/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2" fillId="0" borderId="14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5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6" xfId="1" applyFont="1" applyBorder="1" applyAlignment="1" applyProtection="1">
      <alignment horizontal="left" vertical="top" wrapText="1"/>
      <protection locked="0"/>
    </xf>
    <xf numFmtId="0" fontId="7" fillId="0" borderId="22" xfId="1" applyFont="1" applyBorder="1" applyAlignment="1">
      <alignment horizontal="center"/>
    </xf>
    <xf numFmtId="0" fontId="7" fillId="0" borderId="0" xfId="1" applyFont="1" applyAlignment="1">
      <alignment horizontal="center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8" fillId="0" borderId="5" xfId="1" applyFont="1" applyBorder="1" applyAlignment="1" applyProtection="1">
      <alignment horizontal="left" vertical="top" wrapText="1"/>
      <protection locked="0"/>
    </xf>
    <xf numFmtId="0" fontId="8" fillId="0" borderId="6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4" fontId="6" fillId="0" borderId="5" xfId="1" applyNumberFormat="1" applyFont="1" applyBorder="1" applyAlignment="1" applyProtection="1">
      <alignment horizontal="left" vertical="top" wrapText="1"/>
      <protection locked="0"/>
    </xf>
    <xf numFmtId="14" fontId="6" fillId="0" borderId="6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5" xfId="1" applyFont="1" applyBorder="1" applyAlignment="1" applyProtection="1">
      <alignment horizontal="left" vertical="top"/>
      <protection locked="0"/>
    </xf>
    <xf numFmtId="0" fontId="8" fillId="0" borderId="6" xfId="1" applyFont="1" applyBorder="1" applyAlignment="1" applyProtection="1">
      <alignment horizontal="left" vertical="top"/>
      <protection locked="0"/>
    </xf>
    <xf numFmtId="0" fontId="8" fillId="0" borderId="10" xfId="1" applyFont="1" applyBorder="1" applyAlignment="1" applyProtection="1">
      <alignment horizontal="left" vertical="top" wrapText="1"/>
      <protection locked="0"/>
    </xf>
    <xf numFmtId="0" fontId="8" fillId="0" borderId="11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18" xfId="1" applyNumberFormat="1" applyFont="1" applyBorder="1" applyAlignment="1" applyProtection="1">
      <alignment horizontal="center" vertical="center" wrapText="1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18" xfId="0" applyNumberFormat="1" applyFont="1" applyBorder="1" applyAlignment="1" applyProtection="1">
      <alignment vertical="top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1" fontId="8" fillId="0" borderId="5" xfId="0" applyNumberFormat="1" applyFont="1" applyFill="1" applyBorder="1" applyAlignment="1" applyProtection="1">
      <alignment vertical="top" wrapText="1"/>
      <protection locked="0"/>
    </xf>
    <xf numFmtId="1" fontId="8" fillId="0" borderId="18" xfId="0" applyNumberFormat="1" applyFont="1" applyFill="1" applyBorder="1" applyAlignment="1" applyProtection="1">
      <alignment vertical="top" wrapText="1"/>
      <protection locked="0"/>
    </xf>
    <xf numFmtId="1" fontId="8" fillId="0" borderId="6" xfId="0" applyNumberFormat="1" applyFont="1" applyFill="1" applyBorder="1" applyAlignment="1" applyProtection="1">
      <alignment vertical="top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3" xfId="1" applyNumberFormat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3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26" fillId="0" borderId="1" xfId="10" applyFont="1" applyFill="1" applyBorder="1" applyAlignment="1" applyProtection="1">
      <alignment horizontal="left"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0" fontId="7" fillId="0" borderId="1" xfId="0" applyFont="1" applyBorder="1" applyAlignment="1" applyProtection="1">
      <alignment horizontal="center" vertical="center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13" fillId="0" borderId="18" xfId="0" applyNumberFormat="1" applyFont="1" applyBorder="1" applyAlignment="1" applyProtection="1">
      <alignment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0" fontId="12" fillId="0" borderId="5" xfId="1" applyFont="1" applyBorder="1" applyAlignment="1" applyProtection="1">
      <alignment horizontal="left" vertical="top" wrapText="1"/>
      <protection locked="0"/>
    </xf>
    <xf numFmtId="0" fontId="12" fillId="0" borderId="6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355023</xdr:colOff>
      <xdr:row>247</xdr:row>
      <xdr:rowOff>60614</xdr:rowOff>
    </xdr:from>
    <xdr:to>
      <xdr:col>7</xdr:col>
      <xdr:colOff>443318</xdr:colOff>
      <xdr:row>262</xdr:row>
      <xdr:rowOff>12609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023" y="44247955"/>
          <a:ext cx="5760000" cy="293938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355023</xdr:colOff>
      <xdr:row>262</xdr:row>
      <xdr:rowOff>195989</xdr:rowOff>
    </xdr:from>
    <xdr:to>
      <xdr:col>7</xdr:col>
      <xdr:colOff>443318</xdr:colOff>
      <xdr:row>284</xdr:row>
      <xdr:rowOff>82798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023" y="47370716"/>
          <a:ext cx="5760000" cy="426830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554182</xdr:colOff>
      <xdr:row>271</xdr:row>
      <xdr:rowOff>138546</xdr:rowOff>
    </xdr:from>
    <xdr:to>
      <xdr:col>4</xdr:col>
      <xdr:colOff>43296</xdr:colOff>
      <xdr:row>274</xdr:row>
      <xdr:rowOff>112569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 rot="21264369">
          <a:off x="2961409" y="49105705"/>
          <a:ext cx="432955" cy="571500"/>
        </a:xfrm>
        <a:prstGeom prst="rect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4</xdr:col>
      <xdr:colOff>347382</xdr:colOff>
      <xdr:row>263</xdr:row>
      <xdr:rowOff>56030</xdr:rowOff>
    </xdr:from>
    <xdr:to>
      <xdr:col>5</xdr:col>
      <xdr:colOff>694764</xdr:colOff>
      <xdr:row>283</xdr:row>
      <xdr:rowOff>134471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CxnSpPr/>
      </xdr:nvCxnSpPr>
      <xdr:spPr>
        <a:xfrm>
          <a:off x="3697941" y="37461265"/>
          <a:ext cx="1131794" cy="4112559"/>
        </a:xfrm>
        <a:prstGeom prst="line">
          <a:avLst/>
        </a:prstGeom>
        <a:ln w="57150">
          <a:solidFill>
            <a:schemeClr val="accent4">
              <a:lumMod val="60000"/>
              <a:lumOff val="4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336176</xdr:colOff>
      <xdr:row>263</xdr:row>
      <xdr:rowOff>22412</xdr:rowOff>
    </xdr:from>
    <xdr:to>
      <xdr:col>7</xdr:col>
      <xdr:colOff>11206</xdr:colOff>
      <xdr:row>283</xdr:row>
      <xdr:rowOff>156882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CxnSpPr/>
      </xdr:nvCxnSpPr>
      <xdr:spPr>
        <a:xfrm>
          <a:off x="4471147" y="37427647"/>
          <a:ext cx="1221441" cy="4168588"/>
        </a:xfrm>
        <a:prstGeom prst="line">
          <a:avLst/>
        </a:prstGeom>
        <a:ln w="57150">
          <a:solidFill>
            <a:schemeClr val="accent4">
              <a:lumMod val="60000"/>
              <a:lumOff val="4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</xdr:col>
      <xdr:colOff>241465</xdr:colOff>
      <xdr:row>267</xdr:row>
      <xdr:rowOff>16269</xdr:rowOff>
    </xdr:from>
    <xdr:ext cx="374141" cy="1507016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 rot="3947150">
          <a:off x="3809999" y="38794765"/>
          <a:ext cx="1507016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>
              <a:solidFill>
                <a:srgbClr val="FFFF00"/>
              </a:solidFill>
            </a:rPr>
            <a:t>Railway Track</a:t>
          </a:r>
        </a:p>
      </xdr:txBody>
    </xdr:sp>
    <xdr:clientData/>
  </xdr:oneCellAnchor>
  <xdr:twoCellAnchor>
    <xdr:from>
      <xdr:col>3</xdr:col>
      <xdr:colOff>567324</xdr:colOff>
      <xdr:row>275</xdr:row>
      <xdr:rowOff>128697</xdr:rowOff>
    </xdr:from>
    <xdr:to>
      <xdr:col>5</xdr:col>
      <xdr:colOff>318149</xdr:colOff>
      <xdr:row>280</xdr:row>
      <xdr:rowOff>173204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 rot="20879553">
          <a:off x="2976589" y="39954403"/>
          <a:ext cx="1476531" cy="1053036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3</xdr:col>
      <xdr:colOff>246530</xdr:colOff>
      <xdr:row>281</xdr:row>
      <xdr:rowOff>100853</xdr:rowOff>
    </xdr:from>
    <xdr:ext cx="1813125" cy="593239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/>
      </xdr:nvSpPr>
      <xdr:spPr>
        <a:xfrm>
          <a:off x="2655795" y="41136794"/>
          <a:ext cx="1813125" cy="5932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ctr"/>
          <a:r>
            <a:rPr lang="en-IN" sz="1600" b="1">
              <a:solidFill>
                <a:srgbClr val="FFFF00"/>
              </a:solidFill>
            </a:rPr>
            <a:t>Railway Subpower </a:t>
          </a:r>
        </a:p>
        <a:p>
          <a:pPr algn="ctr"/>
          <a:r>
            <a:rPr lang="en-IN" sz="1600" b="1">
              <a:solidFill>
                <a:srgbClr val="FFFF00"/>
              </a:solidFill>
            </a:rPr>
            <a:t>Station</a:t>
          </a:r>
        </a:p>
      </xdr:txBody>
    </xdr:sp>
    <xdr:clientData/>
  </xdr:oneCellAnchor>
  <xdr:twoCellAnchor editAs="oneCell">
    <xdr:from>
      <xdr:col>0</xdr:col>
      <xdr:colOff>495300</xdr:colOff>
      <xdr:row>207</xdr:row>
      <xdr:rowOff>76200</xdr:rowOff>
    </xdr:from>
    <xdr:to>
      <xdr:col>7</xdr:col>
      <xdr:colOff>218400</xdr:colOff>
      <xdr:row>232</xdr:row>
      <xdr:rowOff>121135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33204150"/>
          <a:ext cx="5400000" cy="50455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755650</xdr:colOff>
      <xdr:row>163</xdr:row>
      <xdr:rowOff>193221</xdr:rowOff>
    </xdr:from>
    <xdr:to>
      <xdr:col>16</xdr:col>
      <xdr:colOff>136946</xdr:colOff>
      <xdr:row>204</xdr:row>
      <xdr:rowOff>136071</xdr:rowOff>
    </xdr:to>
    <xdr:grpSp>
      <xdr:nvGrpSpPr>
        <xdr:cNvPr id="3" name="Group 2"/>
        <xdr:cNvGrpSpPr/>
      </xdr:nvGrpSpPr>
      <xdr:grpSpPr>
        <a:xfrm>
          <a:off x="7410450" y="25986921"/>
          <a:ext cx="6131346" cy="8007350"/>
          <a:chOff x="279400" y="25850850"/>
          <a:chExt cx="6101411" cy="8007350"/>
        </a:xfrm>
      </xdr:grpSpPr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42487" y="32221370"/>
            <a:ext cx="2877333" cy="16368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9400" y="258508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2281" y="32221370"/>
            <a:ext cx="1618313" cy="16368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0744" y="299361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20949" y="299361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13904" y="258508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81154" y="299361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120650</xdr:colOff>
      <xdr:row>163</xdr:row>
      <xdr:rowOff>165100</xdr:rowOff>
    </xdr:from>
    <xdr:to>
      <xdr:col>7</xdr:col>
      <xdr:colOff>620531</xdr:colOff>
      <xdr:row>190</xdr:row>
      <xdr:rowOff>54453</xdr:rowOff>
    </xdr:to>
    <xdr:grpSp>
      <xdr:nvGrpSpPr>
        <xdr:cNvPr id="2" name="Group 1"/>
        <xdr:cNvGrpSpPr/>
      </xdr:nvGrpSpPr>
      <xdr:grpSpPr>
        <a:xfrm>
          <a:off x="120650" y="25958800"/>
          <a:ext cx="6418081" cy="5197953"/>
          <a:chOff x="120650" y="26384250"/>
          <a:chExt cx="6418081" cy="5197953"/>
        </a:xfrm>
      </xdr:grpSpPr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20418" y="29422203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3384" y="2638425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50044" y="29422203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29422203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61842" y="26384250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XtEGXX55dtk7Q8Y79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/>
  <dimension ref="A1:Z247"/>
  <sheetViews>
    <sheetView tabSelected="1" view="pageBreakPreview" topLeftCell="A145" zoomScaleNormal="100" zoomScaleSheetLayoutView="100" zoomScalePageLayoutView="85" workbookViewId="0">
      <selection activeCell="K160" sqref="K160"/>
    </sheetView>
  </sheetViews>
  <sheetFormatPr defaultColWidth="9.1796875" defaultRowHeight="15.5" x14ac:dyDescent="0.35"/>
  <cols>
    <col min="1" max="1" width="11.453125" style="39" customWidth="1"/>
    <col min="2" max="2" width="12" style="39" customWidth="1"/>
    <col min="3" max="3" width="12.54296875" style="39" customWidth="1"/>
    <col min="4" max="4" width="14.1796875" style="39" customWidth="1"/>
    <col min="5" max="6" width="11.54296875" style="39" customWidth="1"/>
    <col min="7" max="7" width="11.453125" style="39" customWidth="1"/>
    <col min="8" max="8" width="10.54296875" style="39" customWidth="1"/>
    <col min="9" max="9" width="17.453125" style="20" customWidth="1"/>
    <col min="10" max="10" width="11.453125" style="20" customWidth="1"/>
    <col min="11" max="11" width="11.453125" style="20" bestFit="1" customWidth="1"/>
    <col min="12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54296875" style="20" customWidth="1"/>
    <col min="17" max="247" width="9.1796875" style="20"/>
    <col min="248" max="248" width="8.54296875" style="20" customWidth="1"/>
    <col min="249" max="249" width="9.81640625" style="20" customWidth="1"/>
    <col min="250" max="250" width="14.453125" style="20" customWidth="1"/>
    <col min="251" max="251" width="7.4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54296875" style="20" customWidth="1"/>
    <col min="505" max="505" width="9.81640625" style="20" customWidth="1"/>
    <col min="506" max="506" width="14.453125" style="20" customWidth="1"/>
    <col min="507" max="507" width="7.4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54296875" style="20" customWidth="1"/>
    <col min="761" max="761" width="9.81640625" style="20" customWidth="1"/>
    <col min="762" max="762" width="14.453125" style="20" customWidth="1"/>
    <col min="763" max="763" width="7.4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54296875" style="20" customWidth="1"/>
    <col min="1017" max="1017" width="9.81640625" style="20" customWidth="1"/>
    <col min="1018" max="1018" width="14.453125" style="20" customWidth="1"/>
    <col min="1019" max="1019" width="7.4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54296875" style="20" customWidth="1"/>
    <col min="1273" max="1273" width="9.81640625" style="20" customWidth="1"/>
    <col min="1274" max="1274" width="14.453125" style="20" customWidth="1"/>
    <col min="1275" max="1275" width="7.4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54296875" style="20" customWidth="1"/>
    <col min="1529" max="1529" width="9.81640625" style="20" customWidth="1"/>
    <col min="1530" max="1530" width="14.453125" style="20" customWidth="1"/>
    <col min="1531" max="1531" width="7.4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54296875" style="20" customWidth="1"/>
    <col min="1785" max="1785" width="9.81640625" style="20" customWidth="1"/>
    <col min="1786" max="1786" width="14.453125" style="20" customWidth="1"/>
    <col min="1787" max="1787" width="7.4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54296875" style="20" customWidth="1"/>
    <col min="2041" max="2041" width="9.81640625" style="20" customWidth="1"/>
    <col min="2042" max="2042" width="14.453125" style="20" customWidth="1"/>
    <col min="2043" max="2043" width="7.4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54296875" style="20" customWidth="1"/>
    <col min="2297" max="2297" width="9.81640625" style="20" customWidth="1"/>
    <col min="2298" max="2298" width="14.453125" style="20" customWidth="1"/>
    <col min="2299" max="2299" width="7.4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54296875" style="20" customWidth="1"/>
    <col min="2553" max="2553" width="9.81640625" style="20" customWidth="1"/>
    <col min="2554" max="2554" width="14.453125" style="20" customWidth="1"/>
    <col min="2555" max="2555" width="7.4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54296875" style="20" customWidth="1"/>
    <col min="2809" max="2809" width="9.81640625" style="20" customWidth="1"/>
    <col min="2810" max="2810" width="14.453125" style="20" customWidth="1"/>
    <col min="2811" max="2811" width="7.4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54296875" style="20" customWidth="1"/>
    <col min="3065" max="3065" width="9.81640625" style="20" customWidth="1"/>
    <col min="3066" max="3066" width="14.453125" style="20" customWidth="1"/>
    <col min="3067" max="3067" width="7.4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54296875" style="20" customWidth="1"/>
    <col min="3321" max="3321" width="9.81640625" style="20" customWidth="1"/>
    <col min="3322" max="3322" width="14.453125" style="20" customWidth="1"/>
    <col min="3323" max="3323" width="7.4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54296875" style="20" customWidth="1"/>
    <col min="3577" max="3577" width="9.81640625" style="20" customWidth="1"/>
    <col min="3578" max="3578" width="14.453125" style="20" customWidth="1"/>
    <col min="3579" max="3579" width="7.4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54296875" style="20" customWidth="1"/>
    <col min="3833" max="3833" width="9.81640625" style="20" customWidth="1"/>
    <col min="3834" max="3834" width="14.453125" style="20" customWidth="1"/>
    <col min="3835" max="3835" width="7.4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54296875" style="20" customWidth="1"/>
    <col min="4089" max="4089" width="9.81640625" style="20" customWidth="1"/>
    <col min="4090" max="4090" width="14.453125" style="20" customWidth="1"/>
    <col min="4091" max="4091" width="7.4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54296875" style="20" customWidth="1"/>
    <col min="4345" max="4345" width="9.81640625" style="20" customWidth="1"/>
    <col min="4346" max="4346" width="14.453125" style="20" customWidth="1"/>
    <col min="4347" max="4347" width="7.4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54296875" style="20" customWidth="1"/>
    <col min="4601" max="4601" width="9.81640625" style="20" customWidth="1"/>
    <col min="4602" max="4602" width="14.453125" style="20" customWidth="1"/>
    <col min="4603" max="4603" width="7.4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54296875" style="20" customWidth="1"/>
    <col min="4857" max="4857" width="9.81640625" style="20" customWidth="1"/>
    <col min="4858" max="4858" width="14.453125" style="20" customWidth="1"/>
    <col min="4859" max="4859" width="7.4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54296875" style="20" customWidth="1"/>
    <col min="5113" max="5113" width="9.81640625" style="20" customWidth="1"/>
    <col min="5114" max="5114" width="14.453125" style="20" customWidth="1"/>
    <col min="5115" max="5115" width="7.4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54296875" style="20" customWidth="1"/>
    <col min="5369" max="5369" width="9.81640625" style="20" customWidth="1"/>
    <col min="5370" max="5370" width="14.453125" style="20" customWidth="1"/>
    <col min="5371" max="5371" width="7.4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54296875" style="20" customWidth="1"/>
    <col min="5625" max="5625" width="9.81640625" style="20" customWidth="1"/>
    <col min="5626" max="5626" width="14.453125" style="20" customWidth="1"/>
    <col min="5627" max="5627" width="7.4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54296875" style="20" customWidth="1"/>
    <col min="5881" max="5881" width="9.81640625" style="20" customWidth="1"/>
    <col min="5882" max="5882" width="14.453125" style="20" customWidth="1"/>
    <col min="5883" max="5883" width="7.4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54296875" style="20" customWidth="1"/>
    <col min="6137" max="6137" width="9.81640625" style="20" customWidth="1"/>
    <col min="6138" max="6138" width="14.453125" style="20" customWidth="1"/>
    <col min="6139" max="6139" width="7.4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54296875" style="20" customWidth="1"/>
    <col min="6393" max="6393" width="9.81640625" style="20" customWidth="1"/>
    <col min="6394" max="6394" width="14.453125" style="20" customWidth="1"/>
    <col min="6395" max="6395" width="7.4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54296875" style="20" customWidth="1"/>
    <col min="6649" max="6649" width="9.81640625" style="20" customWidth="1"/>
    <col min="6650" max="6650" width="14.453125" style="20" customWidth="1"/>
    <col min="6651" max="6651" width="7.4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54296875" style="20" customWidth="1"/>
    <col min="6905" max="6905" width="9.81640625" style="20" customWidth="1"/>
    <col min="6906" max="6906" width="14.453125" style="20" customWidth="1"/>
    <col min="6907" max="6907" width="7.4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54296875" style="20" customWidth="1"/>
    <col min="7161" max="7161" width="9.81640625" style="20" customWidth="1"/>
    <col min="7162" max="7162" width="14.453125" style="20" customWidth="1"/>
    <col min="7163" max="7163" width="7.4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54296875" style="20" customWidth="1"/>
    <col min="7417" max="7417" width="9.81640625" style="20" customWidth="1"/>
    <col min="7418" max="7418" width="14.453125" style="20" customWidth="1"/>
    <col min="7419" max="7419" width="7.4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54296875" style="20" customWidth="1"/>
    <col min="7673" max="7673" width="9.81640625" style="20" customWidth="1"/>
    <col min="7674" max="7674" width="14.453125" style="20" customWidth="1"/>
    <col min="7675" max="7675" width="7.4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54296875" style="20" customWidth="1"/>
    <col min="7929" max="7929" width="9.81640625" style="20" customWidth="1"/>
    <col min="7930" max="7930" width="14.453125" style="20" customWidth="1"/>
    <col min="7931" max="7931" width="7.4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54296875" style="20" customWidth="1"/>
    <col min="8185" max="8185" width="9.81640625" style="20" customWidth="1"/>
    <col min="8186" max="8186" width="14.453125" style="20" customWidth="1"/>
    <col min="8187" max="8187" width="7.4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54296875" style="20" customWidth="1"/>
    <col min="8441" max="8441" width="9.81640625" style="20" customWidth="1"/>
    <col min="8442" max="8442" width="14.453125" style="20" customWidth="1"/>
    <col min="8443" max="8443" width="7.4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54296875" style="20" customWidth="1"/>
    <col min="8697" max="8697" width="9.81640625" style="20" customWidth="1"/>
    <col min="8698" max="8698" width="14.453125" style="20" customWidth="1"/>
    <col min="8699" max="8699" width="7.4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54296875" style="20" customWidth="1"/>
    <col min="8953" max="8953" width="9.81640625" style="20" customWidth="1"/>
    <col min="8954" max="8954" width="14.453125" style="20" customWidth="1"/>
    <col min="8955" max="8955" width="7.4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54296875" style="20" customWidth="1"/>
    <col min="9209" max="9209" width="9.81640625" style="20" customWidth="1"/>
    <col min="9210" max="9210" width="14.453125" style="20" customWidth="1"/>
    <col min="9211" max="9211" width="7.4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54296875" style="20" customWidth="1"/>
    <col min="9465" max="9465" width="9.81640625" style="20" customWidth="1"/>
    <col min="9466" max="9466" width="14.453125" style="20" customWidth="1"/>
    <col min="9467" max="9467" width="7.4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54296875" style="20" customWidth="1"/>
    <col min="9721" max="9721" width="9.81640625" style="20" customWidth="1"/>
    <col min="9722" max="9722" width="14.453125" style="20" customWidth="1"/>
    <col min="9723" max="9723" width="7.4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54296875" style="20" customWidth="1"/>
    <col min="9977" max="9977" width="9.81640625" style="20" customWidth="1"/>
    <col min="9978" max="9978" width="14.453125" style="20" customWidth="1"/>
    <col min="9979" max="9979" width="7.4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54296875" style="20" customWidth="1"/>
    <col min="10233" max="10233" width="9.81640625" style="20" customWidth="1"/>
    <col min="10234" max="10234" width="14.453125" style="20" customWidth="1"/>
    <col min="10235" max="10235" width="7.4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54296875" style="20" customWidth="1"/>
    <col min="10489" max="10489" width="9.81640625" style="20" customWidth="1"/>
    <col min="10490" max="10490" width="14.453125" style="20" customWidth="1"/>
    <col min="10491" max="10491" width="7.4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54296875" style="20" customWidth="1"/>
    <col min="10745" max="10745" width="9.81640625" style="20" customWidth="1"/>
    <col min="10746" max="10746" width="14.453125" style="20" customWidth="1"/>
    <col min="10747" max="10747" width="7.4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54296875" style="20" customWidth="1"/>
    <col min="11001" max="11001" width="9.81640625" style="20" customWidth="1"/>
    <col min="11002" max="11002" width="14.453125" style="20" customWidth="1"/>
    <col min="11003" max="11003" width="7.4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54296875" style="20" customWidth="1"/>
    <col min="11257" max="11257" width="9.81640625" style="20" customWidth="1"/>
    <col min="11258" max="11258" width="14.453125" style="20" customWidth="1"/>
    <col min="11259" max="11259" width="7.4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54296875" style="20" customWidth="1"/>
    <col min="11513" max="11513" width="9.81640625" style="20" customWidth="1"/>
    <col min="11514" max="11514" width="14.453125" style="20" customWidth="1"/>
    <col min="11515" max="11515" width="7.4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54296875" style="20" customWidth="1"/>
    <col min="11769" max="11769" width="9.81640625" style="20" customWidth="1"/>
    <col min="11770" max="11770" width="14.453125" style="20" customWidth="1"/>
    <col min="11771" max="11771" width="7.4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54296875" style="20" customWidth="1"/>
    <col min="12025" max="12025" width="9.81640625" style="20" customWidth="1"/>
    <col min="12026" max="12026" width="14.453125" style="20" customWidth="1"/>
    <col min="12027" max="12027" width="7.4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54296875" style="20" customWidth="1"/>
    <col min="12281" max="12281" width="9.81640625" style="20" customWidth="1"/>
    <col min="12282" max="12282" width="14.453125" style="20" customWidth="1"/>
    <col min="12283" max="12283" width="7.4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54296875" style="20" customWidth="1"/>
    <col min="12537" max="12537" width="9.81640625" style="20" customWidth="1"/>
    <col min="12538" max="12538" width="14.453125" style="20" customWidth="1"/>
    <col min="12539" max="12539" width="7.4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54296875" style="20" customWidth="1"/>
    <col min="12793" max="12793" width="9.81640625" style="20" customWidth="1"/>
    <col min="12794" max="12794" width="14.453125" style="20" customWidth="1"/>
    <col min="12795" max="12795" width="7.4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54296875" style="20" customWidth="1"/>
    <col min="13049" max="13049" width="9.81640625" style="20" customWidth="1"/>
    <col min="13050" max="13050" width="14.453125" style="20" customWidth="1"/>
    <col min="13051" max="13051" width="7.4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54296875" style="20" customWidth="1"/>
    <col min="13305" max="13305" width="9.81640625" style="20" customWidth="1"/>
    <col min="13306" max="13306" width="14.453125" style="20" customWidth="1"/>
    <col min="13307" max="13307" width="7.4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54296875" style="20" customWidth="1"/>
    <col min="13561" max="13561" width="9.81640625" style="20" customWidth="1"/>
    <col min="13562" max="13562" width="14.453125" style="20" customWidth="1"/>
    <col min="13563" max="13563" width="7.4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54296875" style="20" customWidth="1"/>
    <col min="13817" max="13817" width="9.81640625" style="20" customWidth="1"/>
    <col min="13818" max="13818" width="14.453125" style="20" customWidth="1"/>
    <col min="13819" max="13819" width="7.4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54296875" style="20" customWidth="1"/>
    <col min="14073" max="14073" width="9.81640625" style="20" customWidth="1"/>
    <col min="14074" max="14074" width="14.453125" style="20" customWidth="1"/>
    <col min="14075" max="14075" width="7.4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54296875" style="20" customWidth="1"/>
    <col min="14329" max="14329" width="9.81640625" style="20" customWidth="1"/>
    <col min="14330" max="14330" width="14.453125" style="20" customWidth="1"/>
    <col min="14331" max="14331" width="7.4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54296875" style="20" customWidth="1"/>
    <col min="14585" max="14585" width="9.81640625" style="20" customWidth="1"/>
    <col min="14586" max="14586" width="14.453125" style="20" customWidth="1"/>
    <col min="14587" max="14587" width="7.4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54296875" style="20" customWidth="1"/>
    <col min="14841" max="14841" width="9.81640625" style="20" customWidth="1"/>
    <col min="14842" max="14842" width="14.453125" style="20" customWidth="1"/>
    <col min="14843" max="14843" width="7.4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54296875" style="20" customWidth="1"/>
    <col min="15097" max="15097" width="9.81640625" style="20" customWidth="1"/>
    <col min="15098" max="15098" width="14.453125" style="20" customWidth="1"/>
    <col min="15099" max="15099" width="7.4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54296875" style="20" customWidth="1"/>
    <col min="15353" max="15353" width="9.81640625" style="20" customWidth="1"/>
    <col min="15354" max="15354" width="14.453125" style="20" customWidth="1"/>
    <col min="15355" max="15355" width="7.4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54296875" style="20" customWidth="1"/>
    <col min="15609" max="15609" width="9.81640625" style="20" customWidth="1"/>
    <col min="15610" max="15610" width="14.453125" style="20" customWidth="1"/>
    <col min="15611" max="15611" width="7.4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54296875" style="20" customWidth="1"/>
    <col min="15865" max="15865" width="9.81640625" style="20" customWidth="1"/>
    <col min="15866" max="15866" width="14.453125" style="20" customWidth="1"/>
    <col min="15867" max="15867" width="7.4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54296875" style="20" customWidth="1"/>
    <col min="16121" max="16121" width="9.81640625" style="20" customWidth="1"/>
    <col min="16122" max="16122" width="14.453125" style="20" customWidth="1"/>
    <col min="16123" max="16123" width="7.4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26" ht="46.5" customHeight="1" x14ac:dyDescent="0.35">
      <c r="A1" s="139" t="s">
        <v>257</v>
      </c>
      <c r="B1" s="139"/>
      <c r="C1" s="139"/>
      <c r="D1" s="139"/>
      <c r="E1" s="139"/>
      <c r="F1" s="139"/>
      <c r="G1" s="139"/>
      <c r="H1" s="139"/>
    </row>
    <row r="2" spans="1:26" ht="16.5" customHeight="1" x14ac:dyDescent="0.35">
      <c r="A2" s="70" t="s">
        <v>0</v>
      </c>
      <c r="B2" s="70"/>
      <c r="C2" s="70"/>
      <c r="D2" s="70"/>
      <c r="E2" s="70"/>
      <c r="F2" s="70"/>
      <c r="G2" s="70"/>
      <c r="H2" s="70"/>
    </row>
    <row r="3" spans="1:26" x14ac:dyDescent="0.35">
      <c r="A3" s="74" t="s">
        <v>1</v>
      </c>
      <c r="B3" s="74"/>
      <c r="C3" s="74"/>
      <c r="D3" s="74"/>
      <c r="E3" s="74" t="str">
        <f ca="1">TEXT(TODAY(),"DD/MM/YYYY")</f>
        <v>07/08/2025</v>
      </c>
      <c r="F3" s="74"/>
      <c r="G3" s="74"/>
      <c r="H3" s="74"/>
    </row>
    <row r="4" spans="1:26" ht="15" customHeight="1" x14ac:dyDescent="0.35">
      <c r="A4" s="74" t="s">
        <v>2</v>
      </c>
      <c r="B4" s="74"/>
      <c r="C4" s="74"/>
      <c r="D4" s="74"/>
      <c r="E4" s="74" t="s">
        <v>172</v>
      </c>
      <c r="F4" s="74"/>
      <c r="G4" s="74"/>
      <c r="H4" s="74"/>
    </row>
    <row r="5" spans="1:26" x14ac:dyDescent="0.35">
      <c r="A5" s="74" t="s">
        <v>3</v>
      </c>
      <c r="B5" s="74"/>
      <c r="C5" s="74"/>
      <c r="D5" s="74"/>
      <c r="E5" s="140">
        <v>45876</v>
      </c>
      <c r="F5" s="74"/>
      <c r="G5" s="74"/>
      <c r="H5" s="74"/>
    </row>
    <row r="6" spans="1:26" ht="16.5" customHeight="1" x14ac:dyDescent="0.35">
      <c r="A6" s="74" t="s">
        <v>4</v>
      </c>
      <c r="B6" s="74"/>
      <c r="C6" s="74"/>
      <c r="D6" s="74"/>
      <c r="E6" s="74" t="s">
        <v>232</v>
      </c>
      <c r="F6" s="74"/>
      <c r="G6" s="74"/>
      <c r="H6" s="74"/>
    </row>
    <row r="7" spans="1:26" ht="15" customHeight="1" x14ac:dyDescent="0.35">
      <c r="A7" s="74" t="s">
        <v>5</v>
      </c>
      <c r="B7" s="74"/>
      <c r="C7" s="74"/>
      <c r="D7" s="74"/>
      <c r="E7" s="74" t="str">
        <f>E6</f>
        <v>Star-1 Builder &amp; Developers</v>
      </c>
      <c r="F7" s="74"/>
      <c r="G7" s="74"/>
      <c r="H7" s="74"/>
    </row>
    <row r="8" spans="1:26" x14ac:dyDescent="0.35">
      <c r="A8" s="74" t="s">
        <v>6</v>
      </c>
      <c r="B8" s="74"/>
      <c r="C8" s="74"/>
      <c r="D8" s="74"/>
      <c r="E8" s="90" t="s">
        <v>268</v>
      </c>
      <c r="F8" s="90"/>
      <c r="G8" s="90"/>
      <c r="H8" s="90"/>
    </row>
    <row r="9" spans="1:26" x14ac:dyDescent="0.35">
      <c r="A9" s="74" t="s">
        <v>169</v>
      </c>
      <c r="B9" s="74"/>
      <c r="C9" s="74"/>
      <c r="D9" s="74"/>
      <c r="E9" s="74" t="s">
        <v>233</v>
      </c>
      <c r="F9" s="74"/>
      <c r="G9" s="74"/>
      <c r="H9" s="74"/>
    </row>
    <row r="10" spans="1:26" hidden="1" x14ac:dyDescent="0.35">
      <c r="A10" s="74" t="s">
        <v>170</v>
      </c>
      <c r="B10" s="74"/>
      <c r="C10" s="74"/>
      <c r="D10" s="74"/>
      <c r="E10" s="74" t="s">
        <v>274</v>
      </c>
      <c r="F10" s="74"/>
      <c r="G10" s="74"/>
      <c r="H10" s="74"/>
    </row>
    <row r="11" spans="1:26" x14ac:dyDescent="0.35">
      <c r="A11" s="74" t="s">
        <v>7</v>
      </c>
      <c r="B11" s="74"/>
      <c r="C11" s="74"/>
      <c r="D11" s="74"/>
      <c r="E11" s="74" t="s">
        <v>264</v>
      </c>
      <c r="F11" s="74"/>
      <c r="G11" s="74"/>
      <c r="H11" s="74"/>
    </row>
    <row r="12" spans="1:26" x14ac:dyDescent="0.35">
      <c r="A12" s="74" t="s">
        <v>173</v>
      </c>
      <c r="B12" s="74"/>
      <c r="C12" s="74"/>
      <c r="D12" s="74"/>
      <c r="E12" s="74" t="s">
        <v>29</v>
      </c>
      <c r="F12" s="74"/>
      <c r="G12" s="74"/>
      <c r="H12" s="74"/>
      <c r="S12" s="55" t="s">
        <v>179</v>
      </c>
      <c r="T12" s="55" t="s">
        <v>189</v>
      </c>
      <c r="U12" s="55" t="s">
        <v>174</v>
      </c>
      <c r="V12" s="55" t="s">
        <v>194</v>
      </c>
      <c r="W12" s="55" t="s">
        <v>212</v>
      </c>
      <c r="X12"/>
      <c r="Y12" t="s">
        <v>194</v>
      </c>
      <c r="Z12" t="e">
        <f ca="1">OFFSET($S$12,1,MATCH($G19,$S$12:$W$12,0)-1,15,1)</f>
        <v>#VALUE!</v>
      </c>
    </row>
    <row r="13" spans="1:26" x14ac:dyDescent="0.35">
      <c r="A13" s="83" t="s">
        <v>8</v>
      </c>
      <c r="B13" s="83"/>
      <c r="C13" s="83"/>
      <c r="D13" s="83"/>
      <c r="E13" s="73" t="s">
        <v>263</v>
      </c>
      <c r="F13" s="73"/>
      <c r="G13" s="73"/>
      <c r="H13" s="73"/>
      <c r="S13" s="55" t="s">
        <v>180</v>
      </c>
      <c r="T13" s="55" t="s">
        <v>187</v>
      </c>
      <c r="U13" s="55" t="s">
        <v>209</v>
      </c>
      <c r="V13" s="55" t="s">
        <v>195</v>
      </c>
      <c r="W13" s="55" t="s">
        <v>213</v>
      </c>
      <c r="X13"/>
      <c r="Y13"/>
      <c r="Z13"/>
    </row>
    <row r="14" spans="1:26" x14ac:dyDescent="0.35">
      <c r="A14" s="83" t="s">
        <v>9</v>
      </c>
      <c r="B14" s="83"/>
      <c r="C14" s="83"/>
      <c r="D14" s="83"/>
      <c r="E14" s="73" t="s">
        <v>265</v>
      </c>
      <c r="F14" s="74"/>
      <c r="G14" s="74"/>
      <c r="H14" s="74"/>
      <c r="I14" s="78" t="e">
        <f ca="1">OFFSET($D$4,1,MATCH($J12,$D$4:$H$4,0)-1,15,1)</f>
        <v>#N/A</v>
      </c>
      <c r="J14" s="79"/>
      <c r="K14" s="79"/>
      <c r="L14" s="79"/>
      <c r="M14" s="79"/>
      <c r="N14" s="79"/>
      <c r="O14" s="79"/>
      <c r="P14" s="79"/>
      <c r="S14" s="55" t="s">
        <v>181</v>
      </c>
      <c r="T14" s="55" t="s">
        <v>188</v>
      </c>
      <c r="U14" s="55" t="s">
        <v>210</v>
      </c>
      <c r="V14" s="55" t="s">
        <v>196</v>
      </c>
      <c r="W14" s="55" t="s">
        <v>226</v>
      </c>
      <c r="X14"/>
      <c r="Y14"/>
      <c r="Z14"/>
    </row>
    <row r="15" spans="1:26" ht="34.5" customHeight="1" x14ac:dyDescent="0.35">
      <c r="A15" s="88" t="s">
        <v>10</v>
      </c>
      <c r="B15" s="88"/>
      <c r="C15" s="88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Surya Apartment 1, Survey No.50/4/B, Plot No. 29, near Sai Muktidham, Internal Road, Amba Wadi, Navali, Palghar West, Palghar, Palghar - 401404.</v>
      </c>
      <c r="D15" s="88"/>
      <c r="E15" s="88"/>
      <c r="F15" s="88"/>
      <c r="G15" s="88"/>
      <c r="H15" s="88"/>
      <c r="S15" s="55" t="s">
        <v>182</v>
      </c>
      <c r="T15" s="55" t="s">
        <v>190</v>
      </c>
      <c r="U15" s="55" t="s">
        <v>211</v>
      </c>
      <c r="V15" s="55" t="s">
        <v>197</v>
      </c>
      <c r="W15" s="55" t="s">
        <v>214</v>
      </c>
      <c r="X15"/>
      <c r="Y15"/>
      <c r="Z15"/>
    </row>
    <row r="16" spans="1:26" x14ac:dyDescent="0.35">
      <c r="A16" s="73" t="s">
        <v>234</v>
      </c>
      <c r="B16" s="73"/>
      <c r="C16" s="73" t="s">
        <v>235</v>
      </c>
      <c r="D16" s="73"/>
      <c r="E16" s="73"/>
      <c r="F16" s="73"/>
      <c r="G16" s="73"/>
      <c r="H16" s="73"/>
      <c r="S16" s="55" t="s">
        <v>183</v>
      </c>
      <c r="T16" s="55" t="s">
        <v>191</v>
      </c>
      <c r="U16" s="55"/>
      <c r="V16" s="55" t="s">
        <v>198</v>
      </c>
      <c r="W16" s="55" t="s">
        <v>215</v>
      </c>
      <c r="X16"/>
      <c r="Y16"/>
      <c r="Z16"/>
    </row>
    <row r="17" spans="1:26" ht="15.75" customHeight="1" x14ac:dyDescent="0.35">
      <c r="A17" s="73" t="s">
        <v>167</v>
      </c>
      <c r="B17" s="73"/>
      <c r="C17" s="73" t="s">
        <v>239</v>
      </c>
      <c r="D17" s="73"/>
      <c r="E17" s="73"/>
      <c r="F17" s="73"/>
      <c r="G17" s="73"/>
      <c r="H17" s="73"/>
      <c r="S17" s="55" t="s">
        <v>184</v>
      </c>
      <c r="T17" s="55" t="s">
        <v>189</v>
      </c>
      <c r="U17" s="55"/>
      <c r="V17" s="55" t="s">
        <v>199</v>
      </c>
      <c r="W17" s="55" t="s">
        <v>216</v>
      </c>
      <c r="X17"/>
      <c r="Y17"/>
      <c r="Z17"/>
    </row>
    <row r="18" spans="1:26" ht="15.75" customHeight="1" x14ac:dyDescent="0.35">
      <c r="A18" s="88" t="s">
        <v>11</v>
      </c>
      <c r="B18" s="88"/>
      <c r="C18" s="74" t="s">
        <v>237</v>
      </c>
      <c r="D18" s="74"/>
      <c r="E18" s="88" t="s">
        <v>73</v>
      </c>
      <c r="F18" s="88"/>
      <c r="G18" s="73" t="s">
        <v>236</v>
      </c>
      <c r="H18" s="73"/>
      <c r="S18" s="55" t="s">
        <v>185</v>
      </c>
      <c r="T18" s="55" t="s">
        <v>192</v>
      </c>
      <c r="U18" s="55"/>
      <c r="V18" s="55" t="s">
        <v>200</v>
      </c>
      <c r="W18" s="55" t="s">
        <v>217</v>
      </c>
      <c r="X18"/>
      <c r="Y18"/>
      <c r="Z18"/>
    </row>
    <row r="19" spans="1:26" x14ac:dyDescent="0.35">
      <c r="A19" s="83" t="s">
        <v>13</v>
      </c>
      <c r="B19" s="83"/>
      <c r="C19" s="73" t="s">
        <v>238</v>
      </c>
      <c r="D19" s="73"/>
      <c r="E19" s="73" t="s">
        <v>12</v>
      </c>
      <c r="F19" s="73"/>
      <c r="G19" s="141" t="s">
        <v>189</v>
      </c>
      <c r="H19" s="141"/>
      <c r="S19" s="55" t="s">
        <v>186</v>
      </c>
      <c r="T19" s="55" t="s">
        <v>193</v>
      </c>
      <c r="U19" s="55"/>
      <c r="V19" s="55" t="s">
        <v>201</v>
      </c>
      <c r="W19" s="55" t="s">
        <v>218</v>
      </c>
      <c r="X19"/>
      <c r="Y19"/>
      <c r="Z19"/>
    </row>
    <row r="20" spans="1:26" x14ac:dyDescent="0.35">
      <c r="A20" s="83" t="s">
        <v>74</v>
      </c>
      <c r="B20" s="83"/>
      <c r="C20" s="73" t="s">
        <v>189</v>
      </c>
      <c r="D20" s="73"/>
      <c r="E20" s="73" t="s">
        <v>14</v>
      </c>
      <c r="F20" s="73"/>
      <c r="G20" s="73">
        <v>401404</v>
      </c>
      <c r="H20" s="73"/>
      <c r="S20" s="55"/>
      <c r="T20" s="55"/>
      <c r="U20" s="55"/>
      <c r="V20" s="55" t="s">
        <v>202</v>
      </c>
      <c r="W20" s="55" t="s">
        <v>219</v>
      </c>
      <c r="X20"/>
      <c r="Y20"/>
      <c r="Z20"/>
    </row>
    <row r="21" spans="1:26" ht="32.25" customHeight="1" x14ac:dyDescent="0.35">
      <c r="A21" s="83" t="s">
        <v>124</v>
      </c>
      <c r="B21" s="83"/>
      <c r="C21" s="73" t="s">
        <v>240</v>
      </c>
      <c r="D21" s="73"/>
      <c r="E21" s="73" t="s">
        <v>15</v>
      </c>
      <c r="F21" s="73"/>
      <c r="G21" s="73" t="s">
        <v>241</v>
      </c>
      <c r="H21" s="73"/>
      <c r="S21" s="55"/>
      <c r="T21" s="55"/>
      <c r="U21" s="55"/>
      <c r="V21" s="55" t="s">
        <v>203</v>
      </c>
      <c r="W21" s="55" t="s">
        <v>220</v>
      </c>
      <c r="X21"/>
      <c r="Y21"/>
      <c r="Z21"/>
    </row>
    <row r="22" spans="1:26" ht="15" customHeight="1" x14ac:dyDescent="0.35">
      <c r="A22" s="88" t="s">
        <v>75</v>
      </c>
      <c r="B22" s="88"/>
      <c r="C22" s="88"/>
      <c r="D22" s="88"/>
      <c r="E22" s="74" t="s">
        <v>16</v>
      </c>
      <c r="F22" s="74"/>
      <c r="G22" s="74"/>
      <c r="H22" s="74"/>
      <c r="S22" s="55"/>
      <c r="T22" s="55"/>
      <c r="U22" s="55"/>
      <c r="V22" s="55" t="s">
        <v>204</v>
      </c>
      <c r="W22" s="55" t="s">
        <v>221</v>
      </c>
      <c r="X22"/>
      <c r="Y22"/>
      <c r="Z22"/>
    </row>
    <row r="23" spans="1:26" ht="18.75" customHeight="1" x14ac:dyDescent="0.35">
      <c r="A23" s="88"/>
      <c r="B23" s="88"/>
      <c r="C23" s="88"/>
      <c r="D23" s="88"/>
      <c r="E23" s="74"/>
      <c r="F23" s="74"/>
      <c r="G23" s="74"/>
      <c r="H23" s="74"/>
      <c r="S23" s="55"/>
      <c r="T23" s="55"/>
      <c r="U23" s="55"/>
      <c r="V23" s="55" t="s">
        <v>205</v>
      </c>
      <c r="W23" s="55" t="s">
        <v>222</v>
      </c>
      <c r="X23"/>
      <c r="Y23"/>
      <c r="Z23"/>
    </row>
    <row r="24" spans="1:26" ht="15" customHeight="1" x14ac:dyDescent="0.35">
      <c r="A24" s="88" t="s">
        <v>17</v>
      </c>
      <c r="B24" s="88"/>
      <c r="C24" s="88"/>
      <c r="D24" s="88"/>
      <c r="E24" s="73" t="s">
        <v>18</v>
      </c>
      <c r="F24" s="73"/>
      <c r="G24" s="73"/>
      <c r="H24" s="73"/>
      <c r="S24" s="55"/>
      <c r="T24" s="55"/>
      <c r="U24" s="55"/>
      <c r="V24" s="55" t="s">
        <v>206</v>
      </c>
      <c r="W24" s="55" t="s">
        <v>223</v>
      </c>
      <c r="X24"/>
      <c r="Y24"/>
      <c r="Z24"/>
    </row>
    <row r="25" spans="1:26" ht="15" customHeight="1" x14ac:dyDescent="0.35">
      <c r="A25" s="83" t="s">
        <v>19</v>
      </c>
      <c r="B25" s="83"/>
      <c r="C25" s="83"/>
      <c r="D25" s="83"/>
      <c r="E25" s="73" t="str">
        <f>IF(AND(G19="Mumbai"),"Upper Class","Middle Class")</f>
        <v>Middle Class</v>
      </c>
      <c r="F25" s="73"/>
      <c r="G25" s="73"/>
      <c r="H25" s="73"/>
      <c r="S25" s="55"/>
      <c r="T25" s="55"/>
      <c r="U25" s="55"/>
      <c r="V25" s="55" t="s">
        <v>207</v>
      </c>
      <c r="W25" s="55" t="s">
        <v>224</v>
      </c>
      <c r="X25"/>
      <c r="Y25"/>
      <c r="Z25"/>
    </row>
    <row r="26" spans="1:26" x14ac:dyDescent="0.35">
      <c r="A26" s="83" t="s">
        <v>20</v>
      </c>
      <c r="B26" s="83"/>
      <c r="C26" s="83"/>
      <c r="D26" s="83"/>
      <c r="E26" s="73" t="s">
        <v>21</v>
      </c>
      <c r="F26" s="73"/>
      <c r="G26" s="73"/>
      <c r="H26" s="73"/>
      <c r="S26" s="55"/>
      <c r="T26" s="55"/>
      <c r="U26" s="55"/>
      <c r="V26" s="55" t="s">
        <v>208</v>
      </c>
      <c r="W26" s="55" t="s">
        <v>225</v>
      </c>
      <c r="X26"/>
      <c r="Y26"/>
      <c r="Z26"/>
    </row>
    <row r="27" spans="1:26" ht="15.75" customHeight="1" x14ac:dyDescent="0.35">
      <c r="A27" s="83" t="s">
        <v>22</v>
      </c>
      <c r="B27" s="83"/>
      <c r="C27" s="83"/>
      <c r="D27" s="83"/>
      <c r="E27" s="73" t="str">
        <f>IF(AND(G19="Mumbai"),"Developed","Developing")</f>
        <v>Developing</v>
      </c>
      <c r="F27" s="73"/>
      <c r="G27" s="73"/>
      <c r="H27" s="73"/>
    </row>
    <row r="28" spans="1:26" x14ac:dyDescent="0.35">
      <c r="A28" s="83" t="s">
        <v>23</v>
      </c>
      <c r="B28" s="83"/>
      <c r="C28" s="83"/>
      <c r="D28" s="83"/>
      <c r="E28" s="73" t="s">
        <v>24</v>
      </c>
      <c r="F28" s="73"/>
      <c r="G28" s="73"/>
      <c r="H28" s="73"/>
    </row>
    <row r="29" spans="1:26" ht="15.75" customHeight="1" x14ac:dyDescent="0.35">
      <c r="A29" s="83" t="s">
        <v>80</v>
      </c>
      <c r="B29" s="83"/>
      <c r="C29" s="83"/>
      <c r="D29" s="83"/>
      <c r="E29" s="73" t="s">
        <v>81</v>
      </c>
      <c r="F29" s="73"/>
      <c r="G29" s="73"/>
      <c r="H29" s="73"/>
    </row>
    <row r="30" spans="1:26" ht="15" customHeight="1" x14ac:dyDescent="0.35">
      <c r="A30" s="83" t="s">
        <v>32</v>
      </c>
      <c r="B30" s="83"/>
      <c r="C30" s="83"/>
      <c r="D30" s="83"/>
      <c r="E30" s="73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</v>
      </c>
      <c r="F30" s="73"/>
      <c r="G30" s="73"/>
      <c r="H30" s="73"/>
    </row>
    <row r="31" spans="1:26" ht="15.75" customHeight="1" x14ac:dyDescent="0.35">
      <c r="A31" s="83" t="s">
        <v>92</v>
      </c>
      <c r="B31" s="83"/>
      <c r="C31" s="83"/>
      <c r="D31" s="83"/>
      <c r="E31" s="73" t="s">
        <v>33</v>
      </c>
      <c r="F31" s="73"/>
      <c r="G31" s="73"/>
      <c r="H31" s="73"/>
    </row>
    <row r="32" spans="1:26" s="21" customFormat="1" x14ac:dyDescent="0.35">
      <c r="A32" s="145" t="s">
        <v>93</v>
      </c>
      <c r="B32" s="145"/>
      <c r="C32" s="144" t="s">
        <v>175</v>
      </c>
      <c r="D32" s="144"/>
      <c r="E32" s="144"/>
      <c r="F32" s="144" t="s">
        <v>30</v>
      </c>
      <c r="G32" s="144"/>
      <c r="H32" s="144"/>
    </row>
    <row r="33" spans="1:13" s="21" customFormat="1" x14ac:dyDescent="0.35">
      <c r="A33" s="142" t="s">
        <v>25</v>
      </c>
      <c r="B33" s="142" t="s">
        <v>29</v>
      </c>
      <c r="C33" s="143" t="s">
        <v>29</v>
      </c>
      <c r="D33" s="143"/>
      <c r="E33" s="143"/>
      <c r="F33" s="143" t="s">
        <v>242</v>
      </c>
      <c r="G33" s="143"/>
      <c r="H33" s="143"/>
    </row>
    <row r="34" spans="1:13" x14ac:dyDescent="0.35">
      <c r="A34" s="142" t="s">
        <v>26</v>
      </c>
      <c r="B34" s="142" t="s">
        <v>29</v>
      </c>
      <c r="C34" s="143" t="s">
        <v>29</v>
      </c>
      <c r="D34" s="143"/>
      <c r="E34" s="143"/>
      <c r="F34" s="143" t="s">
        <v>242</v>
      </c>
      <c r="G34" s="143"/>
      <c r="H34" s="143"/>
    </row>
    <row r="35" spans="1:13" s="21" customFormat="1" x14ac:dyDescent="0.35">
      <c r="A35" s="142" t="s">
        <v>28</v>
      </c>
      <c r="B35" s="142" t="s">
        <v>29</v>
      </c>
      <c r="C35" s="143" t="s">
        <v>29</v>
      </c>
      <c r="D35" s="143"/>
      <c r="E35" s="143"/>
      <c r="F35" s="143" t="s">
        <v>243</v>
      </c>
      <c r="G35" s="143"/>
      <c r="H35" s="143"/>
    </row>
    <row r="36" spans="1:13" x14ac:dyDescent="0.35">
      <c r="A36" s="142" t="s">
        <v>27</v>
      </c>
      <c r="B36" s="142" t="s">
        <v>29</v>
      </c>
      <c r="C36" s="143" t="s">
        <v>29</v>
      </c>
      <c r="D36" s="143"/>
      <c r="E36" s="143"/>
      <c r="F36" s="143" t="s">
        <v>237</v>
      </c>
      <c r="G36" s="143"/>
      <c r="H36" s="143"/>
    </row>
    <row r="37" spans="1:13" x14ac:dyDescent="0.35">
      <c r="A37" s="83" t="s">
        <v>31</v>
      </c>
      <c r="B37" s="83"/>
      <c r="C37" s="83"/>
      <c r="D37" s="83"/>
      <c r="E37" s="83"/>
      <c r="F37" s="83"/>
      <c r="G37" s="83"/>
      <c r="H37" s="83"/>
    </row>
    <row r="38" spans="1:13" ht="15.75" customHeight="1" x14ac:dyDescent="0.35">
      <c r="A38" s="133" t="s">
        <v>168</v>
      </c>
      <c r="B38" s="133"/>
      <c r="C38" s="83" t="s">
        <v>244</v>
      </c>
      <c r="D38" s="83"/>
      <c r="E38" s="83"/>
      <c r="F38" s="83"/>
      <c r="G38" s="83"/>
      <c r="H38" s="83"/>
    </row>
    <row r="39" spans="1:13" x14ac:dyDescent="0.35">
      <c r="A39" s="133" t="s">
        <v>166</v>
      </c>
      <c r="B39" s="133"/>
      <c r="C39" s="150" t="s">
        <v>245</v>
      </c>
      <c r="D39" s="73"/>
      <c r="E39" s="73"/>
      <c r="F39" s="73"/>
      <c r="G39" s="73"/>
      <c r="H39" s="73"/>
    </row>
    <row r="40" spans="1:13" x14ac:dyDescent="0.35">
      <c r="A40" s="133" t="s">
        <v>34</v>
      </c>
      <c r="B40" s="133"/>
      <c r="C40" s="133"/>
      <c r="D40" s="133"/>
      <c r="E40" s="133"/>
      <c r="F40" s="133"/>
      <c r="G40" s="133"/>
      <c r="H40" s="133"/>
    </row>
    <row r="41" spans="1:13" x14ac:dyDescent="0.35">
      <c r="A41" s="83" t="s">
        <v>35</v>
      </c>
      <c r="B41" s="83"/>
      <c r="C41" s="83"/>
      <c r="D41" s="83"/>
      <c r="E41" s="146">
        <v>380</v>
      </c>
      <c r="F41" s="146"/>
      <c r="G41" s="146"/>
      <c r="H41" s="146"/>
      <c r="J41" s="146">
        <v>0</v>
      </c>
      <c r="K41" s="146"/>
      <c r="L41" s="146"/>
      <c r="M41" s="146"/>
    </row>
    <row r="42" spans="1:13" x14ac:dyDescent="0.35">
      <c r="A42" s="83" t="s">
        <v>36</v>
      </c>
      <c r="B42" s="83"/>
      <c r="C42" s="83"/>
      <c r="D42" s="83"/>
      <c r="E42" s="99">
        <v>1.1000000000000001</v>
      </c>
      <c r="F42" s="99"/>
      <c r="G42" s="99"/>
      <c r="H42" s="99"/>
      <c r="J42" s="99">
        <v>0</v>
      </c>
      <c r="K42" s="99"/>
      <c r="L42" s="99"/>
      <c r="M42" s="99"/>
    </row>
    <row r="43" spans="1:13" x14ac:dyDescent="0.35">
      <c r="A43" s="83" t="s">
        <v>37</v>
      </c>
      <c r="B43" s="83"/>
      <c r="C43" s="83"/>
      <c r="D43" s="83"/>
      <c r="E43" s="99">
        <f>E45/E41-E42</f>
        <v>1.1275789473684208</v>
      </c>
      <c r="F43" s="99"/>
      <c r="G43" s="99"/>
      <c r="H43" s="99"/>
      <c r="J43" s="99" t="e">
        <f>J45/J41-J42</f>
        <v>#DIV/0!</v>
      </c>
      <c r="K43" s="99"/>
      <c r="L43" s="99"/>
      <c r="M43" s="99"/>
    </row>
    <row r="44" spans="1:13" x14ac:dyDescent="0.35">
      <c r="A44" s="83" t="s">
        <v>38</v>
      </c>
      <c r="B44" s="83"/>
      <c r="C44" s="83"/>
      <c r="D44" s="83"/>
      <c r="E44" s="99">
        <f>E42+E43</f>
        <v>2.2275789473684209</v>
      </c>
      <c r="F44" s="99"/>
      <c r="G44" s="99"/>
      <c r="H44" s="99"/>
      <c r="J44" s="99" t="e">
        <f>J42+J43</f>
        <v>#DIV/0!</v>
      </c>
      <c r="K44" s="99"/>
      <c r="L44" s="99"/>
      <c r="M44" s="99"/>
    </row>
    <row r="45" spans="1:13" x14ac:dyDescent="0.35">
      <c r="A45" s="83" t="s">
        <v>91</v>
      </c>
      <c r="B45" s="83"/>
      <c r="C45" s="83"/>
      <c r="D45" s="83"/>
      <c r="E45" s="149">
        <v>846.48</v>
      </c>
      <c r="F45" s="149"/>
      <c r="G45" s="149"/>
      <c r="H45" s="149"/>
      <c r="J45" s="149">
        <v>0</v>
      </c>
      <c r="K45" s="149"/>
      <c r="L45" s="149"/>
      <c r="M45" s="149"/>
    </row>
    <row r="46" spans="1:13" x14ac:dyDescent="0.35">
      <c r="A46" s="74" t="s">
        <v>39</v>
      </c>
      <c r="B46" s="74"/>
      <c r="C46" s="74"/>
      <c r="D46" s="74"/>
      <c r="E46" s="74" t="s">
        <v>123</v>
      </c>
      <c r="F46" s="74"/>
      <c r="G46" s="74"/>
      <c r="H46" s="74"/>
    </row>
    <row r="47" spans="1:13" x14ac:dyDescent="0.35">
      <c r="A47" s="90" t="s">
        <v>40</v>
      </c>
      <c r="B47" s="90"/>
      <c r="C47" s="90"/>
      <c r="D47" s="90"/>
      <c r="E47" s="90"/>
      <c r="F47" s="90"/>
      <c r="G47" s="90"/>
      <c r="H47" s="90"/>
    </row>
    <row r="48" spans="1:13" ht="33.75" customHeight="1" x14ac:dyDescent="0.35">
      <c r="A48" s="171" t="s">
        <v>155</v>
      </c>
      <c r="B48" s="172"/>
      <c r="C48" s="173" t="s">
        <v>246</v>
      </c>
      <c r="D48" s="174"/>
      <c r="E48" s="174"/>
      <c r="F48" s="174"/>
      <c r="G48" s="174"/>
      <c r="H48" s="175"/>
    </row>
    <row r="49" spans="1:14" ht="15.75" customHeight="1" x14ac:dyDescent="0.35">
      <c r="A49" s="75" t="s">
        <v>41</v>
      </c>
      <c r="B49" s="77"/>
      <c r="C49" s="75" t="s">
        <v>247</v>
      </c>
      <c r="D49" s="76"/>
      <c r="E49" s="77"/>
      <c r="F49" s="18" t="s">
        <v>42</v>
      </c>
      <c r="G49" s="101">
        <v>44622</v>
      </c>
      <c r="H49" s="77"/>
    </row>
    <row r="50" spans="1:14" x14ac:dyDescent="0.35">
      <c r="A50" s="75" t="s">
        <v>43</v>
      </c>
      <c r="B50" s="77"/>
      <c r="C50" s="75" t="s">
        <v>247</v>
      </c>
      <c r="D50" s="76"/>
      <c r="E50" s="77"/>
      <c r="F50" s="18" t="s">
        <v>42</v>
      </c>
      <c r="G50" s="101">
        <v>44622</v>
      </c>
      <c r="H50" s="77"/>
    </row>
    <row r="51" spans="1:14" s="22" customFormat="1" ht="15.75" customHeight="1" x14ac:dyDescent="0.35">
      <c r="A51" s="152" t="s">
        <v>159</v>
      </c>
      <c r="B51" s="153"/>
      <c r="C51" s="75" t="s">
        <v>248</v>
      </c>
      <c r="D51" s="76"/>
      <c r="E51" s="77"/>
      <c r="F51" s="18" t="s">
        <v>42</v>
      </c>
      <c r="G51" s="101">
        <f>G50</f>
        <v>44622</v>
      </c>
      <c r="H51" s="102"/>
    </row>
    <row r="52" spans="1:14" s="22" customFormat="1" x14ac:dyDescent="0.35">
      <c r="A52" s="154"/>
      <c r="B52" s="155"/>
      <c r="C52" s="75" t="s">
        <v>249</v>
      </c>
      <c r="D52" s="76"/>
      <c r="E52" s="76"/>
      <c r="F52" s="76"/>
      <c r="G52" s="76"/>
      <c r="H52" s="77"/>
    </row>
    <row r="53" spans="1:14" x14ac:dyDescent="0.35">
      <c r="A53" s="84" t="s">
        <v>44</v>
      </c>
      <c r="B53" s="85"/>
      <c r="C53" s="84" t="s">
        <v>105</v>
      </c>
      <c r="D53" s="86"/>
      <c r="E53" s="85"/>
      <c r="F53" s="43" t="s">
        <v>42</v>
      </c>
      <c r="G53" s="104" t="s">
        <v>29</v>
      </c>
      <c r="H53" s="105"/>
    </row>
    <row r="54" spans="1:14" x14ac:dyDescent="0.35">
      <c r="A54" s="103" t="s">
        <v>46</v>
      </c>
      <c r="B54" s="103"/>
      <c r="C54" s="103"/>
      <c r="D54" s="103"/>
      <c r="E54" s="103"/>
      <c r="F54" s="103"/>
      <c r="G54" s="103"/>
      <c r="H54" s="103"/>
    </row>
    <row r="55" spans="1:14" x14ac:dyDescent="0.35">
      <c r="A55" s="88" t="s">
        <v>90</v>
      </c>
      <c r="B55" s="88"/>
      <c r="C55" s="88"/>
      <c r="D55" s="83">
        <v>846.4</v>
      </c>
      <c r="E55" s="83"/>
      <c r="F55" s="83"/>
      <c r="G55" s="83"/>
      <c r="H55" s="83"/>
    </row>
    <row r="56" spans="1:14" x14ac:dyDescent="0.35">
      <c r="A56" s="73" t="s">
        <v>47</v>
      </c>
      <c r="B56" s="74"/>
      <c r="C56" s="74"/>
      <c r="D56" s="74" t="s">
        <v>256</v>
      </c>
      <c r="E56" s="74"/>
      <c r="F56" s="74"/>
      <c r="G56" s="74"/>
      <c r="H56" s="74"/>
      <c r="I56" s="23"/>
    </row>
    <row r="57" spans="1:14" x14ac:dyDescent="0.35">
      <c r="A57" s="71" t="s">
        <v>48</v>
      </c>
      <c r="B57" s="72"/>
      <c r="C57" s="151"/>
      <c r="D57" s="91" t="s">
        <v>249</v>
      </c>
      <c r="E57" s="92"/>
      <c r="F57" s="92"/>
      <c r="G57" s="92"/>
      <c r="H57" s="92"/>
    </row>
    <row r="58" spans="1:14" ht="15.75" customHeight="1" x14ac:dyDescent="0.35">
      <c r="A58" s="71" t="s">
        <v>88</v>
      </c>
      <c r="B58" s="72"/>
      <c r="C58" s="72"/>
      <c r="D58" s="73" t="s">
        <v>249</v>
      </c>
      <c r="E58" s="74"/>
      <c r="F58" s="74"/>
      <c r="G58" s="74"/>
      <c r="H58" s="74"/>
    </row>
    <row r="59" spans="1:14" ht="15.75" customHeight="1" x14ac:dyDescent="0.35">
      <c r="A59" s="83" t="s">
        <v>45</v>
      </c>
      <c r="B59" s="83"/>
      <c r="C59" s="83"/>
      <c r="D59" s="147" t="s">
        <v>269</v>
      </c>
      <c r="E59" s="147"/>
      <c r="F59" s="147"/>
      <c r="G59" s="147"/>
      <c r="H59" s="147"/>
      <c r="J59" s="24"/>
      <c r="K59" s="23"/>
      <c r="N59" s="23"/>
    </row>
    <row r="60" spans="1:14" ht="15.75" customHeight="1" x14ac:dyDescent="0.35">
      <c r="A60" s="83" t="s">
        <v>86</v>
      </c>
      <c r="B60" s="83"/>
      <c r="C60" s="83"/>
      <c r="D60" s="148" t="str">
        <f>(IF(G53="NA","60 Years After Completion",IF(G53&lt;&gt;"NA",""&amp;60-ROUNDDOWN((E3-G53)/360,0)&amp;" Years"," ")))</f>
        <v>60 Years After Completion</v>
      </c>
      <c r="E60" s="148"/>
      <c r="F60" s="148"/>
      <c r="G60" s="148"/>
      <c r="H60" s="148"/>
      <c r="N60" s="23"/>
    </row>
    <row r="61" spans="1:14" ht="15.75" customHeight="1" x14ac:dyDescent="0.35">
      <c r="A61" s="83" t="s">
        <v>87</v>
      </c>
      <c r="B61" s="83"/>
      <c r="C61" s="83"/>
      <c r="D61" s="88" t="s">
        <v>24</v>
      </c>
      <c r="E61" s="88"/>
      <c r="F61" s="88"/>
      <c r="G61" s="88"/>
      <c r="H61" s="88"/>
      <c r="J61" s="25"/>
      <c r="K61" s="25"/>
    </row>
    <row r="62" spans="1:14" x14ac:dyDescent="0.35">
      <c r="A62" s="74" t="s">
        <v>250</v>
      </c>
      <c r="B62" s="74"/>
      <c r="C62" s="74"/>
      <c r="D62" s="73" t="s">
        <v>266</v>
      </c>
      <c r="E62" s="88"/>
      <c r="F62" s="88"/>
      <c r="G62" s="88"/>
      <c r="H62" s="88"/>
    </row>
    <row r="63" spans="1:14" x14ac:dyDescent="0.35">
      <c r="A63" s="88" t="s">
        <v>152</v>
      </c>
      <c r="B63" s="88"/>
      <c r="C63" s="88"/>
      <c r="D63" s="88" t="s">
        <v>29</v>
      </c>
      <c r="E63" s="88"/>
      <c r="F63" s="88"/>
      <c r="G63" s="88"/>
      <c r="H63" s="88"/>
      <c r="I63" s="26"/>
      <c r="J63" s="26"/>
      <c r="K63" s="26"/>
      <c r="L63" s="26"/>
      <c r="M63" s="26"/>
      <c r="N63" s="26"/>
    </row>
    <row r="64" spans="1:14" ht="15.75" customHeight="1" x14ac:dyDescent="0.35">
      <c r="A64" s="89" t="s">
        <v>85</v>
      </c>
      <c r="B64" s="89"/>
      <c r="C64" s="89"/>
      <c r="D64" s="91" t="str">
        <f ca="1">(IF(G70&gt;95%,"Nothing",IF(G70&gt;0%,"Cement, Aggregate, Steel, etc",IF(G70=0%,"Work not yet Started"))))</f>
        <v>Cement, Aggregate, Steel, etc</v>
      </c>
      <c r="E64" s="91"/>
      <c r="F64" s="91"/>
      <c r="G64" s="91"/>
      <c r="H64" s="91"/>
      <c r="J64" s="25"/>
    </row>
    <row r="65" spans="1:10" ht="33.75" customHeight="1" thickBot="1" x14ac:dyDescent="0.4">
      <c r="A65" s="111" t="s">
        <v>118</v>
      </c>
      <c r="B65" s="111"/>
      <c r="C65" s="111"/>
      <c r="D65" s="91" t="str">
        <f ca="1">(IF(D64="Nothing","Yes",IF(D64="Cement, Aggregate, Steel, etc","Under Construction",IF(D64="Work not yet Started","Work not yet Started"))))</f>
        <v>Under Construction</v>
      </c>
      <c r="E65" s="91"/>
      <c r="F65" s="91" t="str">
        <f ca="1">(IF(D64="Nothing","Yes",IF(D64="Cement, Aggregate, Steel, etc","Under Construction",IF(D64="Work not yet Started","Work not yet Started"))))</f>
        <v>Under Construction</v>
      </c>
      <c r="G65" s="91"/>
      <c r="H65" s="91"/>
    </row>
    <row r="66" spans="1:10" ht="15.75" customHeight="1" x14ac:dyDescent="0.35">
      <c r="A66" s="164" t="s">
        <v>142</v>
      </c>
      <c r="B66" s="165"/>
      <c r="C66" s="106" t="str">
        <f>D58</f>
        <v>Gr + 1st to 5th Floor</v>
      </c>
      <c r="D66" s="107"/>
      <c r="E66" s="107"/>
      <c r="F66" s="107"/>
      <c r="G66" s="107"/>
      <c r="H66" s="108"/>
      <c r="I66" s="46" t="str">
        <f ca="1">IF(D79=100%,"All work Completed. Possession granted to the Building.",IF(D78=100%,"All work Completed, Waiting for OC",I67&amp;""&amp;I68&amp;""&amp;J67&amp;""&amp;J66&amp;" "&amp;J68))</f>
        <v>Excavation, Plinth, RCC Slab Completed, Brickwork upto 2 Floor Completed</v>
      </c>
      <c r="J66" s="47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>, Brickwork upto 2 Floor</v>
      </c>
    </row>
    <row r="67" spans="1:10" x14ac:dyDescent="0.35">
      <c r="A67" s="16" t="s">
        <v>144</v>
      </c>
      <c r="B67" s="50">
        <f>IF(AND(ISNUMBER(SEARCH("1B",C66))),1,IF(AND(ISNUMBER(SEARCH("2B",C66))),2,IF(AND(ISNUMBER(SEARCH("3B",C66))),3,IF(AND(ISNUMBER(SEARCH("4B",C66))),4,IF(ISNUMBER(SEARCH("5B",C66)),5,0)))))</f>
        <v>0</v>
      </c>
      <c r="C67" s="45" t="s">
        <v>72</v>
      </c>
      <c r="D67" s="45">
        <v>1</v>
      </c>
      <c r="E67" s="45" t="s">
        <v>71</v>
      </c>
      <c r="F67" s="51">
        <v>0</v>
      </c>
      <c r="G67" s="51" t="s">
        <v>79</v>
      </c>
      <c r="H67" s="17">
        <f ca="1">--TRIM(RIGHT(SUBSTITUTE(LEFT(C66,_xlfn.AGGREGATE(16,6,FIND({0,1,2,3,4,5,6,7,8,9},C66,ROW(INDIRECT("1:"&amp;LEN(C66)))),1))," ",REPT(" ",LEN(C66))),LEN(C66)))</f>
        <v>5</v>
      </c>
      <c r="I67" s="48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Plinth, RCC Slab</v>
      </c>
      <c r="J67" s="49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</row>
    <row r="68" spans="1:10" ht="31" customHeight="1" x14ac:dyDescent="0.35">
      <c r="A68" s="163" t="s">
        <v>89</v>
      </c>
      <c r="B68" s="90"/>
      <c r="C68" s="109" t="str">
        <f ca="1">I66</f>
        <v>Excavation, Plinth, RCC Slab Completed, Brickwork upto 2 Floor Completed</v>
      </c>
      <c r="D68" s="109"/>
      <c r="E68" s="109"/>
      <c r="F68" s="109"/>
      <c r="G68" s="109"/>
      <c r="H68" s="110"/>
      <c r="I68" s="48" t="str">
        <f ca="1">IF(I67&lt;&gt;""," Completed","")</f>
        <v xml:space="preserve"> Completed</v>
      </c>
      <c r="J68" s="49" t="str">
        <f ca="1">IF(J66&lt;&gt;"","Completed","")</f>
        <v>Completed</v>
      </c>
    </row>
    <row r="69" spans="1:10" ht="15.75" customHeight="1" x14ac:dyDescent="0.35">
      <c r="A69" s="162" t="s">
        <v>49</v>
      </c>
      <c r="B69" s="100"/>
      <c r="C69" s="42" t="s">
        <v>141</v>
      </c>
      <c r="D69" s="42" t="s">
        <v>82</v>
      </c>
      <c r="E69" s="100" t="s">
        <v>84</v>
      </c>
      <c r="F69" s="100"/>
      <c r="G69" s="100" t="s">
        <v>83</v>
      </c>
      <c r="H69" s="138"/>
      <c r="I69" s="14" t="s">
        <v>143</v>
      </c>
      <c r="J69" s="27">
        <f ca="1">H67*25%</f>
        <v>1.25</v>
      </c>
    </row>
    <row r="70" spans="1:10" x14ac:dyDescent="0.35">
      <c r="A70" s="100" t="s">
        <v>130</v>
      </c>
      <c r="B70" s="100"/>
      <c r="C70" s="69">
        <f ca="1">J71</f>
        <v>5</v>
      </c>
      <c r="D70" s="19">
        <f ca="1">((100/H67)*C70)/100</f>
        <v>1</v>
      </c>
      <c r="E70" s="137">
        <f ca="1">(((C71/H67*10)+(40/(D67+F67+H67)*C72)+(7.5/(H67)*C73)+(7.5/(H67)*C74)+(10/H67*C75)+(10/H67*C76)+(5/H67*C77)+(5/H67*C78)+(5/H67*C79))/100)</f>
        <v>0.53</v>
      </c>
      <c r="F70" s="137"/>
      <c r="G70" s="137">
        <f ca="1">((((C70/H67)*20)+((C71/H67)*25)+(30/(H67+F67+D67)*C72)+(5/H67*C73)+(5/H67*C74)+(5/H67*C75)+(5/H67*C76)+(0/H67*C77)+(0/H67*C78)+(5/H67*C79))/100)</f>
        <v>0.77</v>
      </c>
      <c r="H70" s="137"/>
      <c r="I70" s="14" t="s">
        <v>100</v>
      </c>
      <c r="J70" s="28">
        <f ca="1">H67*50%</f>
        <v>2.5</v>
      </c>
    </row>
    <row r="71" spans="1:10" x14ac:dyDescent="0.35">
      <c r="A71" s="100" t="s">
        <v>50</v>
      </c>
      <c r="B71" s="100"/>
      <c r="C71" s="52">
        <v>5</v>
      </c>
      <c r="D71" s="19">
        <f ca="1">((100/H67)*C71)/100</f>
        <v>1</v>
      </c>
      <c r="E71" s="137"/>
      <c r="F71" s="137"/>
      <c r="G71" s="137"/>
      <c r="H71" s="137"/>
      <c r="I71" s="14" t="s">
        <v>101</v>
      </c>
      <c r="J71" s="28">
        <f ca="1">H67</f>
        <v>5</v>
      </c>
    </row>
    <row r="72" spans="1:10" ht="15.75" customHeight="1" x14ac:dyDescent="0.35">
      <c r="A72" s="100" t="s">
        <v>131</v>
      </c>
      <c r="B72" s="100"/>
      <c r="C72" s="69">
        <v>6</v>
      </c>
      <c r="D72" s="19">
        <f ca="1">((100/(D67+F67+H67))*C72)/100</f>
        <v>1</v>
      </c>
      <c r="E72" s="137"/>
      <c r="F72" s="137"/>
      <c r="G72" s="137"/>
      <c r="H72" s="137"/>
      <c r="I72" s="14" t="s">
        <v>102</v>
      </c>
      <c r="J72" s="29">
        <f ca="1">(IF(B67&gt;1,(H67/(B67+2)),H67/4))</f>
        <v>1.25</v>
      </c>
    </row>
    <row r="73" spans="1:10" ht="15.75" customHeight="1" x14ac:dyDescent="0.35">
      <c r="A73" s="100" t="s">
        <v>138</v>
      </c>
      <c r="B73" s="100" t="s">
        <v>132</v>
      </c>
      <c r="C73" s="69">
        <v>2</v>
      </c>
      <c r="D73" s="19">
        <f ca="1">((100/H67)*C73)/100</f>
        <v>0.4</v>
      </c>
      <c r="E73" s="137"/>
      <c r="F73" s="137"/>
      <c r="G73" s="137"/>
      <c r="H73" s="137"/>
      <c r="I73" s="14" t="s">
        <v>103</v>
      </c>
      <c r="J73" s="29">
        <f ca="1">(IF(B67&gt;1,(H67/(B67+2)+J72),H67/4+J72))</f>
        <v>2.5</v>
      </c>
    </row>
    <row r="74" spans="1:10" ht="15.75" customHeight="1" x14ac:dyDescent="0.35">
      <c r="A74" s="100" t="s">
        <v>139</v>
      </c>
      <c r="B74" s="100" t="s">
        <v>132</v>
      </c>
      <c r="C74" s="69">
        <v>0</v>
      </c>
      <c r="D74" s="19">
        <f ca="1">((100/H67)*C74)/100</f>
        <v>0</v>
      </c>
      <c r="E74" s="137"/>
      <c r="F74" s="137"/>
      <c r="G74" s="137"/>
      <c r="H74" s="137"/>
      <c r="I74" s="14" t="s">
        <v>150</v>
      </c>
      <c r="J74" s="29">
        <f>(IF(B67&gt;1,(H67/(B67+2)+J73),0))</f>
        <v>0</v>
      </c>
    </row>
    <row r="75" spans="1:10" ht="15" customHeight="1" x14ac:dyDescent="0.35">
      <c r="A75" s="100" t="s">
        <v>137</v>
      </c>
      <c r="B75" s="100" t="s">
        <v>134</v>
      </c>
      <c r="C75" s="69">
        <v>0</v>
      </c>
      <c r="D75" s="19">
        <f ca="1">((100/(H67))*C75)/100</f>
        <v>0</v>
      </c>
      <c r="E75" s="137"/>
      <c r="F75" s="137"/>
      <c r="G75" s="137"/>
      <c r="H75" s="137"/>
      <c r="I75" s="14" t="s">
        <v>145</v>
      </c>
      <c r="J75" s="29">
        <f>(IF(B67&gt;2,(H67/(B67+2)+J74),0))</f>
        <v>0</v>
      </c>
    </row>
    <row r="76" spans="1:10" ht="15.75" customHeight="1" x14ac:dyDescent="0.35">
      <c r="A76" s="100" t="s">
        <v>133</v>
      </c>
      <c r="B76" s="100" t="s">
        <v>133</v>
      </c>
      <c r="C76" s="69">
        <v>0</v>
      </c>
      <c r="D76" s="19">
        <f ca="1">((100/H67)*C76)/100</f>
        <v>0</v>
      </c>
      <c r="E76" s="137"/>
      <c r="F76" s="137"/>
      <c r="G76" s="137"/>
      <c r="H76" s="137"/>
      <c r="I76" s="14" t="s">
        <v>146</v>
      </c>
      <c r="J76" s="30">
        <f>(IF(B67&gt;3,(H67/(B67+2)+J75),0))</f>
        <v>0</v>
      </c>
    </row>
    <row r="77" spans="1:10" ht="15.75" customHeight="1" x14ac:dyDescent="0.35">
      <c r="A77" s="100" t="s">
        <v>140</v>
      </c>
      <c r="B77" s="100"/>
      <c r="C77" s="69">
        <v>0</v>
      </c>
      <c r="D77" s="19">
        <f ca="1">((100/H67)*C77)/100</f>
        <v>0</v>
      </c>
      <c r="E77" s="137"/>
      <c r="F77" s="137"/>
      <c r="G77" s="137"/>
      <c r="H77" s="137"/>
      <c r="I77" s="14" t="s">
        <v>147</v>
      </c>
      <c r="J77" s="29">
        <f>(IF(B67&gt;4,(H67/(B67+2)+J76),0))</f>
        <v>0</v>
      </c>
    </row>
    <row r="78" spans="1:10" ht="15.75" customHeight="1" x14ac:dyDescent="0.35">
      <c r="A78" s="100" t="s">
        <v>135</v>
      </c>
      <c r="B78" s="100" t="s">
        <v>135</v>
      </c>
      <c r="C78" s="69">
        <v>0</v>
      </c>
      <c r="D78" s="19">
        <f ca="1">((100/(H67))*C78)/100</f>
        <v>0</v>
      </c>
      <c r="E78" s="137"/>
      <c r="F78" s="137"/>
      <c r="G78" s="137"/>
      <c r="H78" s="137"/>
      <c r="I78" s="14" t="s">
        <v>151</v>
      </c>
      <c r="J78" s="29">
        <f ca="1">(IF(B67=1,(H67/(B67+3)+J73),IF(B67=0,(H67/4+J73),IF(B67&gt;1,0))))</f>
        <v>3.75</v>
      </c>
    </row>
    <row r="79" spans="1:10" ht="16" thickBot="1" x14ac:dyDescent="0.4">
      <c r="A79" s="100" t="s">
        <v>136</v>
      </c>
      <c r="B79" s="100"/>
      <c r="C79" s="69">
        <v>0</v>
      </c>
      <c r="D79" s="19">
        <f ca="1">((100/(H67))*C79)/100</f>
        <v>0</v>
      </c>
      <c r="E79" s="137"/>
      <c r="F79" s="137"/>
      <c r="G79" s="137"/>
      <c r="H79" s="137"/>
      <c r="I79" s="15" t="s">
        <v>104</v>
      </c>
      <c r="J79" s="31">
        <f ca="1">(IF(B67&gt;1.5,(H67/(B67+2)+J73+MAX(0,J74-J73)+MAX(0,J75-J74)+MAX(0,J76-J75)+MAX(0,J77-J76)+MAX(0,J78-J77)),IF(B67=1,(H67/(B67+3)+J78),IF(B67=0,H67/4+J78))))</f>
        <v>5</v>
      </c>
    </row>
    <row r="80" spans="1:10" x14ac:dyDescent="0.35">
      <c r="A80" s="133" t="s">
        <v>161</v>
      </c>
      <c r="B80" s="133"/>
      <c r="C80" s="133"/>
      <c r="D80" s="133"/>
      <c r="E80" s="133"/>
      <c r="F80" s="70" t="s">
        <v>164</v>
      </c>
      <c r="G80" s="70"/>
      <c r="H80" s="70"/>
    </row>
    <row r="81" spans="1:12" ht="33" customHeight="1" x14ac:dyDescent="0.35">
      <c r="A81" s="88" t="s">
        <v>273</v>
      </c>
      <c r="B81" s="83"/>
      <c r="C81" s="83"/>
      <c r="D81" s="83"/>
      <c r="E81" s="83"/>
      <c r="F81" s="82">
        <v>4100</v>
      </c>
      <c r="G81" s="82"/>
      <c r="H81" s="82"/>
      <c r="I81" s="67" t="s">
        <v>270</v>
      </c>
      <c r="J81" s="67" t="s">
        <v>271</v>
      </c>
      <c r="K81" s="68">
        <v>45237</v>
      </c>
      <c r="L81" s="67"/>
    </row>
    <row r="82" spans="1:12" hidden="1" x14ac:dyDescent="0.35">
      <c r="A82" s="83" t="s">
        <v>162</v>
      </c>
      <c r="B82" s="83"/>
      <c r="C82" s="83"/>
      <c r="D82" s="83"/>
      <c r="E82" s="83"/>
      <c r="F82" s="82"/>
      <c r="G82" s="82"/>
      <c r="H82" s="82"/>
    </row>
    <row r="83" spans="1:12" hidden="1" x14ac:dyDescent="0.35">
      <c r="A83" s="83" t="s">
        <v>163</v>
      </c>
      <c r="B83" s="83"/>
      <c r="C83" s="83"/>
      <c r="D83" s="83"/>
      <c r="E83" s="83"/>
      <c r="F83" s="82"/>
      <c r="G83" s="82"/>
      <c r="H83" s="82"/>
    </row>
    <row r="84" spans="1:12" s="32" customFormat="1" hidden="1" x14ac:dyDescent="0.3">
      <c r="A84" s="83" t="s">
        <v>176</v>
      </c>
      <c r="B84" s="83"/>
      <c r="C84" s="83"/>
      <c r="D84" s="83"/>
      <c r="E84" s="83"/>
      <c r="F84" s="82"/>
      <c r="G84" s="82"/>
      <c r="H84" s="82"/>
    </row>
    <row r="85" spans="1:12" s="32" customFormat="1" hidden="1" x14ac:dyDescent="0.3">
      <c r="A85" s="83" t="s">
        <v>94</v>
      </c>
      <c r="B85" s="83"/>
      <c r="C85" s="83"/>
      <c r="D85" s="83"/>
      <c r="E85" s="83"/>
      <c r="F85" s="82"/>
      <c r="G85" s="82"/>
      <c r="H85" s="82"/>
    </row>
    <row r="86" spans="1:12" s="32" customFormat="1" hidden="1" x14ac:dyDescent="0.3">
      <c r="A86" s="83" t="s">
        <v>95</v>
      </c>
      <c r="B86" s="83"/>
      <c r="C86" s="83"/>
      <c r="D86" s="83"/>
      <c r="E86" s="83"/>
      <c r="F86" s="82"/>
      <c r="G86" s="82"/>
      <c r="H86" s="82"/>
    </row>
    <row r="87" spans="1:12" s="32" customFormat="1" hidden="1" x14ac:dyDescent="0.3">
      <c r="A87" s="83" t="s">
        <v>165</v>
      </c>
      <c r="B87" s="83"/>
      <c r="C87" s="83"/>
      <c r="D87" s="83"/>
      <c r="E87" s="83"/>
      <c r="F87" s="82"/>
      <c r="G87" s="82"/>
      <c r="H87" s="82"/>
    </row>
    <row r="88" spans="1:12" s="32" customFormat="1" hidden="1" x14ac:dyDescent="0.3">
      <c r="A88" s="83" t="s">
        <v>96</v>
      </c>
      <c r="B88" s="83"/>
      <c r="C88" s="83"/>
      <c r="D88" s="83"/>
      <c r="E88" s="83"/>
      <c r="F88" s="82"/>
      <c r="G88" s="82"/>
      <c r="H88" s="82"/>
    </row>
    <row r="89" spans="1:12" s="32" customFormat="1" hidden="1" x14ac:dyDescent="0.3">
      <c r="A89" s="83" t="s">
        <v>97</v>
      </c>
      <c r="B89" s="83"/>
      <c r="C89" s="83"/>
      <c r="D89" s="83"/>
      <c r="E89" s="83"/>
      <c r="F89" s="82"/>
      <c r="G89" s="82"/>
      <c r="H89" s="82"/>
    </row>
    <row r="90" spans="1:12" s="32" customFormat="1" hidden="1" x14ac:dyDescent="0.3">
      <c r="A90" s="83" t="s">
        <v>98</v>
      </c>
      <c r="B90" s="83"/>
      <c r="C90" s="83"/>
      <c r="D90" s="83"/>
      <c r="E90" s="83"/>
      <c r="F90" s="82"/>
      <c r="G90" s="82"/>
      <c r="H90" s="82"/>
    </row>
    <row r="91" spans="1:12" s="32" customFormat="1" hidden="1" x14ac:dyDescent="0.3">
      <c r="A91" s="83" t="s">
        <v>99</v>
      </c>
      <c r="B91" s="83"/>
      <c r="C91" s="83"/>
      <c r="D91" s="83"/>
      <c r="E91" s="83"/>
      <c r="F91" s="82"/>
      <c r="G91" s="82"/>
      <c r="H91" s="82"/>
    </row>
    <row r="92" spans="1:12" x14ac:dyDescent="0.35">
      <c r="A92" s="83" t="s">
        <v>51</v>
      </c>
      <c r="B92" s="83"/>
      <c r="C92" s="83"/>
      <c r="D92" s="83"/>
      <c r="E92" s="83"/>
      <c r="F92" s="82">
        <v>150000</v>
      </c>
      <c r="G92" s="82"/>
      <c r="H92" s="82"/>
    </row>
    <row r="93" spans="1:12" s="33" customFormat="1" x14ac:dyDescent="0.35">
      <c r="A93" s="133" t="s">
        <v>52</v>
      </c>
      <c r="B93" s="133"/>
      <c r="C93" s="133"/>
      <c r="D93" s="133"/>
      <c r="E93" s="133"/>
      <c r="F93" s="82">
        <f>F81*0.8</f>
        <v>3280</v>
      </c>
      <c r="G93" s="82"/>
      <c r="H93" s="82"/>
    </row>
    <row r="94" spans="1:12" s="34" customFormat="1" x14ac:dyDescent="0.35">
      <c r="A94" s="136" t="s">
        <v>70</v>
      </c>
      <c r="B94" s="136"/>
      <c r="C94" s="136"/>
      <c r="D94" s="136"/>
      <c r="E94" s="136"/>
      <c r="F94" s="136"/>
      <c r="G94" s="136"/>
      <c r="H94" s="136"/>
    </row>
    <row r="95" spans="1:12" s="34" customFormat="1" ht="15.75" customHeight="1" x14ac:dyDescent="0.35">
      <c r="A95" s="126" t="s">
        <v>53</v>
      </c>
      <c r="B95" s="126"/>
      <c r="C95" s="87" t="s">
        <v>77</v>
      </c>
      <c r="D95" s="87"/>
      <c r="E95" s="117" t="s">
        <v>54</v>
      </c>
      <c r="F95" s="117"/>
      <c r="G95" s="126" t="s">
        <v>55</v>
      </c>
      <c r="H95" s="126"/>
    </row>
    <row r="96" spans="1:12" s="34" customFormat="1" x14ac:dyDescent="0.35">
      <c r="A96" s="135" t="s">
        <v>255</v>
      </c>
      <c r="B96" s="135"/>
      <c r="C96" s="157">
        <f>COUNT(D110:D113)*5</f>
        <v>20</v>
      </c>
      <c r="D96" s="157"/>
      <c r="E96" s="112">
        <f>SUM(D110:D113)*5</f>
        <v>6668.7016499999991</v>
      </c>
      <c r="F96" s="112"/>
      <c r="G96" s="112">
        <f>SUM(F110:F113)*5</f>
        <v>11640</v>
      </c>
      <c r="H96" s="112"/>
    </row>
    <row r="97" spans="1:14" s="33" customFormat="1" x14ac:dyDescent="0.35">
      <c r="A97" s="166" t="s">
        <v>56</v>
      </c>
      <c r="B97" s="166"/>
      <c r="C97" s="166"/>
      <c r="D97" s="166"/>
      <c r="E97" s="166"/>
      <c r="F97" s="166"/>
      <c r="G97" s="166"/>
      <c r="H97" s="166"/>
    </row>
    <row r="98" spans="1:14" x14ac:dyDescent="0.35">
      <c r="A98" s="70" t="s">
        <v>251</v>
      </c>
      <c r="B98" s="70"/>
      <c r="C98" s="70"/>
      <c r="D98" s="70"/>
      <c r="E98" s="70"/>
      <c r="F98" s="70"/>
      <c r="G98" s="70"/>
      <c r="H98" s="70"/>
    </row>
    <row r="99" spans="1:14" ht="47.25" hidden="1" customHeight="1" x14ac:dyDescent="0.35">
      <c r="A99" s="129" t="s">
        <v>121</v>
      </c>
      <c r="B99" s="129" t="s">
        <v>177</v>
      </c>
      <c r="C99" s="129" t="s">
        <v>57</v>
      </c>
      <c r="D99" s="129" t="s">
        <v>58</v>
      </c>
      <c r="E99" s="158" t="s">
        <v>160</v>
      </c>
      <c r="F99" s="41" t="s">
        <v>153</v>
      </c>
      <c r="G99" s="127" t="s">
        <v>60</v>
      </c>
      <c r="H99" s="128"/>
    </row>
    <row r="100" spans="1:14" s="36" customFormat="1" hidden="1" x14ac:dyDescent="0.35">
      <c r="A100" s="130"/>
      <c r="B100" s="130"/>
      <c r="C100" s="130"/>
      <c r="D100" s="130"/>
      <c r="E100" s="159"/>
      <c r="F100" s="13">
        <v>0.45</v>
      </c>
      <c r="G100" s="160"/>
      <c r="H100" s="161"/>
    </row>
    <row r="101" spans="1:14" s="36" customFormat="1" hidden="1" x14ac:dyDescent="0.35">
      <c r="A101" s="113" t="s">
        <v>119</v>
      </c>
      <c r="B101" s="114"/>
      <c r="C101" s="114"/>
      <c r="D101" s="114"/>
      <c r="E101" s="114"/>
      <c r="F101" s="114"/>
      <c r="G101" s="114"/>
      <c r="H101" s="115"/>
      <c r="J101" s="35"/>
    </row>
    <row r="102" spans="1:14" s="36" customFormat="1" hidden="1" x14ac:dyDescent="0.35">
      <c r="A102" s="80">
        <v>1</v>
      </c>
      <c r="B102" s="81"/>
      <c r="C102" s="40"/>
      <c r="D102" s="40"/>
      <c r="E102" s="40">
        <v>0</v>
      </c>
      <c r="F102" s="40">
        <f>(D102+E102)*(($F$100)+1)</f>
        <v>0</v>
      </c>
      <c r="G102" s="80" t="str">
        <f>A101</f>
        <v>Ground Floor</v>
      </c>
      <c r="H102" s="81"/>
      <c r="I102" s="35"/>
      <c r="L102" s="156"/>
      <c r="M102" s="156"/>
      <c r="N102" s="35"/>
    </row>
    <row r="103" spans="1:14" s="36" customFormat="1" hidden="1" x14ac:dyDescent="0.35">
      <c r="A103" s="80">
        <f t="shared" ref="A103:A105" si="0">A102+1</f>
        <v>2</v>
      </c>
      <c r="B103" s="81"/>
      <c r="C103" s="40"/>
      <c r="D103" s="40"/>
      <c r="E103" s="40">
        <v>0</v>
      </c>
      <c r="F103" s="40">
        <f t="shared" ref="F103:F105" si="1">(D103+E103)*(($F$100)+1)</f>
        <v>0</v>
      </c>
      <c r="G103" s="80" t="str">
        <f t="shared" ref="G103:G105" si="2">G102</f>
        <v>Ground Floor</v>
      </c>
      <c r="H103" s="81"/>
      <c r="I103" s="35"/>
      <c r="L103" s="156"/>
      <c r="M103" s="156"/>
      <c r="N103" s="35"/>
    </row>
    <row r="104" spans="1:14" s="36" customFormat="1" hidden="1" x14ac:dyDescent="0.35">
      <c r="A104" s="80">
        <f t="shared" si="0"/>
        <v>3</v>
      </c>
      <c r="B104" s="81"/>
      <c r="C104" s="40"/>
      <c r="D104" s="40"/>
      <c r="E104" s="40">
        <v>0</v>
      </c>
      <c r="F104" s="40">
        <f t="shared" si="1"/>
        <v>0</v>
      </c>
      <c r="G104" s="80" t="str">
        <f t="shared" si="2"/>
        <v>Ground Floor</v>
      </c>
      <c r="H104" s="81"/>
      <c r="I104" s="35"/>
      <c r="L104" s="156"/>
      <c r="M104" s="156"/>
      <c r="N104" s="35"/>
    </row>
    <row r="105" spans="1:14" s="36" customFormat="1" hidden="1" x14ac:dyDescent="0.35">
      <c r="A105" s="80">
        <f t="shared" si="0"/>
        <v>4</v>
      </c>
      <c r="B105" s="81"/>
      <c r="C105" s="40"/>
      <c r="D105" s="40"/>
      <c r="E105" s="40">
        <v>0</v>
      </c>
      <c r="F105" s="40">
        <f t="shared" si="1"/>
        <v>0</v>
      </c>
      <c r="G105" s="80" t="str">
        <f t="shared" si="2"/>
        <v>Ground Floor</v>
      </c>
      <c r="H105" s="81"/>
      <c r="I105" s="35"/>
      <c r="L105" s="156"/>
      <c r="M105" s="156"/>
      <c r="N105" s="35"/>
    </row>
    <row r="106" spans="1:14" s="36" customFormat="1" hidden="1" x14ac:dyDescent="0.35">
      <c r="A106" s="80"/>
      <c r="B106" s="124"/>
      <c r="C106" s="124"/>
      <c r="D106" s="124"/>
      <c r="E106" s="124"/>
      <c r="F106" s="124"/>
      <c r="G106" s="124"/>
      <c r="H106" s="81"/>
      <c r="I106" s="35"/>
      <c r="N106" s="35"/>
    </row>
    <row r="107" spans="1:14" ht="47.25" customHeight="1" x14ac:dyDescent="0.35">
      <c r="A107" s="64" t="s">
        <v>122</v>
      </c>
      <c r="B107" s="63" t="s">
        <v>178</v>
      </c>
      <c r="C107" s="63" t="s">
        <v>57</v>
      </c>
      <c r="D107" s="63" t="s">
        <v>58</v>
      </c>
      <c r="E107" s="65" t="s">
        <v>59</v>
      </c>
      <c r="F107" s="53" t="s">
        <v>262</v>
      </c>
      <c r="G107" s="127" t="s">
        <v>60</v>
      </c>
      <c r="H107" s="128"/>
      <c r="I107" s="35"/>
    </row>
    <row r="108" spans="1:14" s="58" customFormat="1" x14ac:dyDescent="0.35">
      <c r="A108" s="113" t="s">
        <v>252</v>
      </c>
      <c r="B108" s="114"/>
      <c r="C108" s="114"/>
      <c r="D108" s="114"/>
      <c r="E108" s="114"/>
      <c r="F108" s="114"/>
      <c r="G108" s="114"/>
      <c r="H108" s="115"/>
      <c r="J108" s="35"/>
    </row>
    <row r="109" spans="1:14" s="36" customFormat="1" x14ac:dyDescent="0.35">
      <c r="A109" s="113" t="s">
        <v>253</v>
      </c>
      <c r="B109" s="114"/>
      <c r="C109" s="114"/>
      <c r="D109" s="114"/>
      <c r="E109" s="114"/>
      <c r="F109" s="114"/>
      <c r="G109" s="114"/>
      <c r="H109" s="115"/>
      <c r="J109" s="60">
        <f>10.764</f>
        <v>10.763999999999999</v>
      </c>
    </row>
    <row r="110" spans="1:14" s="36" customFormat="1" ht="15.75" customHeight="1" x14ac:dyDescent="0.35">
      <c r="A110" s="80">
        <v>1</v>
      </c>
      <c r="B110" s="81"/>
      <c r="C110" s="56">
        <v>1</v>
      </c>
      <c r="D110" s="60">
        <f>(3.6*2.75+2.8*2.25+2.8*3.2+1.2*1.65+1.2*1.8+0.7*1.55)*(10.764)</f>
        <v>327.06413999999995</v>
      </c>
      <c r="E110" s="40">
        <v>0</v>
      </c>
      <c r="F110" s="40">
        <v>570</v>
      </c>
      <c r="G110" s="93" t="str">
        <f>A109</f>
        <v>1st to 5th Floor For Residential</v>
      </c>
      <c r="H110" s="94"/>
      <c r="I110" s="35"/>
      <c r="K110" s="36">
        <v>570</v>
      </c>
      <c r="L110" s="156">
        <f>K110/D110</f>
        <v>1.7427774258590383</v>
      </c>
      <c r="M110" s="156"/>
      <c r="N110" s="35">
        <f>3500*F110</f>
        <v>1995000</v>
      </c>
    </row>
    <row r="111" spans="1:14" s="36" customFormat="1" ht="15.75" customHeight="1" x14ac:dyDescent="0.35">
      <c r="A111" s="80">
        <f t="shared" ref="A111:A113" si="3">A110+1</f>
        <v>2</v>
      </c>
      <c r="B111" s="81"/>
      <c r="C111" s="56">
        <v>1</v>
      </c>
      <c r="D111" s="60">
        <f>(3.6*2.75+3.05*2.25+3.05*3.2+1.2*1.65+1.2*1.8+0.65*1.55)*(10.764)</f>
        <v>340.89587999999998</v>
      </c>
      <c r="E111" s="40">
        <v>0</v>
      </c>
      <c r="F111" s="40">
        <v>594</v>
      </c>
      <c r="G111" s="95"/>
      <c r="H111" s="96"/>
      <c r="I111" s="35"/>
      <c r="K111" s="36">
        <v>594</v>
      </c>
      <c r="L111" s="156">
        <f t="shared" ref="L111:L113" si="4">K111/D111</f>
        <v>1.7424675241014942</v>
      </c>
      <c r="M111" s="156"/>
      <c r="N111" s="35">
        <f t="shared" ref="N111:N113" si="5">3500*F111</f>
        <v>2079000</v>
      </c>
    </row>
    <row r="112" spans="1:14" s="36" customFormat="1" ht="15.75" customHeight="1" x14ac:dyDescent="0.35">
      <c r="A112" s="80">
        <f t="shared" si="3"/>
        <v>3</v>
      </c>
      <c r="B112" s="81"/>
      <c r="C112" s="56">
        <v>1</v>
      </c>
      <c r="D112" s="60">
        <f>(3.6*2.75+3.05*2.25+3.05*3.2+1.2*1.65+1.2*1.8+0.65*1.4)*(10.764)</f>
        <v>339.84638999999999</v>
      </c>
      <c r="E112" s="40">
        <v>0</v>
      </c>
      <c r="F112" s="40">
        <v>594</v>
      </c>
      <c r="G112" s="95"/>
      <c r="H112" s="96"/>
      <c r="I112" s="35"/>
      <c r="K112" s="36">
        <v>594</v>
      </c>
      <c r="L112" s="156">
        <f t="shared" si="4"/>
        <v>1.7478484911962726</v>
      </c>
      <c r="M112" s="156"/>
      <c r="N112" s="35">
        <f t="shared" si="5"/>
        <v>2079000</v>
      </c>
    </row>
    <row r="113" spans="1:14" s="36" customFormat="1" ht="15.75" customHeight="1" x14ac:dyDescent="0.35">
      <c r="A113" s="80">
        <f t="shared" si="3"/>
        <v>4</v>
      </c>
      <c r="B113" s="81"/>
      <c r="C113" s="56">
        <v>1</v>
      </c>
      <c r="D113" s="60">
        <f>(3.6*2.75+2.8*2.25+2.8*3.2+1.2*1.65+1.2*1.8+0.7*1.4)*(10.764)</f>
        <v>325.93391999999994</v>
      </c>
      <c r="E113" s="40">
        <v>0</v>
      </c>
      <c r="F113" s="40">
        <v>570</v>
      </c>
      <c r="G113" s="97"/>
      <c r="H113" s="98"/>
      <c r="I113" s="35"/>
      <c r="K113" s="36">
        <v>570</v>
      </c>
      <c r="L113" s="156">
        <f t="shared" si="4"/>
        <v>1.7488207425603328</v>
      </c>
      <c r="M113" s="156"/>
      <c r="N113" s="35">
        <f t="shared" si="5"/>
        <v>1995000</v>
      </c>
    </row>
    <row r="114" spans="1:14" s="36" customFormat="1" hidden="1" x14ac:dyDescent="0.35">
      <c r="A114" s="134" t="s">
        <v>120</v>
      </c>
      <c r="B114" s="134"/>
      <c r="C114" s="134"/>
      <c r="D114" s="134"/>
      <c r="E114" s="134"/>
      <c r="F114" s="134"/>
      <c r="G114" s="134"/>
      <c r="H114" s="134"/>
      <c r="I114" s="35"/>
      <c r="L114" s="156"/>
      <c r="M114" s="156"/>
    </row>
    <row r="115" spans="1:14" s="36" customFormat="1" hidden="1" x14ac:dyDescent="0.35">
      <c r="A115" s="116">
        <f>LEFT(A114,SUM(LEN(A114)-LEN(SUBSTITUTE(A114,{"0","1","2","3","4","5","6","7","8","9"},""))))*100+1</f>
        <v>201</v>
      </c>
      <c r="B115" s="116"/>
      <c r="C115" s="56"/>
      <c r="D115" s="40"/>
      <c r="E115" s="40">
        <v>0</v>
      </c>
      <c r="F115" s="40" t="e">
        <f>D115*((#REF!)+1)+(IF(E115&lt;101,E115,IF(E115&lt;201,E115/2,IF(E115&lt;=301,E115/3,E115/4))))</f>
        <v>#REF!</v>
      </c>
      <c r="G115" s="116" t="str">
        <f>A114</f>
        <v>2nd Floor</v>
      </c>
      <c r="H115" s="116"/>
      <c r="I115" s="35"/>
      <c r="N115" s="35"/>
    </row>
    <row r="116" spans="1:14" s="36" customFormat="1" hidden="1" x14ac:dyDescent="0.35">
      <c r="A116" s="116">
        <f>A115+1</f>
        <v>202</v>
      </c>
      <c r="B116" s="116"/>
      <c r="C116" s="56"/>
      <c r="D116" s="40"/>
      <c r="E116" s="40">
        <v>0</v>
      </c>
      <c r="F116" s="40" t="e">
        <f>D116*((#REF!)+1)+(IF(E116&lt;101,E116,IF(E116&lt;201,E116/2,IF(E116&lt;=301,E116/3,E116/4))))</f>
        <v>#REF!</v>
      </c>
      <c r="G116" s="116" t="str">
        <f>G115</f>
        <v>2nd Floor</v>
      </c>
      <c r="H116" s="116"/>
      <c r="I116" s="35"/>
      <c r="N116" s="35"/>
    </row>
    <row r="117" spans="1:14" s="36" customFormat="1" hidden="1" x14ac:dyDescent="0.35">
      <c r="A117" s="116">
        <f>A116+1</f>
        <v>203</v>
      </c>
      <c r="B117" s="116"/>
      <c r="C117" s="56"/>
      <c r="D117" s="40"/>
      <c r="E117" s="40">
        <v>0</v>
      </c>
      <c r="F117" s="40" t="e">
        <f>D117*((#REF!)+1)+(IF(E117&lt;101,E117,IF(E117&lt;201,E117/2,IF(E117&lt;=301,E117/3,E117/4))))</f>
        <v>#REF!</v>
      </c>
      <c r="G117" s="116" t="str">
        <f>G116</f>
        <v>2nd Floor</v>
      </c>
      <c r="H117" s="116"/>
      <c r="I117" s="35"/>
      <c r="N117" s="35"/>
    </row>
    <row r="118" spans="1:14" s="36" customFormat="1" hidden="1" x14ac:dyDescent="0.35">
      <c r="A118" s="116">
        <f>A117+1</f>
        <v>204</v>
      </c>
      <c r="B118" s="116"/>
      <c r="C118" s="56"/>
      <c r="D118" s="40"/>
      <c r="E118" s="40">
        <v>0</v>
      </c>
      <c r="F118" s="40" t="e">
        <f>D118*((#REF!)+1)+(IF(E118&lt;101,E118,IF(E118&lt;201,E118/2,IF(E118&lt;=301,E118/3,E118/4))))</f>
        <v>#REF!</v>
      </c>
      <c r="G118" s="116" t="str">
        <f>G117</f>
        <v>2nd Floor</v>
      </c>
      <c r="H118" s="116"/>
      <c r="I118" s="35"/>
      <c r="N118" s="35"/>
    </row>
    <row r="119" spans="1:14" s="36" customFormat="1" hidden="1" x14ac:dyDescent="0.35">
      <c r="A119" s="116">
        <f>A118+1</f>
        <v>205</v>
      </c>
      <c r="B119" s="116"/>
      <c r="C119" s="56"/>
      <c r="D119" s="40"/>
      <c r="E119" s="40">
        <v>0</v>
      </c>
      <c r="F119" s="40" t="e">
        <f>D119*((#REF!)+1)+(IF(E119&lt;101,E119,IF(E119&lt;201,E119/2,IF(E119&lt;=301,E119/3,E119/4))))</f>
        <v>#REF!</v>
      </c>
      <c r="G119" s="116" t="str">
        <f>G118</f>
        <v>2nd Floor</v>
      </c>
      <c r="H119" s="116"/>
      <c r="I119" s="35"/>
      <c r="N119" s="35"/>
    </row>
    <row r="120" spans="1:14" s="36" customFormat="1" ht="15.75" hidden="1" customHeight="1" x14ac:dyDescent="0.35">
      <c r="A120" s="113" t="s">
        <v>154</v>
      </c>
      <c r="B120" s="114"/>
      <c r="C120" s="114"/>
      <c r="D120" s="114"/>
      <c r="E120" s="114"/>
      <c r="F120" s="114"/>
      <c r="G120" s="114"/>
      <c r="H120" s="115"/>
      <c r="I120" s="35"/>
    </row>
    <row r="121" spans="1:14" s="36" customFormat="1" hidden="1" x14ac:dyDescent="0.35">
      <c r="A121" s="80" t="str">
        <f ca="1">(SUMPRODUCT(MID(0&amp;(LEFT(A120,SUM(LEN(A120)-LEN(SUBSTITUTE(A120,{"0","1","2"},""))))), LARGE(INDEX(ISNUMBER(--MID((LEFT(A120,SUM(LEN(A120)-LEN(SUBSTITUTE(A120,{"0","1","2"},""))))), ROW(INDIRECT("1:"&amp;LEN((LEFT(A120,SUM(LEN(A120)-LEN(SUBSTITUTE(A120,{"0","1","2"},"")))))))), 1)) * ROW(INDIRECT("1:"&amp;LEN((LEFT(A120,SUM(LEN(A120)-LEN(SUBSTITUTE(A120,{"0","1","2"},"")))))))), 0), ROW(INDIRECT("1:"&amp;LEN((LEFT(A120,SUM(LEN(A120)-LEN(SUBSTITUTE(A120,{"0","1","2"},"")))))))))+1, 1) * 10^ROW(INDIRECT("1:"&amp;LEN((LEFT(A120,SUM(LEN(A120)-LEN(SUBSTITUTE(A120,{"0","1","2"},""))))))))/10))*100+1&amp;""&amp;" ,.., "&amp;""&amp;(SUMPRODUCT(MID(0&amp;(--TRIM(RIGHT(SUBSTITUTE(LEFT(A120,_xlfn.AGGREGATE(16,6,FIND({0,1,2,3,4,5,6,7,8,9},A120,ROW(INDIRECT("1:"&amp;LEN(A120)))),1))," ",REPT(" ",LEN(A120))),LEN(A120)))), LARGE(INDEX(ISNUMBER(--MID((--TRIM(RIGHT(SUBSTITUTE(LEFT(A120,_xlfn.AGGREGATE(16,6,FIND({0,1,2,3,4,5,6,7,8,9},A120,ROW(INDIRECT("1:"&amp;LEN(A120)))),1))," ",REPT(" ",LEN(A120))),LEN(A120)))), ROW(INDIRECT("1:"&amp;LEN((--TRIM(RIGHT(SUBSTITUTE(LEFT(A120,_xlfn.AGGREGATE(16,6,FIND({0,1,2,3,4,5,6,7,8,9},A120,ROW(INDIRECT("1:"&amp;LEN(A120)))),1))," ",REPT(" ",LEN(A120))),LEN(A120))))))), 1)) * ROW(INDIRECT("1:"&amp;LEN((--TRIM(RIGHT(SUBSTITUTE(LEFT(A120,_xlfn.AGGREGATE(16,6,FIND({0,1,2,3,4,5,6,7,8,9},A120,ROW(INDIRECT("1:"&amp;LEN(A120)))),1))," ",REPT(" ",LEN(A120))),LEN(A120))))))), 0), ROW(INDIRECT("1:"&amp;LEN((--TRIM(RIGHT(SUBSTITUTE(LEFT(A120,_xlfn.AGGREGATE(16,6,FIND({0,1,2,3,4,5,6,7,8,9},A120,ROW(INDIRECT("1:"&amp;LEN(A120)))),1))," ",REPT(" ",LEN(A120))),LEN(A120))))))))+1, 1) * 10^ROW(INDIRECT("1:"&amp;LEN((--TRIM(RIGHT(SUBSTITUTE(LEFT(A120,_xlfn.AGGREGATE(16,6,FIND({0,1,2,3,4,5,6,7,8,9},A120,ROW(INDIRECT("1:"&amp;LEN(A120)))),1))," ",REPT(" ",LEN(A120))),LEN(A120)))))))/10))*100+1</f>
        <v>301 ,.., 1501</v>
      </c>
      <c r="B121" s="81"/>
      <c r="C121" s="56"/>
      <c r="D121" s="40"/>
      <c r="E121" s="40">
        <v>0</v>
      </c>
      <c r="F121" s="40" t="e">
        <f>D121*((#REF!)+1)+(IF(E121&lt;101,E121,IF(E121&lt;201,E121/2,IF(E121&lt;=301,E121/3,E121/4))))</f>
        <v>#REF!</v>
      </c>
      <c r="G121" s="80" t="str">
        <f>A120</f>
        <v>3rd, 5th, 7th, 9th, 11th, 13th, 15th Floor</v>
      </c>
      <c r="H121" s="81"/>
      <c r="I121" s="35"/>
    </row>
    <row r="122" spans="1:14" s="36" customFormat="1" hidden="1" x14ac:dyDescent="0.35">
      <c r="A122" s="80" t="str">
        <f ca="1">(SUMPRODUCT(MID(0&amp;(LEFT(A121,SUM(LEN(A121)-LEN(SUBSTITUTE(A121,{"0","1","2"},""))))), LARGE(INDEX(ISNUMBER(--MID((LEFT(A121,SUM(LEN(A121)-LEN(SUBSTITUTE(A121,{"0","1","2"},""))))), ROW(INDIRECT("1:"&amp;LEN((LEFT(A121,SUM(LEN(A121)-LEN(SUBSTITUTE(A121,{"0","1","2"},"")))))))), 1)) * ROW(INDIRECT("1:"&amp;LEN((LEFT(A121,SUM(LEN(A121)-LEN(SUBSTITUTE(A121,{"0","1","2"},"")))))))), 0), ROW(INDIRECT("1:"&amp;LEN((LEFT(A121,SUM(LEN(A121)-LEN(SUBSTITUTE(A121,{"0","1","2"},"")))))))))+1, 1) * 10^ROW(INDIRECT("1:"&amp;LEN((LEFT(A121,SUM(LEN(A121)-LEN(SUBSTITUTE(A121,{"0","1","2"},""))))))))/10))*1+1&amp;""&amp;" ,.., "&amp;""&amp;(SUMPRODUCT(MID(0&amp;(--TRIM(RIGHT(SUBSTITUTE(LEFT(A121,_xlfn.AGGREGATE(16,6,FIND({0,1,2,3,4,5,6,7,8,9},A121,ROW(INDIRECT("1:"&amp;LEN(A121)))),1))," ",REPT(" ",LEN(A121))),LEN(A121)))), LARGE(INDEX(ISNUMBER(--MID((--TRIM(RIGHT(SUBSTITUTE(LEFT(A121,_xlfn.AGGREGATE(16,6,FIND({0,1,2,3,4,5,6,7,8,9},A121,ROW(INDIRECT("1:"&amp;LEN(A121)))),1))," ",REPT(" ",LEN(A121))),LEN(A121)))), ROW(INDIRECT("1:"&amp;LEN((--TRIM(RIGHT(SUBSTITUTE(LEFT(A121,_xlfn.AGGREGATE(16,6,FIND({0,1,2,3,4,5,6,7,8,9},A121,ROW(INDIRECT("1:"&amp;LEN(A121)))),1))," ",REPT(" ",LEN(A121))),LEN(A121))))))), 1)) * ROW(INDIRECT("1:"&amp;LEN((--TRIM(RIGHT(SUBSTITUTE(LEFT(A121,_xlfn.AGGREGATE(16,6,FIND({0,1,2,3,4,5,6,7,8,9},A121,ROW(INDIRECT("1:"&amp;LEN(A121)))),1))," ",REPT(" ",LEN(A121))),LEN(A121))))))), 0), ROW(INDIRECT("1:"&amp;LEN((--TRIM(RIGHT(SUBSTITUTE(LEFT(A121,_xlfn.AGGREGATE(16,6,FIND({0,1,2,3,4,5,6,7,8,9},A121,ROW(INDIRECT("1:"&amp;LEN(A121)))),1))," ",REPT(" ",LEN(A121))),LEN(A121))))))))+1, 1) * 10^ROW(INDIRECT("1:"&amp;LEN((--TRIM(RIGHT(SUBSTITUTE(LEFT(A121,_xlfn.AGGREGATE(16,6,FIND({0,1,2,3,4,5,6,7,8,9},A121,ROW(INDIRECT("1:"&amp;LEN(A121)))),1))," ",REPT(" ",LEN(A121))),LEN(A121)))))))/10))*1+1</f>
        <v>302 ,.., 1502</v>
      </c>
      <c r="B122" s="81"/>
      <c r="C122" s="56"/>
      <c r="D122" s="40"/>
      <c r="E122" s="40">
        <v>0</v>
      </c>
      <c r="F122" s="40" t="e">
        <f>D122*((#REF!)+1)+(IF(E122&lt;101,E122,IF(E122&lt;201,E122/2,IF(E122&lt;=301,E122/3,E122/4))))</f>
        <v>#REF!</v>
      </c>
      <c r="G122" s="80" t="str">
        <f>G121</f>
        <v>3rd, 5th, 7th, 9th, 11th, 13th, 15th Floor</v>
      </c>
      <c r="H122" s="81"/>
      <c r="I122" s="35"/>
    </row>
    <row r="123" spans="1:14" s="36" customFormat="1" ht="15.75" hidden="1" customHeight="1" x14ac:dyDescent="0.35">
      <c r="A123" s="80" t="str">
        <f ca="1">(SUMPRODUCT(MID(0&amp;(LEFT(A122,SUM(LEN(A122)-LEN(SUBSTITUTE(A122,{"0","1","2"},""))))), LARGE(INDEX(ISNUMBER(--MID((LEFT(A122,SUM(LEN(A122)-LEN(SUBSTITUTE(A122,{"0","1","2"},""))))), ROW(INDIRECT("1:"&amp;LEN((LEFT(A122,SUM(LEN(A122)-LEN(SUBSTITUTE(A122,{"0","1","2"},"")))))))), 1)) * ROW(INDIRECT("1:"&amp;LEN((LEFT(A122,SUM(LEN(A122)-LEN(SUBSTITUTE(A122,{"0","1","2"},"")))))))), 0), ROW(INDIRECT("1:"&amp;LEN((LEFT(A122,SUM(LEN(A122)-LEN(SUBSTITUTE(A122,{"0","1","2"},"")))))))))+1, 1) * 10^ROW(INDIRECT("1:"&amp;LEN((LEFT(A122,SUM(LEN(A122)-LEN(SUBSTITUTE(A122,{"0","1","2"},""))))))))/10))*1+1&amp;""&amp;" ,.., "&amp;""&amp;(SUMPRODUCT(MID(0&amp;(--TRIM(RIGHT(SUBSTITUTE(LEFT(A122,_xlfn.AGGREGATE(16,6,FIND({0,1,2,3,4,5,6,7,8,9},A122,ROW(INDIRECT("1:"&amp;LEN(A122)))),1))," ",REPT(" ",LEN(A122))),LEN(A122)))), LARGE(INDEX(ISNUMBER(--MID((--TRIM(RIGHT(SUBSTITUTE(LEFT(A122,_xlfn.AGGREGATE(16,6,FIND({0,1,2,3,4,5,6,7,8,9},A122,ROW(INDIRECT("1:"&amp;LEN(A122)))),1))," ",REPT(" ",LEN(A122))),LEN(A122)))), ROW(INDIRECT("1:"&amp;LEN((--TRIM(RIGHT(SUBSTITUTE(LEFT(A122,_xlfn.AGGREGATE(16,6,FIND({0,1,2,3,4,5,6,7,8,9},A122,ROW(INDIRECT("1:"&amp;LEN(A122)))),1))," ",REPT(" ",LEN(A122))),LEN(A122))))))), 1)) * ROW(INDIRECT("1:"&amp;LEN((--TRIM(RIGHT(SUBSTITUTE(LEFT(A122,_xlfn.AGGREGATE(16,6,FIND({0,1,2,3,4,5,6,7,8,9},A122,ROW(INDIRECT("1:"&amp;LEN(A122)))),1))," ",REPT(" ",LEN(A122))),LEN(A122))))))), 0), ROW(INDIRECT("1:"&amp;LEN((--TRIM(RIGHT(SUBSTITUTE(LEFT(A122,_xlfn.AGGREGATE(16,6,FIND({0,1,2,3,4,5,6,7,8,9},A122,ROW(INDIRECT("1:"&amp;LEN(A122)))),1))," ",REPT(" ",LEN(A122))),LEN(A122))))))))+1, 1) * 10^ROW(INDIRECT("1:"&amp;LEN((--TRIM(RIGHT(SUBSTITUTE(LEFT(A122,_xlfn.AGGREGATE(16,6,FIND({0,1,2,3,4,5,6,7,8,9},A122,ROW(INDIRECT("1:"&amp;LEN(A122)))),1))," ",REPT(" ",LEN(A122))),LEN(A122)))))))/10))*1+1</f>
        <v>303 ,.., 1503</v>
      </c>
      <c r="B123" s="81"/>
      <c r="C123" s="56"/>
      <c r="D123" s="40"/>
      <c r="E123" s="40">
        <v>0</v>
      </c>
      <c r="F123" s="40" t="e">
        <f>D123*((#REF!)+1)+(IF(E123&lt;101,E123,IF(E123&lt;201,E123/2,IF(E123&lt;=301,E123/3,E123/4))))</f>
        <v>#REF!</v>
      </c>
      <c r="G123" s="80" t="str">
        <f>G122</f>
        <v>3rd, 5th, 7th, 9th, 11th, 13th, 15th Floor</v>
      </c>
      <c r="H123" s="81"/>
      <c r="I123" s="35"/>
    </row>
    <row r="124" spans="1:14" s="36" customFormat="1" ht="15.75" hidden="1" customHeight="1" x14ac:dyDescent="0.35">
      <c r="A124" s="80" t="str">
        <f ca="1">(SUMPRODUCT(MID(0&amp;(LEFT(A123,SUM(LEN(A123)-LEN(SUBSTITUTE(A123,{"0","1","2"},""))))), LARGE(INDEX(ISNUMBER(--MID((LEFT(A123,SUM(LEN(A123)-LEN(SUBSTITUTE(A123,{"0","1","2"},""))))), ROW(INDIRECT("1:"&amp;LEN((LEFT(A123,SUM(LEN(A123)-LEN(SUBSTITUTE(A123,{"0","1","2"},"")))))))), 1)) * ROW(INDIRECT("1:"&amp;LEN((LEFT(A123,SUM(LEN(A123)-LEN(SUBSTITUTE(A123,{"0","1","2"},"")))))))), 0), ROW(INDIRECT("1:"&amp;LEN((LEFT(A123,SUM(LEN(A123)-LEN(SUBSTITUTE(A123,{"0","1","2"},"")))))))))+1, 1) * 10^ROW(INDIRECT("1:"&amp;LEN((LEFT(A123,SUM(LEN(A123)-LEN(SUBSTITUTE(A123,{"0","1","2"},""))))))))/10))*1+1&amp;""&amp;" ,.., "&amp;""&amp;(SUMPRODUCT(MID(0&amp;(--TRIM(RIGHT(SUBSTITUTE(LEFT(A123,_xlfn.AGGREGATE(16,6,FIND({0,1,2,3,4,5,6,7,8,9},A123,ROW(INDIRECT("1:"&amp;LEN(A123)))),1))," ",REPT(" ",LEN(A123))),LEN(A123)))), LARGE(INDEX(ISNUMBER(--MID((--TRIM(RIGHT(SUBSTITUTE(LEFT(A123,_xlfn.AGGREGATE(16,6,FIND({0,1,2,3,4,5,6,7,8,9},A123,ROW(INDIRECT("1:"&amp;LEN(A123)))),1))," ",REPT(" ",LEN(A123))),LEN(A123)))), ROW(INDIRECT("1:"&amp;LEN((--TRIM(RIGHT(SUBSTITUTE(LEFT(A123,_xlfn.AGGREGATE(16,6,FIND({0,1,2,3,4,5,6,7,8,9},A123,ROW(INDIRECT("1:"&amp;LEN(A123)))),1))," ",REPT(" ",LEN(A123))),LEN(A123))))))), 1)) * ROW(INDIRECT("1:"&amp;LEN((--TRIM(RIGHT(SUBSTITUTE(LEFT(A123,_xlfn.AGGREGATE(16,6,FIND({0,1,2,3,4,5,6,7,8,9},A123,ROW(INDIRECT("1:"&amp;LEN(A123)))),1))," ",REPT(" ",LEN(A123))),LEN(A123))))))), 0), ROW(INDIRECT("1:"&amp;LEN((--TRIM(RIGHT(SUBSTITUTE(LEFT(A123,_xlfn.AGGREGATE(16,6,FIND({0,1,2,3,4,5,6,7,8,9},A123,ROW(INDIRECT("1:"&amp;LEN(A123)))),1))," ",REPT(" ",LEN(A123))),LEN(A123))))))))+1, 1) * 10^ROW(INDIRECT("1:"&amp;LEN((--TRIM(RIGHT(SUBSTITUTE(LEFT(A123,_xlfn.AGGREGATE(16,6,FIND({0,1,2,3,4,5,6,7,8,9},A123,ROW(INDIRECT("1:"&amp;LEN(A123)))),1))," ",REPT(" ",LEN(A123))),LEN(A123)))))))/10))*1+1</f>
        <v>304 ,.., 1504</v>
      </c>
      <c r="B124" s="81"/>
      <c r="C124" s="56"/>
      <c r="D124" s="40"/>
      <c r="E124" s="40">
        <v>0</v>
      </c>
      <c r="F124" s="40" t="e">
        <f>D124*((#REF!)+1)+(IF(E124&lt;101,E124,IF(E124&lt;201,E124/2,IF(E124&lt;=301,E124/3,E124/4))))</f>
        <v>#REF!</v>
      </c>
      <c r="G124" s="80" t="str">
        <f>G123</f>
        <v>3rd, 5th, 7th, 9th, 11th, 13th, 15th Floor</v>
      </c>
      <c r="H124" s="81"/>
      <c r="I124" s="35"/>
    </row>
    <row r="125" spans="1:14" s="36" customFormat="1" ht="15.75" hidden="1" customHeight="1" x14ac:dyDescent="0.35">
      <c r="A125" s="80" t="str">
        <f ca="1">(SUMPRODUCT(MID(0&amp;(LEFT(A124,SUM(LEN(A124)-LEN(SUBSTITUTE(A124,{"0","1","2"},""))))), LARGE(INDEX(ISNUMBER(--MID((LEFT(A124,SUM(LEN(A124)-LEN(SUBSTITUTE(A124,{"0","1","2"},""))))), ROW(INDIRECT("1:"&amp;LEN((LEFT(A124,SUM(LEN(A124)-LEN(SUBSTITUTE(A124,{"0","1","2"},"")))))))), 1)) * ROW(INDIRECT("1:"&amp;LEN((LEFT(A124,SUM(LEN(A124)-LEN(SUBSTITUTE(A124,{"0","1","2"},"")))))))), 0), ROW(INDIRECT("1:"&amp;LEN((LEFT(A124,SUM(LEN(A124)-LEN(SUBSTITUTE(A124,{"0","1","2"},"")))))))))+1, 1) * 10^ROW(INDIRECT("1:"&amp;LEN((LEFT(A124,SUM(LEN(A124)-LEN(SUBSTITUTE(A124,{"0","1","2"},""))))))))/10))*1+1&amp;""&amp;" ,.., "&amp;""&amp;(SUMPRODUCT(MID(0&amp;(--TRIM(RIGHT(SUBSTITUTE(LEFT(A124,_xlfn.AGGREGATE(16,6,FIND({0,1,2,3,4,5,6,7,8,9},A124,ROW(INDIRECT("1:"&amp;LEN(A124)))),1))," ",REPT(" ",LEN(A124))),LEN(A124)))), LARGE(INDEX(ISNUMBER(--MID((--TRIM(RIGHT(SUBSTITUTE(LEFT(A124,_xlfn.AGGREGATE(16,6,FIND({0,1,2,3,4,5,6,7,8,9},A124,ROW(INDIRECT("1:"&amp;LEN(A124)))),1))," ",REPT(" ",LEN(A124))),LEN(A124)))), ROW(INDIRECT("1:"&amp;LEN((--TRIM(RIGHT(SUBSTITUTE(LEFT(A124,_xlfn.AGGREGATE(16,6,FIND({0,1,2,3,4,5,6,7,8,9},A124,ROW(INDIRECT("1:"&amp;LEN(A124)))),1))," ",REPT(" ",LEN(A124))),LEN(A124))))))), 1)) * ROW(INDIRECT("1:"&amp;LEN((--TRIM(RIGHT(SUBSTITUTE(LEFT(A124,_xlfn.AGGREGATE(16,6,FIND({0,1,2,3,4,5,6,7,8,9},A124,ROW(INDIRECT("1:"&amp;LEN(A124)))),1))," ",REPT(" ",LEN(A124))),LEN(A124))))))), 0), ROW(INDIRECT("1:"&amp;LEN((--TRIM(RIGHT(SUBSTITUTE(LEFT(A124,_xlfn.AGGREGATE(16,6,FIND({0,1,2,3,4,5,6,7,8,9},A124,ROW(INDIRECT("1:"&amp;LEN(A124)))),1))," ",REPT(" ",LEN(A124))),LEN(A124))))))))+1, 1) * 10^ROW(INDIRECT("1:"&amp;LEN((--TRIM(RIGHT(SUBSTITUTE(LEFT(A124,_xlfn.AGGREGATE(16,6,FIND({0,1,2,3,4,5,6,7,8,9},A124,ROW(INDIRECT("1:"&amp;LEN(A124)))),1))," ",REPT(" ",LEN(A124))),LEN(A124)))))))/10))*1+1</f>
        <v>305 ,.., 1505</v>
      </c>
      <c r="B125" s="81"/>
      <c r="C125" s="56"/>
      <c r="D125" s="40"/>
      <c r="E125" s="40">
        <v>0</v>
      </c>
      <c r="F125" s="40" t="e">
        <f>D125*((#REF!)+1)+(IF(E125&lt;101,E125,IF(E125&lt;201,E125/2,IF(E125&lt;=301,E125/3,E125/4))))</f>
        <v>#REF!</v>
      </c>
      <c r="G125" s="80" t="str">
        <f>G124</f>
        <v>3rd, 5th, 7th, 9th, 11th, 13th, 15th Floor</v>
      </c>
      <c r="H125" s="81"/>
      <c r="I125" s="35"/>
    </row>
    <row r="126" spans="1:14" s="36" customFormat="1" hidden="1" x14ac:dyDescent="0.35">
      <c r="A126" s="113" t="s">
        <v>148</v>
      </c>
      <c r="B126" s="114"/>
      <c r="C126" s="114"/>
      <c r="D126" s="114"/>
      <c r="E126" s="114"/>
      <c r="F126" s="114"/>
      <c r="G126" s="114"/>
      <c r="H126" s="115"/>
      <c r="I126" s="35"/>
    </row>
    <row r="127" spans="1:14" s="36" customFormat="1" hidden="1" x14ac:dyDescent="0.35">
      <c r="A127" s="80" t="str">
        <f ca="1">(SUMPRODUCT(MID(0&amp;(LEFT(A126,SUM(LEN(A126)-LEN(SUBSTITUTE(A126,{"0","1","2"},""))))), LARGE(INDEX(ISNUMBER(--MID((LEFT(A126,SUM(LEN(A126)-LEN(SUBSTITUTE(A126,{"0","1","2"},""))))), ROW(INDIRECT("1:"&amp;LEN((LEFT(A126,SUM(LEN(A126)-LEN(SUBSTITUTE(A126,{"0","1","2"},"")))))))), 1)) * ROW(INDIRECT("1:"&amp;LEN((LEFT(A126,SUM(LEN(A126)-LEN(SUBSTITUTE(A126,{"0","1","2"},"")))))))), 0), ROW(INDIRECT("1:"&amp;LEN((LEFT(A126,SUM(LEN(A126)-LEN(SUBSTITUTE(A126,{"0","1","2"},"")))))))))+1, 1) * 10^ROW(INDIRECT("1:"&amp;LEN((LEFT(A126,SUM(LEN(A126)-LEN(SUBSTITUTE(A126,{"0","1","2"},""))))))))/10))*100+1&amp;""&amp;" to "&amp;""&amp;(SUMPRODUCT(MID(0&amp;(--TRIM(RIGHT(SUBSTITUTE(LEFT(A126,_xlfn.AGGREGATE(16,6,FIND({0,1,2,3,4,5,6,7,8,9},A126,ROW(INDIRECT("1:"&amp;LEN(A126)))),1))," ",REPT(" ",LEN(A126))),LEN(A126)))), LARGE(INDEX(ISNUMBER(--MID((--TRIM(RIGHT(SUBSTITUTE(LEFT(A126,_xlfn.AGGREGATE(16,6,FIND({0,1,2,3,4,5,6,7,8,9},A126,ROW(INDIRECT("1:"&amp;LEN(A126)))),1))," ",REPT(" ",LEN(A126))),LEN(A126)))), ROW(INDIRECT("1:"&amp;LEN((--TRIM(RIGHT(SUBSTITUTE(LEFT(A126,_xlfn.AGGREGATE(16,6,FIND({0,1,2,3,4,5,6,7,8,9},A126,ROW(INDIRECT("1:"&amp;LEN(A126)))),1))," ",REPT(" ",LEN(A126))),LEN(A126))))))), 1)) * ROW(INDIRECT("1:"&amp;LEN((--TRIM(RIGHT(SUBSTITUTE(LEFT(A126,_xlfn.AGGREGATE(16,6,FIND({0,1,2,3,4,5,6,7,8,9},A126,ROW(INDIRECT("1:"&amp;LEN(A126)))),1))," ",REPT(" ",LEN(A126))),LEN(A126))))))), 0), ROW(INDIRECT("1:"&amp;LEN((--TRIM(RIGHT(SUBSTITUTE(LEFT(A126,_xlfn.AGGREGATE(16,6,FIND({0,1,2,3,4,5,6,7,8,9},A126,ROW(INDIRECT("1:"&amp;LEN(A126)))),1))," ",REPT(" ",LEN(A126))),LEN(A126))))))))+1, 1) * 10^ROW(INDIRECT("1:"&amp;LEN((--TRIM(RIGHT(SUBSTITUTE(LEFT(A126,_xlfn.AGGREGATE(16,6,FIND({0,1,2,3,4,5,6,7,8,9},A126,ROW(INDIRECT("1:"&amp;LEN(A126)))),1))," ",REPT(" ",LEN(A126))),LEN(A126)))))))/10))*100+1</f>
        <v>201 to 501</v>
      </c>
      <c r="B127" s="81"/>
      <c r="C127" s="56"/>
      <c r="D127" s="40"/>
      <c r="E127" s="40">
        <v>0</v>
      </c>
      <c r="F127" s="40" t="e">
        <f>D127*((#REF!)+1)+(IF(E127&lt;101,E127,IF(E127&lt;201,E127/2,IF(E127&lt;=301,E127/3,E127/4))))</f>
        <v>#REF!</v>
      </c>
      <c r="G127" s="80" t="str">
        <f>A126</f>
        <v>2nd to 5th Floor</v>
      </c>
      <c r="H127" s="81"/>
      <c r="I127" s="35"/>
    </row>
    <row r="128" spans="1:14" s="36" customFormat="1" hidden="1" x14ac:dyDescent="0.35">
      <c r="A128" s="80" t="str">
        <f ca="1">(SUMPRODUCT(MID(0&amp;(LEFT(A127,SUM(LEN(A127)-LEN(SUBSTITUTE(A127,{"0","1","2"},""))))), LARGE(INDEX(ISNUMBER(--MID((LEFT(A127,SUM(LEN(A127)-LEN(SUBSTITUTE(A127,{"0","1","2"},""))))), ROW(INDIRECT("1:"&amp;LEN((LEFT(A127,SUM(LEN(A127)-LEN(SUBSTITUTE(A127,{"0","1","2"},"")))))))), 1)) * ROW(INDIRECT("1:"&amp;LEN((LEFT(A127,SUM(LEN(A127)-LEN(SUBSTITUTE(A127,{"0","1","2"},"")))))))), 0), ROW(INDIRECT("1:"&amp;LEN((LEFT(A127,SUM(LEN(A127)-LEN(SUBSTITUTE(A127,{"0","1","2"},"")))))))))+1, 1) * 10^ROW(INDIRECT("1:"&amp;LEN((LEFT(A127,SUM(LEN(A127)-LEN(SUBSTITUTE(A127,{"0","1","2"},""))))))))/10))*1+1&amp;""&amp;" to "&amp;""&amp;(SUMPRODUCT(MID(0&amp;(--TRIM(RIGHT(SUBSTITUTE(LEFT(A127,_xlfn.AGGREGATE(16,6,FIND({0,1,2,3,4,5,6,7,8,9},A127,ROW(INDIRECT("1:"&amp;LEN(A127)))),1))," ",REPT(" ",LEN(A127))),LEN(A127)))), LARGE(INDEX(ISNUMBER(--MID((--TRIM(RIGHT(SUBSTITUTE(LEFT(A127,_xlfn.AGGREGATE(16,6,FIND({0,1,2,3,4,5,6,7,8,9},A127,ROW(INDIRECT("1:"&amp;LEN(A127)))),1))," ",REPT(" ",LEN(A127))),LEN(A127)))), ROW(INDIRECT("1:"&amp;LEN((--TRIM(RIGHT(SUBSTITUTE(LEFT(A127,_xlfn.AGGREGATE(16,6,FIND({0,1,2,3,4,5,6,7,8,9},A127,ROW(INDIRECT("1:"&amp;LEN(A127)))),1))," ",REPT(" ",LEN(A127))),LEN(A127))))))), 1)) * ROW(INDIRECT("1:"&amp;LEN((--TRIM(RIGHT(SUBSTITUTE(LEFT(A127,_xlfn.AGGREGATE(16,6,FIND({0,1,2,3,4,5,6,7,8,9},A127,ROW(INDIRECT("1:"&amp;LEN(A127)))),1))," ",REPT(" ",LEN(A127))),LEN(A127))))))), 0), ROW(INDIRECT("1:"&amp;LEN((--TRIM(RIGHT(SUBSTITUTE(LEFT(A127,_xlfn.AGGREGATE(16,6,FIND({0,1,2,3,4,5,6,7,8,9},A127,ROW(INDIRECT("1:"&amp;LEN(A127)))),1))," ",REPT(" ",LEN(A127))),LEN(A127))))))))+1, 1) * 10^ROW(INDIRECT("1:"&amp;LEN((--TRIM(RIGHT(SUBSTITUTE(LEFT(A127,_xlfn.AGGREGATE(16,6,FIND({0,1,2,3,4,5,6,7,8,9},A127,ROW(INDIRECT("1:"&amp;LEN(A127)))),1))," ",REPT(" ",LEN(A127))),LEN(A127)))))))/10))*1+1</f>
        <v>202 to 502</v>
      </c>
      <c r="B128" s="81"/>
      <c r="C128" s="56"/>
      <c r="D128" s="40"/>
      <c r="E128" s="40">
        <v>0</v>
      </c>
      <c r="F128" s="40" t="e">
        <f>D128*((#REF!)+1)+(IF(E128&lt;101,E128,IF(E128&lt;201,E128/2,IF(E128&lt;=301,E128/3,E128/4))))</f>
        <v>#REF!</v>
      </c>
      <c r="G128" s="80" t="str">
        <f>G127</f>
        <v>2nd to 5th Floor</v>
      </c>
      <c r="H128" s="81"/>
      <c r="I128" s="35"/>
    </row>
    <row r="129" spans="1:9" s="36" customFormat="1" hidden="1" x14ac:dyDescent="0.35">
      <c r="A129" s="80" t="str">
        <f ca="1">(SUMPRODUCT(MID(0&amp;(LEFT(A128,SUM(LEN(A128)-LEN(SUBSTITUTE(A128,{"0","1","2"},""))))), LARGE(INDEX(ISNUMBER(--MID((LEFT(A128,SUM(LEN(A128)-LEN(SUBSTITUTE(A128,{"0","1","2"},""))))), ROW(INDIRECT("1:"&amp;LEN((LEFT(A128,SUM(LEN(A128)-LEN(SUBSTITUTE(A128,{"0","1","2"},"")))))))), 1)) * ROW(INDIRECT("1:"&amp;LEN((LEFT(A128,SUM(LEN(A128)-LEN(SUBSTITUTE(A128,{"0","1","2"},"")))))))), 0), ROW(INDIRECT("1:"&amp;LEN((LEFT(A128,SUM(LEN(A128)-LEN(SUBSTITUTE(A128,{"0","1","2"},"")))))))))+1, 1) * 10^ROW(INDIRECT("1:"&amp;LEN((LEFT(A128,SUM(LEN(A128)-LEN(SUBSTITUTE(A128,{"0","1","2"},""))))))))/10))*1+1&amp;""&amp;" to "&amp;""&amp;(SUMPRODUCT(MID(0&amp;(--TRIM(RIGHT(SUBSTITUTE(LEFT(A128,_xlfn.AGGREGATE(16,6,FIND({0,1,2,3,4,5,6,7,8,9},A128,ROW(INDIRECT("1:"&amp;LEN(A128)))),1))," ",REPT(" ",LEN(A128))),LEN(A128)))), LARGE(INDEX(ISNUMBER(--MID((--TRIM(RIGHT(SUBSTITUTE(LEFT(A128,_xlfn.AGGREGATE(16,6,FIND({0,1,2,3,4,5,6,7,8,9},A128,ROW(INDIRECT("1:"&amp;LEN(A128)))),1))," ",REPT(" ",LEN(A128))),LEN(A128)))), ROW(INDIRECT("1:"&amp;LEN((--TRIM(RIGHT(SUBSTITUTE(LEFT(A128,_xlfn.AGGREGATE(16,6,FIND({0,1,2,3,4,5,6,7,8,9},A128,ROW(INDIRECT("1:"&amp;LEN(A128)))),1))," ",REPT(" ",LEN(A128))),LEN(A128))))))), 1)) * ROW(INDIRECT("1:"&amp;LEN((--TRIM(RIGHT(SUBSTITUTE(LEFT(A128,_xlfn.AGGREGATE(16,6,FIND({0,1,2,3,4,5,6,7,8,9},A128,ROW(INDIRECT("1:"&amp;LEN(A128)))),1))," ",REPT(" ",LEN(A128))),LEN(A128))))))), 0), ROW(INDIRECT("1:"&amp;LEN((--TRIM(RIGHT(SUBSTITUTE(LEFT(A128,_xlfn.AGGREGATE(16,6,FIND({0,1,2,3,4,5,6,7,8,9},A128,ROW(INDIRECT("1:"&amp;LEN(A128)))),1))," ",REPT(" ",LEN(A128))),LEN(A128))))))))+1, 1) * 10^ROW(INDIRECT("1:"&amp;LEN((--TRIM(RIGHT(SUBSTITUTE(LEFT(A128,_xlfn.AGGREGATE(16,6,FIND({0,1,2,3,4,5,6,7,8,9},A128,ROW(INDIRECT("1:"&amp;LEN(A128)))),1))," ",REPT(" ",LEN(A128))),LEN(A128)))))))/10))*1+1</f>
        <v>203 to 503</v>
      </c>
      <c r="B129" s="81"/>
      <c r="C129" s="56"/>
      <c r="D129" s="40"/>
      <c r="E129" s="40">
        <v>0</v>
      </c>
      <c r="F129" s="40" t="e">
        <f>D129*((#REF!)+1)+(IF(E129&lt;101,E129,IF(E129&lt;201,E129/2,IF(E129&lt;=301,E129/3,E129/4))))</f>
        <v>#REF!</v>
      </c>
      <c r="G129" s="80" t="str">
        <f>G128</f>
        <v>2nd to 5th Floor</v>
      </c>
      <c r="H129" s="81"/>
      <c r="I129" s="35"/>
    </row>
    <row r="130" spans="1:9" s="36" customFormat="1" hidden="1" x14ac:dyDescent="0.35">
      <c r="A130" s="80" t="str">
        <f ca="1">(SUMPRODUCT(MID(0&amp;(LEFT(A129,SUM(LEN(A129)-LEN(SUBSTITUTE(A129,{"0","1","2"},""))))), LARGE(INDEX(ISNUMBER(--MID((LEFT(A129,SUM(LEN(A129)-LEN(SUBSTITUTE(A129,{"0","1","2"},""))))), ROW(INDIRECT("1:"&amp;LEN((LEFT(A129,SUM(LEN(A129)-LEN(SUBSTITUTE(A129,{"0","1","2"},"")))))))), 1)) * ROW(INDIRECT("1:"&amp;LEN((LEFT(A129,SUM(LEN(A129)-LEN(SUBSTITUTE(A129,{"0","1","2"},"")))))))), 0), ROW(INDIRECT("1:"&amp;LEN((LEFT(A129,SUM(LEN(A129)-LEN(SUBSTITUTE(A129,{"0","1","2"},"")))))))))+1, 1) * 10^ROW(INDIRECT("1:"&amp;LEN((LEFT(A129,SUM(LEN(A129)-LEN(SUBSTITUTE(A129,{"0","1","2"},""))))))))/10))*1+1&amp;""&amp;" to "&amp;""&amp;(SUMPRODUCT(MID(0&amp;(--TRIM(RIGHT(SUBSTITUTE(LEFT(A129,_xlfn.AGGREGATE(16,6,FIND({0,1,2,3,4,5,6,7,8,9},A129,ROW(INDIRECT("1:"&amp;LEN(A129)))),1))," ",REPT(" ",LEN(A129))),LEN(A129)))), LARGE(INDEX(ISNUMBER(--MID((--TRIM(RIGHT(SUBSTITUTE(LEFT(A129,_xlfn.AGGREGATE(16,6,FIND({0,1,2,3,4,5,6,7,8,9},A129,ROW(INDIRECT("1:"&amp;LEN(A129)))),1))," ",REPT(" ",LEN(A129))),LEN(A129)))), ROW(INDIRECT("1:"&amp;LEN((--TRIM(RIGHT(SUBSTITUTE(LEFT(A129,_xlfn.AGGREGATE(16,6,FIND({0,1,2,3,4,5,6,7,8,9},A129,ROW(INDIRECT("1:"&amp;LEN(A129)))),1))," ",REPT(" ",LEN(A129))),LEN(A129))))))), 1)) * ROW(INDIRECT("1:"&amp;LEN((--TRIM(RIGHT(SUBSTITUTE(LEFT(A129,_xlfn.AGGREGATE(16,6,FIND({0,1,2,3,4,5,6,7,8,9},A129,ROW(INDIRECT("1:"&amp;LEN(A129)))),1))," ",REPT(" ",LEN(A129))),LEN(A129))))))), 0), ROW(INDIRECT("1:"&amp;LEN((--TRIM(RIGHT(SUBSTITUTE(LEFT(A129,_xlfn.AGGREGATE(16,6,FIND({0,1,2,3,4,5,6,7,8,9},A129,ROW(INDIRECT("1:"&amp;LEN(A129)))),1))," ",REPT(" ",LEN(A129))),LEN(A129))))))))+1, 1) * 10^ROW(INDIRECT("1:"&amp;LEN((--TRIM(RIGHT(SUBSTITUTE(LEFT(A129,_xlfn.AGGREGATE(16,6,FIND({0,1,2,3,4,5,6,7,8,9},A129,ROW(INDIRECT("1:"&amp;LEN(A129)))),1))," ",REPT(" ",LEN(A129))),LEN(A129)))))))/10))*1+1</f>
        <v>204 to 504</v>
      </c>
      <c r="B130" s="81"/>
      <c r="C130" s="56"/>
      <c r="D130" s="40"/>
      <c r="E130" s="40">
        <v>0</v>
      </c>
      <c r="F130" s="40" t="e">
        <f>D130*((#REF!)+1)+(IF(E130&lt;101,E130,IF(E130&lt;201,E130/2,IF(E130&lt;=301,E130/3,E130/4))))</f>
        <v>#REF!</v>
      </c>
      <c r="G130" s="80" t="str">
        <f>G129</f>
        <v>2nd to 5th Floor</v>
      </c>
      <c r="H130" s="81"/>
      <c r="I130" s="35"/>
    </row>
    <row r="131" spans="1:9" s="36" customFormat="1" hidden="1" x14ac:dyDescent="0.35">
      <c r="A131" s="80" t="str">
        <f ca="1">(SUMPRODUCT(MID(0&amp;(LEFT(A130,SUM(LEN(A130)-LEN(SUBSTITUTE(A130,{"0","1","2"},""))))), LARGE(INDEX(ISNUMBER(--MID((LEFT(A130,SUM(LEN(A130)-LEN(SUBSTITUTE(A130,{"0","1","2"},""))))), ROW(INDIRECT("1:"&amp;LEN((LEFT(A130,SUM(LEN(A130)-LEN(SUBSTITUTE(A130,{"0","1","2"},"")))))))), 1)) * ROW(INDIRECT("1:"&amp;LEN((LEFT(A130,SUM(LEN(A130)-LEN(SUBSTITUTE(A130,{"0","1","2"},"")))))))), 0), ROW(INDIRECT("1:"&amp;LEN((LEFT(A130,SUM(LEN(A130)-LEN(SUBSTITUTE(A130,{"0","1","2"},"")))))))))+1, 1) * 10^ROW(INDIRECT("1:"&amp;LEN((LEFT(A130,SUM(LEN(A130)-LEN(SUBSTITUTE(A130,{"0","1","2"},""))))))))/10))*1+1&amp;""&amp;" to "&amp;""&amp;(SUMPRODUCT(MID(0&amp;(--TRIM(RIGHT(SUBSTITUTE(LEFT(A130,_xlfn.AGGREGATE(16,6,FIND({0,1,2,3,4,5,6,7,8,9},A130,ROW(INDIRECT("1:"&amp;LEN(A130)))),1))," ",REPT(" ",LEN(A130))),LEN(A130)))), LARGE(INDEX(ISNUMBER(--MID((--TRIM(RIGHT(SUBSTITUTE(LEFT(A130,_xlfn.AGGREGATE(16,6,FIND({0,1,2,3,4,5,6,7,8,9},A130,ROW(INDIRECT("1:"&amp;LEN(A130)))),1))," ",REPT(" ",LEN(A130))),LEN(A130)))), ROW(INDIRECT("1:"&amp;LEN((--TRIM(RIGHT(SUBSTITUTE(LEFT(A130,_xlfn.AGGREGATE(16,6,FIND({0,1,2,3,4,5,6,7,8,9},A130,ROW(INDIRECT("1:"&amp;LEN(A130)))),1))," ",REPT(" ",LEN(A130))),LEN(A130))))))), 1)) * ROW(INDIRECT("1:"&amp;LEN((--TRIM(RIGHT(SUBSTITUTE(LEFT(A130,_xlfn.AGGREGATE(16,6,FIND({0,1,2,3,4,5,6,7,8,9},A130,ROW(INDIRECT("1:"&amp;LEN(A130)))),1))," ",REPT(" ",LEN(A130))),LEN(A130))))))), 0), ROW(INDIRECT("1:"&amp;LEN((--TRIM(RIGHT(SUBSTITUTE(LEFT(A130,_xlfn.AGGREGATE(16,6,FIND({0,1,2,3,4,5,6,7,8,9},A130,ROW(INDIRECT("1:"&amp;LEN(A130)))),1))," ",REPT(" ",LEN(A130))),LEN(A130))))))))+1, 1) * 10^ROW(INDIRECT("1:"&amp;LEN((--TRIM(RIGHT(SUBSTITUTE(LEFT(A130,_xlfn.AGGREGATE(16,6,FIND({0,1,2,3,4,5,6,7,8,9},A130,ROW(INDIRECT("1:"&amp;LEN(A130)))),1))," ",REPT(" ",LEN(A130))),LEN(A130)))))))/10))*1+1</f>
        <v>205 to 505</v>
      </c>
      <c r="B131" s="81"/>
      <c r="C131" s="56"/>
      <c r="D131" s="40"/>
      <c r="E131" s="40">
        <v>0</v>
      </c>
      <c r="F131" s="40" t="e">
        <f>D131*((#REF!)+1)+(IF(E131&lt;101,E131,IF(E131&lt;201,E131/2,IF(E131&lt;=301,E131/3,E131/4))))</f>
        <v>#REF!</v>
      </c>
      <c r="G131" s="80" t="str">
        <f>G130</f>
        <v>2nd to 5th Floor</v>
      </c>
      <c r="H131" s="81"/>
      <c r="I131" s="35"/>
    </row>
    <row r="132" spans="1:9" s="36" customFormat="1" hidden="1" x14ac:dyDescent="0.35">
      <c r="A132" s="113" t="s">
        <v>149</v>
      </c>
      <c r="B132" s="114"/>
      <c r="C132" s="114"/>
      <c r="D132" s="114"/>
      <c r="E132" s="114"/>
      <c r="F132" s="114"/>
      <c r="G132" s="114"/>
      <c r="H132" s="115"/>
      <c r="I132" s="35"/>
    </row>
    <row r="133" spans="1:9" s="36" customFormat="1" hidden="1" x14ac:dyDescent="0.35">
      <c r="A133" s="80" t="str">
        <f ca="1">(SUMPRODUCT(MID(0&amp;(LEFT(A132,SUM(LEN(A132)-LEN(SUBSTITUTE(A132,{"0","1","2"},""))))), LARGE(INDEX(ISNUMBER(--MID((LEFT(A132,SUM(LEN(A132)-LEN(SUBSTITUTE(A132,{"0","1","2"},""))))), ROW(INDIRECT("1:"&amp;LEN((LEFT(A132,SUM(LEN(A132)-LEN(SUBSTITUTE(A132,{"0","1","2"},"")))))))), 1)) * ROW(INDIRECT("1:"&amp;LEN((LEFT(A132,SUM(LEN(A132)-LEN(SUBSTITUTE(A132,{"0","1","2"},"")))))))), 0), ROW(INDIRECT("1:"&amp;LEN((LEFT(A132,SUM(LEN(A132)-LEN(SUBSTITUTE(A132,{"0","1","2"},"")))))))))+1, 1) * 10^ROW(INDIRECT("1:"&amp;LEN((LEFT(A132,SUM(LEN(A132)-LEN(SUBSTITUTE(A132,{"0","1","2"},""))))))))/10))*100+1&amp;""&amp;" &amp; "&amp;""&amp;(SUMPRODUCT(MID(0&amp;(--TRIM(RIGHT(SUBSTITUTE(LEFT(A132,_xlfn.AGGREGATE(16,6,FIND({0,1,2,3,4,5,6,7,8,9},A132,ROW(INDIRECT("1:"&amp;LEN(A132)))),1))," ",REPT(" ",LEN(A132))),LEN(A132)))), LARGE(INDEX(ISNUMBER(--MID((--TRIM(RIGHT(SUBSTITUTE(LEFT(A132,_xlfn.AGGREGATE(16,6,FIND({0,1,2,3,4,5,6,7,8,9},A132,ROW(INDIRECT("1:"&amp;LEN(A132)))),1))," ",REPT(" ",LEN(A132))),LEN(A132)))), ROW(INDIRECT("1:"&amp;LEN((--TRIM(RIGHT(SUBSTITUTE(LEFT(A132,_xlfn.AGGREGATE(16,6,FIND({0,1,2,3,4,5,6,7,8,9},A132,ROW(INDIRECT("1:"&amp;LEN(A132)))),1))," ",REPT(" ",LEN(A132))),LEN(A132))))))), 1)) * ROW(INDIRECT("1:"&amp;LEN((--TRIM(RIGHT(SUBSTITUTE(LEFT(A132,_xlfn.AGGREGATE(16,6,FIND({0,1,2,3,4,5,6,7,8,9},A132,ROW(INDIRECT("1:"&amp;LEN(A132)))),1))," ",REPT(" ",LEN(A132))),LEN(A132))))))), 0), ROW(INDIRECT("1:"&amp;LEN((--TRIM(RIGHT(SUBSTITUTE(LEFT(A132,_xlfn.AGGREGATE(16,6,FIND({0,1,2,3,4,5,6,7,8,9},A132,ROW(INDIRECT("1:"&amp;LEN(A132)))),1))," ",REPT(" ",LEN(A132))),LEN(A132))))))))+1, 1) * 10^ROW(INDIRECT("1:"&amp;LEN((--TRIM(RIGHT(SUBSTITUTE(LEFT(A132,_xlfn.AGGREGATE(16,6,FIND({0,1,2,3,4,5,6,7,8,9},A132,ROW(INDIRECT("1:"&amp;LEN(A132)))),1))," ",REPT(" ",LEN(A132))),LEN(A132)))))))/10))*100+1</f>
        <v>201 &amp; 501</v>
      </c>
      <c r="B133" s="81"/>
      <c r="C133" s="56"/>
      <c r="D133" s="40"/>
      <c r="E133" s="40">
        <v>0</v>
      </c>
      <c r="F133" s="40" t="e">
        <f>D133*((#REF!)+1)+(IF(E133&lt;101,E133,IF(E133&lt;201,E133/2,IF(E133&lt;=301,E133/3,E133/4))))</f>
        <v>#REF!</v>
      </c>
      <c r="G133" s="80" t="str">
        <f>A132</f>
        <v>2nd &amp; 5th Floor</v>
      </c>
      <c r="H133" s="81"/>
      <c r="I133" s="35"/>
    </row>
    <row r="134" spans="1:9" s="36" customFormat="1" hidden="1" x14ac:dyDescent="0.35">
      <c r="A134" s="80" t="str">
        <f ca="1">(SUMPRODUCT(MID(0&amp;(LEFT(A133,SUM(LEN(A133)-LEN(SUBSTITUTE(A133,{"0","1","2"},""))))), LARGE(INDEX(ISNUMBER(--MID((LEFT(A133,SUM(LEN(A133)-LEN(SUBSTITUTE(A133,{"0","1","2"},""))))), ROW(INDIRECT("1:"&amp;LEN((LEFT(A133,SUM(LEN(A133)-LEN(SUBSTITUTE(A133,{"0","1","2"},"")))))))), 1)) * ROW(INDIRECT("1:"&amp;LEN((LEFT(A133,SUM(LEN(A133)-LEN(SUBSTITUTE(A133,{"0","1","2"},"")))))))), 0), ROW(INDIRECT("1:"&amp;LEN((LEFT(A133,SUM(LEN(A133)-LEN(SUBSTITUTE(A133,{"0","1","2"},"")))))))))+1, 1) * 10^ROW(INDIRECT("1:"&amp;LEN((LEFT(A133,SUM(LEN(A133)-LEN(SUBSTITUTE(A133,{"0","1","2"},""))))))))/10))*1+1&amp;""&amp;" &amp; "&amp;""&amp;(SUMPRODUCT(MID(0&amp;(--TRIM(RIGHT(SUBSTITUTE(LEFT(A133,_xlfn.AGGREGATE(16,6,FIND({0,1,2,3,4,5,6,7,8,9},A133,ROW(INDIRECT("1:"&amp;LEN(A133)))),1))," ",REPT(" ",LEN(A133))),LEN(A133)))), LARGE(INDEX(ISNUMBER(--MID((--TRIM(RIGHT(SUBSTITUTE(LEFT(A133,_xlfn.AGGREGATE(16,6,FIND({0,1,2,3,4,5,6,7,8,9},A133,ROW(INDIRECT("1:"&amp;LEN(A133)))),1))," ",REPT(" ",LEN(A133))),LEN(A133)))), ROW(INDIRECT("1:"&amp;LEN((--TRIM(RIGHT(SUBSTITUTE(LEFT(A133,_xlfn.AGGREGATE(16,6,FIND({0,1,2,3,4,5,6,7,8,9},A133,ROW(INDIRECT("1:"&amp;LEN(A133)))),1))," ",REPT(" ",LEN(A133))),LEN(A133))))))), 1)) * ROW(INDIRECT("1:"&amp;LEN((--TRIM(RIGHT(SUBSTITUTE(LEFT(A133,_xlfn.AGGREGATE(16,6,FIND({0,1,2,3,4,5,6,7,8,9},A133,ROW(INDIRECT("1:"&amp;LEN(A133)))),1))," ",REPT(" ",LEN(A133))),LEN(A133))))))), 0), ROW(INDIRECT("1:"&amp;LEN((--TRIM(RIGHT(SUBSTITUTE(LEFT(A133,_xlfn.AGGREGATE(16,6,FIND({0,1,2,3,4,5,6,7,8,9},A133,ROW(INDIRECT("1:"&amp;LEN(A133)))),1))," ",REPT(" ",LEN(A133))),LEN(A133))))))))+1, 1) * 10^ROW(INDIRECT("1:"&amp;LEN((--TRIM(RIGHT(SUBSTITUTE(LEFT(A133,_xlfn.AGGREGATE(16,6,FIND({0,1,2,3,4,5,6,7,8,9},A133,ROW(INDIRECT("1:"&amp;LEN(A133)))),1))," ",REPT(" ",LEN(A133))),LEN(A133)))))))/10))*1+1</f>
        <v>202 &amp; 502</v>
      </c>
      <c r="B134" s="81"/>
      <c r="C134" s="56"/>
      <c r="D134" s="40"/>
      <c r="E134" s="40">
        <v>0</v>
      </c>
      <c r="F134" s="40" t="e">
        <f>D134*((#REF!)+1)+(IF(E134&lt;101,E134,IF(E134&lt;201,E134/2,IF(E134&lt;=301,E134/3,E134/4))))</f>
        <v>#REF!</v>
      </c>
      <c r="G134" s="80" t="str">
        <f t="shared" ref="G134:G137" si="6">G133</f>
        <v>2nd &amp; 5th Floor</v>
      </c>
      <c r="H134" s="81"/>
      <c r="I134" s="35"/>
    </row>
    <row r="135" spans="1:9" s="36" customFormat="1" hidden="1" x14ac:dyDescent="0.35">
      <c r="A135" s="80" t="str">
        <f ca="1">(SUMPRODUCT(MID(0&amp;(LEFT(A134,SUM(LEN(A134)-LEN(SUBSTITUTE(A134,{"0","1","2"},""))))), LARGE(INDEX(ISNUMBER(--MID((LEFT(A134,SUM(LEN(A134)-LEN(SUBSTITUTE(A134,{"0","1","2"},""))))), ROW(INDIRECT("1:"&amp;LEN((LEFT(A134,SUM(LEN(A134)-LEN(SUBSTITUTE(A134,{"0","1","2"},"")))))))), 1)) * ROW(INDIRECT("1:"&amp;LEN((LEFT(A134,SUM(LEN(A134)-LEN(SUBSTITUTE(A134,{"0","1","2"},"")))))))), 0), ROW(INDIRECT("1:"&amp;LEN((LEFT(A134,SUM(LEN(A134)-LEN(SUBSTITUTE(A134,{"0","1","2"},"")))))))))+1, 1) * 10^ROW(INDIRECT("1:"&amp;LEN((LEFT(A134,SUM(LEN(A134)-LEN(SUBSTITUTE(A134,{"0","1","2"},""))))))))/10))*1+1&amp;""&amp;" &amp; "&amp;""&amp;(SUMPRODUCT(MID(0&amp;(--TRIM(RIGHT(SUBSTITUTE(LEFT(A134,_xlfn.AGGREGATE(16,6,FIND({0,1,2,3,4,5,6,7,8,9},A134,ROW(INDIRECT("1:"&amp;LEN(A134)))),1))," ",REPT(" ",LEN(A134))),LEN(A134)))), LARGE(INDEX(ISNUMBER(--MID((--TRIM(RIGHT(SUBSTITUTE(LEFT(A134,_xlfn.AGGREGATE(16,6,FIND({0,1,2,3,4,5,6,7,8,9},A134,ROW(INDIRECT("1:"&amp;LEN(A134)))),1))," ",REPT(" ",LEN(A134))),LEN(A134)))), ROW(INDIRECT("1:"&amp;LEN((--TRIM(RIGHT(SUBSTITUTE(LEFT(A134,_xlfn.AGGREGATE(16,6,FIND({0,1,2,3,4,5,6,7,8,9},A134,ROW(INDIRECT("1:"&amp;LEN(A134)))),1))," ",REPT(" ",LEN(A134))),LEN(A134))))))), 1)) * ROW(INDIRECT("1:"&amp;LEN((--TRIM(RIGHT(SUBSTITUTE(LEFT(A134,_xlfn.AGGREGATE(16,6,FIND({0,1,2,3,4,5,6,7,8,9},A134,ROW(INDIRECT("1:"&amp;LEN(A134)))),1))," ",REPT(" ",LEN(A134))),LEN(A134))))))), 0), ROW(INDIRECT("1:"&amp;LEN((--TRIM(RIGHT(SUBSTITUTE(LEFT(A134,_xlfn.AGGREGATE(16,6,FIND({0,1,2,3,4,5,6,7,8,9},A134,ROW(INDIRECT("1:"&amp;LEN(A134)))),1))," ",REPT(" ",LEN(A134))),LEN(A134))))))))+1, 1) * 10^ROW(INDIRECT("1:"&amp;LEN((--TRIM(RIGHT(SUBSTITUTE(LEFT(A134,_xlfn.AGGREGATE(16,6,FIND({0,1,2,3,4,5,6,7,8,9},A134,ROW(INDIRECT("1:"&amp;LEN(A134)))),1))," ",REPT(" ",LEN(A134))),LEN(A134)))))))/10))*1+1</f>
        <v>203 &amp; 503</v>
      </c>
      <c r="B135" s="81"/>
      <c r="C135" s="56"/>
      <c r="D135" s="40"/>
      <c r="E135" s="40">
        <v>0</v>
      </c>
      <c r="F135" s="40" t="e">
        <f>D135*((#REF!)+1)+(IF(E135&lt;101,E135,IF(E135&lt;201,E135/2,IF(E135&lt;=301,E135/3,E135/4))))</f>
        <v>#REF!</v>
      </c>
      <c r="G135" s="80" t="str">
        <f t="shared" si="6"/>
        <v>2nd &amp; 5th Floor</v>
      </c>
      <c r="H135" s="81"/>
      <c r="I135" s="35"/>
    </row>
    <row r="136" spans="1:9" s="36" customFormat="1" hidden="1" x14ac:dyDescent="0.35">
      <c r="A136" s="80" t="str">
        <f ca="1">(SUMPRODUCT(MID(0&amp;(LEFT(A135,SUM(LEN(A135)-LEN(SUBSTITUTE(A135,{"0","1","2"},""))))), LARGE(INDEX(ISNUMBER(--MID((LEFT(A135,SUM(LEN(A135)-LEN(SUBSTITUTE(A135,{"0","1","2"},""))))), ROW(INDIRECT("1:"&amp;LEN((LEFT(A135,SUM(LEN(A135)-LEN(SUBSTITUTE(A135,{"0","1","2"},"")))))))), 1)) * ROW(INDIRECT("1:"&amp;LEN((LEFT(A135,SUM(LEN(A135)-LEN(SUBSTITUTE(A135,{"0","1","2"},"")))))))), 0), ROW(INDIRECT("1:"&amp;LEN((LEFT(A135,SUM(LEN(A135)-LEN(SUBSTITUTE(A135,{"0","1","2"},"")))))))))+1, 1) * 10^ROW(INDIRECT("1:"&amp;LEN((LEFT(A135,SUM(LEN(A135)-LEN(SUBSTITUTE(A135,{"0","1","2"},""))))))))/10))*1+1&amp;""&amp;" &amp; "&amp;""&amp;(SUMPRODUCT(MID(0&amp;(--TRIM(RIGHT(SUBSTITUTE(LEFT(A135,_xlfn.AGGREGATE(16,6,FIND({0,1,2,3,4,5,6,7,8,9},A135,ROW(INDIRECT("1:"&amp;LEN(A135)))),1))," ",REPT(" ",LEN(A135))),LEN(A135)))), LARGE(INDEX(ISNUMBER(--MID((--TRIM(RIGHT(SUBSTITUTE(LEFT(A135,_xlfn.AGGREGATE(16,6,FIND({0,1,2,3,4,5,6,7,8,9},A135,ROW(INDIRECT("1:"&amp;LEN(A135)))),1))," ",REPT(" ",LEN(A135))),LEN(A135)))), ROW(INDIRECT("1:"&amp;LEN((--TRIM(RIGHT(SUBSTITUTE(LEFT(A135,_xlfn.AGGREGATE(16,6,FIND({0,1,2,3,4,5,6,7,8,9},A135,ROW(INDIRECT("1:"&amp;LEN(A135)))),1))," ",REPT(" ",LEN(A135))),LEN(A135))))))), 1)) * ROW(INDIRECT("1:"&amp;LEN((--TRIM(RIGHT(SUBSTITUTE(LEFT(A135,_xlfn.AGGREGATE(16,6,FIND({0,1,2,3,4,5,6,7,8,9},A135,ROW(INDIRECT("1:"&amp;LEN(A135)))),1))," ",REPT(" ",LEN(A135))),LEN(A135))))))), 0), ROW(INDIRECT("1:"&amp;LEN((--TRIM(RIGHT(SUBSTITUTE(LEFT(A135,_xlfn.AGGREGATE(16,6,FIND({0,1,2,3,4,5,6,7,8,9},A135,ROW(INDIRECT("1:"&amp;LEN(A135)))),1))," ",REPT(" ",LEN(A135))),LEN(A135))))))))+1, 1) * 10^ROW(INDIRECT("1:"&amp;LEN((--TRIM(RIGHT(SUBSTITUTE(LEFT(A135,_xlfn.AGGREGATE(16,6,FIND({0,1,2,3,4,5,6,7,8,9},A135,ROW(INDIRECT("1:"&amp;LEN(A135)))),1))," ",REPT(" ",LEN(A135))),LEN(A135)))))))/10))*1+1</f>
        <v>204 &amp; 504</v>
      </c>
      <c r="B136" s="81"/>
      <c r="C136" s="56"/>
      <c r="D136" s="40"/>
      <c r="E136" s="40">
        <v>0</v>
      </c>
      <c r="F136" s="40" t="e">
        <f>D136*((#REF!)+1)+(IF(E136&lt;101,E136,IF(E136&lt;201,E136/2,IF(E136&lt;=301,E136/3,E136/4))))</f>
        <v>#REF!</v>
      </c>
      <c r="G136" s="80" t="str">
        <f t="shared" si="6"/>
        <v>2nd &amp; 5th Floor</v>
      </c>
      <c r="H136" s="81"/>
      <c r="I136" s="35"/>
    </row>
    <row r="137" spans="1:9" s="36" customFormat="1" hidden="1" x14ac:dyDescent="0.35">
      <c r="A137" s="80" t="str">
        <f ca="1">(SUMPRODUCT(MID(0&amp;(LEFT(A136,SUM(LEN(A136)-LEN(SUBSTITUTE(A136,{"0","1","2"},""))))), LARGE(INDEX(ISNUMBER(--MID((LEFT(A136,SUM(LEN(A136)-LEN(SUBSTITUTE(A136,{"0","1","2"},""))))), ROW(INDIRECT("1:"&amp;LEN((LEFT(A136,SUM(LEN(A136)-LEN(SUBSTITUTE(A136,{"0","1","2"},"")))))))), 1)) * ROW(INDIRECT("1:"&amp;LEN((LEFT(A136,SUM(LEN(A136)-LEN(SUBSTITUTE(A136,{"0","1","2"},"")))))))), 0), ROW(INDIRECT("1:"&amp;LEN((LEFT(A136,SUM(LEN(A136)-LEN(SUBSTITUTE(A136,{"0","1","2"},"")))))))))+1, 1) * 10^ROW(INDIRECT("1:"&amp;LEN((LEFT(A136,SUM(LEN(A136)-LEN(SUBSTITUTE(A136,{"0","1","2"},""))))))))/10))*1+1&amp;""&amp;" &amp; "&amp;""&amp;(SUMPRODUCT(MID(0&amp;(--TRIM(RIGHT(SUBSTITUTE(LEFT(A136,_xlfn.AGGREGATE(16,6,FIND({0,1,2,3,4,5,6,7,8,9},A136,ROW(INDIRECT("1:"&amp;LEN(A136)))),1))," ",REPT(" ",LEN(A136))),LEN(A136)))), LARGE(INDEX(ISNUMBER(--MID((--TRIM(RIGHT(SUBSTITUTE(LEFT(A136,_xlfn.AGGREGATE(16,6,FIND({0,1,2,3,4,5,6,7,8,9},A136,ROW(INDIRECT("1:"&amp;LEN(A136)))),1))," ",REPT(" ",LEN(A136))),LEN(A136)))), ROW(INDIRECT("1:"&amp;LEN((--TRIM(RIGHT(SUBSTITUTE(LEFT(A136,_xlfn.AGGREGATE(16,6,FIND({0,1,2,3,4,5,6,7,8,9},A136,ROW(INDIRECT("1:"&amp;LEN(A136)))),1))," ",REPT(" ",LEN(A136))),LEN(A136))))))), 1)) * ROW(INDIRECT("1:"&amp;LEN((--TRIM(RIGHT(SUBSTITUTE(LEFT(A136,_xlfn.AGGREGATE(16,6,FIND({0,1,2,3,4,5,6,7,8,9},A136,ROW(INDIRECT("1:"&amp;LEN(A136)))),1))," ",REPT(" ",LEN(A136))),LEN(A136))))))), 0), ROW(INDIRECT("1:"&amp;LEN((--TRIM(RIGHT(SUBSTITUTE(LEFT(A136,_xlfn.AGGREGATE(16,6,FIND({0,1,2,3,4,5,6,7,8,9},A136,ROW(INDIRECT("1:"&amp;LEN(A136)))),1))," ",REPT(" ",LEN(A136))),LEN(A136))))))))+1, 1) * 10^ROW(INDIRECT("1:"&amp;LEN((--TRIM(RIGHT(SUBSTITUTE(LEFT(A136,_xlfn.AGGREGATE(16,6,FIND({0,1,2,3,4,5,6,7,8,9},A136,ROW(INDIRECT("1:"&amp;LEN(A136)))),1))," ",REPT(" ",LEN(A136))),LEN(A136)))))))/10))*1+1</f>
        <v>205 &amp; 505</v>
      </c>
      <c r="B137" s="81"/>
      <c r="C137" s="56"/>
      <c r="D137" s="40"/>
      <c r="E137" s="40">
        <v>0</v>
      </c>
      <c r="F137" s="40" t="e">
        <f>D137*((#REF!)+1)+(IF(E137&lt;101,E137,IF(E137&lt;201,E137/2,IF(E137&lt;=301,E137/3,E137/4))))</f>
        <v>#REF!</v>
      </c>
      <c r="G137" s="80" t="str">
        <f t="shared" si="6"/>
        <v>2nd &amp; 5th Floor</v>
      </c>
      <c r="H137" s="81"/>
      <c r="I137" s="35"/>
    </row>
    <row r="138" spans="1:9" s="34" customFormat="1" x14ac:dyDescent="0.35">
      <c r="A138" s="167" t="s">
        <v>68</v>
      </c>
      <c r="B138" s="167"/>
      <c r="C138" s="167"/>
      <c r="D138" s="167"/>
      <c r="E138" s="167"/>
      <c r="F138" s="167"/>
      <c r="G138" s="167"/>
      <c r="H138" s="167"/>
    </row>
    <row r="139" spans="1:9" s="34" customFormat="1" x14ac:dyDescent="0.35">
      <c r="A139" s="44" t="s">
        <v>157</v>
      </c>
      <c r="B139" s="168" t="s">
        <v>277</v>
      </c>
      <c r="C139" s="169"/>
      <c r="D139" s="169"/>
      <c r="E139" s="169"/>
      <c r="F139" s="169"/>
      <c r="G139" s="169"/>
      <c r="H139" s="170"/>
    </row>
    <row r="140" spans="1:9" s="34" customFormat="1" x14ac:dyDescent="0.35">
      <c r="A140" s="44" t="s">
        <v>157</v>
      </c>
      <c r="B140" s="168" t="str">
        <f>(IF(F107="Saleable area Loading :","We have considered Saleable area of Flats as per our Calculation.","We considered Saleable area of Flat as per Builder area Sheet."))</f>
        <v>We considered Saleable area of Flat as per Builder area Sheet.</v>
      </c>
      <c r="C140" s="169"/>
      <c r="D140" s="169"/>
      <c r="E140" s="169"/>
      <c r="F140" s="169"/>
      <c r="G140" s="169"/>
      <c r="H140" s="170"/>
    </row>
    <row r="141" spans="1:9" s="34" customFormat="1" x14ac:dyDescent="0.35">
      <c r="A141" s="44" t="s">
        <v>157</v>
      </c>
      <c r="B141" s="118" t="s">
        <v>125</v>
      </c>
      <c r="C141" s="119"/>
      <c r="D141" s="119"/>
      <c r="E141" s="119"/>
      <c r="F141" s="119"/>
      <c r="G141" s="119"/>
      <c r="H141" s="120"/>
    </row>
    <row r="142" spans="1:9" s="34" customFormat="1" x14ac:dyDescent="0.35">
      <c r="A142" s="44" t="s">
        <v>157</v>
      </c>
      <c r="B142" s="118" t="s">
        <v>254</v>
      </c>
      <c r="C142" s="119"/>
      <c r="D142" s="119"/>
      <c r="E142" s="119"/>
      <c r="F142" s="119"/>
      <c r="G142" s="119"/>
      <c r="H142" s="120"/>
    </row>
    <row r="143" spans="1:9" s="34" customFormat="1" x14ac:dyDescent="0.35">
      <c r="A143" s="44" t="s">
        <v>157</v>
      </c>
      <c r="B143" s="118" t="s">
        <v>156</v>
      </c>
      <c r="C143" s="119"/>
      <c r="D143" s="119"/>
      <c r="E143" s="119"/>
      <c r="F143" s="119"/>
      <c r="G143" s="119"/>
      <c r="H143" s="120"/>
    </row>
    <row r="144" spans="1:9" s="34" customFormat="1" x14ac:dyDescent="0.35">
      <c r="A144" s="44" t="s">
        <v>157</v>
      </c>
      <c r="B144" s="118" t="s">
        <v>126</v>
      </c>
      <c r="C144" s="119"/>
      <c r="D144" s="119"/>
      <c r="E144" s="119"/>
      <c r="F144" s="119"/>
      <c r="G144" s="119"/>
      <c r="H144" s="120"/>
    </row>
    <row r="145" spans="1:8" s="34" customFormat="1" ht="33" customHeight="1" x14ac:dyDescent="0.35">
      <c r="A145" s="44" t="s">
        <v>157</v>
      </c>
      <c r="B145" s="118" t="s">
        <v>158</v>
      </c>
      <c r="C145" s="119"/>
      <c r="D145" s="119"/>
      <c r="E145" s="119"/>
      <c r="F145" s="119"/>
      <c r="G145" s="119"/>
      <c r="H145" s="120"/>
    </row>
    <row r="146" spans="1:8" s="34" customFormat="1" x14ac:dyDescent="0.35">
      <c r="A146" s="44" t="s">
        <v>157</v>
      </c>
      <c r="B146" s="118" t="s">
        <v>127</v>
      </c>
      <c r="C146" s="119"/>
      <c r="D146" s="119"/>
      <c r="E146" s="119"/>
      <c r="F146" s="119"/>
      <c r="G146" s="119"/>
      <c r="H146" s="120"/>
    </row>
    <row r="147" spans="1:8" s="34" customFormat="1" x14ac:dyDescent="0.35">
      <c r="A147" s="62" t="s">
        <v>157</v>
      </c>
      <c r="B147" s="121" t="s">
        <v>261</v>
      </c>
      <c r="C147" s="122"/>
      <c r="D147" s="122"/>
      <c r="E147" s="122"/>
      <c r="F147" s="122"/>
      <c r="G147" s="122"/>
      <c r="H147" s="123"/>
    </row>
    <row r="148" spans="1:8" s="34" customFormat="1" x14ac:dyDescent="0.35">
      <c r="A148" s="57" t="s">
        <v>157</v>
      </c>
      <c r="B148" s="121" t="s">
        <v>258</v>
      </c>
      <c r="C148" s="122"/>
      <c r="D148" s="122"/>
      <c r="E148" s="122"/>
      <c r="F148" s="122"/>
      <c r="G148" s="122"/>
      <c r="H148" s="123"/>
    </row>
    <row r="149" spans="1:8" s="34" customFormat="1" x14ac:dyDescent="0.35">
      <c r="A149" s="66" t="s">
        <v>157</v>
      </c>
      <c r="B149" s="121" t="s">
        <v>259</v>
      </c>
      <c r="C149" s="122"/>
      <c r="D149" s="122"/>
      <c r="E149" s="122"/>
      <c r="F149" s="122"/>
      <c r="G149" s="122"/>
      <c r="H149" s="123"/>
    </row>
    <row r="150" spans="1:8" s="34" customFormat="1" x14ac:dyDescent="0.35">
      <c r="A150" s="59" t="s">
        <v>157</v>
      </c>
      <c r="B150" s="121" t="s">
        <v>272</v>
      </c>
      <c r="C150" s="122"/>
      <c r="D150" s="122"/>
      <c r="E150" s="122"/>
      <c r="F150" s="122"/>
      <c r="G150" s="122"/>
      <c r="H150" s="123"/>
    </row>
    <row r="151" spans="1:8" x14ac:dyDescent="0.35">
      <c r="A151" s="103" t="s">
        <v>61</v>
      </c>
      <c r="B151" s="103"/>
      <c r="C151" s="103"/>
      <c r="D151" s="103"/>
      <c r="E151" s="103"/>
      <c r="F151" s="103"/>
      <c r="G151" s="103"/>
      <c r="H151" s="103"/>
    </row>
    <row r="152" spans="1:8" x14ac:dyDescent="0.35">
      <c r="A152" s="83" t="s">
        <v>62</v>
      </c>
      <c r="B152" s="83"/>
      <c r="C152" s="83"/>
      <c r="D152" s="83"/>
      <c r="E152" s="83"/>
      <c r="F152" s="83"/>
      <c r="G152" s="83"/>
      <c r="H152" s="83"/>
    </row>
    <row r="153" spans="1:8" ht="15.75" customHeight="1" x14ac:dyDescent="0.35">
      <c r="A153" s="125" t="s">
        <v>63</v>
      </c>
      <c r="B153" s="125"/>
      <c r="C153" s="125"/>
      <c r="D153" s="125"/>
      <c r="E153" s="125"/>
      <c r="F153" s="125"/>
      <c r="G153" s="125"/>
      <c r="H153" s="125"/>
    </row>
    <row r="154" spans="1:8" x14ac:dyDescent="0.35">
      <c r="A154" s="83" t="s">
        <v>64</v>
      </c>
      <c r="B154" s="83"/>
      <c r="C154" s="83"/>
      <c r="D154" s="83"/>
      <c r="E154" s="83"/>
      <c r="F154" s="83"/>
      <c r="G154" s="83"/>
      <c r="H154" s="83"/>
    </row>
    <row r="155" spans="1:8" x14ac:dyDescent="0.35">
      <c r="A155" s="83" t="s">
        <v>65</v>
      </c>
      <c r="B155" s="83"/>
      <c r="C155" s="83"/>
      <c r="D155" s="83"/>
      <c r="E155" s="83"/>
      <c r="F155" s="83"/>
      <c r="G155" s="83"/>
      <c r="H155" s="83"/>
    </row>
    <row r="156" spans="1:8" x14ac:dyDescent="0.35">
      <c r="A156" s="83" t="s">
        <v>128</v>
      </c>
      <c r="B156" s="83"/>
      <c r="C156" s="83"/>
      <c r="D156" s="83"/>
      <c r="E156" s="83"/>
      <c r="F156" s="83"/>
      <c r="G156" s="83"/>
      <c r="H156" s="83"/>
    </row>
    <row r="157" spans="1:8" x14ac:dyDescent="0.35">
      <c r="A157" s="88" t="s">
        <v>129</v>
      </c>
      <c r="B157" s="88"/>
      <c r="C157" s="88"/>
      <c r="D157" s="88"/>
      <c r="E157" s="88"/>
      <c r="F157" s="88"/>
      <c r="G157" s="88"/>
      <c r="H157" s="88"/>
    </row>
    <row r="158" spans="1:8" x14ac:dyDescent="0.35">
      <c r="A158" s="132" t="s">
        <v>76</v>
      </c>
      <c r="B158" s="132"/>
      <c r="C158" s="132" t="s">
        <v>276</v>
      </c>
      <c r="D158" s="132"/>
      <c r="E158" s="132" t="s">
        <v>106</v>
      </c>
      <c r="F158" s="132"/>
      <c r="G158" s="132" t="s">
        <v>275</v>
      </c>
      <c r="H158" s="132"/>
    </row>
    <row r="159" spans="1:8" x14ac:dyDescent="0.35">
      <c r="A159" s="131" t="s">
        <v>78</v>
      </c>
      <c r="B159" s="131"/>
      <c r="C159" s="131"/>
      <c r="D159" s="131"/>
      <c r="E159" s="131"/>
      <c r="F159" s="131"/>
      <c r="G159" s="131"/>
      <c r="H159" s="131"/>
    </row>
    <row r="160" spans="1:8" x14ac:dyDescent="0.35">
      <c r="A160" s="131"/>
      <c r="B160" s="131"/>
      <c r="C160" s="131"/>
      <c r="D160" s="131"/>
      <c r="E160" s="131"/>
      <c r="F160" s="131"/>
      <c r="G160" s="131"/>
      <c r="H160" s="131"/>
    </row>
    <row r="161" spans="1:8" x14ac:dyDescent="0.35">
      <c r="A161" s="131"/>
      <c r="B161" s="131"/>
      <c r="C161" s="131"/>
      <c r="D161" s="131"/>
      <c r="E161" s="131"/>
      <c r="F161" s="131"/>
      <c r="G161" s="131"/>
      <c r="H161" s="131"/>
    </row>
    <row r="162" spans="1:8" hidden="1" x14ac:dyDescent="0.35">
      <c r="A162" s="131"/>
      <c r="B162" s="131"/>
      <c r="C162" s="131"/>
      <c r="D162" s="131"/>
      <c r="E162" s="131"/>
      <c r="F162" s="131"/>
      <c r="G162" s="131"/>
      <c r="H162" s="131"/>
    </row>
    <row r="163" spans="1:8" x14ac:dyDescent="0.35">
      <c r="A163" s="37" t="s">
        <v>66</v>
      </c>
      <c r="B163" s="38"/>
      <c r="C163" s="38"/>
      <c r="D163" s="37" t="str">
        <f>E8</f>
        <v>Surya Apartment 1</v>
      </c>
      <c r="F163" s="38"/>
      <c r="G163" s="38"/>
      <c r="H163" s="38"/>
    </row>
    <row r="164" spans="1:8" x14ac:dyDescent="0.35">
      <c r="A164" s="38"/>
      <c r="B164" s="38"/>
      <c r="C164" s="38"/>
      <c r="D164" s="38"/>
      <c r="E164" s="38"/>
      <c r="F164" s="38"/>
      <c r="G164" s="38"/>
      <c r="H164" s="38"/>
    </row>
    <row r="165" spans="1:8" x14ac:dyDescent="0.35">
      <c r="A165" s="38"/>
      <c r="B165" s="38"/>
      <c r="C165" s="38"/>
      <c r="D165" s="38"/>
      <c r="E165" s="38"/>
      <c r="F165" s="38"/>
      <c r="G165" s="38"/>
      <c r="H165" s="38"/>
    </row>
    <row r="166" spans="1:8" ht="15" customHeight="1" x14ac:dyDescent="0.35"/>
    <row r="206" spans="1:10" x14ac:dyDescent="0.35">
      <c r="A206" s="61" t="s">
        <v>267</v>
      </c>
    </row>
    <row r="207" spans="1:10" x14ac:dyDescent="0.35">
      <c r="J207" s="20" t="s">
        <v>260</v>
      </c>
    </row>
    <row r="246" spans="1:10" x14ac:dyDescent="0.35">
      <c r="A246" s="61" t="s">
        <v>67</v>
      </c>
    </row>
    <row r="247" spans="1:10" x14ac:dyDescent="0.35">
      <c r="J247" s="20" t="s">
        <v>260</v>
      </c>
    </row>
  </sheetData>
  <mergeCells count="304">
    <mergeCell ref="B149:H149"/>
    <mergeCell ref="J41:M41"/>
    <mergeCell ref="J42:M42"/>
    <mergeCell ref="J43:M43"/>
    <mergeCell ref="J44:M44"/>
    <mergeCell ref="J45:M45"/>
    <mergeCell ref="B150:H150"/>
    <mergeCell ref="B145:H145"/>
    <mergeCell ref="A48:B48"/>
    <mergeCell ref="C48:H48"/>
    <mergeCell ref="B143:H143"/>
    <mergeCell ref="F82:H82"/>
    <mergeCell ref="A82:E82"/>
    <mergeCell ref="G122:H122"/>
    <mergeCell ref="G118:H118"/>
    <mergeCell ref="G115:H115"/>
    <mergeCell ref="D99:D100"/>
    <mergeCell ref="A84:E84"/>
    <mergeCell ref="A120:H120"/>
    <mergeCell ref="A113:B113"/>
    <mergeCell ref="G123:H123"/>
    <mergeCell ref="G121:H121"/>
    <mergeCell ref="A128:B128"/>
    <mergeCell ref="A129:B129"/>
    <mergeCell ref="A118:B118"/>
    <mergeCell ref="B141:H141"/>
    <mergeCell ref="B142:H142"/>
    <mergeCell ref="G133:H133"/>
    <mergeCell ref="G131:H131"/>
    <mergeCell ref="A138:H138"/>
    <mergeCell ref="A130:B130"/>
    <mergeCell ref="A131:B131"/>
    <mergeCell ref="G129:H129"/>
    <mergeCell ref="A126:H126"/>
    <mergeCell ref="G137:H137"/>
    <mergeCell ref="A136:B136"/>
    <mergeCell ref="G136:H136"/>
    <mergeCell ref="B139:H139"/>
    <mergeCell ref="B140:H140"/>
    <mergeCell ref="A127:B127"/>
    <mergeCell ref="L111:M111"/>
    <mergeCell ref="A112:B112"/>
    <mergeCell ref="L112:M112"/>
    <mergeCell ref="L114:M114"/>
    <mergeCell ref="L113:M113"/>
    <mergeCell ref="L110:M110"/>
    <mergeCell ref="A111:B111"/>
    <mergeCell ref="A97:H97"/>
    <mergeCell ref="A104:B104"/>
    <mergeCell ref="A38:B38"/>
    <mergeCell ref="C38:H38"/>
    <mergeCell ref="A45:D45"/>
    <mergeCell ref="L105:M105"/>
    <mergeCell ref="L104:M104"/>
    <mergeCell ref="L103:M103"/>
    <mergeCell ref="L102:M102"/>
    <mergeCell ref="A77:B77"/>
    <mergeCell ref="C96:D96"/>
    <mergeCell ref="E96:F96"/>
    <mergeCell ref="F87:H87"/>
    <mergeCell ref="A81:E81"/>
    <mergeCell ref="A101:H101"/>
    <mergeCell ref="E99:E100"/>
    <mergeCell ref="G99:H100"/>
    <mergeCell ref="A83:E83"/>
    <mergeCell ref="A80:E80"/>
    <mergeCell ref="F84:H84"/>
    <mergeCell ref="A85:E85"/>
    <mergeCell ref="A76:B76"/>
    <mergeCell ref="A69:B69"/>
    <mergeCell ref="A72:B72"/>
    <mergeCell ref="A68:B68"/>
    <mergeCell ref="A66:B66"/>
    <mergeCell ref="A37:H37"/>
    <mergeCell ref="A36:B36"/>
    <mergeCell ref="C36:E36"/>
    <mergeCell ref="A41:D41"/>
    <mergeCell ref="E41:H41"/>
    <mergeCell ref="A40:H40"/>
    <mergeCell ref="A59:C59"/>
    <mergeCell ref="A60:C60"/>
    <mergeCell ref="D59:H59"/>
    <mergeCell ref="D60:H60"/>
    <mergeCell ref="A43:D43"/>
    <mergeCell ref="E43:H43"/>
    <mergeCell ref="E44:H44"/>
    <mergeCell ref="E45:H45"/>
    <mergeCell ref="E46:H46"/>
    <mergeCell ref="A44:D44"/>
    <mergeCell ref="A39:B39"/>
    <mergeCell ref="C39:H39"/>
    <mergeCell ref="F36:H36"/>
    <mergeCell ref="A57:C57"/>
    <mergeCell ref="G50:H50"/>
    <mergeCell ref="A51:B52"/>
    <mergeCell ref="C52:H52"/>
    <mergeCell ref="C51:E51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F33:H33"/>
    <mergeCell ref="F34:H34"/>
    <mergeCell ref="E26:H26"/>
    <mergeCell ref="A28:D28"/>
    <mergeCell ref="E28:H28"/>
    <mergeCell ref="A25:D25"/>
    <mergeCell ref="E25:H25"/>
    <mergeCell ref="A24:D24"/>
    <mergeCell ref="E24:H24"/>
    <mergeCell ref="A29:D29"/>
    <mergeCell ref="E29:H29"/>
    <mergeCell ref="A26:D26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8:B18"/>
    <mergeCell ref="C18:D18"/>
    <mergeCell ref="E18:F18"/>
    <mergeCell ref="G18:H18"/>
    <mergeCell ref="A19:B19"/>
    <mergeCell ref="C19:D19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D65:H65"/>
    <mergeCell ref="A63:C63"/>
    <mergeCell ref="E70:F79"/>
    <mergeCell ref="G70:H79"/>
    <mergeCell ref="A78:B78"/>
    <mergeCell ref="D64:H64"/>
    <mergeCell ref="A70:B70"/>
    <mergeCell ref="G69:H69"/>
    <mergeCell ref="A79:B79"/>
    <mergeCell ref="A159:H162"/>
    <mergeCell ref="A158:B158"/>
    <mergeCell ref="E158:F158"/>
    <mergeCell ref="C158:D158"/>
    <mergeCell ref="G158:H158"/>
    <mergeCell ref="A92:E92"/>
    <mergeCell ref="F92:H92"/>
    <mergeCell ref="A93:E93"/>
    <mergeCell ref="F93:H93"/>
    <mergeCell ref="A114:H114"/>
    <mergeCell ref="A96:B96"/>
    <mergeCell ref="A123:B123"/>
    <mergeCell ref="A154:H154"/>
    <mergeCell ref="A94:H94"/>
    <mergeCell ref="A157:H157"/>
    <mergeCell ref="A155:H155"/>
    <mergeCell ref="A151:H151"/>
    <mergeCell ref="G95:H95"/>
    <mergeCell ref="G127:H127"/>
    <mergeCell ref="A125:B125"/>
    <mergeCell ref="C99:C100"/>
    <mergeCell ref="A119:B119"/>
    <mergeCell ref="A116:B116"/>
    <mergeCell ref="G119:H119"/>
    <mergeCell ref="A86:E86"/>
    <mergeCell ref="F86:H86"/>
    <mergeCell ref="A87:E87"/>
    <mergeCell ref="A89:E89"/>
    <mergeCell ref="F83:H83"/>
    <mergeCell ref="A88:E88"/>
    <mergeCell ref="A106:H106"/>
    <mergeCell ref="A108:H108"/>
    <mergeCell ref="A156:H156"/>
    <mergeCell ref="A153:H153"/>
    <mergeCell ref="G130:H130"/>
    <mergeCell ref="A115:B115"/>
    <mergeCell ref="A95:B95"/>
    <mergeCell ref="G107:H107"/>
    <mergeCell ref="A137:B137"/>
    <mergeCell ref="A105:B105"/>
    <mergeCell ref="B147:H147"/>
    <mergeCell ref="A117:B117"/>
    <mergeCell ref="A91:E91"/>
    <mergeCell ref="G116:H116"/>
    <mergeCell ref="B99:B100"/>
    <mergeCell ref="A99:A100"/>
    <mergeCell ref="G125:H125"/>
    <mergeCell ref="G124:H124"/>
    <mergeCell ref="F81:H81"/>
    <mergeCell ref="G96:H96"/>
    <mergeCell ref="F88:H88"/>
    <mergeCell ref="A109:H109"/>
    <mergeCell ref="A124:B124"/>
    <mergeCell ref="A121:B121"/>
    <mergeCell ref="G117:H117"/>
    <mergeCell ref="A102:B102"/>
    <mergeCell ref="A152:H152"/>
    <mergeCell ref="E95:F95"/>
    <mergeCell ref="B146:H146"/>
    <mergeCell ref="G104:H104"/>
    <mergeCell ref="G102:H102"/>
    <mergeCell ref="G103:H103"/>
    <mergeCell ref="G105:H105"/>
    <mergeCell ref="F85:H85"/>
    <mergeCell ref="B148:H148"/>
    <mergeCell ref="B144:H144"/>
    <mergeCell ref="A135:B135"/>
    <mergeCell ref="G135:H135"/>
    <mergeCell ref="G134:H134"/>
    <mergeCell ref="A132:H132"/>
    <mergeCell ref="A133:B133"/>
    <mergeCell ref="A134:B134"/>
    <mergeCell ref="E42:H42"/>
    <mergeCell ref="A42:D42"/>
    <mergeCell ref="A75:B75"/>
    <mergeCell ref="A49:B49"/>
    <mergeCell ref="C49:E49"/>
    <mergeCell ref="G49:H49"/>
    <mergeCell ref="G51:H51"/>
    <mergeCell ref="A50:B50"/>
    <mergeCell ref="A54:H54"/>
    <mergeCell ref="A55:C55"/>
    <mergeCell ref="A56:C56"/>
    <mergeCell ref="D56:H56"/>
    <mergeCell ref="G53:H53"/>
    <mergeCell ref="C66:H66"/>
    <mergeCell ref="A74:B74"/>
    <mergeCell ref="A61:C61"/>
    <mergeCell ref="D61:H61"/>
    <mergeCell ref="C68:H68"/>
    <mergeCell ref="A71:B71"/>
    <mergeCell ref="A73:B73"/>
    <mergeCell ref="E69:F69"/>
    <mergeCell ref="A62:C62"/>
    <mergeCell ref="D62:H62"/>
    <mergeCell ref="A65:C65"/>
    <mergeCell ref="F80:H80"/>
    <mergeCell ref="A58:C58"/>
    <mergeCell ref="D58:H58"/>
    <mergeCell ref="C50:E50"/>
    <mergeCell ref="I14:P14"/>
    <mergeCell ref="G128:H128"/>
    <mergeCell ref="F91:H91"/>
    <mergeCell ref="F89:H89"/>
    <mergeCell ref="A122:B122"/>
    <mergeCell ref="A98:H98"/>
    <mergeCell ref="A90:E90"/>
    <mergeCell ref="A103:B103"/>
    <mergeCell ref="A53:B53"/>
    <mergeCell ref="C53:E53"/>
    <mergeCell ref="D55:H55"/>
    <mergeCell ref="F90:H90"/>
    <mergeCell ref="C95:D95"/>
    <mergeCell ref="D63:H63"/>
    <mergeCell ref="A64:C64"/>
    <mergeCell ref="A46:D46"/>
    <mergeCell ref="A47:H47"/>
    <mergeCell ref="D57:H57"/>
    <mergeCell ref="G110:H113"/>
    <mergeCell ref="A110:B110"/>
  </mergeCells>
  <dataValidations count="13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E99:E100">
      <formula1>"Attached Loft area,Attached Terrace area,Attached Mezzanine area"</formula1>
    </dataValidation>
    <dataValidation type="list" allowBlank="1" showInputMessage="1" showErrorMessage="1" sqref="F100">
      <formula1>"45%,50%,55%,60%"</formula1>
    </dataValidation>
    <dataValidation type="list" allowBlank="1" showInputMessage="1" showErrorMessage="1" sqref="G158:H158">
      <formula1>"Kunal Kadam,Pranita Mhatre,Shruti Fule,Pooja Kawale,Mansee Mohite,Anjali Kamble, Hitakshi Mhatre, Sachin Sawant"</formula1>
    </dataValidation>
    <dataValidation type="list" allowBlank="1" showInputMessage="1" showErrorMessage="1" sqref="F80:H80">
      <formula1>"On Saleable Area,On Builtup Area,On Carpet Area,On Plot Area"</formula1>
    </dataValidation>
    <dataValidation type="list" allowBlank="1" showInputMessage="1" showErrorMessage="1" sqref="F92:H92">
      <formula1>"100000,150000,200000,250000,300000,350000,400000,500000,600000,700000,800000,900000,1000000,1200000,1400000,1500000"</formula1>
    </dataValidation>
    <dataValidation type="list" allowBlank="1" showInputMessage="1" showErrorMessage="1" sqref="F99 F107">
      <formula1>"Saleable area Loading :,Builder Saleable area"</formula1>
    </dataValidation>
    <dataValidation type="list" allowBlank="1" showInputMessage="1" showErrorMessage="1" sqref="B99:B100">
      <formula1>"Shop No. (Sale Plan),Sale / Rehab,Sale / Mhada"</formula1>
    </dataValidation>
    <dataValidation type="list" allowBlank="1" showInputMessage="1" showErrorMessage="1" sqref="B107">
      <formula1>"Flat No. (Sale Plan),Sale / Rehab,Sale / Mhada"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Y12">
      <formula1>$D$4:$H$4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79" max="7" man="1"/>
    <brk id="162" max="16383" man="1"/>
    <brk id="205" max="16383" man="1"/>
    <brk id="245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54296875" defaultRowHeight="14.5" x14ac:dyDescent="0.35"/>
  <cols>
    <col min="1" max="1" width="8.5429687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5429687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76" t="s">
        <v>107</v>
      </c>
      <c r="C3" s="176"/>
      <c r="D3" s="176"/>
      <c r="E3" s="176"/>
      <c r="F3" s="176"/>
      <c r="G3" s="176"/>
      <c r="H3" s="176"/>
    </row>
    <row r="4" spans="1:9" x14ac:dyDescent="0.35">
      <c r="A4" s="2"/>
      <c r="B4" s="3" t="s">
        <v>108</v>
      </c>
      <c r="C4" s="3" t="s">
        <v>109</v>
      </c>
      <c r="D4" s="3" t="s">
        <v>69</v>
      </c>
      <c r="E4" s="3" t="s">
        <v>110</v>
      </c>
      <c r="F4" s="3" t="s">
        <v>116</v>
      </c>
      <c r="G4" s="3" t="s">
        <v>117</v>
      </c>
      <c r="H4" s="3" t="s">
        <v>111</v>
      </c>
    </row>
    <row r="5" spans="1:9" ht="15" customHeight="1" x14ac:dyDescent="0.35">
      <c r="A5" s="2"/>
      <c r="B5" s="5" t="s">
        <v>112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112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112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112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112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113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113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114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115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topLeftCell="A16" zoomScale="130" zoomScaleNormal="130" workbookViewId="0">
      <selection activeCell="C30" sqref="C30"/>
    </sheetView>
  </sheetViews>
  <sheetFormatPr defaultRowHeight="14.5" x14ac:dyDescent="0.35"/>
  <cols>
    <col min="4" max="4" width="11" bestFit="1" customWidth="1"/>
    <col min="5" max="5" width="10.453125" bestFit="1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54"/>
      <c r="C4" s="54" t="s">
        <v>12</v>
      </c>
      <c r="D4" s="55" t="s">
        <v>179</v>
      </c>
      <c r="E4" s="55" t="s">
        <v>189</v>
      </c>
      <c r="F4" s="55" t="s">
        <v>174</v>
      </c>
      <c r="G4" s="55" t="s">
        <v>194</v>
      </c>
      <c r="H4" s="55" t="s">
        <v>212</v>
      </c>
      <c r="J4" t="s">
        <v>194</v>
      </c>
      <c r="K4" t="s">
        <v>210</v>
      </c>
    </row>
    <row r="5" spans="2:11" x14ac:dyDescent="0.35">
      <c r="B5" s="54"/>
      <c r="C5" s="54"/>
      <c r="D5" s="55" t="s">
        <v>180</v>
      </c>
      <c r="E5" s="55" t="s">
        <v>187</v>
      </c>
      <c r="F5" s="55" t="s">
        <v>209</v>
      </c>
      <c r="G5" s="55" t="s">
        <v>195</v>
      </c>
      <c r="H5" s="55" t="s">
        <v>213</v>
      </c>
    </row>
    <row r="6" spans="2:11" x14ac:dyDescent="0.35">
      <c r="B6" s="54"/>
      <c r="C6" s="54"/>
      <c r="D6" s="55" t="s">
        <v>181</v>
      </c>
      <c r="E6" s="55" t="s">
        <v>188</v>
      </c>
      <c r="F6" s="55" t="s">
        <v>210</v>
      </c>
      <c r="G6" s="55" t="s">
        <v>196</v>
      </c>
      <c r="H6" s="55" t="s">
        <v>226</v>
      </c>
    </row>
    <row r="7" spans="2:11" x14ac:dyDescent="0.35">
      <c r="B7" s="54"/>
      <c r="C7" s="54"/>
      <c r="D7" s="55" t="s">
        <v>182</v>
      </c>
      <c r="E7" s="55" t="s">
        <v>190</v>
      </c>
      <c r="F7" s="55" t="s">
        <v>211</v>
      </c>
      <c r="G7" s="55" t="s">
        <v>197</v>
      </c>
      <c r="H7" s="55" t="s">
        <v>214</v>
      </c>
    </row>
    <row r="8" spans="2:11" x14ac:dyDescent="0.35">
      <c r="B8" s="54"/>
      <c r="C8" s="54"/>
      <c r="D8" s="55" t="s">
        <v>183</v>
      </c>
      <c r="E8" s="55" t="s">
        <v>191</v>
      </c>
      <c r="F8" s="55"/>
      <c r="G8" s="55" t="s">
        <v>198</v>
      </c>
      <c r="H8" s="55" t="s">
        <v>215</v>
      </c>
    </row>
    <row r="9" spans="2:11" x14ac:dyDescent="0.35">
      <c r="B9" s="54"/>
      <c r="C9" s="54"/>
      <c r="D9" s="55" t="s">
        <v>184</v>
      </c>
      <c r="E9" s="55" t="s">
        <v>189</v>
      </c>
      <c r="F9" s="55"/>
      <c r="G9" s="55" t="s">
        <v>199</v>
      </c>
      <c r="H9" s="55" t="s">
        <v>216</v>
      </c>
    </row>
    <row r="10" spans="2:11" x14ac:dyDescent="0.35">
      <c r="B10" s="54"/>
      <c r="C10" s="54"/>
      <c r="D10" s="55" t="s">
        <v>185</v>
      </c>
      <c r="E10" s="55" t="s">
        <v>192</v>
      </c>
      <c r="F10" s="55"/>
      <c r="G10" s="55" t="s">
        <v>200</v>
      </c>
      <c r="H10" s="55" t="s">
        <v>217</v>
      </c>
    </row>
    <row r="11" spans="2:11" x14ac:dyDescent="0.35">
      <c r="B11" s="54"/>
      <c r="C11" s="54"/>
      <c r="D11" s="55" t="s">
        <v>186</v>
      </c>
      <c r="E11" s="55" t="s">
        <v>193</v>
      </c>
      <c r="F11" s="55"/>
      <c r="G11" s="55" t="s">
        <v>201</v>
      </c>
      <c r="H11" s="55" t="s">
        <v>218</v>
      </c>
    </row>
    <row r="12" spans="2:11" x14ac:dyDescent="0.35">
      <c r="B12" s="54"/>
      <c r="C12" s="54"/>
      <c r="D12" s="55"/>
      <c r="E12" s="55"/>
      <c r="F12" s="55"/>
      <c r="G12" s="55" t="s">
        <v>202</v>
      </c>
      <c r="H12" s="55" t="s">
        <v>219</v>
      </c>
    </row>
    <row r="13" spans="2:11" x14ac:dyDescent="0.35">
      <c r="B13" s="54"/>
      <c r="C13" s="54"/>
      <c r="D13" s="55"/>
      <c r="E13" s="55"/>
      <c r="F13" s="55"/>
      <c r="G13" s="55" t="s">
        <v>203</v>
      </c>
      <c r="H13" s="55" t="s">
        <v>220</v>
      </c>
    </row>
    <row r="14" spans="2:11" x14ac:dyDescent="0.35">
      <c r="B14" s="54"/>
      <c r="C14" s="54"/>
      <c r="D14" s="55"/>
      <c r="E14" s="55"/>
      <c r="F14" s="55"/>
      <c r="G14" s="55" t="s">
        <v>204</v>
      </c>
      <c r="H14" s="55" t="s">
        <v>221</v>
      </c>
    </row>
    <row r="15" spans="2:11" x14ac:dyDescent="0.35">
      <c r="B15" s="54"/>
      <c r="C15" s="54"/>
      <c r="D15" s="55"/>
      <c r="E15" s="55"/>
      <c r="F15" s="55"/>
      <c r="G15" s="55" t="s">
        <v>205</v>
      </c>
      <c r="H15" s="55" t="s">
        <v>222</v>
      </c>
    </row>
    <row r="16" spans="2:11" x14ac:dyDescent="0.35">
      <c r="B16" s="54"/>
      <c r="C16" s="54"/>
      <c r="D16" s="55"/>
      <c r="E16" s="55"/>
      <c r="F16" s="55"/>
      <c r="G16" s="55" t="s">
        <v>206</v>
      </c>
      <c r="H16" s="55" t="s">
        <v>223</v>
      </c>
    </row>
    <row r="17" spans="2:8" x14ac:dyDescent="0.35">
      <c r="B17" s="54"/>
      <c r="C17" s="54"/>
      <c r="D17" s="55"/>
      <c r="E17" s="55"/>
      <c r="F17" s="55"/>
      <c r="G17" s="55" t="s">
        <v>207</v>
      </c>
      <c r="H17" s="55" t="s">
        <v>224</v>
      </c>
    </row>
    <row r="18" spans="2:8" x14ac:dyDescent="0.35">
      <c r="B18" s="54"/>
      <c r="C18" s="54"/>
      <c r="D18" s="55"/>
      <c r="E18" s="55"/>
      <c r="F18" s="55"/>
      <c r="G18" s="55" t="s">
        <v>208</v>
      </c>
      <c r="H18" s="55" t="s">
        <v>225</v>
      </c>
    </row>
    <row r="24" spans="2:8" x14ac:dyDescent="0.35">
      <c r="C24" t="s">
        <v>171</v>
      </c>
    </row>
    <row r="25" spans="2:8" x14ac:dyDescent="0.35">
      <c r="C25" t="s">
        <v>227</v>
      </c>
    </row>
    <row r="26" spans="2:8" x14ac:dyDescent="0.35">
      <c r="C26" t="s">
        <v>228</v>
      </c>
    </row>
    <row r="27" spans="2:8" x14ac:dyDescent="0.35">
      <c r="C27" t="s">
        <v>229</v>
      </c>
    </row>
    <row r="28" spans="2:8" x14ac:dyDescent="0.35">
      <c r="C28" t="s">
        <v>230</v>
      </c>
    </row>
    <row r="29" spans="2:8" x14ac:dyDescent="0.35">
      <c r="C29" t="s">
        <v>231</v>
      </c>
    </row>
    <row r="30" spans="2:8" x14ac:dyDescent="0.35">
      <c r="C30" t="s">
        <v>171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2025-08-07T04:57:07Z</cp:lastPrinted>
  <dcterms:created xsi:type="dcterms:W3CDTF">2019-07-16T09:29:46Z</dcterms:created>
  <dcterms:modified xsi:type="dcterms:W3CDTF">2025-08-07T09:59:33Z</dcterms:modified>
</cp:coreProperties>
</file>