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51\Downloads\"/>
    </mc:Choice>
  </mc:AlternateContent>
  <bookViews>
    <workbookView xWindow="0" yWindow="0" windowWidth="20490" windowHeight="6855"/>
  </bookViews>
  <sheets>
    <sheet name="Report" sheetId="1" r:id="rId1"/>
    <sheet name="VALUTATION" sheetId="5" r:id="rId2"/>
    <sheet name="Flat detail" sheetId="3" r:id="rId3"/>
    <sheet name="Note" sheetId="4" r:id="rId4"/>
  </sheets>
  <definedNames>
    <definedName name="_xlnm.Print_Area" localSheetId="0">Report!$A$1:$H$428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0" i="1" l="1"/>
  <c r="J150" i="1"/>
  <c r="C59" i="1" l="1"/>
  <c r="B60" i="1" s="1"/>
  <c r="H60" i="1"/>
  <c r="D73" i="1" l="1"/>
  <c r="D69" i="1"/>
  <c r="J65" i="1"/>
  <c r="D72" i="1"/>
  <c r="D68" i="1"/>
  <c r="D71" i="1"/>
  <c r="D67" i="1"/>
  <c r="J66" i="1"/>
  <c r="C65" i="1" s="1"/>
  <c r="J64" i="1"/>
  <c r="J59" i="1"/>
  <c r="J61" i="1" s="1"/>
  <c r="D74" i="1"/>
  <c r="D70" i="1"/>
  <c r="J67" i="1"/>
  <c r="J68" i="1" s="1"/>
  <c r="J73" i="1" s="1"/>
  <c r="J74" i="1" s="1"/>
  <c r="C66" i="1" s="1"/>
  <c r="J71" i="1"/>
  <c r="J70" i="1"/>
  <c r="J72" i="1"/>
  <c r="J69" i="1"/>
  <c r="E65" i="1" l="1"/>
  <c r="C62" i="1" s="1"/>
  <c r="D66" i="1"/>
  <c r="G65" i="1"/>
  <c r="G62" i="1" s="1"/>
  <c r="D65" i="1"/>
  <c r="I60" i="1" l="1"/>
  <c r="J60" i="1"/>
  <c r="I59" i="1" l="1"/>
  <c r="C61" i="1" s="1"/>
  <c r="I61" i="1"/>
  <c r="E3" i="1"/>
  <c r="F6" i="5" l="1"/>
  <c r="G6" i="5" s="1"/>
  <c r="F7" i="5"/>
  <c r="G7" i="5" s="1"/>
  <c r="F5" i="5"/>
  <c r="G5" i="5" s="1"/>
  <c r="C93" i="1"/>
  <c r="G8" i="5" l="1"/>
  <c r="E328" i="1"/>
  <c r="D328" i="1"/>
  <c r="E327" i="1"/>
  <c r="D327" i="1"/>
  <c r="E323" i="1"/>
  <c r="D323" i="1"/>
  <c r="E322" i="1"/>
  <c r="D322" i="1"/>
  <c r="E325" i="1"/>
  <c r="D325" i="1"/>
  <c r="E320" i="1"/>
  <c r="D320" i="1"/>
  <c r="E318" i="1"/>
  <c r="D318" i="1"/>
  <c r="E317" i="1"/>
  <c r="D317" i="1"/>
  <c r="E316" i="1"/>
  <c r="D316" i="1"/>
  <c r="E315" i="1"/>
  <c r="D315" i="1"/>
  <c r="E311" i="1"/>
  <c r="D311" i="1"/>
  <c r="E313" i="1"/>
  <c r="E312" i="1"/>
  <c r="E310" i="1"/>
  <c r="D313" i="1"/>
  <c r="D312" i="1"/>
  <c r="D310" i="1"/>
  <c r="E305" i="1"/>
  <c r="D305" i="1"/>
  <c r="E304" i="1"/>
  <c r="D304" i="1"/>
  <c r="E303" i="1"/>
  <c r="D303" i="1"/>
  <c r="E302" i="1"/>
  <c r="D302" i="1"/>
  <c r="E298" i="1"/>
  <c r="D298" i="1"/>
  <c r="E297" i="1"/>
  <c r="D297" i="1"/>
  <c r="E296" i="1"/>
  <c r="D296" i="1"/>
  <c r="E295" i="1"/>
  <c r="D295" i="1"/>
  <c r="E300" i="1"/>
  <c r="D300" i="1"/>
  <c r="E293" i="1"/>
  <c r="D293" i="1"/>
  <c r="E291" i="1"/>
  <c r="D291" i="1"/>
  <c r="E290" i="1"/>
  <c r="D290" i="1"/>
  <c r="E289" i="1"/>
  <c r="D289" i="1"/>
  <c r="E288" i="1"/>
  <c r="D288" i="1"/>
  <c r="E287" i="1"/>
  <c r="D287" i="1"/>
  <c r="E286" i="1"/>
  <c r="D286" i="1"/>
  <c r="E284" i="1"/>
  <c r="E283" i="1"/>
  <c r="E282" i="1"/>
  <c r="E281" i="1"/>
  <c r="E280" i="1"/>
  <c r="E279" i="1"/>
  <c r="D284" i="1"/>
  <c r="D283" i="1"/>
  <c r="D281" i="1"/>
  <c r="D282" i="1"/>
  <c r="D280" i="1"/>
  <c r="D279" i="1"/>
  <c r="E264" i="1"/>
  <c r="D264" i="1"/>
  <c r="E263" i="1"/>
  <c r="D263" i="1"/>
  <c r="E262" i="1"/>
  <c r="D262" i="1"/>
  <c r="E267" i="1"/>
  <c r="D267" i="1"/>
  <c r="E266" i="1"/>
  <c r="D266" i="1"/>
  <c r="E260" i="1"/>
  <c r="D260" i="1"/>
  <c r="E259" i="1"/>
  <c r="D259" i="1"/>
  <c r="E257" i="1"/>
  <c r="D257" i="1"/>
  <c r="E256" i="1"/>
  <c r="D256" i="1"/>
  <c r="E255" i="1"/>
  <c r="D255" i="1"/>
  <c r="E253" i="1"/>
  <c r="D253" i="1"/>
  <c r="E252" i="1"/>
  <c r="D252" i="1"/>
  <c r="E251" i="1"/>
  <c r="D251" i="1"/>
  <c r="E250" i="1"/>
  <c r="D250" i="1"/>
  <c r="E249" i="1"/>
  <c r="D249" i="1"/>
  <c r="E248" i="1"/>
  <c r="D248" i="1"/>
  <c r="E246" i="1"/>
  <c r="E245" i="1"/>
  <c r="E244" i="1"/>
  <c r="E242" i="1"/>
  <c r="E243" i="1"/>
  <c r="E241" i="1"/>
  <c r="D246" i="1"/>
  <c r="D245" i="1"/>
  <c r="D244" i="1"/>
  <c r="D243" i="1"/>
  <c r="D242" i="1"/>
  <c r="D241" i="1"/>
  <c r="E222" i="1"/>
  <c r="D222" i="1"/>
  <c r="E220" i="1"/>
  <c r="D220" i="1"/>
  <c r="E219" i="1"/>
  <c r="D219" i="1"/>
  <c r="E218" i="1"/>
  <c r="D218" i="1"/>
  <c r="E217" i="1"/>
  <c r="D217" i="1"/>
  <c r="E215" i="1"/>
  <c r="D215" i="1"/>
  <c r="E213" i="1"/>
  <c r="D213" i="1"/>
  <c r="E212" i="1"/>
  <c r="D212" i="1"/>
  <c r="E211" i="1"/>
  <c r="D211" i="1"/>
  <c r="E210" i="1"/>
  <c r="D210" i="1"/>
  <c r="E208" i="1"/>
  <c r="D208" i="1"/>
  <c r="E207" i="1"/>
  <c r="D207" i="1"/>
  <c r="E206" i="1"/>
  <c r="D206" i="1"/>
  <c r="E205" i="1"/>
  <c r="D205" i="1"/>
  <c r="E204" i="1"/>
  <c r="D204" i="1"/>
  <c r="E203" i="1"/>
  <c r="D203" i="1"/>
  <c r="F203" i="1" s="1"/>
  <c r="I203" i="1" s="1"/>
  <c r="E201" i="1"/>
  <c r="E200" i="1"/>
  <c r="E199" i="1"/>
  <c r="E198" i="1"/>
  <c r="E197" i="1"/>
  <c r="E196" i="1"/>
  <c r="D201" i="1"/>
  <c r="D200" i="1"/>
  <c r="D199" i="1"/>
  <c r="D198" i="1"/>
  <c r="D197" i="1"/>
  <c r="D196" i="1"/>
  <c r="E184" i="1"/>
  <c r="D184" i="1"/>
  <c r="E182" i="1"/>
  <c r="D182" i="1"/>
  <c r="E181" i="1"/>
  <c r="D181" i="1"/>
  <c r="E179" i="1"/>
  <c r="E177" i="1"/>
  <c r="E176" i="1"/>
  <c r="E174" i="1"/>
  <c r="E173" i="1"/>
  <c r="E172" i="1"/>
  <c r="E171" i="1"/>
  <c r="D179" i="1"/>
  <c r="D177" i="1"/>
  <c r="D176" i="1"/>
  <c r="D174" i="1"/>
  <c r="D173" i="1"/>
  <c r="D172" i="1"/>
  <c r="D171" i="1"/>
  <c r="D168" i="1"/>
  <c r="D169" i="1"/>
  <c r="E169" i="1"/>
  <c r="E167" i="1"/>
  <c r="E168" i="1"/>
  <c r="D167" i="1"/>
  <c r="E166" i="1"/>
  <c r="D166" i="1"/>
  <c r="C156" i="1" l="1"/>
  <c r="C155" i="1"/>
  <c r="C153" i="1"/>
  <c r="C154" i="1"/>
  <c r="C152" i="1"/>
  <c r="F181" i="1"/>
  <c r="F184" i="1"/>
  <c r="F182" i="1"/>
  <c r="G181" i="1"/>
  <c r="F222" i="1"/>
  <c r="F220" i="1"/>
  <c r="F219" i="1"/>
  <c r="F218" i="1"/>
  <c r="G217" i="1"/>
  <c r="F217" i="1"/>
  <c r="F267" i="1"/>
  <c r="F266" i="1"/>
  <c r="F264" i="1"/>
  <c r="F263" i="1"/>
  <c r="G262" i="1"/>
  <c r="F262" i="1"/>
  <c r="F260" i="1"/>
  <c r="F259" i="1"/>
  <c r="D258" i="1"/>
  <c r="F258" i="1" s="1"/>
  <c r="F257" i="1"/>
  <c r="F256" i="1"/>
  <c r="G255" i="1"/>
  <c r="F255" i="1"/>
  <c r="F305" i="1"/>
  <c r="F304" i="1"/>
  <c r="F303" i="1"/>
  <c r="F302" i="1"/>
  <c r="G300" i="1"/>
  <c r="F300" i="1"/>
  <c r="F298" i="1"/>
  <c r="F297" i="1"/>
  <c r="F296" i="1"/>
  <c r="F295" i="1"/>
  <c r="D294" i="1"/>
  <c r="F294" i="1" s="1"/>
  <c r="G293" i="1"/>
  <c r="F293" i="1"/>
  <c r="F323" i="1"/>
  <c r="F322" i="1"/>
  <c r="G320" i="1"/>
  <c r="F320" i="1"/>
  <c r="F328" i="1"/>
  <c r="F327" i="1"/>
  <c r="G325" i="1"/>
  <c r="F325" i="1"/>
  <c r="F179" i="1"/>
  <c r="F177" i="1"/>
  <c r="G176" i="1"/>
  <c r="F176" i="1"/>
  <c r="F215" i="1"/>
  <c r="F213" i="1"/>
  <c r="F212" i="1"/>
  <c r="F211" i="1"/>
  <c r="G210" i="1"/>
  <c r="F210" i="1"/>
  <c r="F245" i="1"/>
  <c r="F174" i="1"/>
  <c r="F173" i="1"/>
  <c r="F172" i="1"/>
  <c r="F169" i="1"/>
  <c r="I169" i="1" s="1"/>
  <c r="F168" i="1"/>
  <c r="F167" i="1"/>
  <c r="F166" i="1"/>
  <c r="F318" i="1"/>
  <c r="F317" i="1"/>
  <c r="F316" i="1"/>
  <c r="G315" i="1"/>
  <c r="F315" i="1"/>
  <c r="F291" i="1"/>
  <c r="F290" i="1"/>
  <c r="F289" i="1"/>
  <c r="F288" i="1"/>
  <c r="F287" i="1"/>
  <c r="G286" i="1"/>
  <c r="F286" i="1"/>
  <c r="F253" i="1"/>
  <c r="F252" i="1"/>
  <c r="F251" i="1"/>
  <c r="F250" i="1"/>
  <c r="F249" i="1"/>
  <c r="G248" i="1"/>
  <c r="F248" i="1"/>
  <c r="F208" i="1"/>
  <c r="F207" i="1"/>
  <c r="F206" i="1"/>
  <c r="F205" i="1"/>
  <c r="F204" i="1"/>
  <c r="G203" i="1"/>
  <c r="G171" i="1"/>
  <c r="F171" i="1"/>
  <c r="F313" i="1"/>
  <c r="F312" i="1"/>
  <c r="F311" i="1"/>
  <c r="F310" i="1"/>
  <c r="F284" i="1"/>
  <c r="F283" i="1"/>
  <c r="F282" i="1"/>
  <c r="F281" i="1"/>
  <c r="F280" i="1"/>
  <c r="G279" i="1"/>
  <c r="F279" i="1"/>
  <c r="F246" i="1"/>
  <c r="I246" i="1" s="1"/>
  <c r="F244" i="1"/>
  <c r="F243" i="1"/>
  <c r="F242" i="1"/>
  <c r="G241" i="1"/>
  <c r="F241" i="1"/>
  <c r="F201" i="1"/>
  <c r="F200" i="1"/>
  <c r="F199" i="1"/>
  <c r="F198" i="1"/>
  <c r="F197" i="1"/>
  <c r="G196" i="1"/>
  <c r="F196" i="1"/>
  <c r="G166" i="1"/>
  <c r="G310" i="1"/>
  <c r="D276" i="1"/>
  <c r="F276" i="1" s="1"/>
  <c r="D275" i="1"/>
  <c r="F275" i="1" s="1"/>
  <c r="D274" i="1"/>
  <c r="F274" i="1" s="1"/>
  <c r="D273" i="1"/>
  <c r="F273" i="1" s="1"/>
  <c r="D272" i="1"/>
  <c r="F272" i="1" s="1"/>
  <c r="D271" i="1"/>
  <c r="F271" i="1" s="1"/>
  <c r="D270" i="1"/>
  <c r="D238" i="1"/>
  <c r="F238" i="1" s="1"/>
  <c r="D228" i="1"/>
  <c r="F228" i="1" s="1"/>
  <c r="D237" i="1"/>
  <c r="F237" i="1" s="1"/>
  <c r="D236" i="1"/>
  <c r="F236" i="1" s="1"/>
  <c r="D235" i="1"/>
  <c r="F235" i="1" s="1"/>
  <c r="D234" i="1"/>
  <c r="F234" i="1" s="1"/>
  <c r="D233" i="1"/>
  <c r="F233" i="1" s="1"/>
  <c r="D232" i="1"/>
  <c r="F232" i="1" s="1"/>
  <c r="D231" i="1"/>
  <c r="F231" i="1" s="1"/>
  <c r="D230" i="1"/>
  <c r="F230" i="1" s="1"/>
  <c r="D229" i="1"/>
  <c r="F229" i="1" s="1"/>
  <c r="D227" i="1"/>
  <c r="F227" i="1" s="1"/>
  <c r="D226" i="1"/>
  <c r="F226" i="1" s="1"/>
  <c r="D225" i="1"/>
  <c r="D193" i="1"/>
  <c r="F193" i="1" s="1"/>
  <c r="D192" i="1"/>
  <c r="F192" i="1" s="1"/>
  <c r="D191" i="1"/>
  <c r="F191" i="1" s="1"/>
  <c r="D190" i="1"/>
  <c r="F190" i="1" s="1"/>
  <c r="D189" i="1"/>
  <c r="F189" i="1" s="1"/>
  <c r="D188" i="1"/>
  <c r="F188" i="1" s="1"/>
  <c r="D187" i="1"/>
  <c r="D129" i="1"/>
  <c r="D128" i="1"/>
  <c r="D127" i="1"/>
  <c r="D126" i="1"/>
  <c r="D125" i="1"/>
  <c r="D124" i="1"/>
  <c r="G123" i="1"/>
  <c r="D123" i="1"/>
  <c r="I119" i="1"/>
  <c r="C121" i="1" s="1"/>
  <c r="E123" i="1" s="1"/>
  <c r="D118" i="1"/>
  <c r="D117" i="1"/>
  <c r="D116" i="1"/>
  <c r="D115" i="1"/>
  <c r="D114" i="1"/>
  <c r="D113" i="1"/>
  <c r="G112" i="1"/>
  <c r="D112" i="1"/>
  <c r="I108" i="1"/>
  <c r="C110" i="1" s="1"/>
  <c r="E112" i="1" s="1"/>
  <c r="D107" i="1"/>
  <c r="D106" i="1"/>
  <c r="D105" i="1"/>
  <c r="D104" i="1"/>
  <c r="D103" i="1"/>
  <c r="D102" i="1"/>
  <c r="G101" i="1"/>
  <c r="D101" i="1"/>
  <c r="I97" i="1"/>
  <c r="C99" i="1" s="1"/>
  <c r="E101" i="1" s="1"/>
  <c r="D96" i="1"/>
  <c r="D95" i="1"/>
  <c r="D94" i="1"/>
  <c r="D93" i="1"/>
  <c r="D92" i="1"/>
  <c r="D91" i="1"/>
  <c r="G90" i="1"/>
  <c r="D90" i="1"/>
  <c r="I86" i="1"/>
  <c r="C88" i="1" s="1"/>
  <c r="E90" i="1" s="1"/>
  <c r="C157" i="1" l="1"/>
  <c r="F187" i="1"/>
  <c r="F146" i="1" s="1"/>
  <c r="C146" i="1"/>
  <c r="F270" i="1"/>
  <c r="F148" i="1" s="1"/>
  <c r="C148" i="1"/>
  <c r="F225" i="1"/>
  <c r="F147" i="1" s="1"/>
  <c r="C147" i="1"/>
  <c r="F156" i="1"/>
  <c r="F155" i="1"/>
  <c r="F154" i="1"/>
  <c r="F153" i="1"/>
  <c r="F152" i="1"/>
  <c r="D146" i="1"/>
  <c r="D153" i="1"/>
  <c r="D148" i="1"/>
  <c r="D152" i="1"/>
  <c r="D154" i="1"/>
  <c r="D155" i="1"/>
  <c r="D147" i="1"/>
  <c r="D156" i="1"/>
  <c r="I75" i="1"/>
  <c r="G79" i="1"/>
  <c r="F149" i="1" l="1"/>
  <c r="F157" i="1"/>
  <c r="D157" i="1"/>
  <c r="D149" i="1"/>
  <c r="C149" i="1"/>
  <c r="C77" i="1"/>
  <c r="E79" i="1" s="1"/>
  <c r="D80" i="1" l="1"/>
  <c r="D85" i="1"/>
  <c r="D84" i="1"/>
  <c r="D83" i="1"/>
  <c r="D82" i="1"/>
  <c r="D81" i="1"/>
  <c r="D79" i="1"/>
  <c r="E7" i="1" l="1"/>
  <c r="E40" i="1" l="1"/>
  <c r="D343" i="1" l="1"/>
  <c r="F143" i="1"/>
  <c r="G46" i="1"/>
  <c r="C46" i="1"/>
  <c r="E41"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<sst xmlns="http://schemas.openxmlformats.org/spreadsheetml/2006/main" count="592" uniqueCount="265">
  <si>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</si>
  <si>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</si>
  <si>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</si>
  <si>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</si>
  <si>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</si>
  <si>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</si>
  <si>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</si>
  <si>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</si>
  <si>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</si>
  <si>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</si>
  <si>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</si>
  <si>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</si>
  <si>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</si>
  <si>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</si>
  <si>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</si>
  <si>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</si>
  <si>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</si>
  <si>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</si>
  <si>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</si>
  <si>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</si>
  <si>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</si>
  <si>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</si>
  <si>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</si>
  <si>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</si>
  <si>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</si>
  <si>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</si>
  <si>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</si>
  <si>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</si>
  <si>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</si>
  <si>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</si>
  <si>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</si>
  <si>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</si>
  <si>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</si>
  <si>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</si>
  <si>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</si>
  <si>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</si>
  <si>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</si>
  <si>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</si>
  <si>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</si>
  <si>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</si>
  <si>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</si>
  <si>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</si>
  <si>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</si>
  <si>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</si>
  <si>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</si>
  <si>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</si>
  <si>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</si>
  <si>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</si>
  <si>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</si>
  <si>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</si>
  <si>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</si>
  <si>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</si>
  <si>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</si>
  <si>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</si>
  <si>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</si>
  <si>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</si>
  <si>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</si>
  <si>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</si>
  <si>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Brick</t>
  </si>
  <si>
    <t>Plaster</t>
  </si>
  <si>
    <t>Flooring</t>
  </si>
  <si>
    <t>Painting &amp; Wooden Work</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</si>
  <si>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</si>
  <si>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</si>
  <si>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</si>
  <si>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</si>
  <si>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</si>
  <si>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</si>
  <si>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</si>
  <si>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</si>
  <si>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</si>
  <si>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</si>
  <si>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</si>
  <si>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</si>
  <si>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</si>
  <si>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</si>
  <si>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</si>
  <si>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</si>
  <si>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</si>
  <si>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</si>
  <si>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</si>
  <si>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</si>
  <si>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</si>
  <si>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</si>
  <si>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</si>
  <si>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</si>
  <si>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</si>
  <si>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</si>
  <si>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</si>
  <si>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</si>
  <si>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</si>
  <si>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</si>
  <si>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</si>
  <si>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</si>
  <si>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</si>
  <si>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</si>
  <si>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</si>
  <si>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</si>
  <si>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</si>
  <si>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</si>
  <si>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</si>
  <si>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</si>
  <si>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</si>
  <si>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</si>
  <si>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</si>
  <si>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</si>
  <si>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</si>
  <si>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</si>
  <si>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</si>
  <si>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</si>
  <si>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</si>
  <si>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</si>
  <si>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</si>
  <si>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</si>
  <si>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</si>
  <si>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</si>
  <si>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</si>
  <si>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</si>
  <si>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</si>
  <si>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</si>
  <si>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</si>
  <si>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</si>
  <si>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</si>
  <si>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</si>
  <si>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</si>
  <si>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</si>
  <si>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Floors</t>
  </si>
  <si>
    <t>Type of Structure</t>
  </si>
  <si>
    <t>RCC Frame Structure</t>
  </si>
  <si>
    <t>Completed Slab/Floor</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</si>
  <si>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</si>
  <si>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</si>
  <si>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</si>
  <si>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</si>
  <si>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</si>
  <si>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</si>
  <si>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</si>
  <si>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</si>
  <si>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</si>
  <si>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</si>
  <si>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</si>
  <si>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</si>
  <si>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</si>
  <si>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</si>
  <si>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Society Formation Charges</t>
  </si>
  <si>
    <t>Excavation in process</t>
  </si>
  <si>
    <t>Excavation Completed</t>
  </si>
  <si>
    <t>Footing in Process</t>
  </si>
  <si>
    <t>Footing Completed</t>
  </si>
  <si>
    <t>Plinth in process</t>
  </si>
  <si>
    <t>Plinth completed</t>
  </si>
  <si>
    <t>RCC Slab</t>
  </si>
  <si>
    <t>All work Completed. Part OC Received.</t>
  </si>
  <si>
    <t>All work Completed. Wait For OC.</t>
  </si>
  <si>
    <t>All work Completed. OC Received.</t>
  </si>
  <si>
    <t>Report By :</t>
  </si>
  <si>
    <t>18/09/2020.</t>
  </si>
  <si>
    <t>Axis Goregaon</t>
  </si>
  <si>
    <t>P99000008670</t>
  </si>
  <si>
    <t>Proposed Group Housing Scheme Known as "Global City" on New S.No.5, 5B, 5F, 5G, 5D at village Dongre, Virar (W), Tal Vasai, Dist Palghar 401303.</t>
  </si>
  <si>
    <t>5, 5B, 5F, 5G, 5D</t>
  </si>
  <si>
    <t>Dongre</t>
  </si>
  <si>
    <t>Palghar</t>
  </si>
  <si>
    <t>Vasai</t>
  </si>
  <si>
    <t>2.1Km from Virar Railway Station</t>
  </si>
  <si>
    <t>Chikhaldongari Road</t>
  </si>
  <si>
    <t xml:space="preserve">Virar </t>
  </si>
  <si>
    <t>Umiya Mango</t>
  </si>
  <si>
    <t>Middle Class</t>
  </si>
  <si>
    <t>Developing</t>
  </si>
  <si>
    <t>Open Plot</t>
  </si>
  <si>
    <t>Building</t>
  </si>
  <si>
    <t>05 Building</t>
  </si>
  <si>
    <t>VVCMC/AMEND/BP/VP0453/091/20/2017-18</t>
  </si>
  <si>
    <t>13/10/2017.</t>
  </si>
  <si>
    <t>VVCMC/AMEND/BP/VP0453/0127/20/2017-18</t>
  </si>
  <si>
    <t>11/12/2017.</t>
  </si>
  <si>
    <t>Construction details: Building No.4 (E wing) = Stilt/Gr + Podium + 14th Floor's</t>
  </si>
  <si>
    <t>Building No.1 - A wing</t>
  </si>
  <si>
    <t>Ground Floor For Parking</t>
  </si>
  <si>
    <t>Building No.2 - B wing</t>
  </si>
  <si>
    <t>Ground Floor For Parking &amp; Commercial</t>
  </si>
  <si>
    <t>Shop</t>
  </si>
  <si>
    <t>Building No.3 - C wing</t>
  </si>
  <si>
    <t xml:space="preserve">Ground Floor </t>
  </si>
  <si>
    <t>Ground Floor</t>
  </si>
  <si>
    <t>Building No.2A - D wing</t>
  </si>
  <si>
    <t>Building No.4 - E wing</t>
  </si>
  <si>
    <t>Podium Floor For Parking</t>
  </si>
  <si>
    <t>1st, 3rd, 5th, 7th, 9th, 11th Floor</t>
  </si>
  <si>
    <t>2BHK</t>
  </si>
  <si>
    <t>1BHK</t>
  </si>
  <si>
    <t>3BHK</t>
  </si>
  <si>
    <t>2nd, 4th, 6th, 10th, 12th, 14th Floor</t>
  </si>
  <si>
    <t>8th Floor</t>
  </si>
  <si>
    <t>Refuge Area</t>
  </si>
  <si>
    <t>13th Floor</t>
  </si>
  <si>
    <t>Legal  Charges</t>
  </si>
  <si>
    <t>13500/-</t>
  </si>
  <si>
    <t>Other Charges</t>
  </si>
  <si>
    <t>Approved Plans, CC, Sale Plans, Cost Sheet</t>
  </si>
  <si>
    <t>Survey No</t>
  </si>
  <si>
    <t>Building No.2 (B wing)</t>
  </si>
  <si>
    <t>Building No.3 (C wing)</t>
  </si>
  <si>
    <t>Building No.2A (D wing)</t>
  </si>
  <si>
    <t>Building No.1 (A wing)</t>
  </si>
  <si>
    <t>Building No.4 (E wing)</t>
  </si>
  <si>
    <t>Pratiksha</t>
  </si>
  <si>
    <t>Flats - 354  , Shops - 28</t>
  </si>
  <si>
    <t>Flat/Shop No. 
(As per sale Plan)</t>
  </si>
  <si>
    <t>Blu Pearl</t>
  </si>
  <si>
    <t>Avenue K2 = 
Building No.1(A wing)
Building No.2 (B wing)
Building No.3 (C wing)
Building No.2A (D wing)
Building No.4 (E wing)</t>
  </si>
  <si>
    <t xml:space="preserve">M/s.SB Lifespaces Pvt Ltd </t>
  </si>
  <si>
    <t>Valid Up to: 
Avenue K2 (Building No.1, 2, 3, 2A, 4) = Stilt/Gr + Podium + 14th Floor</t>
  </si>
  <si>
    <t>Avenue K2 (Building No.1, 2, 3, 2A, 4) = Stilt/Gr + Podium + 14th Floor</t>
  </si>
  <si>
    <t>Mall (Shop)</t>
  </si>
  <si>
    <t>Attached Patio area</t>
  </si>
  <si>
    <t>Construction details: Building No.1 (A wing) = Stilt/Gr + Podium + 14th Floor</t>
  </si>
  <si>
    <t>Construction details: Building No.2 (B wing) = Stilt/Gr + Podium + 14th Floor</t>
  </si>
  <si>
    <t>Construction details: Building No.3 (C wing) = Stilt/Gr + Podium + 14th Floor</t>
  </si>
  <si>
    <t>Construction details: Building No.2A (D wing) = Stilt/Gr + Podium + 14th Floor</t>
  </si>
  <si>
    <t>1,00,000/-</t>
  </si>
  <si>
    <t>Floor Rise above 7th Floor</t>
  </si>
  <si>
    <t>1BHK-100000/-, 2BHK-200000/-,
3BHK-300000/-</t>
  </si>
  <si>
    <t>Avenue K2</t>
  </si>
  <si>
    <t>Market Research Data</t>
  </si>
  <si>
    <t>Source</t>
  </si>
  <si>
    <t>Distance from proposed property</t>
  </si>
  <si>
    <t>Net Carpet</t>
  </si>
  <si>
    <t>Saleable Area</t>
  </si>
  <si>
    <t>Rate on Saleable</t>
  </si>
  <si>
    <t>Market Value</t>
  </si>
  <si>
    <t>99 Acres</t>
  </si>
  <si>
    <t>Average</t>
  </si>
  <si>
    <t xml:space="preserve">Valuation Adopted </t>
  </si>
  <si>
    <t>Office No. 1031, Wing J, Akshar Business Park, Plot No. 03 Sector 25, Near APMC Market,
Vashi, Navi Mumbai, Maharashtra 400703 TEL: 022-46090378/79/8
E mail : vsjcapf@gmail.com. Web site : www.vsjadon.com</t>
  </si>
  <si>
    <t>Location Link</t>
  </si>
  <si>
    <t>https://maps.app.goo.gl/zqbhVxJxGc5RLeUt6</t>
  </si>
  <si>
    <t>Completed</t>
  </si>
  <si>
    <t>Nothing</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</si>
  <si>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</si>
  <si>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</si>
  <si>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</si>
  <si>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</si>
  <si>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</si>
  <si>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</si>
  <si>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</si>
  <si>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</si>
  <si>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</si>
  <si>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</si>
  <si>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</si>
  <si>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</si>
  <si>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</si>
  <si>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</si>
  <si>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</si>
  <si>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</si>
  <si>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</si>
  <si>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</si>
  <si>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Wheather the construction is as per approved Building plan : Yes</t>
  </si>
  <si>
    <t>Pooja</t>
  </si>
  <si>
    <t>Navnath</t>
  </si>
  <si>
    <t>VVCMC/TP/OC/VP-453/159/2023-24
Approved upto : Bldg No.1, 2, 2A, 3 &amp; 4 = Gr/St + Podium/Commercial to 14th Floor
Total Built Up Area = 18350.01 Sq.M.</t>
  </si>
  <si>
    <t>59 Years</t>
  </si>
  <si>
    <t>6000 to 7000 akash verbal D1101 Flat  case on 21/08/2025</t>
  </si>
  <si>
    <t xml:space="preserve">1. All work Completed. OC received.
2. We considered  Saleable area  as per our calculation
3. We considered Carpet area as per Approved Plan.
4. We considered Gross carpet area = Net carpet + Enclose balcony
5. We have considered rate by verifying it from market inquire.
6. Car parking is subjected to authentic documentation.
7. We have considered Other charges from cost sheet.
8. We have updated OC (On 25/10/2024).
9. Recommended Rates/Other Charges of the Property have been revised on 21/08/2025.
8. On Site, we meet Mr. Patil (Sales) - 9960739813.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</si>
</sst>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_(* #,##0.00_);_(* \(#,##0.00\);_(* &quot;-&quot;??_);_(@_)"/>
    <numFmt numFmtId="166" formatCode="_(* #,##0_);_(* \(#,##0\);_(* &quot;-&quot;??_);_(@_)"/>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1"/>
      <color rgb="FF000000"/>
      <name val="Calibri"/>
      <family val="2"/>
    </font>
    <font>
      <u/>
      <sz val="11"/>
      <color theme="10"/>
      <name val="Calibri"/>
      <family val="2"/>
    </font>
    <font>
      <sz val="11"/>
      <name val="Calibri"/>
      <family val="2"/>
    </font>
    <font>
      <sz val="11"/>
      <color theme="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9">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9" fontId="20" fillId="0" borderId="0" applyFont="0" applyFill="0" applyBorder="0" applyAlignment="0" applyProtection="0"/>
    <xf numFmtId="0" fontId="21" fillId="0" borderId="0" applyNumberFormat="0" applyFill="0" applyBorder="0" applyAlignment="0" applyProtection="0"/>
  </cellStyleXfs>
  <cellXfs count="201">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3" borderId="1" xfId="0" applyFill="1" applyBorder="1"/>
    <xf numFmtId="0" fontId="0" fillId="0" borderId="2" xfId="0" applyBorder="1" applyAlignment="1"/>
    <xf numFmtId="0" fontId="9" fillId="0" borderId="1" xfId="0" applyFont="1" applyBorder="1"/>
    <xf numFmtId="0" fontId="9" fillId="0" borderId="1" xfId="0" applyFont="1" applyBorder="1" applyAlignment="1">
      <alignment horizontal="center"/>
    </xf>
    <xf numFmtId="0" fontId="0" fillId="0" borderId="1" xfId="0" applyBorder="1"/>
    <xf numFmtId="0" fontId="7" fillId="0" borderId="0" xfId="1" applyFont="1"/>
    <xf numFmtId="0" fontId="6" fillId="0" borderId="0" xfId="2" applyFont="1"/>
    <xf numFmtId="0" fontId="7" fillId="0" borderId="0" xfId="0" applyFont="1"/>
    <xf numFmtId="0" fontId="12" fillId="0" borderId="0" xfId="1" applyFont="1"/>
    <xf numFmtId="0" fontId="15" fillId="0" borderId="0" xfId="1" applyFont="1"/>
    <xf numFmtId="0" fontId="16" fillId="0" borderId="0" xfId="1" applyFont="1"/>
    <xf numFmtId="0" fontId="12" fillId="2" borderId="1" xfId="1" applyFont="1" applyFill="1" applyBorder="1" applyAlignment="1" applyProtection="1">
      <alignment vertical="top"/>
      <protection locked="0"/>
    </xf>
    <xf numFmtId="0" fontId="10"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 fontId="4" fillId="0" borderId="1" xfId="1" applyNumberFormat="1" applyFont="1" applyFill="1" applyBorder="1" applyAlignment="1" applyProtection="1">
      <alignment horizontal="center" vertical="top" wrapText="1"/>
      <protection locked="0"/>
    </xf>
    <xf numFmtId="0" fontId="8" fillId="0" borderId="0" xfId="1" applyFont="1" applyBorder="1" applyAlignment="1" applyProtection="1">
      <alignment vertical="top"/>
      <protection locked="0"/>
    </xf>
    <xf numFmtId="0" fontId="8" fillId="0" borderId="0" xfId="1" applyFont="1" applyBorder="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1" fontId="6" fillId="0" borderId="1" xfId="1" applyNumberFormat="1" applyFont="1" applyFill="1" applyBorder="1" applyAlignment="1" applyProtection="1">
      <alignment horizontal="center" vertical="center" wrapText="1"/>
      <protection locked="0"/>
    </xf>
    <xf numFmtId="1" fontId="8" fillId="0" borderId="1" xfId="1" applyNumberFormat="1" applyFont="1" applyFill="1" applyBorder="1" applyAlignment="1" applyProtection="1">
      <alignment horizontal="center" vertical="top" wrapText="1"/>
      <protection locked="0"/>
    </xf>
    <xf numFmtId="0" fontId="12" fillId="0" borderId="8" xfId="1" applyFont="1" applyFill="1" applyBorder="1" applyAlignment="1" applyProtection="1">
      <alignment horizontal="center" vertical="top"/>
      <protection locked="0"/>
    </xf>
    <xf numFmtId="0" fontId="7" fillId="0" borderId="15" xfId="1" applyFont="1" applyFill="1" applyBorder="1" applyProtection="1">
      <protection hidden="1"/>
    </xf>
    <xf numFmtId="0" fontId="7" fillId="0" borderId="16" xfId="1" applyFont="1" applyBorder="1" applyProtection="1">
      <protection hidden="1"/>
    </xf>
    <xf numFmtId="0" fontId="7" fillId="0" borderId="17" xfId="1" applyFont="1" applyBorder="1" applyProtection="1">
      <protection hidden="1"/>
    </xf>
    <xf numFmtId="0" fontId="7" fillId="0" borderId="18" xfId="1" applyFont="1" applyFill="1" applyBorder="1" applyProtection="1">
      <protection hidden="1"/>
    </xf>
    <xf numFmtId="0" fontId="7" fillId="0" borderId="0" xfId="1" applyFont="1" applyBorder="1" applyProtection="1">
      <protection hidden="1"/>
    </xf>
    <xf numFmtId="0" fontId="7" fillId="0" borderId="19" xfId="1" applyFont="1" applyBorder="1" applyProtection="1">
      <protection hidden="1"/>
    </xf>
    <xf numFmtId="0" fontId="7" fillId="0" borderId="0" xfId="1" applyFont="1" applyBorder="1"/>
    <xf numFmtId="0" fontId="7" fillId="0" borderId="19" xfId="1" applyFont="1" applyBorder="1"/>
    <xf numFmtId="0" fontId="7" fillId="0" borderId="18" xfId="1" applyFont="1" applyBorder="1"/>
    <xf numFmtId="0" fontId="17" fillId="0" borderId="18" xfId="0" applyFont="1" applyFill="1" applyBorder="1" applyProtection="1">
      <protection hidden="1"/>
    </xf>
    <xf numFmtId="9" fontId="17" fillId="0" borderId="0" xfId="0" applyNumberFormat="1" applyFont="1" applyBorder="1" applyProtection="1">
      <protection hidden="1"/>
    </xf>
    <xf numFmtId="9" fontId="17" fillId="0" borderId="19" xfId="0" applyNumberFormat="1" applyFont="1" applyBorder="1" applyProtection="1">
      <protection hidden="1"/>
    </xf>
    <xf numFmtId="0" fontId="17" fillId="0" borderId="20" xfId="0" applyFont="1" applyFill="1" applyBorder="1" applyProtection="1">
      <protection hidden="1"/>
    </xf>
    <xf numFmtId="9" fontId="17" fillId="0" borderId="21" xfId="0" applyNumberFormat="1" applyFont="1" applyBorder="1" applyProtection="1">
      <protection hidden="1"/>
    </xf>
    <xf numFmtId="9" fontId="17" fillId="0" borderId="22" xfId="0" applyNumberFormat="1" applyFont="1" applyBorder="1" applyProtection="1">
      <protection hidden="1"/>
    </xf>
    <xf numFmtId="1" fontId="6" fillId="0" borderId="1" xfId="1" applyNumberFormat="1" applyFont="1" applyFill="1" applyBorder="1" applyAlignment="1" applyProtection="1">
      <alignment horizontal="center" vertical="center" wrapText="1"/>
      <protection locked="0"/>
    </xf>
    <xf numFmtId="0" fontId="12" fillId="2" borderId="1" xfId="1" applyFont="1" applyFill="1" applyBorder="1" applyAlignment="1" applyProtection="1">
      <alignment horizontal="left" vertical="top"/>
      <protection locked="0"/>
    </xf>
    <xf numFmtId="0" fontId="12" fillId="0" borderId="1" xfId="1" applyFont="1" applyFill="1" applyBorder="1" applyAlignment="1" applyProtection="1">
      <alignment horizontal="center" vertical="top"/>
      <protection locked="0"/>
    </xf>
    <xf numFmtId="1" fontId="6" fillId="0" borderId="1" xfId="1" applyNumberFormat="1" applyFont="1" applyFill="1" applyBorder="1" applyAlignment="1" applyProtection="1">
      <alignment horizontal="center" vertical="center" wrapText="1"/>
      <protection locked="0"/>
    </xf>
    <xf numFmtId="0" fontId="12" fillId="0" borderId="1" xfId="1" applyFont="1" applyFill="1" applyBorder="1" applyAlignment="1" applyProtection="1">
      <alignment horizontal="center" vertical="top"/>
      <protection locked="0"/>
    </xf>
    <xf numFmtId="0" fontId="13" fillId="2" borderId="1" xfId="1" applyFont="1" applyFill="1" applyBorder="1" applyAlignment="1" applyProtection="1">
      <alignment horizontal="left" vertical="top"/>
      <protection locked="0"/>
    </xf>
    <xf numFmtId="0" fontId="12" fillId="0" borderId="9" xfId="1" applyFont="1" applyFill="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0" fontId="12" fillId="0" borderId="1" xfId="1" applyFont="1" applyFill="1" applyBorder="1" applyAlignment="1" applyProtection="1">
      <alignment horizontal="center" vertical="top" wrapText="1"/>
      <protection locked="0"/>
    </xf>
    <xf numFmtId="0" fontId="12" fillId="0" borderId="1" xfId="1" applyFont="1" applyBorder="1" applyAlignment="1" applyProtection="1">
      <alignment horizontal="center" wrapText="1"/>
      <protection locked="0"/>
    </xf>
    <xf numFmtId="9" fontId="12" fillId="2" borderId="1" xfId="1" applyNumberFormat="1" applyFont="1" applyFill="1" applyBorder="1" applyAlignment="1" applyProtection="1">
      <alignment horizontal="center" vertical="center" wrapText="1"/>
      <protection hidden="1"/>
    </xf>
    <xf numFmtId="9" fontId="12" fillId="2" borderId="1" xfId="1" applyNumberFormat="1" applyFont="1" applyFill="1" applyBorder="1" applyAlignment="1" applyProtection="1">
      <alignment horizontal="center" vertical="center" wrapText="1"/>
      <protection hidden="1"/>
    </xf>
    <xf numFmtId="1" fontId="12" fillId="0" borderId="1" xfId="1" applyNumberFormat="1" applyFont="1" applyBorder="1" applyAlignment="1" applyProtection="1">
      <alignment horizontal="center" wrapText="1"/>
      <protection locked="0"/>
    </xf>
    <xf numFmtId="0" fontId="12" fillId="0" borderId="11" xfId="1" applyFont="1" applyBorder="1" applyAlignment="1" applyProtection="1">
      <alignment horizontal="center" wrapText="1"/>
      <protection locked="0"/>
    </xf>
    <xf numFmtId="9" fontId="12" fillId="2" borderId="11" xfId="1" applyNumberFormat="1" applyFont="1" applyFill="1" applyBorder="1" applyAlignment="1" applyProtection="1">
      <alignment horizontal="center" vertical="center" wrapText="1"/>
      <protection hidden="1"/>
    </xf>
    <xf numFmtId="9" fontId="12" fillId="2" borderId="11" xfId="1" applyNumberFormat="1" applyFont="1" applyFill="1" applyBorder="1" applyAlignment="1" applyProtection="1">
      <alignment horizontal="center" vertical="center" wrapText="1"/>
      <protection hidden="1"/>
    </xf>
    <xf numFmtId="1" fontId="6" fillId="0" borderId="0" xfId="1" applyNumberFormat="1" applyFont="1" applyFill="1" applyBorder="1" applyAlignment="1" applyProtection="1">
      <alignment horizontal="center" vertical="center" wrapText="1"/>
      <protection locked="0"/>
    </xf>
    <xf numFmtId="0" fontId="7" fillId="0" borderId="0" xfId="1" applyFont="1" applyBorder="1" applyAlignment="1">
      <alignment horizontal="center" vertical="center"/>
    </xf>
    <xf numFmtId="1" fontId="10" fillId="0" borderId="1" xfId="0" applyNumberFormat="1" applyFont="1" applyBorder="1" applyAlignment="1" applyProtection="1">
      <alignment horizontal="center" vertical="center"/>
      <protection locked="0"/>
    </xf>
    <xf numFmtId="9" fontId="12" fillId="2" borderId="1" xfId="1" applyNumberFormat="1" applyFont="1" applyFill="1" applyBorder="1" applyAlignment="1" applyProtection="1">
      <alignment horizontal="center" vertical="center" wrapText="1"/>
      <protection hidden="1"/>
    </xf>
    <xf numFmtId="0" fontId="7" fillId="0" borderId="16" xfId="1" applyFont="1" applyFill="1" applyBorder="1" applyProtection="1">
      <protection hidden="1"/>
    </xf>
    <xf numFmtId="0" fontId="5" fillId="0" borderId="0" xfId="4" applyFont="1"/>
    <xf numFmtId="0" fontId="5" fillId="0" borderId="0" xfId="4"/>
    <xf numFmtId="0" fontId="1" fillId="0" borderId="0" xfId="5"/>
    <xf numFmtId="0" fontId="9" fillId="0" borderId="1" xfId="5" applyFont="1" applyBorder="1" applyAlignment="1">
      <alignment horizontal="center" vertical="top" wrapText="1"/>
    </xf>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1" fillId="0" borderId="1" xfId="5" applyFont="1" applyBorder="1" applyAlignment="1">
      <alignment horizontal="center" vertical="center"/>
    </xf>
    <xf numFmtId="0" fontId="5" fillId="0" borderId="1" xfId="4" applyFont="1" applyBorder="1" applyAlignment="1">
      <alignment horizontal="center" vertical="center"/>
    </xf>
    <xf numFmtId="0" fontId="19" fillId="0" borderId="0" xfId="4" applyFont="1"/>
    <xf numFmtId="0" fontId="17" fillId="0" borderId="0" xfId="0" applyFont="1" applyFill="1" applyBorder="1" applyProtection="1">
      <protection hidden="1"/>
    </xf>
    <xf numFmtId="0" fontId="17" fillId="0" borderId="21" xfId="0" applyFont="1" applyFill="1" applyBorder="1" applyProtection="1">
      <protection hidden="1"/>
    </xf>
    <xf numFmtId="0" fontId="23" fillId="0" borderId="7" xfId="0" applyFont="1" applyBorder="1"/>
    <xf numFmtId="0" fontId="12" fillId="0" borderId="1" xfId="1" applyFont="1" applyBorder="1" applyAlignment="1" applyProtection="1">
      <alignment horizontal="center" vertical="top"/>
      <protection locked="0"/>
    </xf>
    <xf numFmtId="0" fontId="23" fillId="0" borderId="9" xfId="0" applyFont="1" applyBorder="1"/>
    <xf numFmtId="0" fontId="17" fillId="0" borderId="0" xfId="0" applyFont="1" applyProtection="1">
      <protection hidden="1"/>
    </xf>
    <xf numFmtId="0" fontId="17" fillId="0" borderId="19" xfId="0" applyFont="1" applyBorder="1" applyProtection="1">
      <protection hidden="1"/>
    </xf>
    <xf numFmtId="1" fontId="0" fillId="0" borderId="19" xfId="0" applyNumberFormat="1" applyBorder="1"/>
    <xf numFmtId="1" fontId="0" fillId="0" borderId="19" xfId="0" applyNumberFormat="1" applyBorder="1" applyAlignment="1">
      <alignment horizontal="right"/>
    </xf>
    <xf numFmtId="0" fontId="17" fillId="0" borderId="21" xfId="0" applyFont="1" applyBorder="1" applyProtection="1">
      <protection hidden="1"/>
    </xf>
    <xf numFmtId="1" fontId="0" fillId="0" borderId="22" xfId="0" applyNumberFormat="1" applyBorder="1"/>
    <xf numFmtId="9" fontId="12" fillId="0" borderId="1" xfId="7" applyFont="1" applyFill="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0" xfId="0" applyNumberFormat="1" applyFont="1" applyAlignment="1">
      <alignment horizontal="center" vertical="center"/>
    </xf>
    <xf numFmtId="0" fontId="22" fillId="3" borderId="30" xfId="0" applyFont="1" applyFill="1" applyBorder="1"/>
    <xf numFmtId="0" fontId="23" fillId="0" borderId="14" xfId="0" applyFont="1" applyBorder="1"/>
    <xf numFmtId="0" fontId="12" fillId="0" borderId="3" xfId="1" applyFont="1" applyBorder="1" applyAlignment="1" applyProtection="1">
      <alignment horizontal="center" wrapText="1"/>
      <protection locked="0"/>
    </xf>
    <xf numFmtId="9" fontId="12" fillId="2" borderId="3" xfId="1" applyNumberFormat="1" applyFont="1" applyFill="1" applyBorder="1" applyAlignment="1" applyProtection="1">
      <alignment horizontal="center" vertical="center" wrapText="1"/>
      <protection hidden="1"/>
    </xf>
    <xf numFmtId="0" fontId="13" fillId="0" borderId="26" xfId="1" applyFont="1" applyBorder="1" applyAlignment="1" applyProtection="1">
      <alignment horizontal="center" vertical="center"/>
      <protection locked="0"/>
    </xf>
    <xf numFmtId="0" fontId="13" fillId="0" borderId="27" xfId="1" applyFont="1" applyBorder="1" applyAlignment="1" applyProtection="1">
      <alignment horizontal="center" vertical="center"/>
      <protection locked="0"/>
    </xf>
    <xf numFmtId="0" fontId="13" fillId="0" borderId="28" xfId="1" applyFont="1" applyBorder="1" applyAlignment="1" applyProtection="1">
      <alignment horizontal="center" vertical="center"/>
      <protection locked="0"/>
    </xf>
    <xf numFmtId="0" fontId="13" fillId="0" borderId="29" xfId="1" applyFont="1" applyBorder="1" applyAlignment="1" applyProtection="1">
      <alignment horizontal="center" vertical="center"/>
      <protection locked="0"/>
    </xf>
    <xf numFmtId="9" fontId="13" fillId="0" borderId="26" xfId="1" applyNumberFormat="1" applyFont="1" applyBorder="1" applyAlignment="1" applyProtection="1">
      <alignment horizontal="center" vertical="center" wrapText="1"/>
      <protection locked="0"/>
    </xf>
    <xf numFmtId="0" fontId="13" fillId="0" borderId="27" xfId="1" applyFont="1" applyBorder="1" applyAlignment="1" applyProtection="1">
      <alignment horizontal="center" vertical="center" wrapText="1"/>
      <protection locked="0"/>
    </xf>
    <xf numFmtId="0" fontId="13" fillId="0" borderId="28" xfId="1" applyFont="1" applyBorder="1" applyAlignment="1" applyProtection="1">
      <alignment horizontal="center" vertical="center" wrapText="1"/>
      <protection locked="0"/>
    </xf>
    <xf numFmtId="0" fontId="13" fillId="0" borderId="29" xfId="1" applyFont="1" applyBorder="1" applyAlignment="1" applyProtection="1">
      <alignment horizontal="center" vertical="center" wrapText="1"/>
      <protection locked="0"/>
    </xf>
    <xf numFmtId="0" fontId="13" fillId="0" borderId="26" xfId="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6" fillId="0" borderId="1" xfId="0" applyNumberFormat="1" applyFont="1" applyFill="1" applyBorder="1" applyAlignment="1" applyProtection="1">
      <alignment horizontal="center" vertical="top" wrapText="1"/>
      <protection locked="0"/>
    </xf>
    <xf numFmtId="1" fontId="6" fillId="0" borderId="1" xfId="0" applyNumberFormat="1" applyFont="1" applyFill="1" applyBorder="1" applyAlignment="1" applyProtection="1">
      <alignment horizontal="left" vertical="center" wrapText="1"/>
      <protection locked="0"/>
    </xf>
    <xf numFmtId="1" fontId="6" fillId="0" borderId="1" xfId="0" applyNumberFormat="1" applyFont="1" applyFill="1" applyBorder="1" applyAlignment="1" applyProtection="1">
      <alignment horizontal="left" vertical="center"/>
      <protection locked="0"/>
    </xf>
    <xf numFmtId="0" fontId="8" fillId="0" borderId="1" xfId="1" applyFont="1" applyFill="1" applyBorder="1" applyAlignment="1" applyProtection="1">
      <alignment horizontal="center" vertical="top"/>
      <protection locked="0"/>
    </xf>
    <xf numFmtId="0" fontId="21" fillId="0" borderId="1" xfId="8" applyBorder="1" applyAlignment="1" applyProtection="1">
      <alignment horizontal="center"/>
      <protection locked="0"/>
    </xf>
    <xf numFmtId="0" fontId="7" fillId="0" borderId="1" xfId="1" applyFont="1" applyBorder="1" applyAlignment="1" applyProtection="1">
      <alignment horizontal="center"/>
      <protection locked="0"/>
    </xf>
    <xf numFmtId="0" fontId="13"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9" fontId="12" fillId="0" borderId="1" xfId="7" applyFont="1" applyFill="1" applyBorder="1" applyAlignment="1" applyProtection="1">
      <alignment horizontal="center" vertical="center" wrapText="1"/>
      <protection locked="0"/>
    </xf>
    <xf numFmtId="0" fontId="13" fillId="0" borderId="8" xfId="1" applyFont="1" applyFill="1" applyBorder="1" applyAlignment="1" applyProtection="1">
      <alignment horizontal="center" vertical="top"/>
      <protection locked="0"/>
    </xf>
    <xf numFmtId="0" fontId="13" fillId="0" borderId="1" xfId="1" applyFont="1" applyFill="1" applyBorder="1" applyAlignment="1" applyProtection="1">
      <alignment horizontal="center" vertical="top"/>
      <protection locked="0"/>
    </xf>
    <xf numFmtId="0" fontId="13" fillId="0" borderId="1" xfId="1" applyFont="1" applyFill="1" applyBorder="1" applyAlignment="1" applyProtection="1">
      <alignment horizontal="left" vertical="top" wrapText="1"/>
      <protection locked="0"/>
    </xf>
    <xf numFmtId="0" fontId="13" fillId="0" borderId="9" xfId="1" applyFont="1" applyFill="1" applyBorder="1" applyAlignment="1" applyProtection="1">
      <alignment horizontal="left" vertical="top" wrapText="1"/>
      <protection locked="0"/>
    </xf>
    <xf numFmtId="0" fontId="12" fillId="0" borderId="8" xfId="1" applyFont="1" applyFill="1" applyBorder="1" applyAlignment="1" applyProtection="1">
      <alignment horizontal="center" vertical="top" wrapText="1"/>
      <protection locked="0"/>
    </xf>
    <xf numFmtId="0" fontId="12" fillId="0" borderId="1" xfId="1" applyFont="1" applyFill="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1" fontId="6" fillId="0" borderId="26" xfId="1" applyNumberFormat="1" applyFont="1" applyFill="1" applyBorder="1" applyAlignment="1" applyProtection="1">
      <alignment horizontal="center" vertical="center" wrapText="1"/>
      <protection locked="0"/>
    </xf>
    <xf numFmtId="1" fontId="6" fillId="0" borderId="27" xfId="1" applyNumberFormat="1" applyFont="1" applyFill="1" applyBorder="1" applyAlignment="1" applyProtection="1">
      <alignment horizontal="center" vertical="center" wrapText="1"/>
      <protection locked="0"/>
    </xf>
    <xf numFmtId="1" fontId="6" fillId="0" borderId="25" xfId="1" applyNumberFormat="1" applyFont="1" applyFill="1" applyBorder="1" applyAlignment="1" applyProtection="1">
      <alignment horizontal="center" vertical="center" wrapText="1"/>
      <protection locked="0"/>
    </xf>
    <xf numFmtId="1" fontId="6" fillId="0" borderId="24" xfId="1" applyNumberFormat="1" applyFont="1" applyFill="1" applyBorder="1" applyAlignment="1" applyProtection="1">
      <alignment horizontal="center" vertical="center" wrapText="1"/>
      <protection locked="0"/>
    </xf>
    <xf numFmtId="1" fontId="6" fillId="0" borderId="1" xfId="0" applyNumberFormat="1" applyFont="1" applyFill="1" applyBorder="1" applyAlignment="1" applyProtection="1">
      <alignment horizontal="center" vertical="center" wrapText="1"/>
      <protection locked="0"/>
    </xf>
    <xf numFmtId="1" fontId="6" fillId="0" borderId="1" xfId="0" applyNumberFormat="1" applyFont="1" applyFill="1" applyBorder="1" applyAlignment="1" applyProtection="1">
      <alignment horizontal="center" vertical="center"/>
      <protection locked="0"/>
    </xf>
    <xf numFmtId="1" fontId="8" fillId="0" borderId="1" xfId="0" applyNumberFormat="1" applyFont="1" applyFill="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1" fontId="8" fillId="0" borderId="1" xfId="0" applyNumberFormat="1" applyFont="1" applyFill="1" applyBorder="1" applyAlignment="1" applyProtection="1">
      <alignment horizontal="center" vertical="top" wrapText="1"/>
      <protection locked="0"/>
    </xf>
    <xf numFmtId="1" fontId="8" fillId="0" borderId="1" xfId="1" applyNumberFormat="1" applyFont="1" applyFill="1" applyBorder="1" applyAlignment="1" applyProtection="1">
      <alignment horizontal="center" vertical="center" wrapText="1"/>
      <protection locked="0"/>
    </xf>
    <xf numFmtId="1" fontId="6" fillId="0" borderId="28" xfId="1" applyNumberFormat="1" applyFont="1" applyFill="1" applyBorder="1" applyAlignment="1" applyProtection="1">
      <alignment horizontal="center" vertical="center" wrapText="1"/>
      <protection locked="0"/>
    </xf>
    <xf numFmtId="1" fontId="6" fillId="0" borderId="29" xfId="1" applyNumberFormat="1" applyFont="1" applyFill="1" applyBorder="1" applyAlignment="1" applyProtection="1">
      <alignment horizontal="center" vertical="center" wrapText="1"/>
      <protection locked="0"/>
    </xf>
    <xf numFmtId="1" fontId="6" fillId="0" borderId="13" xfId="1" applyNumberFormat="1" applyFont="1" applyFill="1" applyBorder="1" applyAlignment="1" applyProtection="1">
      <alignment horizontal="center" vertical="center" wrapText="1"/>
      <protection locked="0"/>
    </xf>
    <xf numFmtId="1" fontId="6" fillId="0" borderId="23" xfId="1" applyNumberFormat="1" applyFont="1" applyFill="1" applyBorder="1" applyAlignment="1" applyProtection="1">
      <alignment horizontal="center" vertical="center" wrapText="1"/>
      <protection locked="0"/>
    </xf>
    <xf numFmtId="1" fontId="6" fillId="0" borderId="14" xfId="1" applyNumberFormat="1" applyFont="1" applyFill="1" applyBorder="1" applyAlignment="1" applyProtection="1">
      <alignment horizontal="center" vertical="center" wrapText="1"/>
      <protection locked="0"/>
    </xf>
    <xf numFmtId="0" fontId="12" fillId="0" borderId="1" xfId="1" applyFont="1" applyFill="1" applyBorder="1" applyAlignment="1" applyProtection="1">
      <alignment horizontal="center" vertical="center" wrapText="1"/>
      <protection locked="0"/>
    </xf>
    <xf numFmtId="0" fontId="12" fillId="0" borderId="9" xfId="1" applyFont="1" applyFill="1" applyBorder="1" applyAlignment="1" applyProtection="1">
      <alignment horizontal="center" vertical="center" wrapText="1"/>
      <protection locked="0"/>
    </xf>
    <xf numFmtId="9" fontId="12" fillId="2" borderId="1" xfId="1" applyNumberFormat="1" applyFont="1" applyFill="1" applyBorder="1" applyAlignment="1" applyProtection="1">
      <alignment horizontal="center" vertical="center" wrapText="1"/>
      <protection hidden="1"/>
    </xf>
    <xf numFmtId="9" fontId="12" fillId="2" borderId="3" xfId="1" applyNumberFormat="1" applyFont="1" applyFill="1" applyBorder="1" applyAlignment="1" applyProtection="1">
      <alignment horizontal="center" vertical="center" wrapText="1"/>
      <protection hidden="1"/>
    </xf>
    <xf numFmtId="9" fontId="12" fillId="2" borderId="9" xfId="1" applyNumberFormat="1" applyFont="1" applyFill="1" applyBorder="1" applyAlignment="1" applyProtection="1">
      <alignment horizontal="center" vertical="center" wrapText="1"/>
      <protection hidden="1"/>
    </xf>
    <xf numFmtId="9" fontId="12" fillId="2" borderId="34" xfId="1" applyNumberFormat="1" applyFont="1" applyFill="1" applyBorder="1" applyAlignment="1" applyProtection="1">
      <alignment horizontal="center" vertical="center" wrapText="1"/>
      <protection hidden="1"/>
    </xf>
    <xf numFmtId="0" fontId="12" fillId="0" borderId="33" xfId="1" applyFont="1" applyFill="1" applyBorder="1" applyAlignment="1" applyProtection="1">
      <alignment horizontal="center" vertical="top" wrapText="1"/>
      <protection locked="0"/>
    </xf>
    <xf numFmtId="0" fontId="12" fillId="0" borderId="3" xfId="1" applyFont="1" applyFill="1" applyBorder="1" applyAlignment="1" applyProtection="1">
      <alignment horizontal="center" vertical="top" wrapText="1"/>
      <protection locked="0"/>
    </xf>
    <xf numFmtId="0" fontId="13" fillId="0" borderId="1" xfId="1" applyFont="1" applyFill="1" applyBorder="1" applyAlignment="1" applyProtection="1">
      <alignment horizontal="left" vertical="top"/>
      <protection locked="0"/>
    </xf>
    <xf numFmtId="0" fontId="12" fillId="2" borderId="1" xfId="1" applyFont="1" applyFill="1" applyBorder="1" applyAlignment="1" applyProtection="1">
      <alignment horizontal="left" vertical="top"/>
      <protection locked="0"/>
    </xf>
    <xf numFmtId="0" fontId="6" fillId="0" borderId="1" xfId="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wrapText="1"/>
      <protection locked="0"/>
    </xf>
    <xf numFmtId="9" fontId="12" fillId="2" borderId="11" xfId="1" applyNumberFormat="1" applyFont="1" applyFill="1" applyBorder="1" applyAlignment="1" applyProtection="1">
      <alignment horizontal="center" vertical="center" wrapText="1"/>
      <protection hidden="1"/>
    </xf>
    <xf numFmtId="9" fontId="12" fillId="2" borderId="12" xfId="1" applyNumberFormat="1" applyFont="1" applyFill="1" applyBorder="1" applyAlignment="1" applyProtection="1">
      <alignment horizontal="center" vertical="center" wrapText="1"/>
      <protection hidden="1"/>
    </xf>
    <xf numFmtId="0" fontId="12" fillId="0" borderId="10" xfId="1" applyFont="1" applyFill="1" applyBorder="1" applyAlignment="1" applyProtection="1">
      <alignment horizontal="center" vertical="top" wrapText="1"/>
      <protection locked="0"/>
    </xf>
    <xf numFmtId="0" fontId="12" fillId="0" borderId="11" xfId="1" applyFont="1" applyFill="1" applyBorder="1" applyAlignment="1" applyProtection="1">
      <alignment horizontal="center" vertical="top" wrapText="1"/>
      <protection locked="0"/>
    </xf>
    <xf numFmtId="0" fontId="8" fillId="0" borderId="1" xfId="1" applyFont="1" applyFill="1" applyBorder="1" applyAlignment="1" applyProtection="1">
      <alignment vertical="top"/>
      <protection locked="0"/>
    </xf>
    <xf numFmtId="14" fontId="13" fillId="0" borderId="13" xfId="1" applyNumberFormat="1" applyFont="1" applyFill="1" applyBorder="1" applyAlignment="1" applyProtection="1">
      <alignment horizontal="left" vertical="top" wrapText="1"/>
      <protection locked="0"/>
    </xf>
    <xf numFmtId="0" fontId="13" fillId="0" borderId="14"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1" fontId="8" fillId="0" borderId="1" xfId="0" applyNumberFormat="1" applyFont="1" applyFill="1" applyBorder="1" applyAlignment="1" applyProtection="1">
      <alignment horizontal="left" vertical="top" wrapText="1"/>
      <protection locked="0"/>
    </xf>
    <xf numFmtId="0" fontId="13" fillId="0" borderId="1" xfId="2"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0" fontId="10" fillId="0" borderId="1" xfId="0" applyFont="1" applyBorder="1" applyAlignment="1" applyProtection="1">
      <alignment horizontal="center" vertical="top" wrapText="1"/>
      <protection locked="0"/>
    </xf>
    <xf numFmtId="1" fontId="8" fillId="0" borderId="1" xfId="0" applyNumberFormat="1" applyFont="1" applyFill="1" applyBorder="1" applyAlignment="1" applyProtection="1">
      <alignment horizontal="center" vertical="center" wrapText="1"/>
      <protection locked="0"/>
    </xf>
    <xf numFmtId="0" fontId="13" fillId="0" borderId="31" xfId="1" applyFont="1" applyFill="1" applyBorder="1" applyAlignment="1" applyProtection="1">
      <alignment horizontal="left" vertical="top" wrapText="1"/>
      <protection locked="0"/>
    </xf>
    <xf numFmtId="0" fontId="13" fillId="0" borderId="4" xfId="1" applyFont="1" applyFill="1" applyBorder="1" applyAlignment="1" applyProtection="1">
      <alignment horizontal="left" vertical="top" wrapText="1"/>
      <protection locked="0"/>
    </xf>
    <xf numFmtId="0" fontId="13" fillId="0" borderId="32" xfId="1" applyFont="1" applyFill="1" applyBorder="1" applyAlignment="1" applyProtection="1">
      <alignment horizontal="left" vertical="top" wrapText="1"/>
      <protection locked="0"/>
    </xf>
    <xf numFmtId="0" fontId="13" fillId="0" borderId="5" xfId="1" applyFont="1" applyFill="1" applyBorder="1" applyAlignment="1" applyProtection="1">
      <alignment horizontal="left" vertical="top" wrapText="1"/>
      <protection locked="0"/>
    </xf>
    <xf numFmtId="0" fontId="13" fillId="0" borderId="6" xfId="1" applyFont="1" applyFill="1" applyBorder="1" applyAlignment="1" applyProtection="1">
      <alignment horizontal="left" vertical="top" wrapText="1"/>
      <protection locked="0"/>
    </xf>
    <xf numFmtId="0" fontId="13" fillId="0" borderId="7" xfId="1" applyFont="1" applyFill="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6" fillId="2" borderId="1" xfId="1" applyFont="1" applyFill="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6" fillId="0" borderId="1" xfId="1" applyNumberFormat="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12" fillId="0" borderId="1" xfId="1" applyFont="1" applyFill="1" applyBorder="1" applyAlignment="1" applyProtection="1">
      <alignment horizontal="left" vertical="center" wrapText="1"/>
      <protection locked="0"/>
    </xf>
    <xf numFmtId="2" fontId="6" fillId="0" borderId="1" xfId="1" applyNumberFormat="1" applyFont="1" applyFill="1" applyBorder="1" applyAlignment="1" applyProtection="1">
      <alignment horizontal="left" vertical="top"/>
      <protection locked="0"/>
    </xf>
    <xf numFmtId="0" fontId="12" fillId="0" borderId="1" xfId="1" applyFont="1" applyBorder="1" applyAlignment="1" applyProtection="1">
      <alignment horizontal="center"/>
      <protection locked="0"/>
    </xf>
    <xf numFmtId="0" fontId="8" fillId="0" borderId="1" xfId="1" applyFont="1" applyFill="1" applyBorder="1" applyAlignment="1" applyProtection="1">
      <alignment horizontal="left" vertical="top"/>
      <protection locked="0"/>
    </xf>
    <xf numFmtId="2" fontId="6" fillId="0" borderId="1" xfId="1" applyNumberFormat="1" applyFont="1" applyFill="1" applyBorder="1" applyAlignment="1" applyProtection="1">
      <alignment horizontal="left" vertical="top" wrapText="1"/>
      <protection locked="0"/>
    </xf>
    <xf numFmtId="0" fontId="12" fillId="0" borderId="1" xfId="1" applyFont="1" applyFill="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2" fillId="2" borderId="1" xfId="1" applyFont="1" applyFill="1" applyBorder="1" applyAlignment="1" applyProtection="1">
      <alignment horizontal="left" vertical="top" wrapText="1"/>
      <protection locked="0"/>
    </xf>
    <xf numFmtId="1" fontId="8" fillId="0" borderId="1" xfId="1" applyNumberFormat="1" applyFont="1" applyFill="1" applyBorder="1" applyAlignment="1" applyProtection="1">
      <alignment horizontal="center" vertical="top" wrapText="1"/>
      <protection locked="0"/>
    </xf>
    <xf numFmtId="0" fontId="13" fillId="0" borderId="1" xfId="1" applyFont="1" applyBorder="1" applyAlignment="1" applyProtection="1">
      <alignment horizontal="center"/>
      <protection locked="0"/>
    </xf>
    <xf numFmtId="164" fontId="6" fillId="0" borderId="1" xfId="1" applyNumberFormat="1" applyFont="1" applyFill="1" applyBorder="1" applyAlignment="1" applyProtection="1">
      <alignment horizontal="left" vertical="top"/>
      <protection locked="0"/>
    </xf>
    <xf numFmtId="0" fontId="6" fillId="0" borderId="1" xfId="1" applyFont="1" applyFill="1" applyBorder="1" applyAlignment="1" applyProtection="1">
      <alignment horizontal="center" vertical="top"/>
      <protection locked="0"/>
    </xf>
    <xf numFmtId="14" fontId="12" fillId="2" borderId="1" xfId="1" applyNumberFormat="1" applyFont="1" applyFill="1" applyBorder="1" applyAlignment="1" applyProtection="1">
      <alignment horizontal="left" vertical="top"/>
      <protection locked="0"/>
    </xf>
    <xf numFmtId="0" fontId="12" fillId="2" borderId="1" xfId="1" applyNumberFormat="1" applyFont="1" applyFill="1" applyBorder="1" applyAlignment="1" applyProtection="1">
      <alignment horizontal="left" vertical="top"/>
      <protection locked="0"/>
    </xf>
    <xf numFmtId="0" fontId="12" fillId="2" borderId="13" xfId="1" applyFont="1" applyFill="1" applyBorder="1" applyAlignment="1" applyProtection="1">
      <alignment horizontal="left" vertical="top" wrapText="1"/>
      <protection locked="0"/>
    </xf>
    <xf numFmtId="0" fontId="12" fillId="2" borderId="23" xfId="1" applyFont="1" applyFill="1" applyBorder="1" applyAlignment="1" applyProtection="1">
      <alignment horizontal="left" vertical="top" wrapText="1"/>
      <protection locked="0"/>
    </xf>
    <xf numFmtId="0" fontId="12" fillId="2" borderId="14" xfId="1" applyFont="1" applyFill="1" applyBorder="1" applyAlignment="1" applyProtection="1">
      <alignment horizontal="left" vertical="top" wrapText="1"/>
      <protection locked="0"/>
    </xf>
    <xf numFmtId="0" fontId="9" fillId="0" borderId="1" xfId="5" applyFont="1" applyBorder="1" applyAlignment="1">
      <alignment horizontal="left"/>
    </xf>
    <xf numFmtId="0" fontId="0" fillId="3" borderId="1" xfId="0" applyFill="1" applyBorder="1" applyAlignment="1">
      <alignment horizontal="center" wrapText="1"/>
    </xf>
    <xf numFmtId="0" fontId="9" fillId="0" borderId="1" xfId="0" applyFont="1" applyBorder="1" applyAlignment="1">
      <alignment horizontal="center"/>
    </xf>
  </cellXfs>
  <cellStyles count="9">
    <cellStyle name="Comma 2" xfId="6"/>
    <cellStyle name="Excel Built-in Normal" xfId="2"/>
    <cellStyle name="Excel Built-in Normal 2" xfId="4"/>
    <cellStyle name="Hyperlink" xfId="8" builtinId="8"/>
    <cellStyle name="Normal" xfId="0" builtinId="0"/>
    <cellStyle name="Normal 2" xfId="3"/>
    <cellStyle name="Normal 3" xfId="1"/>
    <cellStyle name="Normal 4" xfId="5"/>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jpeg"/><Relationship Id="rId1" Type="http://schemas.openxmlformats.org/officeDocument/2006/relationships/image" Target="../media/image1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403412</xdr:colOff>
      <xdr:row>405</xdr:row>
      <xdr:rowOff>168301</xdr:rowOff>
    </xdr:from>
    <xdr:to>
      <xdr:col>7</xdr:col>
      <xdr:colOff>554070</xdr:colOff>
      <xdr:row>424</xdr:row>
      <xdr:rowOff>21054</xdr:rowOff>
    </xdr:to>
    <xdr:pic>
      <xdr:nvPicPr>
        <xdr:cNvPr id="2" name="Picture 1">
          <a:extLst>
            <a:ext uri="{FF2B5EF4-FFF2-40B4-BE49-F238E27FC236}">
              <a16:creationId xmlns:a16="http://schemas.microsoft.com/office/drawing/2014/main" xmlns="" id="{D9EC5139-C3FD-4AC1-9970-CBD6E878838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403412" y="52952489"/>
          <a:ext cx="6121152" cy="3600000"/>
        </a:xfrm>
        <a:prstGeom prst="rect">
          <a:avLst/>
        </a:prstGeom>
        <a:ln>
          <a:solidFill>
            <a:schemeClr val="tx1"/>
          </a:solidFill>
        </a:ln>
      </xdr:spPr>
    </xdr:pic>
    <xdr:clientData/>
  </xdr:twoCellAnchor>
  <xdr:twoCellAnchor editAs="oneCell">
    <xdr:from>
      <xdr:col>0</xdr:col>
      <xdr:colOff>403412</xdr:colOff>
      <xdr:row>387</xdr:row>
      <xdr:rowOff>0</xdr:rowOff>
    </xdr:from>
    <xdr:to>
      <xdr:col>7</xdr:col>
      <xdr:colOff>554071</xdr:colOff>
      <xdr:row>405</xdr:row>
      <xdr:rowOff>49978</xdr:rowOff>
    </xdr:to>
    <xdr:pic>
      <xdr:nvPicPr>
        <xdr:cNvPr id="3" name="Picture 2">
          <a:extLst>
            <a:ext uri="{FF2B5EF4-FFF2-40B4-BE49-F238E27FC236}">
              <a16:creationId xmlns:a16="http://schemas.microsoft.com/office/drawing/2014/main" xmlns="" id="{63B939F2-93A8-4078-B67D-31E04F63CD2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403412" y="49234165"/>
          <a:ext cx="6121153" cy="3600000"/>
        </a:xfrm>
        <a:prstGeom prst="rect">
          <a:avLst/>
        </a:prstGeom>
        <a:ln>
          <a:solidFill>
            <a:schemeClr val="tx1"/>
          </a:solidFill>
        </a:ln>
      </xdr:spPr>
    </xdr:pic>
    <xdr:clientData/>
  </xdr:twoCellAnchor>
  <xdr:twoCellAnchor editAs="oneCell">
    <xdr:from>
      <xdr:col>12</xdr:col>
      <xdr:colOff>0</xdr:colOff>
      <xdr:row>76</xdr:row>
      <xdr:rowOff>0</xdr:rowOff>
    </xdr:from>
    <xdr:to>
      <xdr:col>14</xdr:col>
      <xdr:colOff>296018</xdr:colOff>
      <xdr:row>144</xdr:row>
      <xdr:rowOff>149410</xdr:rowOff>
    </xdr:to>
    <xdr:pic>
      <xdr:nvPicPr>
        <xdr:cNvPr id="13" name="Picture 1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10800000">
          <a:off x="10331824" y="15206382"/>
          <a:ext cx="1618312" cy="2160000"/>
        </a:xfrm>
        <a:prstGeom prst="rect">
          <a:avLst/>
        </a:prstGeom>
        <a:ln>
          <a:solidFill>
            <a:schemeClr val="tx1"/>
          </a:solidFill>
        </a:ln>
      </xdr:spPr>
    </xdr:pic>
    <xdr:clientData/>
  </xdr:twoCellAnchor>
  <xdr:twoCellAnchor>
    <xdr:from>
      <xdr:col>0</xdr:col>
      <xdr:colOff>139700</xdr:colOff>
      <xdr:row>344</xdr:row>
      <xdr:rowOff>57150</xdr:rowOff>
    </xdr:from>
    <xdr:to>
      <xdr:col>7</xdr:col>
      <xdr:colOff>750722</xdr:colOff>
      <xdr:row>372</xdr:row>
      <xdr:rowOff>175689</xdr:rowOff>
    </xdr:to>
    <xdr:grpSp>
      <xdr:nvGrpSpPr>
        <xdr:cNvPr id="4" name="Group 3"/>
        <xdr:cNvGrpSpPr/>
      </xdr:nvGrpSpPr>
      <xdr:grpSpPr>
        <a:xfrm>
          <a:off x="139700" y="60779025"/>
          <a:ext cx="6164097" cy="5709714"/>
          <a:chOff x="139700" y="60502800"/>
          <a:chExt cx="6433972" cy="5623989"/>
        </a:xfrm>
      </xdr:grpSpPr>
      <xdr:pic>
        <xdr:nvPicPr>
          <xdr:cNvPr id="15" name="Picture 1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4523809" y="63390789"/>
            <a:ext cx="2049863" cy="2736000"/>
          </a:xfrm>
          <a:prstGeom prst="rect">
            <a:avLst/>
          </a:prstGeom>
          <a:ln>
            <a:solidFill>
              <a:schemeClr val="tx1"/>
            </a:solidFill>
          </a:ln>
        </xdr:spPr>
      </xdr:pic>
      <xdr:pic>
        <xdr:nvPicPr>
          <xdr:cNvPr id="16" name="Picture 1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39701" y="60502800"/>
            <a:ext cx="2049863" cy="2736000"/>
          </a:xfrm>
          <a:prstGeom prst="rect">
            <a:avLst/>
          </a:prstGeom>
          <a:ln>
            <a:solidFill>
              <a:schemeClr val="tx1"/>
            </a:solidFill>
          </a:ln>
        </xdr:spPr>
      </xdr:pic>
      <xdr:pic>
        <xdr:nvPicPr>
          <xdr:cNvPr id="17" name="Picture 1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523809" y="60502800"/>
            <a:ext cx="2049863" cy="2736000"/>
          </a:xfrm>
          <a:prstGeom prst="rect">
            <a:avLst/>
          </a:prstGeom>
          <a:ln>
            <a:solidFill>
              <a:schemeClr val="tx1"/>
            </a:solidFill>
          </a:ln>
        </xdr:spPr>
      </xdr:pic>
      <xdr:pic>
        <xdr:nvPicPr>
          <xdr:cNvPr id="18" name="Picture 1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331755" y="60502800"/>
            <a:ext cx="2049863" cy="2736000"/>
          </a:xfrm>
          <a:prstGeom prst="rect">
            <a:avLst/>
          </a:prstGeom>
          <a:ln>
            <a:solidFill>
              <a:schemeClr val="tx1"/>
            </a:solidFill>
          </a:ln>
        </xdr:spPr>
      </xdr:pic>
      <xdr:pic>
        <xdr:nvPicPr>
          <xdr:cNvPr id="19" name="Picture 1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331755" y="63390789"/>
            <a:ext cx="2049863" cy="2736000"/>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139700" y="63390789"/>
            <a:ext cx="2049863"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354145</xdr:colOff>
      <xdr:row>28</xdr:row>
      <xdr:rowOff>171000</xdr:rowOff>
    </xdr:to>
    <xdr:pic>
      <xdr:nvPicPr>
        <xdr:cNvPr id="2" name="Picture 1"/>
        <xdr:cNvPicPr>
          <a:picLocks noChangeAspect="1"/>
        </xdr:cNvPicPr>
      </xdr:nvPicPr>
      <xdr:blipFill>
        <a:blip xmlns:r="http://schemas.openxmlformats.org/officeDocument/2006/relationships" r:embed="rId1"/>
        <a:stretch>
          <a:fillRect/>
        </a:stretch>
      </xdr:blipFill>
      <xdr:spPr>
        <a:xfrm>
          <a:off x="581025" y="1905000"/>
          <a:ext cx="6754945" cy="3600000"/>
        </a:xfrm>
        <a:prstGeom prst="rect">
          <a:avLst/>
        </a:prstGeom>
        <a:ln>
          <a:solidFill>
            <a:schemeClr val="tx1"/>
          </a:solidFill>
        </a:ln>
      </xdr:spPr>
    </xdr:pic>
    <xdr:clientData/>
  </xdr:twoCellAnchor>
  <xdr:twoCellAnchor editAs="oneCell">
    <xdr:from>
      <xdr:col>1</xdr:col>
      <xdr:colOff>62035</xdr:colOff>
      <xdr:row>29</xdr:row>
      <xdr:rowOff>129447</xdr:rowOff>
    </xdr:from>
    <xdr:to>
      <xdr:col>6</xdr:col>
      <xdr:colOff>416180</xdr:colOff>
      <xdr:row>48</xdr:row>
      <xdr:rowOff>109947</xdr:rowOff>
    </xdr:to>
    <xdr:pic>
      <xdr:nvPicPr>
        <xdr:cNvPr id="3" name="Picture 2"/>
        <xdr:cNvPicPr>
          <a:picLocks noChangeAspect="1"/>
        </xdr:cNvPicPr>
      </xdr:nvPicPr>
      <xdr:blipFill>
        <a:blip xmlns:r="http://schemas.openxmlformats.org/officeDocument/2006/relationships" r:embed="rId2"/>
        <a:stretch>
          <a:fillRect/>
        </a:stretch>
      </xdr:blipFill>
      <xdr:spPr>
        <a:xfrm>
          <a:off x="643060" y="5653947"/>
          <a:ext cx="6754945" cy="360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xdr:row>
      <xdr:rowOff>13019</xdr:rowOff>
    </xdr:from>
    <xdr:to>
      <xdr:col>7</xdr:col>
      <xdr:colOff>261600</xdr:colOff>
      <xdr:row>20</xdr:row>
      <xdr:rowOff>138299</xdr:rowOff>
    </xdr:to>
    <xdr:pic>
      <xdr:nvPicPr>
        <xdr:cNvPr id="2" name="Picture 1">
          <a:extLst>
            <a:ext uri="{FF2B5EF4-FFF2-40B4-BE49-F238E27FC236}">
              <a16:creationId xmlns:a16="http://schemas.microsoft.com/office/drawing/2014/main" xmlns="" id="{4D847657-9A98-462F-8136-90B8F0E8AA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1200" y="195899"/>
          <a:ext cx="2700000" cy="3600000"/>
        </a:xfrm>
        <a:prstGeom prst="rect">
          <a:avLst/>
        </a:prstGeom>
      </xdr:spPr>
    </xdr:pic>
    <xdr:clientData/>
  </xdr:twoCellAnchor>
  <xdr:twoCellAnchor editAs="oneCell">
    <xdr:from>
      <xdr:col>7</xdr:col>
      <xdr:colOff>421696</xdr:colOff>
      <xdr:row>1</xdr:row>
      <xdr:rowOff>0</xdr:rowOff>
    </xdr:from>
    <xdr:to>
      <xdr:col>12</xdr:col>
      <xdr:colOff>73696</xdr:colOff>
      <xdr:row>20</xdr:row>
      <xdr:rowOff>125280</xdr:rowOff>
    </xdr:to>
    <xdr:pic>
      <xdr:nvPicPr>
        <xdr:cNvPr id="3" name="Picture 2">
          <a:extLst>
            <a:ext uri="{FF2B5EF4-FFF2-40B4-BE49-F238E27FC236}">
              <a16:creationId xmlns:a16="http://schemas.microsoft.com/office/drawing/2014/main" xmlns="" id="{B79F1620-8C1D-4DC4-BB8B-C753110822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41296" y="182880"/>
          <a:ext cx="2700000" cy="3600000"/>
        </a:xfrm>
        <a:prstGeom prst="rect">
          <a:avLst/>
        </a:prstGeom>
      </xdr:spPr>
    </xdr:pic>
    <xdr:clientData/>
  </xdr:twoCellAnchor>
  <xdr:twoCellAnchor editAs="oneCell">
    <xdr:from>
      <xdr:col>12</xdr:col>
      <xdr:colOff>209550</xdr:colOff>
      <xdr:row>1</xdr:row>
      <xdr:rowOff>47625</xdr:rowOff>
    </xdr:from>
    <xdr:to>
      <xdr:col>20</xdr:col>
      <xdr:colOff>455250</xdr:colOff>
      <xdr:row>16</xdr:row>
      <xdr:rowOff>70125</xdr:rowOff>
    </xdr:to>
    <xdr:pic>
      <xdr:nvPicPr>
        <xdr:cNvPr id="4" name="Picture 3"/>
        <xdr:cNvPicPr>
          <a:picLocks noChangeAspect="1"/>
        </xdr:cNvPicPr>
      </xdr:nvPicPr>
      <xdr:blipFill>
        <a:blip xmlns:r="http://schemas.openxmlformats.org/officeDocument/2006/relationships" r:embed="rId3"/>
        <a:stretch>
          <a:fillRect/>
        </a:stretch>
      </xdr:blipFill>
      <xdr:spPr>
        <a:xfrm>
          <a:off x="7658100" y="238125"/>
          <a:ext cx="5122500" cy="288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zqbhVxJxGc5RLeUt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6"/>
  <sheetViews>
    <sheetView tabSelected="1" view="pageBreakPreview" topLeftCell="A133" zoomScaleNormal="100" zoomScaleSheetLayoutView="100" zoomScalePageLayoutView="85" workbookViewId="0">
      <selection activeCell="K147" sqref="K147"/>
    </sheetView>
  </sheetViews>
  <sheetFormatPr defaultColWidth="9.140625" defaultRowHeight="15.75" x14ac:dyDescent="0.25"/>
  <cols>
    <col min="1" max="1" width="11.42578125" style="20" customWidth="1"/>
    <col min="2" max="2" width="11.140625" style="20" customWidth="1"/>
    <col min="3" max="3" width="12.7109375" style="20" customWidth="1"/>
    <col min="4" max="4" width="12.85546875" style="20" customWidth="1"/>
    <col min="5" max="7" width="11.7109375" style="20" customWidth="1"/>
    <col min="8" max="8" width="12.42578125" style="20" customWidth="1"/>
    <col min="9" max="9" width="20.42578125" style="8" customWidth="1"/>
    <col min="10" max="10" width="9.85546875" style="8" bestFit="1" customWidth="1"/>
    <col min="11" max="252" width="9.140625" style="8"/>
    <col min="253" max="253" width="8.7109375" style="8" customWidth="1"/>
    <col min="254" max="254" width="9.85546875" style="8" customWidth="1"/>
    <col min="255" max="255" width="14.42578125" style="8" customWidth="1"/>
    <col min="256" max="256" width="7.28515625" style="8" customWidth="1"/>
    <col min="257" max="257" width="5.5703125" style="8" customWidth="1"/>
    <col min="258" max="258" width="9" style="8" customWidth="1"/>
    <col min="259" max="260" width="9.85546875" style="8" customWidth="1"/>
    <col min="261" max="261" width="11.140625" style="8" customWidth="1"/>
    <col min="262" max="262" width="2.85546875" style="8" customWidth="1"/>
    <col min="263" max="263" width="3.5703125" style="8" customWidth="1"/>
    <col min="264" max="508" width="9.140625" style="8"/>
    <col min="509" max="509" width="8.7109375" style="8" customWidth="1"/>
    <col min="510" max="510" width="9.85546875" style="8" customWidth="1"/>
    <col min="511" max="511" width="14.42578125" style="8" customWidth="1"/>
    <col min="512" max="512" width="7.28515625" style="8" customWidth="1"/>
    <col min="513" max="513" width="5.5703125" style="8" customWidth="1"/>
    <col min="514" max="514" width="9" style="8" customWidth="1"/>
    <col min="515" max="516" width="9.85546875" style="8" customWidth="1"/>
    <col min="517" max="517" width="11.140625" style="8" customWidth="1"/>
    <col min="518" max="518" width="2.85546875" style="8" customWidth="1"/>
    <col min="519" max="519" width="3.5703125" style="8" customWidth="1"/>
    <col min="520" max="764" width="9.140625" style="8"/>
    <col min="765" max="765" width="8.7109375" style="8" customWidth="1"/>
    <col min="766" max="766" width="9.85546875" style="8" customWidth="1"/>
    <col min="767" max="767" width="14.42578125" style="8" customWidth="1"/>
    <col min="768" max="768" width="7.28515625" style="8" customWidth="1"/>
    <col min="769" max="769" width="5.5703125" style="8" customWidth="1"/>
    <col min="770" max="770" width="9" style="8" customWidth="1"/>
    <col min="771" max="772" width="9.85546875" style="8" customWidth="1"/>
    <col min="773" max="773" width="11.140625" style="8" customWidth="1"/>
    <col min="774" max="774" width="2.85546875" style="8" customWidth="1"/>
    <col min="775" max="775" width="3.5703125" style="8" customWidth="1"/>
    <col min="776" max="1020" width="9.140625" style="8"/>
    <col min="1021" max="1021" width="8.7109375" style="8" customWidth="1"/>
    <col min="1022" max="1022" width="9.85546875" style="8" customWidth="1"/>
    <col min="1023" max="1023" width="14.42578125" style="8" customWidth="1"/>
    <col min="1024" max="1024" width="7.28515625" style="8" customWidth="1"/>
    <col min="1025" max="1025" width="5.5703125" style="8" customWidth="1"/>
    <col min="1026" max="1026" width="9" style="8" customWidth="1"/>
    <col min="1027" max="1028" width="9.85546875" style="8" customWidth="1"/>
    <col min="1029" max="1029" width="11.140625" style="8" customWidth="1"/>
    <col min="1030" max="1030" width="2.85546875" style="8" customWidth="1"/>
    <col min="1031" max="1031" width="3.5703125" style="8" customWidth="1"/>
    <col min="1032" max="1276" width="9.140625" style="8"/>
    <col min="1277" max="1277" width="8.7109375" style="8" customWidth="1"/>
    <col min="1278" max="1278" width="9.85546875" style="8" customWidth="1"/>
    <col min="1279" max="1279" width="14.42578125" style="8" customWidth="1"/>
    <col min="1280" max="1280" width="7.28515625" style="8" customWidth="1"/>
    <col min="1281" max="1281" width="5.5703125" style="8" customWidth="1"/>
    <col min="1282" max="1282" width="9" style="8" customWidth="1"/>
    <col min="1283" max="1284" width="9.85546875" style="8" customWidth="1"/>
    <col min="1285" max="1285" width="11.140625" style="8" customWidth="1"/>
    <col min="1286" max="1286" width="2.85546875" style="8" customWidth="1"/>
    <col min="1287" max="1287" width="3.5703125" style="8" customWidth="1"/>
    <col min="1288" max="1532" width="9.140625" style="8"/>
    <col min="1533" max="1533" width="8.7109375" style="8" customWidth="1"/>
    <col min="1534" max="1534" width="9.85546875" style="8" customWidth="1"/>
    <col min="1535" max="1535" width="14.42578125" style="8" customWidth="1"/>
    <col min="1536" max="1536" width="7.28515625" style="8" customWidth="1"/>
    <col min="1537" max="1537" width="5.5703125" style="8" customWidth="1"/>
    <col min="1538" max="1538" width="9" style="8" customWidth="1"/>
    <col min="1539" max="1540" width="9.85546875" style="8" customWidth="1"/>
    <col min="1541" max="1541" width="11.140625" style="8" customWidth="1"/>
    <col min="1542" max="1542" width="2.85546875" style="8" customWidth="1"/>
    <col min="1543" max="1543" width="3.5703125" style="8" customWidth="1"/>
    <col min="1544" max="1788" width="9.140625" style="8"/>
    <col min="1789" max="1789" width="8.7109375" style="8" customWidth="1"/>
    <col min="1790" max="1790" width="9.85546875" style="8" customWidth="1"/>
    <col min="1791" max="1791" width="14.42578125" style="8" customWidth="1"/>
    <col min="1792" max="1792" width="7.28515625" style="8" customWidth="1"/>
    <col min="1793" max="1793" width="5.5703125" style="8" customWidth="1"/>
    <col min="1794" max="1794" width="9" style="8" customWidth="1"/>
    <col min="1795" max="1796" width="9.85546875" style="8" customWidth="1"/>
    <col min="1797" max="1797" width="11.140625" style="8" customWidth="1"/>
    <col min="1798" max="1798" width="2.85546875" style="8" customWidth="1"/>
    <col min="1799" max="1799" width="3.5703125" style="8" customWidth="1"/>
    <col min="1800" max="2044" width="9.140625" style="8"/>
    <col min="2045" max="2045" width="8.7109375" style="8" customWidth="1"/>
    <col min="2046" max="2046" width="9.85546875" style="8" customWidth="1"/>
    <col min="2047" max="2047" width="14.42578125" style="8" customWidth="1"/>
    <col min="2048" max="2048" width="7.28515625" style="8" customWidth="1"/>
    <col min="2049" max="2049" width="5.5703125" style="8" customWidth="1"/>
    <col min="2050" max="2050" width="9" style="8" customWidth="1"/>
    <col min="2051" max="2052" width="9.85546875" style="8" customWidth="1"/>
    <col min="2053" max="2053" width="11.140625" style="8" customWidth="1"/>
    <col min="2054" max="2054" width="2.85546875" style="8" customWidth="1"/>
    <col min="2055" max="2055" width="3.5703125" style="8" customWidth="1"/>
    <col min="2056" max="2300" width="9.140625" style="8"/>
    <col min="2301" max="2301" width="8.7109375" style="8" customWidth="1"/>
    <col min="2302" max="2302" width="9.85546875" style="8" customWidth="1"/>
    <col min="2303" max="2303" width="14.42578125" style="8" customWidth="1"/>
    <col min="2304" max="2304" width="7.28515625" style="8" customWidth="1"/>
    <col min="2305" max="2305" width="5.5703125" style="8" customWidth="1"/>
    <col min="2306" max="2306" width="9" style="8" customWidth="1"/>
    <col min="2307" max="2308" width="9.85546875" style="8" customWidth="1"/>
    <col min="2309" max="2309" width="11.140625" style="8" customWidth="1"/>
    <col min="2310" max="2310" width="2.85546875" style="8" customWidth="1"/>
    <col min="2311" max="2311" width="3.5703125" style="8" customWidth="1"/>
    <col min="2312" max="2556" width="9.140625" style="8"/>
    <col min="2557" max="2557" width="8.7109375" style="8" customWidth="1"/>
    <col min="2558" max="2558" width="9.85546875" style="8" customWidth="1"/>
    <col min="2559" max="2559" width="14.42578125" style="8" customWidth="1"/>
    <col min="2560" max="2560" width="7.28515625" style="8" customWidth="1"/>
    <col min="2561" max="2561" width="5.5703125" style="8" customWidth="1"/>
    <col min="2562" max="2562" width="9" style="8" customWidth="1"/>
    <col min="2563" max="2564" width="9.85546875" style="8" customWidth="1"/>
    <col min="2565" max="2565" width="11.140625" style="8" customWidth="1"/>
    <col min="2566" max="2566" width="2.85546875" style="8" customWidth="1"/>
    <col min="2567" max="2567" width="3.5703125" style="8" customWidth="1"/>
    <col min="2568" max="2812" width="9.140625" style="8"/>
    <col min="2813" max="2813" width="8.7109375" style="8" customWidth="1"/>
    <col min="2814" max="2814" width="9.85546875" style="8" customWidth="1"/>
    <col min="2815" max="2815" width="14.42578125" style="8" customWidth="1"/>
    <col min="2816" max="2816" width="7.28515625" style="8" customWidth="1"/>
    <col min="2817" max="2817" width="5.5703125" style="8" customWidth="1"/>
    <col min="2818" max="2818" width="9" style="8" customWidth="1"/>
    <col min="2819" max="2820" width="9.85546875" style="8" customWidth="1"/>
    <col min="2821" max="2821" width="11.140625" style="8" customWidth="1"/>
    <col min="2822" max="2822" width="2.85546875" style="8" customWidth="1"/>
    <col min="2823" max="2823" width="3.5703125" style="8" customWidth="1"/>
    <col min="2824" max="3068" width="9.140625" style="8"/>
    <col min="3069" max="3069" width="8.7109375" style="8" customWidth="1"/>
    <col min="3070" max="3070" width="9.85546875" style="8" customWidth="1"/>
    <col min="3071" max="3071" width="14.42578125" style="8" customWidth="1"/>
    <col min="3072" max="3072" width="7.28515625" style="8" customWidth="1"/>
    <col min="3073" max="3073" width="5.5703125" style="8" customWidth="1"/>
    <col min="3074" max="3074" width="9" style="8" customWidth="1"/>
    <col min="3075" max="3076" width="9.85546875" style="8" customWidth="1"/>
    <col min="3077" max="3077" width="11.140625" style="8" customWidth="1"/>
    <col min="3078" max="3078" width="2.85546875" style="8" customWidth="1"/>
    <col min="3079" max="3079" width="3.5703125" style="8" customWidth="1"/>
    <col min="3080" max="3324" width="9.140625" style="8"/>
    <col min="3325" max="3325" width="8.7109375" style="8" customWidth="1"/>
    <col min="3326" max="3326" width="9.85546875" style="8" customWidth="1"/>
    <col min="3327" max="3327" width="14.42578125" style="8" customWidth="1"/>
    <col min="3328" max="3328" width="7.28515625" style="8" customWidth="1"/>
    <col min="3329" max="3329" width="5.5703125" style="8" customWidth="1"/>
    <col min="3330" max="3330" width="9" style="8" customWidth="1"/>
    <col min="3331" max="3332" width="9.85546875" style="8" customWidth="1"/>
    <col min="3333" max="3333" width="11.140625" style="8" customWidth="1"/>
    <col min="3334" max="3334" width="2.85546875" style="8" customWidth="1"/>
    <col min="3335" max="3335" width="3.5703125" style="8" customWidth="1"/>
    <col min="3336" max="3580" width="9.140625" style="8"/>
    <col min="3581" max="3581" width="8.7109375" style="8" customWidth="1"/>
    <col min="3582" max="3582" width="9.85546875" style="8" customWidth="1"/>
    <col min="3583" max="3583" width="14.42578125" style="8" customWidth="1"/>
    <col min="3584" max="3584" width="7.28515625" style="8" customWidth="1"/>
    <col min="3585" max="3585" width="5.5703125" style="8" customWidth="1"/>
    <col min="3586" max="3586" width="9" style="8" customWidth="1"/>
    <col min="3587" max="3588" width="9.85546875" style="8" customWidth="1"/>
    <col min="3589" max="3589" width="11.140625" style="8" customWidth="1"/>
    <col min="3590" max="3590" width="2.85546875" style="8" customWidth="1"/>
    <col min="3591" max="3591" width="3.5703125" style="8" customWidth="1"/>
    <col min="3592" max="3836" width="9.140625" style="8"/>
    <col min="3837" max="3837" width="8.7109375" style="8" customWidth="1"/>
    <col min="3838" max="3838" width="9.85546875" style="8" customWidth="1"/>
    <col min="3839" max="3839" width="14.42578125" style="8" customWidth="1"/>
    <col min="3840" max="3840" width="7.28515625" style="8" customWidth="1"/>
    <col min="3841" max="3841" width="5.5703125" style="8" customWidth="1"/>
    <col min="3842" max="3842" width="9" style="8" customWidth="1"/>
    <col min="3843" max="3844" width="9.85546875" style="8" customWidth="1"/>
    <col min="3845" max="3845" width="11.140625" style="8" customWidth="1"/>
    <col min="3846" max="3846" width="2.85546875" style="8" customWidth="1"/>
    <col min="3847" max="3847" width="3.5703125" style="8" customWidth="1"/>
    <col min="3848" max="4092" width="9.140625" style="8"/>
    <col min="4093" max="4093" width="8.7109375" style="8" customWidth="1"/>
    <col min="4094" max="4094" width="9.85546875" style="8" customWidth="1"/>
    <col min="4095" max="4095" width="14.42578125" style="8" customWidth="1"/>
    <col min="4096" max="4096" width="7.28515625" style="8" customWidth="1"/>
    <col min="4097" max="4097" width="5.5703125" style="8" customWidth="1"/>
    <col min="4098" max="4098" width="9" style="8" customWidth="1"/>
    <col min="4099" max="4100" width="9.85546875" style="8" customWidth="1"/>
    <col min="4101" max="4101" width="11.140625" style="8" customWidth="1"/>
    <col min="4102" max="4102" width="2.85546875" style="8" customWidth="1"/>
    <col min="4103" max="4103" width="3.5703125" style="8" customWidth="1"/>
    <col min="4104" max="4348" width="9.140625" style="8"/>
    <col min="4349" max="4349" width="8.7109375" style="8" customWidth="1"/>
    <col min="4350" max="4350" width="9.85546875" style="8" customWidth="1"/>
    <col min="4351" max="4351" width="14.42578125" style="8" customWidth="1"/>
    <col min="4352" max="4352" width="7.28515625" style="8" customWidth="1"/>
    <col min="4353" max="4353" width="5.5703125" style="8" customWidth="1"/>
    <col min="4354" max="4354" width="9" style="8" customWidth="1"/>
    <col min="4355" max="4356" width="9.85546875" style="8" customWidth="1"/>
    <col min="4357" max="4357" width="11.140625" style="8" customWidth="1"/>
    <col min="4358" max="4358" width="2.85546875" style="8" customWidth="1"/>
    <col min="4359" max="4359" width="3.5703125" style="8" customWidth="1"/>
    <col min="4360" max="4604" width="9.140625" style="8"/>
    <col min="4605" max="4605" width="8.7109375" style="8" customWidth="1"/>
    <col min="4606" max="4606" width="9.85546875" style="8" customWidth="1"/>
    <col min="4607" max="4607" width="14.42578125" style="8" customWidth="1"/>
    <col min="4608" max="4608" width="7.28515625" style="8" customWidth="1"/>
    <col min="4609" max="4609" width="5.5703125" style="8" customWidth="1"/>
    <col min="4610" max="4610" width="9" style="8" customWidth="1"/>
    <col min="4611" max="4612" width="9.85546875" style="8" customWidth="1"/>
    <col min="4613" max="4613" width="11.140625" style="8" customWidth="1"/>
    <col min="4614" max="4614" width="2.85546875" style="8" customWidth="1"/>
    <col min="4615" max="4615" width="3.5703125" style="8" customWidth="1"/>
    <col min="4616" max="4860" width="9.140625" style="8"/>
    <col min="4861" max="4861" width="8.7109375" style="8" customWidth="1"/>
    <col min="4862" max="4862" width="9.85546875" style="8" customWidth="1"/>
    <col min="4863" max="4863" width="14.42578125" style="8" customWidth="1"/>
    <col min="4864" max="4864" width="7.28515625" style="8" customWidth="1"/>
    <col min="4865" max="4865" width="5.5703125" style="8" customWidth="1"/>
    <col min="4866" max="4866" width="9" style="8" customWidth="1"/>
    <col min="4867" max="4868" width="9.85546875" style="8" customWidth="1"/>
    <col min="4869" max="4869" width="11.140625" style="8" customWidth="1"/>
    <col min="4870" max="4870" width="2.85546875" style="8" customWidth="1"/>
    <col min="4871" max="4871" width="3.5703125" style="8" customWidth="1"/>
    <col min="4872" max="5116" width="9.140625" style="8"/>
    <col min="5117" max="5117" width="8.7109375" style="8" customWidth="1"/>
    <col min="5118" max="5118" width="9.85546875" style="8" customWidth="1"/>
    <col min="5119" max="5119" width="14.42578125" style="8" customWidth="1"/>
    <col min="5120" max="5120" width="7.28515625" style="8" customWidth="1"/>
    <col min="5121" max="5121" width="5.5703125" style="8" customWidth="1"/>
    <col min="5122" max="5122" width="9" style="8" customWidth="1"/>
    <col min="5123" max="5124" width="9.85546875" style="8" customWidth="1"/>
    <col min="5125" max="5125" width="11.140625" style="8" customWidth="1"/>
    <col min="5126" max="5126" width="2.85546875" style="8" customWidth="1"/>
    <col min="5127" max="5127" width="3.5703125" style="8" customWidth="1"/>
    <col min="5128" max="5372" width="9.140625" style="8"/>
    <col min="5373" max="5373" width="8.7109375" style="8" customWidth="1"/>
    <col min="5374" max="5374" width="9.85546875" style="8" customWidth="1"/>
    <col min="5375" max="5375" width="14.42578125" style="8" customWidth="1"/>
    <col min="5376" max="5376" width="7.28515625" style="8" customWidth="1"/>
    <col min="5377" max="5377" width="5.5703125" style="8" customWidth="1"/>
    <col min="5378" max="5378" width="9" style="8" customWidth="1"/>
    <col min="5379" max="5380" width="9.85546875" style="8" customWidth="1"/>
    <col min="5381" max="5381" width="11.140625" style="8" customWidth="1"/>
    <col min="5382" max="5382" width="2.85546875" style="8" customWidth="1"/>
    <col min="5383" max="5383" width="3.5703125" style="8" customWidth="1"/>
    <col min="5384" max="5628" width="9.140625" style="8"/>
    <col min="5629" max="5629" width="8.7109375" style="8" customWidth="1"/>
    <col min="5630" max="5630" width="9.85546875" style="8" customWidth="1"/>
    <col min="5631" max="5631" width="14.42578125" style="8" customWidth="1"/>
    <col min="5632" max="5632" width="7.28515625" style="8" customWidth="1"/>
    <col min="5633" max="5633" width="5.5703125" style="8" customWidth="1"/>
    <col min="5634" max="5634" width="9" style="8" customWidth="1"/>
    <col min="5635" max="5636" width="9.85546875" style="8" customWidth="1"/>
    <col min="5637" max="5637" width="11.140625" style="8" customWidth="1"/>
    <col min="5638" max="5638" width="2.85546875" style="8" customWidth="1"/>
    <col min="5639" max="5639" width="3.5703125" style="8" customWidth="1"/>
    <col min="5640" max="5884" width="9.140625" style="8"/>
    <col min="5885" max="5885" width="8.7109375" style="8" customWidth="1"/>
    <col min="5886" max="5886" width="9.85546875" style="8" customWidth="1"/>
    <col min="5887" max="5887" width="14.42578125" style="8" customWidth="1"/>
    <col min="5888" max="5888" width="7.28515625" style="8" customWidth="1"/>
    <col min="5889" max="5889" width="5.5703125" style="8" customWidth="1"/>
    <col min="5890" max="5890" width="9" style="8" customWidth="1"/>
    <col min="5891" max="5892" width="9.85546875" style="8" customWidth="1"/>
    <col min="5893" max="5893" width="11.140625" style="8" customWidth="1"/>
    <col min="5894" max="5894" width="2.85546875" style="8" customWidth="1"/>
    <col min="5895" max="5895" width="3.5703125" style="8" customWidth="1"/>
    <col min="5896" max="6140" width="9.140625" style="8"/>
    <col min="6141" max="6141" width="8.7109375" style="8" customWidth="1"/>
    <col min="6142" max="6142" width="9.85546875" style="8" customWidth="1"/>
    <col min="6143" max="6143" width="14.42578125" style="8" customWidth="1"/>
    <col min="6144" max="6144" width="7.28515625" style="8" customWidth="1"/>
    <col min="6145" max="6145" width="5.5703125" style="8" customWidth="1"/>
    <col min="6146" max="6146" width="9" style="8" customWidth="1"/>
    <col min="6147" max="6148" width="9.85546875" style="8" customWidth="1"/>
    <col min="6149" max="6149" width="11.140625" style="8" customWidth="1"/>
    <col min="6150" max="6150" width="2.85546875" style="8" customWidth="1"/>
    <col min="6151" max="6151" width="3.5703125" style="8" customWidth="1"/>
    <col min="6152" max="6396" width="9.140625" style="8"/>
    <col min="6397" max="6397" width="8.7109375" style="8" customWidth="1"/>
    <col min="6398" max="6398" width="9.85546875" style="8" customWidth="1"/>
    <col min="6399" max="6399" width="14.42578125" style="8" customWidth="1"/>
    <col min="6400" max="6400" width="7.28515625" style="8" customWidth="1"/>
    <col min="6401" max="6401" width="5.5703125" style="8" customWidth="1"/>
    <col min="6402" max="6402" width="9" style="8" customWidth="1"/>
    <col min="6403" max="6404" width="9.85546875" style="8" customWidth="1"/>
    <col min="6405" max="6405" width="11.140625" style="8" customWidth="1"/>
    <col min="6406" max="6406" width="2.85546875" style="8" customWidth="1"/>
    <col min="6407" max="6407" width="3.5703125" style="8" customWidth="1"/>
    <col min="6408" max="6652" width="9.140625" style="8"/>
    <col min="6653" max="6653" width="8.7109375" style="8" customWidth="1"/>
    <col min="6654" max="6654" width="9.85546875" style="8" customWidth="1"/>
    <col min="6655" max="6655" width="14.42578125" style="8" customWidth="1"/>
    <col min="6656" max="6656" width="7.28515625" style="8" customWidth="1"/>
    <col min="6657" max="6657" width="5.5703125" style="8" customWidth="1"/>
    <col min="6658" max="6658" width="9" style="8" customWidth="1"/>
    <col min="6659" max="6660" width="9.85546875" style="8" customWidth="1"/>
    <col min="6661" max="6661" width="11.140625" style="8" customWidth="1"/>
    <col min="6662" max="6662" width="2.85546875" style="8" customWidth="1"/>
    <col min="6663" max="6663" width="3.5703125" style="8" customWidth="1"/>
    <col min="6664" max="6908" width="9.140625" style="8"/>
    <col min="6909" max="6909" width="8.7109375" style="8" customWidth="1"/>
    <col min="6910" max="6910" width="9.85546875" style="8" customWidth="1"/>
    <col min="6911" max="6911" width="14.42578125" style="8" customWidth="1"/>
    <col min="6912" max="6912" width="7.28515625" style="8" customWidth="1"/>
    <col min="6913" max="6913" width="5.5703125" style="8" customWidth="1"/>
    <col min="6914" max="6914" width="9" style="8" customWidth="1"/>
    <col min="6915" max="6916" width="9.85546875" style="8" customWidth="1"/>
    <col min="6917" max="6917" width="11.140625" style="8" customWidth="1"/>
    <col min="6918" max="6918" width="2.85546875" style="8" customWidth="1"/>
    <col min="6919" max="6919" width="3.5703125" style="8" customWidth="1"/>
    <col min="6920" max="7164" width="9.140625" style="8"/>
    <col min="7165" max="7165" width="8.7109375" style="8" customWidth="1"/>
    <col min="7166" max="7166" width="9.85546875" style="8" customWidth="1"/>
    <col min="7167" max="7167" width="14.42578125" style="8" customWidth="1"/>
    <col min="7168" max="7168" width="7.28515625" style="8" customWidth="1"/>
    <col min="7169" max="7169" width="5.5703125" style="8" customWidth="1"/>
    <col min="7170" max="7170" width="9" style="8" customWidth="1"/>
    <col min="7171" max="7172" width="9.85546875" style="8" customWidth="1"/>
    <col min="7173" max="7173" width="11.140625" style="8" customWidth="1"/>
    <col min="7174" max="7174" width="2.85546875" style="8" customWidth="1"/>
    <col min="7175" max="7175" width="3.5703125" style="8" customWidth="1"/>
    <col min="7176" max="7420" width="9.140625" style="8"/>
    <col min="7421" max="7421" width="8.7109375" style="8" customWidth="1"/>
    <col min="7422" max="7422" width="9.85546875" style="8" customWidth="1"/>
    <col min="7423" max="7423" width="14.42578125" style="8" customWidth="1"/>
    <col min="7424" max="7424" width="7.28515625" style="8" customWidth="1"/>
    <col min="7425" max="7425" width="5.5703125" style="8" customWidth="1"/>
    <col min="7426" max="7426" width="9" style="8" customWidth="1"/>
    <col min="7427" max="7428" width="9.85546875" style="8" customWidth="1"/>
    <col min="7429" max="7429" width="11.140625" style="8" customWidth="1"/>
    <col min="7430" max="7430" width="2.85546875" style="8" customWidth="1"/>
    <col min="7431" max="7431" width="3.5703125" style="8" customWidth="1"/>
    <col min="7432" max="7676" width="9.140625" style="8"/>
    <col min="7677" max="7677" width="8.7109375" style="8" customWidth="1"/>
    <col min="7678" max="7678" width="9.85546875" style="8" customWidth="1"/>
    <col min="7679" max="7679" width="14.42578125" style="8" customWidth="1"/>
    <col min="7680" max="7680" width="7.28515625" style="8" customWidth="1"/>
    <col min="7681" max="7681" width="5.5703125" style="8" customWidth="1"/>
    <col min="7682" max="7682" width="9" style="8" customWidth="1"/>
    <col min="7683" max="7684" width="9.85546875" style="8" customWidth="1"/>
    <col min="7685" max="7685" width="11.140625" style="8" customWidth="1"/>
    <col min="7686" max="7686" width="2.85546875" style="8" customWidth="1"/>
    <col min="7687" max="7687" width="3.5703125" style="8" customWidth="1"/>
    <col min="7688" max="7932" width="9.140625" style="8"/>
    <col min="7933" max="7933" width="8.7109375" style="8" customWidth="1"/>
    <col min="7934" max="7934" width="9.85546875" style="8" customWidth="1"/>
    <col min="7935" max="7935" width="14.42578125" style="8" customWidth="1"/>
    <col min="7936" max="7936" width="7.28515625" style="8" customWidth="1"/>
    <col min="7937" max="7937" width="5.5703125" style="8" customWidth="1"/>
    <col min="7938" max="7938" width="9" style="8" customWidth="1"/>
    <col min="7939" max="7940" width="9.85546875" style="8" customWidth="1"/>
    <col min="7941" max="7941" width="11.140625" style="8" customWidth="1"/>
    <col min="7942" max="7942" width="2.85546875" style="8" customWidth="1"/>
    <col min="7943" max="7943" width="3.5703125" style="8" customWidth="1"/>
    <col min="7944" max="8188" width="9.140625" style="8"/>
    <col min="8189" max="8189" width="8.7109375" style="8" customWidth="1"/>
    <col min="8190" max="8190" width="9.85546875" style="8" customWidth="1"/>
    <col min="8191" max="8191" width="14.42578125" style="8" customWidth="1"/>
    <col min="8192" max="8192" width="7.28515625" style="8" customWidth="1"/>
    <col min="8193" max="8193" width="5.5703125" style="8" customWidth="1"/>
    <col min="8194" max="8194" width="9" style="8" customWidth="1"/>
    <col min="8195" max="8196" width="9.85546875" style="8" customWidth="1"/>
    <col min="8197" max="8197" width="11.140625" style="8" customWidth="1"/>
    <col min="8198" max="8198" width="2.85546875" style="8" customWidth="1"/>
    <col min="8199" max="8199" width="3.5703125" style="8" customWidth="1"/>
    <col min="8200" max="8444" width="9.140625" style="8"/>
    <col min="8445" max="8445" width="8.7109375" style="8" customWidth="1"/>
    <col min="8446" max="8446" width="9.85546875" style="8" customWidth="1"/>
    <col min="8447" max="8447" width="14.42578125" style="8" customWidth="1"/>
    <col min="8448" max="8448" width="7.28515625" style="8" customWidth="1"/>
    <col min="8449" max="8449" width="5.5703125" style="8" customWidth="1"/>
    <col min="8450" max="8450" width="9" style="8" customWidth="1"/>
    <col min="8451" max="8452" width="9.85546875" style="8" customWidth="1"/>
    <col min="8453" max="8453" width="11.140625" style="8" customWidth="1"/>
    <col min="8454" max="8454" width="2.85546875" style="8" customWidth="1"/>
    <col min="8455" max="8455" width="3.5703125" style="8" customWidth="1"/>
    <col min="8456" max="8700" width="9.140625" style="8"/>
    <col min="8701" max="8701" width="8.7109375" style="8" customWidth="1"/>
    <col min="8702" max="8702" width="9.85546875" style="8" customWidth="1"/>
    <col min="8703" max="8703" width="14.42578125" style="8" customWidth="1"/>
    <col min="8704" max="8704" width="7.28515625" style="8" customWidth="1"/>
    <col min="8705" max="8705" width="5.5703125" style="8" customWidth="1"/>
    <col min="8706" max="8706" width="9" style="8" customWidth="1"/>
    <col min="8707" max="8708" width="9.85546875" style="8" customWidth="1"/>
    <col min="8709" max="8709" width="11.140625" style="8" customWidth="1"/>
    <col min="8710" max="8710" width="2.85546875" style="8" customWidth="1"/>
    <col min="8711" max="8711" width="3.5703125" style="8" customWidth="1"/>
    <col min="8712" max="8956" width="9.140625" style="8"/>
    <col min="8957" max="8957" width="8.7109375" style="8" customWidth="1"/>
    <col min="8958" max="8958" width="9.85546875" style="8" customWidth="1"/>
    <col min="8959" max="8959" width="14.42578125" style="8" customWidth="1"/>
    <col min="8960" max="8960" width="7.28515625" style="8" customWidth="1"/>
    <col min="8961" max="8961" width="5.5703125" style="8" customWidth="1"/>
    <col min="8962" max="8962" width="9" style="8" customWidth="1"/>
    <col min="8963" max="8964" width="9.85546875" style="8" customWidth="1"/>
    <col min="8965" max="8965" width="11.140625" style="8" customWidth="1"/>
    <col min="8966" max="8966" width="2.85546875" style="8" customWidth="1"/>
    <col min="8967" max="8967" width="3.5703125" style="8" customWidth="1"/>
    <col min="8968" max="9212" width="9.140625" style="8"/>
    <col min="9213" max="9213" width="8.7109375" style="8" customWidth="1"/>
    <col min="9214" max="9214" width="9.85546875" style="8" customWidth="1"/>
    <col min="9215" max="9215" width="14.42578125" style="8" customWidth="1"/>
    <col min="9216" max="9216" width="7.28515625" style="8" customWidth="1"/>
    <col min="9217" max="9217" width="5.5703125" style="8" customWidth="1"/>
    <col min="9218" max="9218" width="9" style="8" customWidth="1"/>
    <col min="9219" max="9220" width="9.85546875" style="8" customWidth="1"/>
    <col min="9221" max="9221" width="11.140625" style="8" customWidth="1"/>
    <col min="9222" max="9222" width="2.85546875" style="8" customWidth="1"/>
    <col min="9223" max="9223" width="3.5703125" style="8" customWidth="1"/>
    <col min="9224" max="9468" width="9.140625" style="8"/>
    <col min="9469" max="9469" width="8.7109375" style="8" customWidth="1"/>
    <col min="9470" max="9470" width="9.85546875" style="8" customWidth="1"/>
    <col min="9471" max="9471" width="14.42578125" style="8" customWidth="1"/>
    <col min="9472" max="9472" width="7.28515625" style="8" customWidth="1"/>
    <col min="9473" max="9473" width="5.5703125" style="8" customWidth="1"/>
    <col min="9474" max="9474" width="9" style="8" customWidth="1"/>
    <col min="9475" max="9476" width="9.85546875" style="8" customWidth="1"/>
    <col min="9477" max="9477" width="11.140625" style="8" customWidth="1"/>
    <col min="9478" max="9478" width="2.85546875" style="8" customWidth="1"/>
    <col min="9479" max="9479" width="3.5703125" style="8" customWidth="1"/>
    <col min="9480" max="9724" width="9.140625" style="8"/>
    <col min="9725" max="9725" width="8.7109375" style="8" customWidth="1"/>
    <col min="9726" max="9726" width="9.85546875" style="8" customWidth="1"/>
    <col min="9727" max="9727" width="14.42578125" style="8" customWidth="1"/>
    <col min="9728" max="9728" width="7.28515625" style="8" customWidth="1"/>
    <col min="9729" max="9729" width="5.5703125" style="8" customWidth="1"/>
    <col min="9730" max="9730" width="9" style="8" customWidth="1"/>
    <col min="9731" max="9732" width="9.85546875" style="8" customWidth="1"/>
    <col min="9733" max="9733" width="11.140625" style="8" customWidth="1"/>
    <col min="9734" max="9734" width="2.85546875" style="8" customWidth="1"/>
    <col min="9735" max="9735" width="3.5703125" style="8" customWidth="1"/>
    <col min="9736" max="9980" width="9.140625" style="8"/>
    <col min="9981" max="9981" width="8.7109375" style="8" customWidth="1"/>
    <col min="9982" max="9982" width="9.85546875" style="8" customWidth="1"/>
    <col min="9983" max="9983" width="14.42578125" style="8" customWidth="1"/>
    <col min="9984" max="9984" width="7.28515625" style="8" customWidth="1"/>
    <col min="9985" max="9985" width="5.5703125" style="8" customWidth="1"/>
    <col min="9986" max="9986" width="9" style="8" customWidth="1"/>
    <col min="9987" max="9988" width="9.85546875" style="8" customWidth="1"/>
    <col min="9989" max="9989" width="11.140625" style="8" customWidth="1"/>
    <col min="9990" max="9990" width="2.85546875" style="8" customWidth="1"/>
    <col min="9991" max="9991" width="3.5703125" style="8" customWidth="1"/>
    <col min="9992" max="10236" width="9.140625" style="8"/>
    <col min="10237" max="10237" width="8.7109375" style="8" customWidth="1"/>
    <col min="10238" max="10238" width="9.85546875" style="8" customWidth="1"/>
    <col min="10239" max="10239" width="14.42578125" style="8" customWidth="1"/>
    <col min="10240" max="10240" width="7.28515625" style="8" customWidth="1"/>
    <col min="10241" max="10241" width="5.5703125" style="8" customWidth="1"/>
    <col min="10242" max="10242" width="9" style="8" customWidth="1"/>
    <col min="10243" max="10244" width="9.85546875" style="8" customWidth="1"/>
    <col min="10245" max="10245" width="11.140625" style="8" customWidth="1"/>
    <col min="10246" max="10246" width="2.85546875" style="8" customWidth="1"/>
    <col min="10247" max="10247" width="3.5703125" style="8" customWidth="1"/>
    <col min="10248" max="10492" width="9.140625" style="8"/>
    <col min="10493" max="10493" width="8.7109375" style="8" customWidth="1"/>
    <col min="10494" max="10494" width="9.85546875" style="8" customWidth="1"/>
    <col min="10495" max="10495" width="14.42578125" style="8" customWidth="1"/>
    <col min="10496" max="10496" width="7.28515625" style="8" customWidth="1"/>
    <col min="10497" max="10497" width="5.5703125" style="8" customWidth="1"/>
    <col min="10498" max="10498" width="9" style="8" customWidth="1"/>
    <col min="10499" max="10500" width="9.85546875" style="8" customWidth="1"/>
    <col min="10501" max="10501" width="11.140625" style="8" customWidth="1"/>
    <col min="10502" max="10502" width="2.85546875" style="8" customWidth="1"/>
    <col min="10503" max="10503" width="3.5703125" style="8" customWidth="1"/>
    <col min="10504" max="10748" width="9.140625" style="8"/>
    <col min="10749" max="10749" width="8.7109375" style="8" customWidth="1"/>
    <col min="10750" max="10750" width="9.85546875" style="8" customWidth="1"/>
    <col min="10751" max="10751" width="14.42578125" style="8" customWidth="1"/>
    <col min="10752" max="10752" width="7.28515625" style="8" customWidth="1"/>
    <col min="10753" max="10753" width="5.5703125" style="8" customWidth="1"/>
    <col min="10754" max="10754" width="9" style="8" customWidth="1"/>
    <col min="10755" max="10756" width="9.85546875" style="8" customWidth="1"/>
    <col min="10757" max="10757" width="11.140625" style="8" customWidth="1"/>
    <col min="10758" max="10758" width="2.85546875" style="8" customWidth="1"/>
    <col min="10759" max="10759" width="3.5703125" style="8" customWidth="1"/>
    <col min="10760" max="11004" width="9.140625" style="8"/>
    <col min="11005" max="11005" width="8.7109375" style="8" customWidth="1"/>
    <col min="11006" max="11006" width="9.85546875" style="8" customWidth="1"/>
    <col min="11007" max="11007" width="14.42578125" style="8" customWidth="1"/>
    <col min="11008" max="11008" width="7.28515625" style="8" customWidth="1"/>
    <col min="11009" max="11009" width="5.5703125" style="8" customWidth="1"/>
    <col min="11010" max="11010" width="9" style="8" customWidth="1"/>
    <col min="11011" max="11012" width="9.85546875" style="8" customWidth="1"/>
    <col min="11013" max="11013" width="11.140625" style="8" customWidth="1"/>
    <col min="11014" max="11014" width="2.85546875" style="8" customWidth="1"/>
    <col min="11015" max="11015" width="3.5703125" style="8" customWidth="1"/>
    <col min="11016" max="11260" width="9.140625" style="8"/>
    <col min="11261" max="11261" width="8.7109375" style="8" customWidth="1"/>
    <col min="11262" max="11262" width="9.85546875" style="8" customWidth="1"/>
    <col min="11263" max="11263" width="14.42578125" style="8" customWidth="1"/>
    <col min="11264" max="11264" width="7.28515625" style="8" customWidth="1"/>
    <col min="11265" max="11265" width="5.5703125" style="8" customWidth="1"/>
    <col min="11266" max="11266" width="9" style="8" customWidth="1"/>
    <col min="11267" max="11268" width="9.85546875" style="8" customWidth="1"/>
    <col min="11269" max="11269" width="11.140625" style="8" customWidth="1"/>
    <col min="11270" max="11270" width="2.85546875" style="8" customWidth="1"/>
    <col min="11271" max="11271" width="3.5703125" style="8" customWidth="1"/>
    <col min="11272" max="11516" width="9.140625" style="8"/>
    <col min="11517" max="11517" width="8.7109375" style="8" customWidth="1"/>
    <col min="11518" max="11518" width="9.85546875" style="8" customWidth="1"/>
    <col min="11519" max="11519" width="14.42578125" style="8" customWidth="1"/>
    <col min="11520" max="11520" width="7.28515625" style="8" customWidth="1"/>
    <col min="11521" max="11521" width="5.5703125" style="8" customWidth="1"/>
    <col min="11522" max="11522" width="9" style="8" customWidth="1"/>
    <col min="11523" max="11524" width="9.85546875" style="8" customWidth="1"/>
    <col min="11525" max="11525" width="11.140625" style="8" customWidth="1"/>
    <col min="11526" max="11526" width="2.85546875" style="8" customWidth="1"/>
    <col min="11527" max="11527" width="3.5703125" style="8" customWidth="1"/>
    <col min="11528" max="11772" width="9.140625" style="8"/>
    <col min="11773" max="11773" width="8.7109375" style="8" customWidth="1"/>
    <col min="11774" max="11774" width="9.85546875" style="8" customWidth="1"/>
    <col min="11775" max="11775" width="14.42578125" style="8" customWidth="1"/>
    <col min="11776" max="11776" width="7.28515625" style="8" customWidth="1"/>
    <col min="11777" max="11777" width="5.5703125" style="8" customWidth="1"/>
    <col min="11778" max="11778" width="9" style="8" customWidth="1"/>
    <col min="11779" max="11780" width="9.85546875" style="8" customWidth="1"/>
    <col min="11781" max="11781" width="11.140625" style="8" customWidth="1"/>
    <col min="11782" max="11782" width="2.85546875" style="8" customWidth="1"/>
    <col min="11783" max="11783" width="3.5703125" style="8" customWidth="1"/>
    <col min="11784" max="12028" width="9.140625" style="8"/>
    <col min="12029" max="12029" width="8.7109375" style="8" customWidth="1"/>
    <col min="12030" max="12030" width="9.85546875" style="8" customWidth="1"/>
    <col min="12031" max="12031" width="14.42578125" style="8" customWidth="1"/>
    <col min="12032" max="12032" width="7.28515625" style="8" customWidth="1"/>
    <col min="12033" max="12033" width="5.5703125" style="8" customWidth="1"/>
    <col min="12034" max="12034" width="9" style="8" customWidth="1"/>
    <col min="12035" max="12036" width="9.85546875" style="8" customWidth="1"/>
    <col min="12037" max="12037" width="11.140625" style="8" customWidth="1"/>
    <col min="12038" max="12038" width="2.85546875" style="8" customWidth="1"/>
    <col min="12039" max="12039" width="3.5703125" style="8" customWidth="1"/>
    <col min="12040" max="12284" width="9.140625" style="8"/>
    <col min="12285" max="12285" width="8.7109375" style="8" customWidth="1"/>
    <col min="12286" max="12286" width="9.85546875" style="8" customWidth="1"/>
    <col min="12287" max="12287" width="14.42578125" style="8" customWidth="1"/>
    <col min="12288" max="12288" width="7.28515625" style="8" customWidth="1"/>
    <col min="12289" max="12289" width="5.5703125" style="8" customWidth="1"/>
    <col min="12290" max="12290" width="9" style="8" customWidth="1"/>
    <col min="12291" max="12292" width="9.85546875" style="8" customWidth="1"/>
    <col min="12293" max="12293" width="11.140625" style="8" customWidth="1"/>
    <col min="12294" max="12294" width="2.85546875" style="8" customWidth="1"/>
    <col min="12295" max="12295" width="3.5703125" style="8" customWidth="1"/>
    <col min="12296" max="12540" width="9.140625" style="8"/>
    <col min="12541" max="12541" width="8.7109375" style="8" customWidth="1"/>
    <col min="12542" max="12542" width="9.85546875" style="8" customWidth="1"/>
    <col min="12543" max="12543" width="14.42578125" style="8" customWidth="1"/>
    <col min="12544" max="12544" width="7.28515625" style="8" customWidth="1"/>
    <col min="12545" max="12545" width="5.5703125" style="8" customWidth="1"/>
    <col min="12546" max="12546" width="9" style="8" customWidth="1"/>
    <col min="12547" max="12548" width="9.85546875" style="8" customWidth="1"/>
    <col min="12549" max="12549" width="11.140625" style="8" customWidth="1"/>
    <col min="12550" max="12550" width="2.85546875" style="8" customWidth="1"/>
    <col min="12551" max="12551" width="3.5703125" style="8" customWidth="1"/>
    <col min="12552" max="12796" width="9.140625" style="8"/>
    <col min="12797" max="12797" width="8.7109375" style="8" customWidth="1"/>
    <col min="12798" max="12798" width="9.85546875" style="8" customWidth="1"/>
    <col min="12799" max="12799" width="14.42578125" style="8" customWidth="1"/>
    <col min="12800" max="12800" width="7.28515625" style="8" customWidth="1"/>
    <col min="12801" max="12801" width="5.5703125" style="8" customWidth="1"/>
    <col min="12802" max="12802" width="9" style="8" customWidth="1"/>
    <col min="12803" max="12804" width="9.85546875" style="8" customWidth="1"/>
    <col min="12805" max="12805" width="11.140625" style="8" customWidth="1"/>
    <col min="12806" max="12806" width="2.85546875" style="8" customWidth="1"/>
    <col min="12807" max="12807" width="3.5703125" style="8" customWidth="1"/>
    <col min="12808" max="13052" width="9.140625" style="8"/>
    <col min="13053" max="13053" width="8.7109375" style="8" customWidth="1"/>
    <col min="13054" max="13054" width="9.85546875" style="8" customWidth="1"/>
    <col min="13055" max="13055" width="14.42578125" style="8" customWidth="1"/>
    <col min="13056" max="13056" width="7.28515625" style="8" customWidth="1"/>
    <col min="13057" max="13057" width="5.5703125" style="8" customWidth="1"/>
    <col min="13058" max="13058" width="9" style="8" customWidth="1"/>
    <col min="13059" max="13060" width="9.85546875" style="8" customWidth="1"/>
    <col min="13061" max="13061" width="11.140625" style="8" customWidth="1"/>
    <col min="13062" max="13062" width="2.85546875" style="8" customWidth="1"/>
    <col min="13063" max="13063" width="3.5703125" style="8" customWidth="1"/>
    <col min="13064" max="13308" width="9.140625" style="8"/>
    <col min="13309" max="13309" width="8.7109375" style="8" customWidth="1"/>
    <col min="13310" max="13310" width="9.85546875" style="8" customWidth="1"/>
    <col min="13311" max="13311" width="14.42578125" style="8" customWidth="1"/>
    <col min="13312" max="13312" width="7.28515625" style="8" customWidth="1"/>
    <col min="13313" max="13313" width="5.5703125" style="8" customWidth="1"/>
    <col min="13314" max="13314" width="9" style="8" customWidth="1"/>
    <col min="13315" max="13316" width="9.85546875" style="8" customWidth="1"/>
    <col min="13317" max="13317" width="11.140625" style="8" customWidth="1"/>
    <col min="13318" max="13318" width="2.85546875" style="8" customWidth="1"/>
    <col min="13319" max="13319" width="3.5703125" style="8" customWidth="1"/>
    <col min="13320" max="13564" width="9.140625" style="8"/>
    <col min="13565" max="13565" width="8.7109375" style="8" customWidth="1"/>
    <col min="13566" max="13566" width="9.85546875" style="8" customWidth="1"/>
    <col min="13567" max="13567" width="14.42578125" style="8" customWidth="1"/>
    <col min="13568" max="13568" width="7.28515625" style="8" customWidth="1"/>
    <col min="13569" max="13569" width="5.5703125" style="8" customWidth="1"/>
    <col min="13570" max="13570" width="9" style="8" customWidth="1"/>
    <col min="13571" max="13572" width="9.85546875" style="8" customWidth="1"/>
    <col min="13573" max="13573" width="11.140625" style="8" customWidth="1"/>
    <col min="13574" max="13574" width="2.85546875" style="8" customWidth="1"/>
    <col min="13575" max="13575" width="3.5703125" style="8" customWidth="1"/>
    <col min="13576" max="13820" width="9.140625" style="8"/>
    <col min="13821" max="13821" width="8.7109375" style="8" customWidth="1"/>
    <col min="13822" max="13822" width="9.85546875" style="8" customWidth="1"/>
    <col min="13823" max="13823" width="14.42578125" style="8" customWidth="1"/>
    <col min="13824" max="13824" width="7.28515625" style="8" customWidth="1"/>
    <col min="13825" max="13825" width="5.5703125" style="8" customWidth="1"/>
    <col min="13826" max="13826" width="9" style="8" customWidth="1"/>
    <col min="13827" max="13828" width="9.85546875" style="8" customWidth="1"/>
    <col min="13829" max="13829" width="11.140625" style="8" customWidth="1"/>
    <col min="13830" max="13830" width="2.85546875" style="8" customWidth="1"/>
    <col min="13831" max="13831" width="3.5703125" style="8" customWidth="1"/>
    <col min="13832" max="14076" width="9.140625" style="8"/>
    <col min="14077" max="14077" width="8.7109375" style="8" customWidth="1"/>
    <col min="14078" max="14078" width="9.85546875" style="8" customWidth="1"/>
    <col min="14079" max="14079" width="14.42578125" style="8" customWidth="1"/>
    <col min="14080" max="14080" width="7.28515625" style="8" customWidth="1"/>
    <col min="14081" max="14081" width="5.5703125" style="8" customWidth="1"/>
    <col min="14082" max="14082" width="9" style="8" customWidth="1"/>
    <col min="14083" max="14084" width="9.85546875" style="8" customWidth="1"/>
    <col min="14085" max="14085" width="11.140625" style="8" customWidth="1"/>
    <col min="14086" max="14086" width="2.85546875" style="8" customWidth="1"/>
    <col min="14087" max="14087" width="3.5703125" style="8" customWidth="1"/>
    <col min="14088" max="14332" width="9.140625" style="8"/>
    <col min="14333" max="14333" width="8.7109375" style="8" customWidth="1"/>
    <col min="14334" max="14334" width="9.85546875" style="8" customWidth="1"/>
    <col min="14335" max="14335" width="14.42578125" style="8" customWidth="1"/>
    <col min="14336" max="14336" width="7.28515625" style="8" customWidth="1"/>
    <col min="14337" max="14337" width="5.5703125" style="8" customWidth="1"/>
    <col min="14338" max="14338" width="9" style="8" customWidth="1"/>
    <col min="14339" max="14340" width="9.85546875" style="8" customWidth="1"/>
    <col min="14341" max="14341" width="11.140625" style="8" customWidth="1"/>
    <col min="14342" max="14342" width="2.85546875" style="8" customWidth="1"/>
    <col min="14343" max="14343" width="3.5703125" style="8" customWidth="1"/>
    <col min="14344" max="14588" width="9.140625" style="8"/>
    <col min="14589" max="14589" width="8.7109375" style="8" customWidth="1"/>
    <col min="14590" max="14590" width="9.85546875" style="8" customWidth="1"/>
    <col min="14591" max="14591" width="14.42578125" style="8" customWidth="1"/>
    <col min="14592" max="14592" width="7.28515625" style="8" customWidth="1"/>
    <col min="14593" max="14593" width="5.5703125" style="8" customWidth="1"/>
    <col min="14594" max="14594" width="9" style="8" customWidth="1"/>
    <col min="14595" max="14596" width="9.85546875" style="8" customWidth="1"/>
    <col min="14597" max="14597" width="11.140625" style="8" customWidth="1"/>
    <col min="14598" max="14598" width="2.85546875" style="8" customWidth="1"/>
    <col min="14599" max="14599" width="3.5703125" style="8" customWidth="1"/>
    <col min="14600" max="14844" width="9.140625" style="8"/>
    <col min="14845" max="14845" width="8.7109375" style="8" customWidth="1"/>
    <col min="14846" max="14846" width="9.85546875" style="8" customWidth="1"/>
    <col min="14847" max="14847" width="14.42578125" style="8" customWidth="1"/>
    <col min="14848" max="14848" width="7.28515625" style="8" customWidth="1"/>
    <col min="14849" max="14849" width="5.5703125" style="8" customWidth="1"/>
    <col min="14850" max="14850" width="9" style="8" customWidth="1"/>
    <col min="14851" max="14852" width="9.85546875" style="8" customWidth="1"/>
    <col min="14853" max="14853" width="11.140625" style="8" customWidth="1"/>
    <col min="14854" max="14854" width="2.85546875" style="8" customWidth="1"/>
    <col min="14855" max="14855" width="3.5703125" style="8" customWidth="1"/>
    <col min="14856" max="15100" width="9.140625" style="8"/>
    <col min="15101" max="15101" width="8.7109375" style="8" customWidth="1"/>
    <col min="15102" max="15102" width="9.85546875" style="8" customWidth="1"/>
    <col min="15103" max="15103" width="14.42578125" style="8" customWidth="1"/>
    <col min="15104" max="15104" width="7.28515625" style="8" customWidth="1"/>
    <col min="15105" max="15105" width="5.5703125" style="8" customWidth="1"/>
    <col min="15106" max="15106" width="9" style="8" customWidth="1"/>
    <col min="15107" max="15108" width="9.85546875" style="8" customWidth="1"/>
    <col min="15109" max="15109" width="11.140625" style="8" customWidth="1"/>
    <col min="15110" max="15110" width="2.85546875" style="8" customWidth="1"/>
    <col min="15111" max="15111" width="3.5703125" style="8" customWidth="1"/>
    <col min="15112" max="15356" width="9.140625" style="8"/>
    <col min="15357" max="15357" width="8.7109375" style="8" customWidth="1"/>
    <col min="15358" max="15358" width="9.85546875" style="8" customWidth="1"/>
    <col min="15359" max="15359" width="14.42578125" style="8" customWidth="1"/>
    <col min="15360" max="15360" width="7.28515625" style="8" customWidth="1"/>
    <col min="15361" max="15361" width="5.5703125" style="8" customWidth="1"/>
    <col min="15362" max="15362" width="9" style="8" customWidth="1"/>
    <col min="15363" max="15364" width="9.85546875" style="8" customWidth="1"/>
    <col min="15365" max="15365" width="11.140625" style="8" customWidth="1"/>
    <col min="15366" max="15366" width="2.85546875" style="8" customWidth="1"/>
    <col min="15367" max="15367" width="3.5703125" style="8" customWidth="1"/>
    <col min="15368" max="15612" width="9.140625" style="8"/>
    <col min="15613" max="15613" width="8.7109375" style="8" customWidth="1"/>
    <col min="15614" max="15614" width="9.85546875" style="8" customWidth="1"/>
    <col min="15615" max="15615" width="14.42578125" style="8" customWidth="1"/>
    <col min="15616" max="15616" width="7.28515625" style="8" customWidth="1"/>
    <col min="15617" max="15617" width="5.5703125" style="8" customWidth="1"/>
    <col min="15618" max="15618" width="9" style="8" customWidth="1"/>
    <col min="15619" max="15620" width="9.85546875" style="8" customWidth="1"/>
    <col min="15621" max="15621" width="11.140625" style="8" customWidth="1"/>
    <col min="15622" max="15622" width="2.85546875" style="8" customWidth="1"/>
    <col min="15623" max="15623" width="3.5703125" style="8" customWidth="1"/>
    <col min="15624" max="15868" width="9.140625" style="8"/>
    <col min="15869" max="15869" width="8.7109375" style="8" customWidth="1"/>
    <col min="15870" max="15870" width="9.85546875" style="8" customWidth="1"/>
    <col min="15871" max="15871" width="14.42578125" style="8" customWidth="1"/>
    <col min="15872" max="15872" width="7.28515625" style="8" customWidth="1"/>
    <col min="15873" max="15873" width="5.5703125" style="8" customWidth="1"/>
    <col min="15874" max="15874" width="9" style="8" customWidth="1"/>
    <col min="15875" max="15876" width="9.85546875" style="8" customWidth="1"/>
    <col min="15877" max="15877" width="11.140625" style="8" customWidth="1"/>
    <col min="15878" max="15878" width="2.85546875" style="8" customWidth="1"/>
    <col min="15879" max="15879" width="3.5703125" style="8" customWidth="1"/>
    <col min="15880" max="16124" width="9.140625" style="8"/>
    <col min="16125" max="16125" width="8.7109375" style="8" customWidth="1"/>
    <col min="16126" max="16126" width="9.85546875" style="8" customWidth="1"/>
    <col min="16127" max="16127" width="14.42578125" style="8" customWidth="1"/>
    <col min="16128" max="16128" width="7.28515625" style="8" customWidth="1"/>
    <col min="16129" max="16129" width="5.5703125" style="8" customWidth="1"/>
    <col min="16130" max="16130" width="9" style="8" customWidth="1"/>
    <col min="16131" max="16132" width="9.85546875" style="8" customWidth="1"/>
    <col min="16133" max="16133" width="11.140625" style="8" customWidth="1"/>
    <col min="16134" max="16134" width="2.85546875" style="8" customWidth="1"/>
    <col min="16135" max="16135" width="3.5703125" style="8" customWidth="1"/>
    <col min="16136" max="16384" width="9.140625" style="8"/>
  </cols>
  <sheetData>
    <row r="1" spans="1:8" ht="46.5" customHeight="1" x14ac:dyDescent="0.25">
      <c r="A1" s="176" t="s">
        <v>235</v>
      </c>
      <c r="B1" s="176"/>
      <c r="C1" s="176"/>
      <c r="D1" s="176"/>
      <c r="E1" s="176"/>
      <c r="F1" s="176"/>
      <c r="G1" s="176"/>
      <c r="H1" s="176"/>
    </row>
    <row r="2" spans="1:8" ht="16.5" customHeight="1" x14ac:dyDescent="0.25">
      <c r="A2" s="177" t="s">
        <v>0</v>
      </c>
      <c r="B2" s="177"/>
      <c r="C2" s="177"/>
      <c r="D2" s="177"/>
      <c r="E2" s="177"/>
      <c r="F2" s="177"/>
      <c r="G2" s="177"/>
      <c r="H2" s="177"/>
    </row>
    <row r="3" spans="1:8" x14ac:dyDescent="0.25">
      <c r="A3" s="157" t="s">
        <v>1</v>
      </c>
      <c r="B3" s="157"/>
      <c r="C3" s="157"/>
      <c r="D3" s="157"/>
      <c r="E3" s="178" t="str">
        <f ca="1">TEXT(TODAY(),"DD/MM/YYYY")</f>
        <v>21/08/2025</v>
      </c>
      <c r="F3" s="178"/>
      <c r="G3" s="178"/>
      <c r="H3" s="178"/>
    </row>
    <row r="4" spans="1:8" ht="15" customHeight="1" x14ac:dyDescent="0.25">
      <c r="A4" s="157" t="s">
        <v>2</v>
      </c>
      <c r="B4" s="157"/>
      <c r="C4" s="157"/>
      <c r="D4" s="157"/>
      <c r="E4" s="180" t="s">
        <v>157</v>
      </c>
      <c r="F4" s="180"/>
      <c r="G4" s="180"/>
      <c r="H4" s="180"/>
    </row>
    <row r="5" spans="1:8" x14ac:dyDescent="0.25">
      <c r="A5" s="157" t="s">
        <v>3</v>
      </c>
      <c r="B5" s="157"/>
      <c r="C5" s="157"/>
      <c r="D5" s="157"/>
      <c r="E5" s="174">
        <v>45876</v>
      </c>
      <c r="F5" s="174"/>
      <c r="G5" s="174"/>
      <c r="H5" s="174"/>
    </row>
    <row r="6" spans="1:8" ht="16.5" customHeight="1" x14ac:dyDescent="0.25">
      <c r="A6" s="157" t="s">
        <v>4</v>
      </c>
      <c r="B6" s="157"/>
      <c r="C6" s="157"/>
      <c r="D6" s="157"/>
      <c r="E6" s="158" t="s">
        <v>212</v>
      </c>
      <c r="F6" s="158"/>
      <c r="G6" s="158"/>
      <c r="H6" s="158"/>
    </row>
    <row r="7" spans="1:8" ht="15" customHeight="1" x14ac:dyDescent="0.25">
      <c r="A7" s="157" t="s">
        <v>5</v>
      </c>
      <c r="B7" s="157"/>
      <c r="C7" s="157"/>
      <c r="D7" s="157"/>
      <c r="E7" s="158" t="str">
        <f>E6</f>
        <v xml:space="preserve">M/s.SB Lifespaces Pvt Ltd </v>
      </c>
      <c r="F7" s="158"/>
      <c r="G7" s="158"/>
      <c r="H7" s="158"/>
    </row>
    <row r="8" spans="1:8" x14ac:dyDescent="0.25">
      <c r="A8" s="157" t="s">
        <v>6</v>
      </c>
      <c r="B8" s="157"/>
      <c r="C8" s="157"/>
      <c r="D8" s="157"/>
      <c r="E8" s="179" t="s">
        <v>210</v>
      </c>
      <c r="F8" s="179"/>
      <c r="G8" s="179"/>
      <c r="H8" s="179"/>
    </row>
    <row r="9" spans="1:8" x14ac:dyDescent="0.25">
      <c r="A9" s="157" t="s">
        <v>7</v>
      </c>
      <c r="B9" s="157"/>
      <c r="C9" s="157"/>
      <c r="D9" s="157"/>
      <c r="E9" s="157">
        <v>9323829970</v>
      </c>
      <c r="F9" s="157"/>
      <c r="G9" s="157"/>
      <c r="H9" s="157"/>
    </row>
    <row r="10" spans="1:8" ht="101.25" customHeight="1" x14ac:dyDescent="0.25">
      <c r="A10" s="172" t="s">
        <v>8</v>
      </c>
      <c r="B10" s="172"/>
      <c r="C10" s="172"/>
      <c r="D10" s="172"/>
      <c r="E10" s="173" t="s">
        <v>211</v>
      </c>
      <c r="F10" s="172"/>
      <c r="G10" s="172"/>
      <c r="H10" s="172"/>
    </row>
    <row r="11" spans="1:8" x14ac:dyDescent="0.25">
      <c r="A11" s="157" t="s">
        <v>9</v>
      </c>
      <c r="B11" s="157"/>
      <c r="C11" s="157"/>
      <c r="D11" s="157"/>
      <c r="E11" s="173" t="s">
        <v>200</v>
      </c>
      <c r="F11" s="173"/>
      <c r="G11" s="173"/>
      <c r="H11" s="173"/>
    </row>
    <row r="12" spans="1:8" x14ac:dyDescent="0.25">
      <c r="A12" s="157" t="s">
        <v>10</v>
      </c>
      <c r="B12" s="157"/>
      <c r="C12" s="157"/>
      <c r="D12" s="157"/>
      <c r="E12" s="172" t="s">
        <v>158</v>
      </c>
      <c r="F12" s="172"/>
      <c r="G12" s="172"/>
      <c r="H12" s="172"/>
    </row>
    <row r="13" spans="1:8" ht="34.5" customHeight="1" x14ac:dyDescent="0.25">
      <c r="A13" s="158" t="s">
        <v>11</v>
      </c>
      <c r="B13" s="158"/>
      <c r="C13" s="158" t="s">
        <v>159</v>
      </c>
      <c r="D13" s="158"/>
      <c r="E13" s="158"/>
      <c r="F13" s="158"/>
      <c r="G13" s="158"/>
      <c r="H13" s="158"/>
    </row>
    <row r="14" spans="1:8" ht="15.75" customHeight="1" x14ac:dyDescent="0.25">
      <c r="A14" s="147" t="s">
        <v>201</v>
      </c>
      <c r="B14" s="147"/>
      <c r="C14" s="147" t="s">
        <v>160</v>
      </c>
      <c r="D14" s="147"/>
      <c r="E14" s="147"/>
      <c r="F14" s="147"/>
      <c r="G14" s="147"/>
      <c r="H14" s="147"/>
    </row>
    <row r="15" spans="1:8" ht="15.75" customHeight="1" x14ac:dyDescent="0.25">
      <c r="A15" s="170" t="s">
        <v>12</v>
      </c>
      <c r="B15" s="170"/>
      <c r="C15" s="146" t="s">
        <v>165</v>
      </c>
      <c r="D15" s="146"/>
      <c r="E15" s="170" t="s">
        <v>114</v>
      </c>
      <c r="F15" s="170"/>
      <c r="G15" s="147" t="s">
        <v>161</v>
      </c>
      <c r="H15" s="147"/>
    </row>
    <row r="16" spans="1:8" x14ac:dyDescent="0.25">
      <c r="A16" s="145" t="s">
        <v>14</v>
      </c>
      <c r="B16" s="145"/>
      <c r="C16" s="147" t="s">
        <v>166</v>
      </c>
      <c r="D16" s="147"/>
      <c r="E16" s="170" t="s">
        <v>13</v>
      </c>
      <c r="F16" s="170"/>
      <c r="G16" s="175" t="s">
        <v>162</v>
      </c>
      <c r="H16" s="175"/>
    </row>
    <row r="17" spans="1:8" x14ac:dyDescent="0.25">
      <c r="A17" s="145" t="s">
        <v>115</v>
      </c>
      <c r="B17" s="145"/>
      <c r="C17" s="147" t="s">
        <v>163</v>
      </c>
      <c r="D17" s="147"/>
      <c r="E17" s="170" t="s">
        <v>15</v>
      </c>
      <c r="F17" s="170"/>
      <c r="G17" s="147">
        <v>401303</v>
      </c>
      <c r="H17" s="147"/>
    </row>
    <row r="18" spans="1:8" ht="32.25" customHeight="1" x14ac:dyDescent="0.25">
      <c r="A18" s="145" t="s">
        <v>16</v>
      </c>
      <c r="B18" s="145"/>
      <c r="C18" s="171" t="s">
        <v>167</v>
      </c>
      <c r="D18" s="171"/>
      <c r="E18" s="170" t="s">
        <v>17</v>
      </c>
      <c r="F18" s="170"/>
      <c r="G18" s="147" t="s">
        <v>164</v>
      </c>
      <c r="H18" s="147"/>
    </row>
    <row r="19" spans="1:8" ht="15" customHeight="1" x14ac:dyDescent="0.25">
      <c r="A19" s="170" t="s">
        <v>120</v>
      </c>
      <c r="B19" s="170"/>
      <c r="C19" s="170"/>
      <c r="D19" s="170"/>
      <c r="E19" s="146" t="s">
        <v>18</v>
      </c>
      <c r="F19" s="146"/>
      <c r="G19" s="146"/>
      <c r="H19" s="146"/>
    </row>
    <row r="20" spans="1:8" ht="18.75" customHeight="1" x14ac:dyDescent="0.25">
      <c r="A20" s="170"/>
      <c r="B20" s="170"/>
      <c r="C20" s="170"/>
      <c r="D20" s="170"/>
      <c r="E20" s="146"/>
      <c r="F20" s="146"/>
      <c r="G20" s="146"/>
      <c r="H20" s="146"/>
    </row>
    <row r="21" spans="1:8" ht="15" customHeight="1" x14ac:dyDescent="0.25">
      <c r="A21" s="170" t="s">
        <v>19</v>
      </c>
      <c r="B21" s="170"/>
      <c r="C21" s="170"/>
      <c r="D21" s="170"/>
      <c r="E21" s="147" t="s">
        <v>20</v>
      </c>
      <c r="F21" s="147"/>
      <c r="G21" s="147"/>
      <c r="H21" s="147"/>
    </row>
    <row r="22" spans="1:8" ht="15" customHeight="1" x14ac:dyDescent="0.25">
      <c r="A22" s="145" t="s">
        <v>21</v>
      </c>
      <c r="B22" s="145"/>
      <c r="C22" s="145"/>
      <c r="D22" s="145"/>
      <c r="E22" s="147" t="s">
        <v>168</v>
      </c>
      <c r="F22" s="147"/>
      <c r="G22" s="147"/>
      <c r="H22" s="147"/>
    </row>
    <row r="23" spans="1:8" x14ac:dyDescent="0.25">
      <c r="A23" s="145" t="s">
        <v>22</v>
      </c>
      <c r="B23" s="145"/>
      <c r="C23" s="145"/>
      <c r="D23" s="145"/>
      <c r="E23" s="147" t="s">
        <v>23</v>
      </c>
      <c r="F23" s="147"/>
      <c r="G23" s="147"/>
      <c r="H23" s="147"/>
    </row>
    <row r="24" spans="1:8" x14ac:dyDescent="0.25">
      <c r="A24" s="145" t="s">
        <v>24</v>
      </c>
      <c r="B24" s="145"/>
      <c r="C24" s="145"/>
      <c r="D24" s="145"/>
      <c r="E24" s="147" t="s">
        <v>169</v>
      </c>
      <c r="F24" s="147"/>
      <c r="G24" s="147"/>
      <c r="H24" s="147"/>
    </row>
    <row r="25" spans="1:8" x14ac:dyDescent="0.25">
      <c r="A25" s="145" t="s">
        <v>25</v>
      </c>
      <c r="B25" s="145"/>
      <c r="C25" s="145"/>
      <c r="D25" s="145"/>
      <c r="E25" s="147" t="s">
        <v>26</v>
      </c>
      <c r="F25" s="147"/>
      <c r="G25" s="147"/>
      <c r="H25" s="147"/>
    </row>
    <row r="26" spans="1:8" x14ac:dyDescent="0.25">
      <c r="A26" s="145" t="s">
        <v>127</v>
      </c>
      <c r="B26" s="145"/>
      <c r="C26" s="145"/>
      <c r="D26" s="145"/>
      <c r="E26" s="147" t="s">
        <v>128</v>
      </c>
      <c r="F26" s="147"/>
      <c r="G26" s="147"/>
      <c r="H26" s="147"/>
    </row>
    <row r="27" spans="1:8" ht="15" customHeight="1" x14ac:dyDescent="0.25">
      <c r="A27" s="170" t="s">
        <v>37</v>
      </c>
      <c r="B27" s="170"/>
      <c r="C27" s="170"/>
      <c r="D27" s="170"/>
      <c r="E27" s="180" t="s">
        <v>124</v>
      </c>
      <c r="F27" s="180"/>
      <c r="G27" s="180"/>
      <c r="H27" s="180"/>
    </row>
    <row r="28" spans="1:8" x14ac:dyDescent="0.25">
      <c r="A28" s="170" t="s">
        <v>140</v>
      </c>
      <c r="B28" s="170"/>
      <c r="C28" s="170"/>
      <c r="D28" s="170"/>
      <c r="E28" s="147" t="s">
        <v>38</v>
      </c>
      <c r="F28" s="147"/>
      <c r="G28" s="147"/>
      <c r="H28" s="147"/>
    </row>
    <row r="29" spans="1:8" s="12" customFormat="1" x14ac:dyDescent="0.25">
      <c r="A29" s="190" t="s">
        <v>141</v>
      </c>
      <c r="B29" s="190"/>
      <c r="C29" s="114" t="s">
        <v>31</v>
      </c>
      <c r="D29" s="114"/>
      <c r="E29" s="114"/>
      <c r="F29" s="114" t="s">
        <v>33</v>
      </c>
      <c r="G29" s="114"/>
      <c r="H29" s="114"/>
    </row>
    <row r="30" spans="1:8" s="12" customFormat="1" x14ac:dyDescent="0.25">
      <c r="A30" s="182" t="s">
        <v>27</v>
      </c>
      <c r="B30" s="182" t="s">
        <v>32</v>
      </c>
      <c r="C30" s="185" t="s">
        <v>32</v>
      </c>
      <c r="D30" s="185"/>
      <c r="E30" s="185"/>
      <c r="F30" s="185" t="s">
        <v>171</v>
      </c>
      <c r="G30" s="185"/>
      <c r="H30" s="185"/>
    </row>
    <row r="31" spans="1:8" x14ac:dyDescent="0.25">
      <c r="A31" s="182" t="s">
        <v>28</v>
      </c>
      <c r="B31" s="182" t="s">
        <v>32</v>
      </c>
      <c r="C31" s="185" t="s">
        <v>32</v>
      </c>
      <c r="D31" s="185"/>
      <c r="E31" s="185"/>
      <c r="F31" s="185" t="s">
        <v>12</v>
      </c>
      <c r="G31" s="185"/>
      <c r="H31" s="185"/>
    </row>
    <row r="32" spans="1:8" s="12" customFormat="1" x14ac:dyDescent="0.25">
      <c r="A32" s="182" t="s">
        <v>30</v>
      </c>
      <c r="B32" s="182" t="s">
        <v>32</v>
      </c>
      <c r="C32" s="185" t="s">
        <v>32</v>
      </c>
      <c r="D32" s="185"/>
      <c r="E32" s="185"/>
      <c r="F32" s="185" t="s">
        <v>170</v>
      </c>
      <c r="G32" s="185"/>
      <c r="H32" s="185"/>
    </row>
    <row r="33" spans="1:8" x14ac:dyDescent="0.25">
      <c r="A33" s="182" t="s">
        <v>29</v>
      </c>
      <c r="B33" s="182" t="s">
        <v>32</v>
      </c>
      <c r="C33" s="185" t="s">
        <v>32</v>
      </c>
      <c r="D33" s="185"/>
      <c r="E33" s="185"/>
      <c r="F33" s="185" t="s">
        <v>12</v>
      </c>
      <c r="G33" s="185"/>
      <c r="H33" s="185"/>
    </row>
    <row r="34" spans="1:8" x14ac:dyDescent="0.25">
      <c r="A34" s="145" t="s">
        <v>34</v>
      </c>
      <c r="B34" s="145"/>
      <c r="C34" s="145"/>
      <c r="D34" s="145"/>
      <c r="E34" s="145"/>
      <c r="F34" s="145"/>
      <c r="G34" s="145"/>
      <c r="H34" s="145"/>
    </row>
    <row r="35" spans="1:8" ht="15.75" customHeight="1" x14ac:dyDescent="0.25">
      <c r="A35" s="106" t="s">
        <v>35</v>
      </c>
      <c r="B35" s="106"/>
      <c r="C35" s="108">
        <v>19.4712724</v>
      </c>
      <c r="D35" s="108"/>
      <c r="E35" s="106" t="s">
        <v>36</v>
      </c>
      <c r="F35" s="106"/>
      <c r="G35" s="192">
        <v>72.803141600000004</v>
      </c>
      <c r="H35" s="192"/>
    </row>
    <row r="36" spans="1:8" ht="15.75" customHeight="1" x14ac:dyDescent="0.25">
      <c r="A36" s="106" t="s">
        <v>236</v>
      </c>
      <c r="B36" s="106"/>
      <c r="C36" s="107" t="s">
        <v>237</v>
      </c>
      <c r="D36" s="108"/>
      <c r="E36" s="108"/>
      <c r="F36" s="108"/>
      <c r="G36" s="108"/>
      <c r="H36" s="108"/>
    </row>
    <row r="37" spans="1:8" x14ac:dyDescent="0.25">
      <c r="A37" s="183" t="s">
        <v>39</v>
      </c>
      <c r="B37" s="183"/>
      <c r="C37" s="183"/>
      <c r="D37" s="183"/>
      <c r="E37" s="183"/>
      <c r="F37" s="183"/>
      <c r="G37" s="183"/>
      <c r="H37" s="183"/>
    </row>
    <row r="38" spans="1:8" x14ac:dyDescent="0.25">
      <c r="A38" s="145" t="s">
        <v>40</v>
      </c>
      <c r="B38" s="145"/>
      <c r="C38" s="145"/>
      <c r="D38" s="145"/>
      <c r="E38" s="184">
        <v>666677.78</v>
      </c>
      <c r="F38" s="184"/>
      <c r="G38" s="184"/>
      <c r="H38" s="184"/>
    </row>
    <row r="39" spans="1:8" x14ac:dyDescent="0.25">
      <c r="A39" s="145" t="s">
        <v>41</v>
      </c>
      <c r="B39" s="145"/>
      <c r="C39" s="145"/>
      <c r="D39" s="145"/>
      <c r="E39" s="181">
        <v>0.85</v>
      </c>
      <c r="F39" s="181"/>
      <c r="G39" s="181"/>
      <c r="H39" s="181"/>
    </row>
    <row r="40" spans="1:8" x14ac:dyDescent="0.25">
      <c r="A40" s="145" t="s">
        <v>42</v>
      </c>
      <c r="B40" s="145"/>
      <c r="C40" s="145"/>
      <c r="D40" s="145"/>
      <c r="E40" s="191">
        <f>E42/E38-E39</f>
        <v>0.22323381919223417</v>
      </c>
      <c r="F40" s="191"/>
      <c r="G40" s="191"/>
      <c r="H40" s="191"/>
    </row>
    <row r="41" spans="1:8" x14ac:dyDescent="0.25">
      <c r="A41" s="145" t="s">
        <v>43</v>
      </c>
      <c r="B41" s="145"/>
      <c r="C41" s="145"/>
      <c r="D41" s="145"/>
      <c r="E41" s="191">
        <f>E39+E40</f>
        <v>1.0732338191922342</v>
      </c>
      <c r="F41" s="191"/>
      <c r="G41" s="191"/>
      <c r="H41" s="191"/>
    </row>
    <row r="42" spans="1:8" x14ac:dyDescent="0.25">
      <c r="A42" s="145" t="s">
        <v>139</v>
      </c>
      <c r="B42" s="145"/>
      <c r="C42" s="145"/>
      <c r="D42" s="145"/>
      <c r="E42" s="181">
        <v>715501.14</v>
      </c>
      <c r="F42" s="181"/>
      <c r="G42" s="181"/>
      <c r="H42" s="181"/>
    </row>
    <row r="43" spans="1:8" x14ac:dyDescent="0.25">
      <c r="A43" s="146" t="s">
        <v>44</v>
      </c>
      <c r="B43" s="146"/>
      <c r="C43" s="146"/>
      <c r="D43" s="146"/>
      <c r="E43" s="146" t="s">
        <v>172</v>
      </c>
      <c r="F43" s="146"/>
      <c r="G43" s="146"/>
      <c r="H43" s="146"/>
    </row>
    <row r="44" spans="1:8" x14ac:dyDescent="0.25">
      <c r="A44" s="183" t="s">
        <v>45</v>
      </c>
      <c r="B44" s="183"/>
      <c r="C44" s="183"/>
      <c r="D44" s="183"/>
      <c r="E44" s="183"/>
      <c r="F44" s="183"/>
      <c r="G44" s="183"/>
      <c r="H44" s="183"/>
    </row>
    <row r="45" spans="1:8" ht="33" customHeight="1" x14ac:dyDescent="0.25">
      <c r="A45" s="170" t="s">
        <v>46</v>
      </c>
      <c r="B45" s="170"/>
      <c r="C45" s="188" t="s">
        <v>173</v>
      </c>
      <c r="D45" s="188"/>
      <c r="E45" s="188"/>
      <c r="F45" s="42" t="s">
        <v>47</v>
      </c>
      <c r="G45" s="147" t="s">
        <v>174</v>
      </c>
      <c r="H45" s="147"/>
    </row>
    <row r="46" spans="1:8" ht="31.5" customHeight="1" x14ac:dyDescent="0.25">
      <c r="A46" s="170" t="s">
        <v>48</v>
      </c>
      <c r="B46" s="170"/>
      <c r="C46" s="188" t="str">
        <f>C45</f>
        <v>VVCMC/AMEND/BP/VP0453/091/20/2017-18</v>
      </c>
      <c r="D46" s="188"/>
      <c r="E46" s="188"/>
      <c r="F46" s="42" t="s">
        <v>47</v>
      </c>
      <c r="G46" s="147" t="str">
        <f>G45</f>
        <v>13/10/2017.</v>
      </c>
      <c r="H46" s="147"/>
    </row>
    <row r="47" spans="1:8" s="11" customFormat="1" ht="34.15" customHeight="1" x14ac:dyDescent="0.25">
      <c r="A47" s="147" t="s">
        <v>49</v>
      </c>
      <c r="B47" s="147"/>
      <c r="C47" s="188" t="s">
        <v>175</v>
      </c>
      <c r="D47" s="144"/>
      <c r="E47" s="144"/>
      <c r="F47" s="14" t="s">
        <v>47</v>
      </c>
      <c r="G47" s="193" t="s">
        <v>176</v>
      </c>
      <c r="H47" s="194"/>
    </row>
    <row r="48" spans="1:8" s="11" customFormat="1" ht="36" customHeight="1" x14ac:dyDescent="0.25">
      <c r="A48" s="147"/>
      <c r="B48" s="147"/>
      <c r="C48" s="195" t="s">
        <v>213</v>
      </c>
      <c r="D48" s="196"/>
      <c r="E48" s="196"/>
      <c r="F48" s="196"/>
      <c r="G48" s="196"/>
      <c r="H48" s="197"/>
    </row>
    <row r="49" spans="1:19" ht="78.599999999999994" customHeight="1" x14ac:dyDescent="0.25">
      <c r="A49" s="115" t="s">
        <v>50</v>
      </c>
      <c r="B49" s="115"/>
      <c r="C49" s="155" t="s">
        <v>261</v>
      </c>
      <c r="D49" s="156"/>
      <c r="E49" s="156" t="s">
        <v>51</v>
      </c>
      <c r="F49" s="46" t="s">
        <v>47</v>
      </c>
      <c r="G49" s="153">
        <v>45337</v>
      </c>
      <c r="H49" s="154"/>
    </row>
    <row r="50" spans="1:19" x14ac:dyDescent="0.25">
      <c r="A50" s="152" t="s">
        <v>53</v>
      </c>
      <c r="B50" s="152"/>
      <c r="C50" s="152"/>
      <c r="D50" s="152"/>
      <c r="E50" s="152"/>
      <c r="F50" s="152"/>
      <c r="G50" s="152"/>
      <c r="H50" s="152"/>
    </row>
    <row r="51" spans="1:19" x14ac:dyDescent="0.25">
      <c r="A51" s="147" t="s">
        <v>138</v>
      </c>
      <c r="B51" s="147"/>
      <c r="C51" s="147"/>
      <c r="D51" s="146">
        <v>17616.16</v>
      </c>
      <c r="E51" s="146"/>
      <c r="F51" s="146"/>
      <c r="G51" s="146"/>
      <c r="H51" s="146"/>
    </row>
    <row r="52" spans="1:19" x14ac:dyDescent="0.25">
      <c r="A52" s="147" t="s">
        <v>54</v>
      </c>
      <c r="B52" s="146"/>
      <c r="C52" s="146"/>
      <c r="D52" s="146" t="s">
        <v>208</v>
      </c>
      <c r="E52" s="146"/>
      <c r="F52" s="146"/>
      <c r="G52" s="146"/>
      <c r="H52" s="146"/>
    </row>
    <row r="53" spans="1:19" ht="32.450000000000003" customHeight="1" x14ac:dyDescent="0.25">
      <c r="A53" s="147" t="s">
        <v>55</v>
      </c>
      <c r="B53" s="146"/>
      <c r="C53" s="146"/>
      <c r="D53" s="147" t="s">
        <v>214</v>
      </c>
      <c r="E53" s="147"/>
      <c r="F53" s="147"/>
      <c r="G53" s="147"/>
      <c r="H53" s="147"/>
    </row>
    <row r="54" spans="1:19" ht="34.9" customHeight="1" x14ac:dyDescent="0.25">
      <c r="A54" s="147" t="s">
        <v>136</v>
      </c>
      <c r="B54" s="146"/>
      <c r="C54" s="146"/>
      <c r="D54" s="147" t="s">
        <v>214</v>
      </c>
      <c r="E54" s="147"/>
      <c r="F54" s="147"/>
      <c r="G54" s="147"/>
      <c r="H54" s="147"/>
    </row>
    <row r="55" spans="1:19" ht="15.75" customHeight="1" x14ac:dyDescent="0.25">
      <c r="A55" s="146" t="s">
        <v>52</v>
      </c>
      <c r="B55" s="146"/>
      <c r="C55" s="146"/>
      <c r="D55" s="147" t="s">
        <v>238</v>
      </c>
      <c r="E55" s="147"/>
      <c r="F55" s="147"/>
      <c r="G55" s="147"/>
      <c r="H55" s="147"/>
    </row>
    <row r="56" spans="1:19" ht="15.75" customHeight="1" x14ac:dyDescent="0.25">
      <c r="A56" s="146" t="s">
        <v>134</v>
      </c>
      <c r="B56" s="146"/>
      <c r="C56" s="146"/>
      <c r="D56" s="147" t="s">
        <v>262</v>
      </c>
      <c r="E56" s="147"/>
      <c r="F56" s="147"/>
      <c r="G56" s="147"/>
      <c r="H56" s="147"/>
    </row>
    <row r="57" spans="1:19" ht="15.75" customHeight="1" x14ac:dyDescent="0.25">
      <c r="A57" s="146" t="s">
        <v>135</v>
      </c>
      <c r="B57" s="146"/>
      <c r="C57" s="146"/>
      <c r="D57" s="147" t="s">
        <v>26</v>
      </c>
      <c r="E57" s="147"/>
      <c r="F57" s="147"/>
      <c r="G57" s="147"/>
      <c r="H57" s="147"/>
      <c r="J57" s="22"/>
      <c r="K57" s="22"/>
    </row>
    <row r="58" spans="1:19" ht="19.5" customHeight="1" thickBot="1" x14ac:dyDescent="0.3">
      <c r="A58" s="146" t="s">
        <v>133</v>
      </c>
      <c r="B58" s="146"/>
      <c r="C58" s="146"/>
      <c r="D58" s="147" t="s">
        <v>239</v>
      </c>
      <c r="E58" s="147"/>
      <c r="F58" s="147"/>
      <c r="G58" s="147"/>
      <c r="H58" s="147"/>
      <c r="J58" s="22"/>
      <c r="K58" s="22"/>
    </row>
    <row r="59" spans="1:19" ht="15.75" customHeight="1" x14ac:dyDescent="0.25">
      <c r="A59" s="109" t="s">
        <v>240</v>
      </c>
      <c r="B59" s="109"/>
      <c r="C59" s="109" t="str">
        <f>D54</f>
        <v>Avenue K2 (Building No.1, 2, 3, 2A, 4) = Stilt/Gr + Podium + 14th Floor</v>
      </c>
      <c r="D59" s="109"/>
      <c r="E59" s="109"/>
      <c r="F59" s="109"/>
      <c r="G59" s="109"/>
      <c r="H59" s="109"/>
      <c r="I59" s="89" t="str">
        <f ca="1">IF(D74=100%,"All work Completed. Possession granted to the Building.",IF(D73=100%,"All work Completed, Waiting for OC",I60&amp;""&amp;I61&amp;""&amp;J60&amp;""&amp;J59&amp;" "&amp;J61))</f>
        <v>All work Completed. Possession granted to the Building.</v>
      </c>
      <c r="J59" s="77" t="str">
        <f ca="1">(IF(C67=(D60+F60+H60),"",IF(C67&gt;0,", RCC upto "&amp;C67&amp;" Slab","")))&amp;(IF(C68=H60,"",IF(C68&gt;0,", Brickwork upto "&amp;C68&amp;" Floor","")))&amp;(IF(C69=H60,"",IF(C69&gt;0,", Internal Plaster upto "&amp;C69&amp;" Floor","")))&amp;(IF(C70=H60,"",IF(C70&gt;0,", External Plaster upto "&amp;C70&amp;" Floor","")))&amp;(IF(C71=H60,"",IF(C71&gt;0,", Flooring upto "&amp;C71&amp;" Floor","")))&amp;(IF(C72=H60,"",IF(C72&gt;0,", Painting upto "&amp;C72&amp;" Floor","")))&amp;(IF(C73=H60,"",IF(C73&gt;0,", Finishing upto "&amp;C73&amp;" Floor","")))&amp;(IF(C74=H60,"",IF(C74&gt;0,", Possession upto "&amp;C74&amp;" Floor","")))</f>
        <v/>
      </c>
      <c r="S59"/>
    </row>
    <row r="60" spans="1:19" x14ac:dyDescent="0.25">
      <c r="A60" s="78" t="s">
        <v>111</v>
      </c>
      <c r="B60" s="78">
        <f>IF(AND(ISNUMBER(SEARCH("1B",C59))),1,IF(AND(ISNUMBER(SEARCH("2B",C59))),2,IF(AND(ISNUMBER(SEARCH("3B",C59))),3,IF(AND(ISNUMBER(SEARCH("4B",C59))),4,IF(ISNUMBER(SEARCH("5B",C59)),5,0)))))</f>
        <v>0</v>
      </c>
      <c r="C60" s="78" t="s">
        <v>113</v>
      </c>
      <c r="D60" s="78">
        <v>1</v>
      </c>
      <c r="E60" s="78" t="s">
        <v>112</v>
      </c>
      <c r="F60" s="78">
        <v>1</v>
      </c>
      <c r="G60" s="78" t="s">
        <v>126</v>
      </c>
      <c r="H60" s="78">
        <f ca="1">--TRIM(RIGHT(SUBSTITUTE(LEFT(C59,_xlfn.AGGREGATE(16,6,FIND({0,1,2,3,4,5,6,7,8,9},C59,ROW(INDIRECT("1:"&amp;LEN(C59)))),1))," ",REPT(" ",LEN(C59))),LEN(C59)))</f>
        <v>14</v>
      </c>
      <c r="I60" s="90" t="str">
        <f ca="1">IF(D65=100%,"Excavation","")&amp;IF(D66=100%,", Plinth","")&amp;IF(D67=100%,", RCC Slab","")&amp;IF(D68=100%,", Brickwork","")&amp;IF(D69=100%,", Internal Plaster","")&amp;IF(D70=100%,", External Plaster","")&amp;IF(D71=100%,", Flooring","")&amp;IF(D72=100%,", Painting","")&amp;IF(D73=100%,", Building common Amenities","")</f>
        <v>Excavation, Plinth, RCC Slab, Brickwork, Internal Plaster, External Plaster, Flooring, Painting, Building common Amenities</v>
      </c>
      <c r="J60" s="79" t="str">
        <f ca="1">(IF(C65=0,"Work not yet Started.",IF(D65=25%,"Piling work in process",IF(D65=50%,"Excavation work in process",IF(D65=100%,"","0")))))&amp;(IF(C66=0%,"",IF(C66=J67,", Footing work is process",IF(C66=J68,", Footing work Completed",IF(C66=J69,", 1st Basement Completed",IF(C66=J70,", 1st &amp; 2nd Basement Completed",IF(C66=J71,", 1st to 3rd Basement Completed",IF(C66=J72,", 1st to 4th Basement Completed",IF(C66=J73,", Plinth work is process",IF(C66=J74,"","0"))))))))))</f>
        <v/>
      </c>
      <c r="S60"/>
    </row>
    <row r="61" spans="1:19" x14ac:dyDescent="0.25">
      <c r="A61" s="110" t="s">
        <v>137</v>
      </c>
      <c r="B61" s="110"/>
      <c r="C61" s="109" t="str">
        <f ca="1">I59</f>
        <v>All work Completed. Possession granted to the Building.</v>
      </c>
      <c r="D61" s="109"/>
      <c r="E61" s="109"/>
      <c r="F61" s="109"/>
      <c r="G61" s="109"/>
      <c r="H61" s="109"/>
      <c r="I61" s="90" t="str">
        <f ca="1">IF(I60&lt;&gt;""," Completed","")</f>
        <v xml:space="preserve"> Completed</v>
      </c>
      <c r="J61" s="79" t="str">
        <f ca="1">IF(J59&lt;&gt;"","Completed","")</f>
        <v/>
      </c>
      <c r="S61"/>
    </row>
    <row r="62" spans="1:19" x14ac:dyDescent="0.25">
      <c r="A62" s="93" t="s">
        <v>132</v>
      </c>
      <c r="B62" s="94"/>
      <c r="C62" s="97">
        <f ca="1">E65</f>
        <v>1</v>
      </c>
      <c r="D62" s="98"/>
      <c r="E62" s="101" t="s">
        <v>131</v>
      </c>
      <c r="F62" s="98"/>
      <c r="G62" s="97">
        <f ca="1">G65</f>
        <v>1</v>
      </c>
      <c r="H62" s="98"/>
      <c r="I62" s="90"/>
      <c r="J62" s="79"/>
      <c r="S62"/>
    </row>
    <row r="63" spans="1:19" x14ac:dyDescent="0.25">
      <c r="A63" s="95"/>
      <c r="B63" s="96"/>
      <c r="C63" s="99"/>
      <c r="D63" s="100"/>
      <c r="E63" s="99"/>
      <c r="F63" s="100"/>
      <c r="G63" s="99"/>
      <c r="H63" s="100"/>
      <c r="I63" s="90"/>
      <c r="J63" s="79"/>
      <c r="S63"/>
    </row>
    <row r="64" spans="1:19" ht="15.75" hidden="1" customHeight="1" x14ac:dyDescent="0.25">
      <c r="A64" s="111" t="s">
        <v>56</v>
      </c>
      <c r="B64" s="111"/>
      <c r="C64" s="87" t="s">
        <v>241</v>
      </c>
      <c r="D64" s="87" t="s">
        <v>130</v>
      </c>
      <c r="E64" s="111" t="s">
        <v>132</v>
      </c>
      <c r="F64" s="111"/>
      <c r="G64" s="111" t="s">
        <v>131</v>
      </c>
      <c r="H64" s="111"/>
      <c r="I64" s="80" t="s">
        <v>242</v>
      </c>
      <c r="J64" s="33">
        <f ca="1">H60*25%</f>
        <v>3.5</v>
      </c>
      <c r="S64"/>
    </row>
    <row r="65" spans="1:19" hidden="1" x14ac:dyDescent="0.25">
      <c r="A65" s="111" t="s">
        <v>243</v>
      </c>
      <c r="B65" s="111"/>
      <c r="C65" s="87">
        <f ca="1">J66</f>
        <v>14</v>
      </c>
      <c r="D65" s="86">
        <f ca="1">((100/H60)*C65)/100</f>
        <v>1</v>
      </c>
      <c r="E65" s="112">
        <f ca="1">(((C66/H60*10)+(40/(D60+F60+H60)*C67)+(7.5/(H60)*C68)+(7.5/(H60)*C69)+(10/H60*C70)+(10/H60*C71)+(5/H60*C72)+(5/H60*C73)+(5/H60*C74))/100)</f>
        <v>1</v>
      </c>
      <c r="F65" s="112"/>
      <c r="G65" s="112">
        <f ca="1">((((C65/H60)*20)+((C66/H60)*25)+(30/(H60+F60+D60)*C67)+(5/H60*C68)+(5/H60*C69)+(5/H60*C70)+(5/H60*C71)+(0/H60*C72)+(0/H60*C73)+(5/H60*C74))/100)</f>
        <v>1</v>
      </c>
      <c r="H65" s="112"/>
      <c r="I65" s="80" t="s">
        <v>145</v>
      </c>
      <c r="J65" s="81">
        <f ca="1">H60*50%</f>
        <v>7</v>
      </c>
    </row>
    <row r="66" spans="1:19" hidden="1" x14ac:dyDescent="0.25">
      <c r="A66" s="111" t="s">
        <v>57</v>
      </c>
      <c r="B66" s="111"/>
      <c r="C66" s="87">
        <f ca="1">J74</f>
        <v>14</v>
      </c>
      <c r="D66" s="86">
        <f ca="1">((100/H60)*C66)/100</f>
        <v>1</v>
      </c>
      <c r="E66" s="112"/>
      <c r="F66" s="112"/>
      <c r="G66" s="112"/>
      <c r="H66" s="112"/>
      <c r="I66" s="80" t="s">
        <v>146</v>
      </c>
      <c r="J66" s="81">
        <f ca="1">H60</f>
        <v>14</v>
      </c>
      <c r="S66"/>
    </row>
    <row r="67" spans="1:19" ht="15.75" hidden="1" customHeight="1" x14ac:dyDescent="0.25">
      <c r="A67" s="111" t="s">
        <v>244</v>
      </c>
      <c r="B67" s="111"/>
      <c r="C67" s="87">
        <v>16</v>
      </c>
      <c r="D67" s="86">
        <f ca="1">((100/(D60+F60+H60))*C67)/100</f>
        <v>1</v>
      </c>
      <c r="E67" s="112"/>
      <c r="F67" s="112"/>
      <c r="G67" s="112"/>
      <c r="H67" s="112"/>
      <c r="I67" s="80" t="s">
        <v>147</v>
      </c>
      <c r="J67" s="82">
        <f ca="1">(IF(B60&gt;1,(H60/(B60+2)),H60/4))</f>
        <v>3.5</v>
      </c>
      <c r="S67"/>
    </row>
    <row r="68" spans="1:19" ht="15.75" hidden="1" customHeight="1" x14ac:dyDescent="0.25">
      <c r="A68" s="111" t="s">
        <v>245</v>
      </c>
      <c r="B68" s="111" t="s">
        <v>246</v>
      </c>
      <c r="C68" s="87">
        <v>14</v>
      </c>
      <c r="D68" s="86">
        <f ca="1">((100/H60)*C68)/100</f>
        <v>1</v>
      </c>
      <c r="E68" s="112"/>
      <c r="F68" s="112"/>
      <c r="G68" s="112"/>
      <c r="H68" s="112"/>
      <c r="I68" s="80" t="s">
        <v>148</v>
      </c>
      <c r="J68" s="82">
        <f ca="1">(IF(B60&gt;1,(H60/(B60+2)+J67),H60/4+J67))</f>
        <v>7</v>
      </c>
    </row>
    <row r="69" spans="1:19" ht="15.75" hidden="1" customHeight="1" x14ac:dyDescent="0.25">
      <c r="A69" s="111" t="s">
        <v>247</v>
      </c>
      <c r="B69" s="111" t="s">
        <v>246</v>
      </c>
      <c r="C69" s="87">
        <v>14</v>
      </c>
      <c r="D69" s="86">
        <f ca="1">((100/H60)*C69)/100</f>
        <v>1</v>
      </c>
      <c r="E69" s="112"/>
      <c r="F69" s="112"/>
      <c r="G69" s="112"/>
      <c r="H69" s="112"/>
      <c r="I69" s="80" t="s">
        <v>248</v>
      </c>
      <c r="J69" s="82">
        <f>(IF(B60&gt;1,(H60/(B60+2)+J68),0))</f>
        <v>0</v>
      </c>
    </row>
    <row r="70" spans="1:19" ht="15" hidden="1" customHeight="1" x14ac:dyDescent="0.25">
      <c r="A70" s="111" t="s">
        <v>249</v>
      </c>
      <c r="B70" s="111" t="s">
        <v>250</v>
      </c>
      <c r="C70" s="87">
        <v>14</v>
      </c>
      <c r="D70" s="86">
        <f ca="1">((100/(H60))*C70)/100</f>
        <v>1</v>
      </c>
      <c r="E70" s="112"/>
      <c r="F70" s="112"/>
      <c r="G70" s="112"/>
      <c r="H70" s="112"/>
      <c r="I70" s="80" t="s">
        <v>251</v>
      </c>
      <c r="J70" s="82">
        <f>(IF(B60&gt;2,(H60/(B60+2)+J69),0))</f>
        <v>0</v>
      </c>
    </row>
    <row r="71" spans="1:19" ht="15.75" hidden="1" customHeight="1" x14ac:dyDescent="0.25">
      <c r="A71" s="111" t="s">
        <v>252</v>
      </c>
      <c r="B71" s="111" t="s">
        <v>252</v>
      </c>
      <c r="C71" s="87">
        <v>14</v>
      </c>
      <c r="D71" s="86">
        <f ca="1">((100/H60)*C71)/100</f>
        <v>1</v>
      </c>
      <c r="E71" s="112"/>
      <c r="F71" s="112"/>
      <c r="G71" s="112"/>
      <c r="H71" s="112"/>
      <c r="I71" s="80" t="s">
        <v>253</v>
      </c>
      <c r="J71" s="83">
        <f>(IF(B60&gt;3,(H60/(B60+2)+J70),0))</f>
        <v>0</v>
      </c>
    </row>
    <row r="72" spans="1:19" ht="15.75" hidden="1" customHeight="1" x14ac:dyDescent="0.25">
      <c r="A72" s="111" t="s">
        <v>254</v>
      </c>
      <c r="B72" s="111"/>
      <c r="C72" s="87">
        <v>14</v>
      </c>
      <c r="D72" s="86">
        <f ca="1">((100/H60)*C72)/100</f>
        <v>1</v>
      </c>
      <c r="E72" s="112"/>
      <c r="F72" s="112"/>
      <c r="G72" s="112"/>
      <c r="H72" s="112"/>
      <c r="I72" s="80" t="s">
        <v>255</v>
      </c>
      <c r="J72" s="82">
        <f>(IF(B60&gt;4,(H60/(B60+2)+J71),0))</f>
        <v>0</v>
      </c>
    </row>
    <row r="73" spans="1:19" ht="15.75" hidden="1" customHeight="1" x14ac:dyDescent="0.25">
      <c r="A73" s="111" t="s">
        <v>256</v>
      </c>
      <c r="B73" s="111" t="s">
        <v>256</v>
      </c>
      <c r="C73" s="87">
        <v>14</v>
      </c>
      <c r="D73" s="86">
        <f ca="1">((100/(H60))*C73)/100</f>
        <v>1</v>
      </c>
      <c r="E73" s="112"/>
      <c r="F73" s="112"/>
      <c r="G73" s="112"/>
      <c r="H73" s="112"/>
      <c r="I73" s="80" t="s">
        <v>149</v>
      </c>
      <c r="J73" s="82">
        <f ca="1">(IF(B60=1,(H60/(B60+3)+J68),IF(B60=0,(H60/4+J68),IF(B60&gt;1,0))))</f>
        <v>10.5</v>
      </c>
    </row>
    <row r="74" spans="1:19" ht="16.5" hidden="1" thickBot="1" x14ac:dyDescent="0.3">
      <c r="A74" s="111" t="s">
        <v>257</v>
      </c>
      <c r="B74" s="111"/>
      <c r="C74" s="87">
        <v>14</v>
      </c>
      <c r="D74" s="86">
        <f ca="1">((100/(H60))*C74)/100</f>
        <v>1</v>
      </c>
      <c r="E74" s="112"/>
      <c r="F74" s="112"/>
      <c r="G74" s="112"/>
      <c r="H74" s="112"/>
      <c r="I74" s="84" t="s">
        <v>150</v>
      </c>
      <c r="J74" s="85">
        <f ca="1">(IF(B60&gt;1.5,(H60/(B60+2)+J68+MAX(0,J69-J68)+MAX(0,J70-J69)+MAX(0,J71-J70)+MAX(0,J72-J71)+MAX(0,J73-J72)),IF(B60=1,(H60/(B60+3)+J73),IF(B60=0,H60/4+J73))))</f>
        <v>14</v>
      </c>
    </row>
    <row r="75" spans="1:19" hidden="1" x14ac:dyDescent="0.25">
      <c r="A75" s="164" t="s">
        <v>217</v>
      </c>
      <c r="B75" s="165"/>
      <c r="C75" s="165"/>
      <c r="D75" s="165"/>
      <c r="E75" s="165"/>
      <c r="F75" s="165"/>
      <c r="G75" s="165"/>
      <c r="H75" s="166"/>
      <c r="I75" s="26" t="str">
        <f>(IF(C79=0,"Work not yet Started.",IF(C79=1,"Excavation work in process",IF(C79=2,"Excavation work completed",IF(C79=4,"Footing work is process",IF(C79=5,"Footing work Completed",IF(C79=7,"Plinth work is process",IF(C79=10,"Plinth work completed","0")))))))&amp;(IF(C80&gt;0,", RCC upto "&amp;C80&amp;" Slab completed",""))&amp;(IF(C81&gt;0,", Brickwork upto "&amp;C81&amp;" Floor completed"," "))&amp;(IF(C82&gt;0,", Plaster upto "&amp;C82&amp;" Floor completed"," "))&amp;(IF(C83&gt;0,", Flooring upto "&amp;C83&amp;" Floor completed"," "))&amp;(IF(C84&gt;0,", Painting upto "&amp;C84&amp;" Floor completed"," "))&amp;(IF(C85&gt;0,", Finishing upto "&amp;C85&amp;" Floor completed"," ")))</f>
        <v xml:space="preserve">Plinth work completed, RCC upto 16 Slab completed, Brickwork upto 14 Floor completed, Plaster upto 14 Floor completed   </v>
      </c>
      <c r="J75" s="27"/>
      <c r="K75" s="28"/>
    </row>
    <row r="76" spans="1:19" hidden="1" x14ac:dyDescent="0.25">
      <c r="A76" s="25" t="s">
        <v>111</v>
      </c>
      <c r="B76" s="45">
        <v>0</v>
      </c>
      <c r="C76" s="45" t="s">
        <v>113</v>
      </c>
      <c r="D76" s="45">
        <v>1</v>
      </c>
      <c r="E76" s="45" t="s">
        <v>112</v>
      </c>
      <c r="F76" s="45">
        <v>1</v>
      </c>
      <c r="G76" s="45" t="s">
        <v>126</v>
      </c>
      <c r="H76" s="47">
        <v>14</v>
      </c>
      <c r="I76" s="29" t="s">
        <v>153</v>
      </c>
      <c r="J76" s="30"/>
      <c r="K76" s="31"/>
    </row>
    <row r="77" spans="1:19" ht="35.25" hidden="1" customHeight="1" x14ac:dyDescent="0.25">
      <c r="A77" s="113" t="s">
        <v>137</v>
      </c>
      <c r="B77" s="114"/>
      <c r="C77" s="115" t="str">
        <f>I75</f>
        <v xml:space="preserve">Plinth work completed, RCC upto 16 Slab completed, Brickwork upto 14 Floor completed, Plaster upto 14 Floor completed   </v>
      </c>
      <c r="D77" s="115"/>
      <c r="E77" s="115"/>
      <c r="F77" s="115"/>
      <c r="G77" s="115"/>
      <c r="H77" s="116"/>
      <c r="I77" s="29" t="s">
        <v>152</v>
      </c>
      <c r="J77" s="30"/>
      <c r="K77" s="31"/>
    </row>
    <row r="78" spans="1:19" ht="36" hidden="1" customHeight="1" x14ac:dyDescent="0.25">
      <c r="A78" s="117" t="s">
        <v>56</v>
      </c>
      <c r="B78" s="118"/>
      <c r="C78" s="48" t="s">
        <v>129</v>
      </c>
      <c r="D78" s="49" t="s">
        <v>130</v>
      </c>
      <c r="E78" s="135" t="s">
        <v>132</v>
      </c>
      <c r="F78" s="135"/>
      <c r="G78" s="135" t="s">
        <v>131</v>
      </c>
      <c r="H78" s="136"/>
      <c r="I78" s="29" t="s">
        <v>154</v>
      </c>
      <c r="J78" s="32"/>
      <c r="K78" s="33"/>
    </row>
    <row r="79" spans="1:19" hidden="1" x14ac:dyDescent="0.25">
      <c r="A79" s="118" t="s">
        <v>57</v>
      </c>
      <c r="B79" s="118"/>
      <c r="C79" s="50">
        <v>10</v>
      </c>
      <c r="D79" s="60">
        <f>((100/10)*C79)/100</f>
        <v>1</v>
      </c>
      <c r="E79" s="137">
        <f>(IF(C77=I77,"100%",IF(C77=I78,"100%",((C79+(40/(B76+D76+F76+H76)*C80)+(15/H76*C81)+(10/H76*C82)+(10/H76*C83)+(5/H76*C84)+(5/H76*C85))/100))))</f>
        <v>0.75</v>
      </c>
      <c r="F79" s="137"/>
      <c r="G79" s="137">
        <f>((IF(C79=1,"2",IF(C79=2,"4",IF(C79=4,"8",IF(C79=5,"15",IF(C79=7,"20",IF(C79=10,"30","0")))))))/100)+(((30/(H76+F76+D76+B76)*C80)+(15/H76*C81)+(10/H76*C82)+(5/H76*C83)+(5/H76*C84)+(5/H76*C85))/100)</f>
        <v>0.85000000000000009</v>
      </c>
      <c r="H79" s="137"/>
      <c r="I79" s="32"/>
      <c r="J79" s="32"/>
      <c r="K79" s="33"/>
    </row>
    <row r="80" spans="1:19" hidden="1" x14ac:dyDescent="0.25">
      <c r="A80" s="118" t="s">
        <v>151</v>
      </c>
      <c r="B80" s="118"/>
      <c r="C80" s="53">
        <v>16</v>
      </c>
      <c r="D80" s="60">
        <f>((100/(B76+F76+D76+H76))*C80)/100</f>
        <v>1</v>
      </c>
      <c r="E80" s="137"/>
      <c r="F80" s="137"/>
      <c r="G80" s="137"/>
      <c r="H80" s="137"/>
      <c r="I80" s="75" t="s">
        <v>145</v>
      </c>
      <c r="J80" s="36">
        <v>0.01</v>
      </c>
      <c r="K80" s="37">
        <v>0.02</v>
      </c>
    </row>
    <row r="81" spans="1:11" hidden="1" x14ac:dyDescent="0.25">
      <c r="A81" s="118" t="s">
        <v>58</v>
      </c>
      <c r="B81" s="118"/>
      <c r="C81" s="50">
        <v>14</v>
      </c>
      <c r="D81" s="60">
        <f>((100/H76)*C81)/100</f>
        <v>1</v>
      </c>
      <c r="E81" s="137"/>
      <c r="F81" s="137"/>
      <c r="G81" s="137"/>
      <c r="H81" s="137"/>
      <c r="I81" s="75" t="s">
        <v>146</v>
      </c>
      <c r="J81" s="36">
        <v>0.02</v>
      </c>
      <c r="K81" s="37">
        <v>0.04</v>
      </c>
    </row>
    <row r="82" spans="1:11" hidden="1" x14ac:dyDescent="0.25">
      <c r="A82" s="118" t="s">
        <v>59</v>
      </c>
      <c r="B82" s="118"/>
      <c r="C82" s="50">
        <v>14</v>
      </c>
      <c r="D82" s="60">
        <f>((100/H76)*C82)/100</f>
        <v>1</v>
      </c>
      <c r="E82" s="137"/>
      <c r="F82" s="137"/>
      <c r="G82" s="137"/>
      <c r="H82" s="137"/>
      <c r="I82" s="75" t="s">
        <v>147</v>
      </c>
      <c r="J82" s="36">
        <v>0.04</v>
      </c>
      <c r="K82" s="37">
        <v>0.08</v>
      </c>
    </row>
    <row r="83" spans="1:11" hidden="1" x14ac:dyDescent="0.25">
      <c r="A83" s="118" t="s">
        <v>60</v>
      </c>
      <c r="B83" s="118"/>
      <c r="C83" s="50">
        <v>0</v>
      </c>
      <c r="D83" s="60">
        <f>((100/H76)*C83)/100</f>
        <v>0</v>
      </c>
      <c r="E83" s="137"/>
      <c r="F83" s="137"/>
      <c r="G83" s="137"/>
      <c r="H83" s="137"/>
      <c r="I83" s="75" t="s">
        <v>148</v>
      </c>
      <c r="J83" s="36">
        <v>0.05</v>
      </c>
      <c r="K83" s="37">
        <v>0.15</v>
      </c>
    </row>
    <row r="84" spans="1:11" ht="15" hidden="1" customHeight="1" x14ac:dyDescent="0.25">
      <c r="A84" s="118" t="s">
        <v>61</v>
      </c>
      <c r="B84" s="118"/>
      <c r="C84" s="50">
        <v>0</v>
      </c>
      <c r="D84" s="60">
        <f>((100/H76)*C84)/100</f>
        <v>0</v>
      </c>
      <c r="E84" s="137"/>
      <c r="F84" s="137"/>
      <c r="G84" s="137"/>
      <c r="H84" s="137"/>
      <c r="I84" s="75" t="s">
        <v>149</v>
      </c>
      <c r="J84" s="36">
        <v>7.0000000000000007E-2</v>
      </c>
      <c r="K84" s="37">
        <v>0.2</v>
      </c>
    </row>
    <row r="85" spans="1:11" ht="16.5" hidden="1" thickBot="1" x14ac:dyDescent="0.3">
      <c r="A85" s="118" t="s">
        <v>62</v>
      </c>
      <c r="B85" s="118"/>
      <c r="C85" s="50">
        <v>0</v>
      </c>
      <c r="D85" s="60">
        <f>((100/H76)*C85)/100</f>
        <v>0</v>
      </c>
      <c r="E85" s="137"/>
      <c r="F85" s="137"/>
      <c r="G85" s="137"/>
      <c r="H85" s="137"/>
      <c r="I85" s="76" t="s">
        <v>150</v>
      </c>
      <c r="J85" s="39">
        <v>0.1</v>
      </c>
      <c r="K85" s="40">
        <v>0.3</v>
      </c>
    </row>
    <row r="86" spans="1:11" hidden="1" x14ac:dyDescent="0.25">
      <c r="A86" s="115" t="s">
        <v>218</v>
      </c>
      <c r="B86" s="115"/>
      <c r="C86" s="115"/>
      <c r="D86" s="115"/>
      <c r="E86" s="115"/>
      <c r="F86" s="115"/>
      <c r="G86" s="115"/>
      <c r="H86" s="115"/>
      <c r="I86" s="61" t="str">
        <f>(IF(C90=0,"Work not yet Started.",IF(C90=1,"Excavation work in process",IF(C90=2,"Excavation work completed",IF(C90=4,"Footing work is process",IF(C90=5,"Footing work Completed",IF(C90=7,"Plinth work is process",IF(C90=10,"Plinth work completed","0")))))))&amp;(IF(C91&gt;0,", RCC upto "&amp;C91&amp;" Slab completed",""))&amp;(IF(C92&gt;0,", Brickwork upto "&amp;C92&amp;" Floor completed"," "))&amp;(IF(C93&gt;0,", Plaster upto "&amp;C93&amp;" Floor completed"," "))&amp;(IF(C94&gt;0,", Flooring upto "&amp;C94&amp;" Floor completed"," "))&amp;(IF(C95&gt;0,", Painting upto "&amp;C95&amp;" Floor completed"," "))&amp;(IF(C96&gt;0,", Finishing upto "&amp;C96&amp;" Floor completed"," ")))</f>
        <v xml:space="preserve">Plinth work completed, RCC upto 14 Slab completed, Brickwork upto 11 Floor completed, Plaster upto 3 Floor completed   </v>
      </c>
      <c r="J86" s="27"/>
      <c r="K86" s="28"/>
    </row>
    <row r="87" spans="1:11" hidden="1" x14ac:dyDescent="0.25">
      <c r="A87" s="25" t="s">
        <v>111</v>
      </c>
      <c r="B87" s="45">
        <v>0</v>
      </c>
      <c r="C87" s="45" t="s">
        <v>113</v>
      </c>
      <c r="D87" s="45">
        <v>1</v>
      </c>
      <c r="E87" s="45" t="s">
        <v>112</v>
      </c>
      <c r="F87" s="45">
        <v>1</v>
      </c>
      <c r="G87" s="45" t="s">
        <v>126</v>
      </c>
      <c r="H87" s="47">
        <v>14</v>
      </c>
      <c r="I87" s="29" t="s">
        <v>153</v>
      </c>
      <c r="J87" s="30"/>
      <c r="K87" s="31"/>
    </row>
    <row r="88" spans="1:11" ht="35.25" hidden="1" customHeight="1" x14ac:dyDescent="0.25">
      <c r="A88" s="113" t="s">
        <v>137</v>
      </c>
      <c r="B88" s="114"/>
      <c r="C88" s="115" t="str">
        <f>I86</f>
        <v xml:space="preserve">Plinth work completed, RCC upto 14 Slab completed, Brickwork upto 11 Floor completed, Plaster upto 3 Floor completed   </v>
      </c>
      <c r="D88" s="115"/>
      <c r="E88" s="115"/>
      <c r="F88" s="115"/>
      <c r="G88" s="115"/>
      <c r="H88" s="116"/>
      <c r="I88" s="29" t="s">
        <v>152</v>
      </c>
      <c r="J88" s="30"/>
      <c r="K88" s="31"/>
    </row>
    <row r="89" spans="1:11" ht="36" hidden="1" customHeight="1" x14ac:dyDescent="0.25">
      <c r="A89" s="117" t="s">
        <v>56</v>
      </c>
      <c r="B89" s="118"/>
      <c r="C89" s="48" t="s">
        <v>129</v>
      </c>
      <c r="D89" s="49" t="s">
        <v>130</v>
      </c>
      <c r="E89" s="135" t="s">
        <v>132</v>
      </c>
      <c r="F89" s="135"/>
      <c r="G89" s="135" t="s">
        <v>131</v>
      </c>
      <c r="H89" s="136"/>
      <c r="I89" s="29" t="s">
        <v>154</v>
      </c>
      <c r="J89" s="32"/>
      <c r="K89" s="33"/>
    </row>
    <row r="90" spans="1:11" hidden="1" x14ac:dyDescent="0.25">
      <c r="A90" s="117" t="s">
        <v>57</v>
      </c>
      <c r="B90" s="118"/>
      <c r="C90" s="50">
        <v>10</v>
      </c>
      <c r="D90" s="52">
        <f>((100/10)*C90)/100</f>
        <v>1</v>
      </c>
      <c r="E90" s="137">
        <f>(IF(C88=I88,"100%",IF(C88=I89,"100%",((C90+(40/(B87+D87+F87+H87)*C91)+(15/H87*C92)+(10/H87*C93)+(10/H87*C94)+(5/H87*C95)+(5/H87*C96))/100))))</f>
        <v>0.5892857142857143</v>
      </c>
      <c r="F90" s="137"/>
      <c r="G90" s="137">
        <f>((IF(C90=1,"2",IF(C90=2,"4",IF(C90=4,"8",IF(C90=5,"15",IF(C90=7,"20",IF(C90=10,"30","0")))))))/100)+(((30/(H87+F87+D87+B87)*C91)+(15/H87*C92)+(10/H87*C93)+(5/H87*C94)+(5/H87*C95)+(5/H87*C96))/100)</f>
        <v>0.70178571428571423</v>
      </c>
      <c r="H90" s="139"/>
      <c r="I90" s="34"/>
      <c r="J90" s="32"/>
      <c r="K90" s="33"/>
    </row>
    <row r="91" spans="1:11" hidden="1" x14ac:dyDescent="0.25">
      <c r="A91" s="117" t="s">
        <v>151</v>
      </c>
      <c r="B91" s="118"/>
      <c r="C91" s="53">
        <v>14</v>
      </c>
      <c r="D91" s="52">
        <f>((100/(B87+F87+D87+H87))*C91)/100</f>
        <v>0.875</v>
      </c>
      <c r="E91" s="137"/>
      <c r="F91" s="137"/>
      <c r="G91" s="137"/>
      <c r="H91" s="139"/>
      <c r="I91" s="35" t="s">
        <v>145</v>
      </c>
      <c r="J91" s="36">
        <v>0.01</v>
      </c>
      <c r="K91" s="37">
        <v>0.02</v>
      </c>
    </row>
    <row r="92" spans="1:11" hidden="1" x14ac:dyDescent="0.25">
      <c r="A92" s="117" t="s">
        <v>58</v>
      </c>
      <c r="B92" s="118"/>
      <c r="C92" s="50">
        <v>11</v>
      </c>
      <c r="D92" s="52">
        <f>((100/H87)*C92)/100</f>
        <v>0.7857142857142857</v>
      </c>
      <c r="E92" s="137"/>
      <c r="F92" s="137"/>
      <c r="G92" s="137"/>
      <c r="H92" s="139"/>
      <c r="I92" s="35" t="s">
        <v>146</v>
      </c>
      <c r="J92" s="36">
        <v>0.02</v>
      </c>
      <c r="K92" s="37">
        <v>0.04</v>
      </c>
    </row>
    <row r="93" spans="1:11" hidden="1" x14ac:dyDescent="0.25">
      <c r="A93" s="117" t="s">
        <v>59</v>
      </c>
      <c r="B93" s="118"/>
      <c r="C93" s="50">
        <f>6/2</f>
        <v>3</v>
      </c>
      <c r="D93" s="52">
        <f>((100/H87)*C93)/100</f>
        <v>0.2142857142857143</v>
      </c>
      <c r="E93" s="137"/>
      <c r="F93" s="137"/>
      <c r="G93" s="137"/>
      <c r="H93" s="139"/>
      <c r="I93" s="35" t="s">
        <v>147</v>
      </c>
      <c r="J93" s="36">
        <v>0.04</v>
      </c>
      <c r="K93" s="37">
        <v>0.08</v>
      </c>
    </row>
    <row r="94" spans="1:11" hidden="1" x14ac:dyDescent="0.25">
      <c r="A94" s="117" t="s">
        <v>60</v>
      </c>
      <c r="B94" s="118"/>
      <c r="C94" s="50">
        <v>0</v>
      </c>
      <c r="D94" s="52">
        <f>((100/H87)*C94)/100</f>
        <v>0</v>
      </c>
      <c r="E94" s="137"/>
      <c r="F94" s="137"/>
      <c r="G94" s="137"/>
      <c r="H94" s="139"/>
      <c r="I94" s="35" t="s">
        <v>148</v>
      </c>
      <c r="J94" s="36">
        <v>0.05</v>
      </c>
      <c r="K94" s="37">
        <v>0.15</v>
      </c>
    </row>
    <row r="95" spans="1:11" ht="15" hidden="1" customHeight="1" x14ac:dyDescent="0.25">
      <c r="A95" s="117" t="s">
        <v>61</v>
      </c>
      <c r="B95" s="118"/>
      <c r="C95" s="50">
        <v>0</v>
      </c>
      <c r="D95" s="52">
        <f>((100/H87)*C95)/100</f>
        <v>0</v>
      </c>
      <c r="E95" s="137"/>
      <c r="F95" s="137"/>
      <c r="G95" s="137"/>
      <c r="H95" s="139"/>
      <c r="I95" s="35" t="s">
        <v>149</v>
      </c>
      <c r="J95" s="36">
        <v>7.0000000000000007E-2</v>
      </c>
      <c r="K95" s="37">
        <v>0.2</v>
      </c>
    </row>
    <row r="96" spans="1:11" ht="16.5" hidden="1" thickBot="1" x14ac:dyDescent="0.3">
      <c r="A96" s="150" t="s">
        <v>62</v>
      </c>
      <c r="B96" s="151"/>
      <c r="C96" s="54">
        <v>0</v>
      </c>
      <c r="D96" s="56">
        <f>((100/H87)*C96)/100</f>
        <v>0</v>
      </c>
      <c r="E96" s="148"/>
      <c r="F96" s="148"/>
      <c r="G96" s="148"/>
      <c r="H96" s="149"/>
      <c r="I96" s="38" t="s">
        <v>150</v>
      </c>
      <c r="J96" s="39">
        <v>0.1</v>
      </c>
      <c r="K96" s="40">
        <v>0.3</v>
      </c>
    </row>
    <row r="97" spans="1:11" hidden="1" x14ac:dyDescent="0.25">
      <c r="A97" s="167" t="s">
        <v>219</v>
      </c>
      <c r="B97" s="168"/>
      <c r="C97" s="168"/>
      <c r="D97" s="168"/>
      <c r="E97" s="168"/>
      <c r="F97" s="168"/>
      <c r="G97" s="168"/>
      <c r="H97" s="169"/>
      <c r="I97" s="26" t="str">
        <f>(IF(C101=0,"Work not yet Started.",IF(C101=1,"Excavation work in process",IF(C101=2,"Excavation work completed",IF(C101=4,"Footing work is process",IF(C101=5,"Footing work Completed",IF(C101=7,"Plinth work is process",IF(C101=10,"Plinth work completed","0")))))))&amp;(IF(C102&gt;0,", RCC upto "&amp;C102&amp;" Slab completed",""))&amp;(IF(C103&gt;0,", Brickwork upto "&amp;C103&amp;" Floor completed"," "))&amp;(IF(C104&gt;0,", Plaster upto "&amp;C104&amp;" Floor completed"," "))&amp;(IF(C105&gt;0,", Flooring upto "&amp;C105&amp;" Floor completed"," "))&amp;(IF(C106&gt;0,", Painting upto "&amp;C106&amp;" Floor completed"," "))&amp;(IF(C107&gt;0,", Finishing upto "&amp;C107&amp;" Floor completed"," ")))</f>
        <v xml:space="preserve">Plinth work completed, RCC upto 14 Slab completed, Brickwork upto 10 Floor completed, Plaster upto 3 Floor completed   </v>
      </c>
      <c r="J97" s="27"/>
      <c r="K97" s="28"/>
    </row>
    <row r="98" spans="1:11" hidden="1" x14ac:dyDescent="0.25">
      <c r="A98" s="25" t="s">
        <v>111</v>
      </c>
      <c r="B98" s="43">
        <v>0</v>
      </c>
      <c r="C98" s="43" t="s">
        <v>113</v>
      </c>
      <c r="D98" s="43">
        <v>1</v>
      </c>
      <c r="E98" s="43" t="s">
        <v>112</v>
      </c>
      <c r="F98" s="43">
        <v>1</v>
      </c>
      <c r="G98" s="43" t="s">
        <v>126</v>
      </c>
      <c r="H98" s="47">
        <v>14</v>
      </c>
      <c r="I98" s="29" t="s">
        <v>153</v>
      </c>
      <c r="J98" s="30"/>
      <c r="K98" s="31"/>
    </row>
    <row r="99" spans="1:11" ht="35.25" hidden="1" customHeight="1" x14ac:dyDescent="0.25">
      <c r="A99" s="113" t="s">
        <v>137</v>
      </c>
      <c r="B99" s="114"/>
      <c r="C99" s="115" t="str">
        <f>I97</f>
        <v xml:space="preserve">Plinth work completed, RCC upto 14 Slab completed, Brickwork upto 10 Floor completed, Plaster upto 3 Floor completed   </v>
      </c>
      <c r="D99" s="115"/>
      <c r="E99" s="115"/>
      <c r="F99" s="115"/>
      <c r="G99" s="115"/>
      <c r="H99" s="116"/>
      <c r="I99" s="29" t="s">
        <v>152</v>
      </c>
      <c r="J99" s="30"/>
      <c r="K99" s="31"/>
    </row>
    <row r="100" spans="1:11" ht="36" hidden="1" customHeight="1" x14ac:dyDescent="0.25">
      <c r="A100" s="117" t="s">
        <v>56</v>
      </c>
      <c r="B100" s="118"/>
      <c r="C100" s="48" t="s">
        <v>129</v>
      </c>
      <c r="D100" s="49" t="s">
        <v>130</v>
      </c>
      <c r="E100" s="135" t="s">
        <v>132</v>
      </c>
      <c r="F100" s="135"/>
      <c r="G100" s="135" t="s">
        <v>131</v>
      </c>
      <c r="H100" s="136"/>
      <c r="I100" s="29" t="s">
        <v>154</v>
      </c>
      <c r="J100" s="32"/>
      <c r="K100" s="33"/>
    </row>
    <row r="101" spans="1:11" hidden="1" x14ac:dyDescent="0.25">
      <c r="A101" s="117" t="s">
        <v>57</v>
      </c>
      <c r="B101" s="118"/>
      <c r="C101" s="50">
        <v>10</v>
      </c>
      <c r="D101" s="51">
        <f>((100/10)*C101)/100</f>
        <v>1</v>
      </c>
      <c r="E101" s="137">
        <f>(IF(C99=I99,"100%",IF(C99=I100,"100%",((C101+(40/(B98+D98+F98+H98)*C102)+(15/H98*C103)+(10/H98*C104)+(10/H98*C105)+(5/H98*C106)+(5/H98*C107))/100))))</f>
        <v>0.57857142857142863</v>
      </c>
      <c r="F101" s="137"/>
      <c r="G101" s="137">
        <f>((IF(C101=1,"2",IF(C101=2,"4",IF(C101=4,"8",IF(C101=5,"15",IF(C101=7,"20",IF(C101=10,"30","0")))))))/100)+(((30/(H98+F98+D98+B98)*C102)+(15/H98*C103)+(10/H98*C104)+(5/H98*C105)+(5/H98*C106)+(5/H98*C107))/100)</f>
        <v>0.69107142857142856</v>
      </c>
      <c r="H101" s="139"/>
      <c r="I101" s="34"/>
      <c r="J101" s="32"/>
      <c r="K101" s="33"/>
    </row>
    <row r="102" spans="1:11" hidden="1" x14ac:dyDescent="0.25">
      <c r="A102" s="117" t="s">
        <v>151</v>
      </c>
      <c r="B102" s="118"/>
      <c r="C102" s="53">
        <v>14</v>
      </c>
      <c r="D102" s="51">
        <f>((100/(B98+F98+D98+H98))*C102)/100</f>
        <v>0.875</v>
      </c>
      <c r="E102" s="137"/>
      <c r="F102" s="137"/>
      <c r="G102" s="137"/>
      <c r="H102" s="139"/>
      <c r="I102" s="35" t="s">
        <v>145</v>
      </c>
      <c r="J102" s="36">
        <v>0.01</v>
      </c>
      <c r="K102" s="37">
        <v>0.02</v>
      </c>
    </row>
    <row r="103" spans="1:11" hidden="1" x14ac:dyDescent="0.25">
      <c r="A103" s="117" t="s">
        <v>58</v>
      </c>
      <c r="B103" s="118"/>
      <c r="C103" s="50">
        <v>10</v>
      </c>
      <c r="D103" s="51">
        <f>((100/H98)*C103)/100</f>
        <v>0.7142857142857143</v>
      </c>
      <c r="E103" s="137"/>
      <c r="F103" s="137"/>
      <c r="G103" s="137"/>
      <c r="H103" s="139"/>
      <c r="I103" s="35" t="s">
        <v>146</v>
      </c>
      <c r="J103" s="36">
        <v>0.02</v>
      </c>
      <c r="K103" s="37">
        <v>0.04</v>
      </c>
    </row>
    <row r="104" spans="1:11" hidden="1" x14ac:dyDescent="0.25">
      <c r="A104" s="117" t="s">
        <v>59</v>
      </c>
      <c r="B104" s="118"/>
      <c r="C104" s="50">
        <v>3</v>
      </c>
      <c r="D104" s="51">
        <f>((100/H98)*C104)/100</f>
        <v>0.2142857142857143</v>
      </c>
      <c r="E104" s="137"/>
      <c r="F104" s="137"/>
      <c r="G104" s="137"/>
      <c r="H104" s="139"/>
      <c r="I104" s="35" t="s">
        <v>147</v>
      </c>
      <c r="J104" s="36">
        <v>0.04</v>
      </c>
      <c r="K104" s="37">
        <v>0.08</v>
      </c>
    </row>
    <row r="105" spans="1:11" hidden="1" x14ac:dyDescent="0.25">
      <c r="A105" s="117" t="s">
        <v>60</v>
      </c>
      <c r="B105" s="118"/>
      <c r="C105" s="50">
        <v>0</v>
      </c>
      <c r="D105" s="51">
        <f>((100/H98)*C105)/100</f>
        <v>0</v>
      </c>
      <c r="E105" s="137"/>
      <c r="F105" s="137"/>
      <c r="G105" s="137"/>
      <c r="H105" s="139"/>
      <c r="I105" s="35" t="s">
        <v>148</v>
      </c>
      <c r="J105" s="36">
        <v>0.05</v>
      </c>
      <c r="K105" s="37">
        <v>0.15</v>
      </c>
    </row>
    <row r="106" spans="1:11" ht="15" hidden="1" customHeight="1" x14ac:dyDescent="0.25">
      <c r="A106" s="117" t="s">
        <v>61</v>
      </c>
      <c r="B106" s="118"/>
      <c r="C106" s="50">
        <v>0</v>
      </c>
      <c r="D106" s="51">
        <f>((100/H98)*C106)/100</f>
        <v>0</v>
      </c>
      <c r="E106" s="137"/>
      <c r="F106" s="137"/>
      <c r="G106" s="137"/>
      <c r="H106" s="139"/>
      <c r="I106" s="35" t="s">
        <v>149</v>
      </c>
      <c r="J106" s="36">
        <v>7.0000000000000007E-2</v>
      </c>
      <c r="K106" s="37">
        <v>0.2</v>
      </c>
    </row>
    <row r="107" spans="1:11" ht="16.5" hidden="1" thickBot="1" x14ac:dyDescent="0.3">
      <c r="A107" s="150" t="s">
        <v>62</v>
      </c>
      <c r="B107" s="151"/>
      <c r="C107" s="54">
        <v>0</v>
      </c>
      <c r="D107" s="55">
        <f>((100/H98)*C107)/100</f>
        <v>0</v>
      </c>
      <c r="E107" s="148"/>
      <c r="F107" s="148"/>
      <c r="G107" s="148"/>
      <c r="H107" s="149"/>
      <c r="I107" s="38" t="s">
        <v>150</v>
      </c>
      <c r="J107" s="39">
        <v>0.1</v>
      </c>
      <c r="K107" s="40">
        <v>0.3</v>
      </c>
    </row>
    <row r="108" spans="1:11" hidden="1" x14ac:dyDescent="0.25">
      <c r="A108" s="167" t="s">
        <v>220</v>
      </c>
      <c r="B108" s="168"/>
      <c r="C108" s="168"/>
      <c r="D108" s="168"/>
      <c r="E108" s="168"/>
      <c r="F108" s="168"/>
      <c r="G108" s="168"/>
      <c r="H108" s="169"/>
      <c r="I108" s="26" t="str">
        <f>(IF(C112=0,"Work not yet Started.",IF(C112=1,"Excavation work in process",IF(C112=2,"Excavation work completed",IF(C112=4,"Footing work is process",IF(C112=5,"Footing work Completed",IF(C112=7,"Plinth work is process",IF(C112=10,"Plinth work completed","0")))))))&amp;(IF(C113&gt;0,", RCC upto "&amp;C113&amp;" Slab completed",""))&amp;(IF(C114&gt;0,", Brickwork upto "&amp;C114&amp;" Floor completed"," "))&amp;(IF(C115&gt;0,", Plaster upto "&amp;C115&amp;" Floor completed"," "))&amp;(IF(C116&gt;0,", Flooring upto "&amp;C116&amp;" Floor completed"," "))&amp;(IF(C117&gt;0,", Painting upto "&amp;C117&amp;" Floor completed"," "))&amp;(IF(C118&gt;0,", Finishing upto "&amp;C118&amp;" Floor completed"," ")))</f>
        <v xml:space="preserve">Plinth work completed, RCC upto 15 Slab completed, Brickwork upto 11 Floor completed, Plaster upto 7 Floor completed   </v>
      </c>
      <c r="J108" s="27"/>
      <c r="K108" s="28"/>
    </row>
    <row r="109" spans="1:11" hidden="1" x14ac:dyDescent="0.25">
      <c r="A109" s="25" t="s">
        <v>111</v>
      </c>
      <c r="B109" s="43">
        <v>0</v>
      </c>
      <c r="C109" s="43" t="s">
        <v>113</v>
      </c>
      <c r="D109" s="43">
        <v>1</v>
      </c>
      <c r="E109" s="43" t="s">
        <v>112</v>
      </c>
      <c r="F109" s="43">
        <v>1</v>
      </c>
      <c r="G109" s="43" t="s">
        <v>126</v>
      </c>
      <c r="H109" s="47">
        <v>14</v>
      </c>
      <c r="I109" s="29" t="s">
        <v>153</v>
      </c>
      <c r="J109" s="30"/>
      <c r="K109" s="31"/>
    </row>
    <row r="110" spans="1:11" ht="35.25" hidden="1" customHeight="1" x14ac:dyDescent="0.25">
      <c r="A110" s="113" t="s">
        <v>137</v>
      </c>
      <c r="B110" s="114"/>
      <c r="C110" s="115" t="str">
        <f>I108</f>
        <v xml:space="preserve">Plinth work completed, RCC upto 15 Slab completed, Brickwork upto 11 Floor completed, Plaster upto 7 Floor completed   </v>
      </c>
      <c r="D110" s="115"/>
      <c r="E110" s="115"/>
      <c r="F110" s="115"/>
      <c r="G110" s="115"/>
      <c r="H110" s="116"/>
      <c r="I110" s="29" t="s">
        <v>152</v>
      </c>
      <c r="J110" s="30"/>
      <c r="K110" s="31"/>
    </row>
    <row r="111" spans="1:11" ht="36" hidden="1" customHeight="1" x14ac:dyDescent="0.25">
      <c r="A111" s="117" t="s">
        <v>56</v>
      </c>
      <c r="B111" s="118"/>
      <c r="C111" s="48" t="s">
        <v>129</v>
      </c>
      <c r="D111" s="49" t="s">
        <v>130</v>
      </c>
      <c r="E111" s="135" t="s">
        <v>132</v>
      </c>
      <c r="F111" s="135"/>
      <c r="G111" s="135" t="s">
        <v>131</v>
      </c>
      <c r="H111" s="136"/>
      <c r="I111" s="29" t="s">
        <v>154</v>
      </c>
      <c r="J111" s="32"/>
      <c r="K111" s="33"/>
    </row>
    <row r="112" spans="1:11" hidden="1" x14ac:dyDescent="0.25">
      <c r="A112" s="118" t="s">
        <v>57</v>
      </c>
      <c r="B112" s="118"/>
      <c r="C112" s="50">
        <v>10</v>
      </c>
      <c r="D112" s="60">
        <f>((100/10)*C112)/100</f>
        <v>1</v>
      </c>
      <c r="E112" s="137">
        <f>(IF(C110=I110,"100%",IF(C110=I111,"100%",((C112+(40/(B109+D109+F109+H109)*C113)+(15/H109*C114)+(10/H109*C115)+(10/H109*C116)+(5/H109*C117)+(5/H109*C118))/100))))</f>
        <v>0.64285714285714279</v>
      </c>
      <c r="F112" s="137"/>
      <c r="G112" s="137">
        <f>((IF(C112=1,"2",IF(C112=2,"4",IF(C112=4,"8",IF(C112=5,"15",IF(C112=7,"20",IF(C112=10,"30","0")))))))/100)+(((30/(H109+F109+D109+B109)*C113)+(15/H109*C114)+(10/H109*C115)+(5/H109*C116)+(5/H109*C117)+(5/H109*C118))/100)</f>
        <v>0.74910714285714286</v>
      </c>
      <c r="H112" s="137"/>
      <c r="I112" s="32"/>
      <c r="J112" s="32"/>
      <c r="K112" s="33"/>
    </row>
    <row r="113" spans="1:11" hidden="1" x14ac:dyDescent="0.25">
      <c r="A113" s="118" t="s">
        <v>151</v>
      </c>
      <c r="B113" s="118"/>
      <c r="C113" s="53">
        <v>15</v>
      </c>
      <c r="D113" s="60">
        <f>((100/(B109+F109+D109+H109))*C113)/100</f>
        <v>0.9375</v>
      </c>
      <c r="E113" s="137"/>
      <c r="F113" s="137"/>
      <c r="G113" s="137"/>
      <c r="H113" s="137"/>
      <c r="I113" s="75" t="s">
        <v>145</v>
      </c>
      <c r="J113" s="36">
        <v>0.01</v>
      </c>
      <c r="K113" s="37">
        <v>0.02</v>
      </c>
    </row>
    <row r="114" spans="1:11" hidden="1" x14ac:dyDescent="0.25">
      <c r="A114" s="118" t="s">
        <v>58</v>
      </c>
      <c r="B114" s="118"/>
      <c r="C114" s="50">
        <v>11</v>
      </c>
      <c r="D114" s="60">
        <f>((100/H109)*C114)/100</f>
        <v>0.7857142857142857</v>
      </c>
      <c r="E114" s="137"/>
      <c r="F114" s="137"/>
      <c r="G114" s="137"/>
      <c r="H114" s="137"/>
      <c r="I114" s="75" t="s">
        <v>146</v>
      </c>
      <c r="J114" s="36">
        <v>0.02</v>
      </c>
      <c r="K114" s="37">
        <v>0.04</v>
      </c>
    </row>
    <row r="115" spans="1:11" hidden="1" x14ac:dyDescent="0.25">
      <c r="A115" s="118" t="s">
        <v>59</v>
      </c>
      <c r="B115" s="118"/>
      <c r="C115" s="50">
        <v>7</v>
      </c>
      <c r="D115" s="60">
        <f>((100/H109)*C115)/100</f>
        <v>0.5</v>
      </c>
      <c r="E115" s="137"/>
      <c r="F115" s="137"/>
      <c r="G115" s="137"/>
      <c r="H115" s="137"/>
      <c r="I115" s="75" t="s">
        <v>147</v>
      </c>
      <c r="J115" s="36">
        <v>0.04</v>
      </c>
      <c r="K115" s="37">
        <v>0.08</v>
      </c>
    </row>
    <row r="116" spans="1:11" hidden="1" x14ac:dyDescent="0.25">
      <c r="A116" s="118" t="s">
        <v>60</v>
      </c>
      <c r="B116" s="118"/>
      <c r="C116" s="50">
        <v>0</v>
      </c>
      <c r="D116" s="60">
        <f>((100/H109)*C116)/100</f>
        <v>0</v>
      </c>
      <c r="E116" s="137"/>
      <c r="F116" s="137"/>
      <c r="G116" s="137"/>
      <c r="H116" s="137"/>
      <c r="I116" s="75" t="s">
        <v>148</v>
      </c>
      <c r="J116" s="36">
        <v>0.05</v>
      </c>
      <c r="K116" s="37">
        <v>0.15</v>
      </c>
    </row>
    <row r="117" spans="1:11" ht="15" hidden="1" customHeight="1" x14ac:dyDescent="0.25">
      <c r="A117" s="118" t="s">
        <v>61</v>
      </c>
      <c r="B117" s="118"/>
      <c r="C117" s="50">
        <v>0</v>
      </c>
      <c r="D117" s="60">
        <f>((100/H109)*C117)/100</f>
        <v>0</v>
      </c>
      <c r="E117" s="137"/>
      <c r="F117" s="137"/>
      <c r="G117" s="137"/>
      <c r="H117" s="137"/>
      <c r="I117" s="75" t="s">
        <v>149</v>
      </c>
      <c r="J117" s="36">
        <v>7.0000000000000007E-2</v>
      </c>
      <c r="K117" s="37">
        <v>0.2</v>
      </c>
    </row>
    <row r="118" spans="1:11" ht="16.5" hidden="1" thickBot="1" x14ac:dyDescent="0.3">
      <c r="A118" s="118" t="s">
        <v>62</v>
      </c>
      <c r="B118" s="118"/>
      <c r="C118" s="50">
        <v>0</v>
      </c>
      <c r="D118" s="60">
        <f>((100/H109)*C118)/100</f>
        <v>0</v>
      </c>
      <c r="E118" s="137"/>
      <c r="F118" s="137"/>
      <c r="G118" s="137"/>
      <c r="H118" s="137"/>
      <c r="I118" s="76" t="s">
        <v>150</v>
      </c>
      <c r="J118" s="39">
        <v>0.1</v>
      </c>
      <c r="K118" s="40">
        <v>0.3</v>
      </c>
    </row>
    <row r="119" spans="1:11" hidden="1" x14ac:dyDescent="0.25">
      <c r="A119" s="115" t="s">
        <v>177</v>
      </c>
      <c r="B119" s="115"/>
      <c r="C119" s="115"/>
      <c r="D119" s="115"/>
      <c r="E119" s="115"/>
      <c r="F119" s="115"/>
      <c r="G119" s="115"/>
      <c r="H119" s="115"/>
      <c r="I119" s="61" t="str">
        <f>(IF(C123=0,"Work not yet Started.",IF(C123=1,"Excavation work in process",IF(C123=2,"Excavation work completed",IF(C123=4,"Footing work is process",IF(C123=5,"Footing work Completed",IF(C123=7,"Plinth work is process",IF(C123=10,"Plinth work completed","0")))))))&amp;(IF(C124&gt;0,", RCC upto "&amp;C124&amp;" Slab completed",""))&amp;(IF(C125&gt;0,", Brickwork upto "&amp;C125&amp;" Floor completed"," "))&amp;(IF(C126&gt;0,", Plaster upto "&amp;C126&amp;" Floor completed"," "))&amp;(IF(C127&gt;0,", Flooring upto "&amp;C127&amp;" Floor completed"," "))&amp;(IF(C128&gt;0,", Painting upto "&amp;C128&amp;" Floor completed"," "))&amp;(IF(C129&gt;0,", Finishing upto "&amp;C129&amp;" Floor completed"," ")))</f>
        <v xml:space="preserve">Plinth work completed, RCC upto 16 Slab completed, Brickwork upto 14 Floor completed, Plaster upto 12 Floor completed   </v>
      </c>
      <c r="J119" s="27"/>
      <c r="K119" s="28"/>
    </row>
    <row r="120" spans="1:11" hidden="1" x14ac:dyDescent="0.25">
      <c r="A120" s="25" t="s">
        <v>111</v>
      </c>
      <c r="B120" s="43">
        <v>0</v>
      </c>
      <c r="C120" s="43" t="s">
        <v>113</v>
      </c>
      <c r="D120" s="43">
        <v>1</v>
      </c>
      <c r="E120" s="43" t="s">
        <v>112</v>
      </c>
      <c r="F120" s="43">
        <v>1</v>
      </c>
      <c r="G120" s="43" t="s">
        <v>126</v>
      </c>
      <c r="H120" s="47">
        <v>14</v>
      </c>
      <c r="I120" s="29" t="s">
        <v>153</v>
      </c>
      <c r="J120" s="30"/>
      <c r="K120" s="31"/>
    </row>
    <row r="121" spans="1:11" ht="35.25" hidden="1" customHeight="1" x14ac:dyDescent="0.25">
      <c r="A121" s="113" t="s">
        <v>137</v>
      </c>
      <c r="B121" s="114"/>
      <c r="C121" s="115" t="str">
        <f>I119</f>
        <v xml:space="preserve">Plinth work completed, RCC upto 16 Slab completed, Brickwork upto 14 Floor completed, Plaster upto 12 Floor completed   </v>
      </c>
      <c r="D121" s="115"/>
      <c r="E121" s="115"/>
      <c r="F121" s="115"/>
      <c r="G121" s="115"/>
      <c r="H121" s="116"/>
      <c r="I121" s="29" t="s">
        <v>152</v>
      </c>
      <c r="J121" s="30"/>
      <c r="K121" s="31"/>
    </row>
    <row r="122" spans="1:11" ht="36" hidden="1" customHeight="1" x14ac:dyDescent="0.25">
      <c r="A122" s="117" t="s">
        <v>56</v>
      </c>
      <c r="B122" s="118"/>
      <c r="C122" s="48" t="s">
        <v>129</v>
      </c>
      <c r="D122" s="49" t="s">
        <v>130</v>
      </c>
      <c r="E122" s="135" t="s">
        <v>132</v>
      </c>
      <c r="F122" s="135"/>
      <c r="G122" s="135" t="s">
        <v>131</v>
      </c>
      <c r="H122" s="136"/>
      <c r="I122" s="29" t="s">
        <v>154</v>
      </c>
      <c r="J122" s="32"/>
      <c r="K122" s="33"/>
    </row>
    <row r="123" spans="1:11" hidden="1" x14ac:dyDescent="0.25">
      <c r="A123" s="117" t="s">
        <v>57</v>
      </c>
      <c r="B123" s="118"/>
      <c r="C123" s="50">
        <v>10</v>
      </c>
      <c r="D123" s="51">
        <f>((100/10)*C123)/100</f>
        <v>1</v>
      </c>
      <c r="E123" s="137">
        <f>(IF(C121=I121,"100%",IF(C121=I122,"100%",((C123+(40/(B120+D120+F120+H120)*C124)+(15/H120*C125)+(10/H120*C126)+(10/H120*C127)+(5/H120*C128)+(5/H120*C129))/100))))</f>
        <v>0.73571428571428565</v>
      </c>
      <c r="F123" s="137"/>
      <c r="G123" s="137">
        <f>((IF(C123=1,"2",IF(C123=2,"4",IF(C123=4,"8",IF(C123=5,"15",IF(C123=7,"20",IF(C123=10,"30","0")))))))/100)+(((30/(H120+F120+D120+B120)*C124)+(15/H120*C125)+(10/H120*C126)+(5/H120*C127)+(5/H120*C128)+(5/H120*C129))/100)</f>
        <v>0.83571428571428563</v>
      </c>
      <c r="H123" s="139"/>
      <c r="I123" s="34"/>
      <c r="J123" s="32"/>
      <c r="K123" s="33"/>
    </row>
    <row r="124" spans="1:11" hidden="1" x14ac:dyDescent="0.25">
      <c r="A124" s="117" t="s">
        <v>151</v>
      </c>
      <c r="B124" s="118"/>
      <c r="C124" s="53">
        <v>16</v>
      </c>
      <c r="D124" s="51">
        <f>((100/(B120+F120+D120+H120))*C124)/100</f>
        <v>1</v>
      </c>
      <c r="E124" s="137"/>
      <c r="F124" s="137"/>
      <c r="G124" s="137"/>
      <c r="H124" s="139"/>
      <c r="I124" s="35" t="s">
        <v>145</v>
      </c>
      <c r="J124" s="36">
        <v>0.01</v>
      </c>
      <c r="K124" s="37">
        <v>0.02</v>
      </c>
    </row>
    <row r="125" spans="1:11" hidden="1" x14ac:dyDescent="0.25">
      <c r="A125" s="117" t="s">
        <v>58</v>
      </c>
      <c r="B125" s="118"/>
      <c r="C125" s="50">
        <v>14</v>
      </c>
      <c r="D125" s="51">
        <f>((100/H120)*C125)/100</f>
        <v>1</v>
      </c>
      <c r="E125" s="137"/>
      <c r="F125" s="137"/>
      <c r="G125" s="137"/>
      <c r="H125" s="139"/>
      <c r="I125" s="35" t="s">
        <v>146</v>
      </c>
      <c r="J125" s="36">
        <v>0.02</v>
      </c>
      <c r="K125" s="37">
        <v>0.04</v>
      </c>
    </row>
    <row r="126" spans="1:11" hidden="1" x14ac:dyDescent="0.25">
      <c r="A126" s="117" t="s">
        <v>59</v>
      </c>
      <c r="B126" s="118"/>
      <c r="C126" s="50">
        <v>12</v>
      </c>
      <c r="D126" s="51">
        <f>((100/H120)*C126)/100</f>
        <v>0.85714285714285721</v>
      </c>
      <c r="E126" s="137"/>
      <c r="F126" s="137"/>
      <c r="G126" s="137"/>
      <c r="H126" s="139"/>
      <c r="I126" s="35" t="s">
        <v>147</v>
      </c>
      <c r="J126" s="36">
        <v>0.04</v>
      </c>
      <c r="K126" s="37">
        <v>0.08</v>
      </c>
    </row>
    <row r="127" spans="1:11" hidden="1" x14ac:dyDescent="0.25">
      <c r="A127" s="117" t="s">
        <v>60</v>
      </c>
      <c r="B127" s="118"/>
      <c r="C127" s="50">
        <v>0</v>
      </c>
      <c r="D127" s="51">
        <f>((100/H120)*C127)/100</f>
        <v>0</v>
      </c>
      <c r="E127" s="137"/>
      <c r="F127" s="137"/>
      <c r="G127" s="137"/>
      <c r="H127" s="139"/>
      <c r="I127" s="35" t="s">
        <v>148</v>
      </c>
      <c r="J127" s="36">
        <v>0.05</v>
      </c>
      <c r="K127" s="37">
        <v>0.15</v>
      </c>
    </row>
    <row r="128" spans="1:11" ht="15" hidden="1" customHeight="1" x14ac:dyDescent="0.25">
      <c r="A128" s="117" t="s">
        <v>61</v>
      </c>
      <c r="B128" s="118"/>
      <c r="C128" s="50">
        <v>0</v>
      </c>
      <c r="D128" s="51">
        <f>((100/H120)*C128)/100</f>
        <v>0</v>
      </c>
      <c r="E128" s="137"/>
      <c r="F128" s="137"/>
      <c r="G128" s="137"/>
      <c r="H128" s="139"/>
      <c r="I128" s="35" t="s">
        <v>149</v>
      </c>
      <c r="J128" s="36">
        <v>7.0000000000000007E-2</v>
      </c>
      <c r="K128" s="37">
        <v>0.2</v>
      </c>
    </row>
    <row r="129" spans="1:11" ht="16.5" hidden="1" thickBot="1" x14ac:dyDescent="0.3">
      <c r="A129" s="141" t="s">
        <v>62</v>
      </c>
      <c r="B129" s="142"/>
      <c r="C129" s="91">
        <v>0</v>
      </c>
      <c r="D129" s="92">
        <f>((100/H120)*C129)/100</f>
        <v>0</v>
      </c>
      <c r="E129" s="138"/>
      <c r="F129" s="138"/>
      <c r="G129" s="138"/>
      <c r="H129" s="140"/>
      <c r="I129" s="38" t="s">
        <v>150</v>
      </c>
      <c r="J129" s="39">
        <v>0.1</v>
      </c>
      <c r="K129" s="40">
        <v>0.3</v>
      </c>
    </row>
    <row r="130" spans="1:11" x14ac:dyDescent="0.25">
      <c r="A130" s="146" t="s">
        <v>258</v>
      </c>
      <c r="B130" s="146"/>
      <c r="C130" s="146"/>
      <c r="D130" s="146"/>
      <c r="E130" s="146"/>
      <c r="F130" s="146"/>
      <c r="G130" s="146"/>
      <c r="H130" s="146"/>
    </row>
    <row r="131" spans="1:11" x14ac:dyDescent="0.25">
      <c r="A131" s="145" t="s">
        <v>63</v>
      </c>
      <c r="B131" s="145"/>
      <c r="C131" s="145"/>
      <c r="D131" s="145"/>
      <c r="E131" s="145"/>
      <c r="F131" s="145"/>
      <c r="G131" s="145"/>
      <c r="H131" s="145"/>
    </row>
    <row r="132" spans="1:11" ht="15" customHeight="1" x14ac:dyDescent="0.25">
      <c r="A132" s="143" t="s">
        <v>116</v>
      </c>
      <c r="B132" s="143"/>
      <c r="C132" s="115" t="s">
        <v>117</v>
      </c>
      <c r="D132" s="115"/>
      <c r="E132" s="115"/>
      <c r="F132" s="115"/>
      <c r="G132" s="115"/>
      <c r="H132" s="115"/>
    </row>
    <row r="133" spans="1:11" x14ac:dyDescent="0.25">
      <c r="A133" s="183" t="s">
        <v>64</v>
      </c>
      <c r="B133" s="183"/>
      <c r="C133" s="183"/>
      <c r="D133" s="183"/>
      <c r="E133" s="183"/>
      <c r="F133" s="183"/>
      <c r="G133" s="183"/>
      <c r="H133" s="183"/>
    </row>
    <row r="134" spans="1:11" x14ac:dyDescent="0.25">
      <c r="A134" s="145" t="s">
        <v>118</v>
      </c>
      <c r="B134" s="145"/>
      <c r="C134" s="145"/>
      <c r="D134" s="145"/>
      <c r="E134" s="145"/>
      <c r="F134" s="144">
        <v>7000</v>
      </c>
      <c r="G134" s="144"/>
      <c r="H134" s="144"/>
      <c r="I134" s="8" t="s">
        <v>263</v>
      </c>
    </row>
    <row r="135" spans="1:11" x14ac:dyDescent="0.25">
      <c r="A135" s="145" t="s">
        <v>125</v>
      </c>
      <c r="B135" s="145"/>
      <c r="C135" s="145"/>
      <c r="D135" s="145"/>
      <c r="E135" s="145"/>
      <c r="F135" s="144">
        <v>8000</v>
      </c>
      <c r="G135" s="144"/>
      <c r="H135" s="144"/>
    </row>
    <row r="136" spans="1:11" s="13" customFormat="1" ht="31.5" hidden="1" customHeight="1" x14ac:dyDescent="0.25">
      <c r="A136" s="145" t="s">
        <v>222</v>
      </c>
      <c r="B136" s="145"/>
      <c r="C136" s="145"/>
      <c r="D136" s="145"/>
      <c r="E136" s="145"/>
      <c r="F136" s="188" t="s">
        <v>223</v>
      </c>
      <c r="G136" s="144"/>
      <c r="H136" s="144"/>
    </row>
    <row r="137" spans="1:11" s="13" customFormat="1" hidden="1" x14ac:dyDescent="0.25">
      <c r="A137" s="145" t="s">
        <v>142</v>
      </c>
      <c r="B137" s="145"/>
      <c r="C137" s="145"/>
      <c r="D137" s="145"/>
      <c r="E137" s="145"/>
      <c r="F137" s="144" t="s">
        <v>32</v>
      </c>
      <c r="G137" s="144"/>
      <c r="H137" s="144"/>
    </row>
    <row r="138" spans="1:11" s="13" customFormat="1" hidden="1" x14ac:dyDescent="0.25">
      <c r="A138" s="145" t="s">
        <v>143</v>
      </c>
      <c r="B138" s="145"/>
      <c r="C138" s="145"/>
      <c r="D138" s="145"/>
      <c r="E138" s="145"/>
      <c r="F138" s="144" t="s">
        <v>32</v>
      </c>
      <c r="G138" s="144"/>
      <c r="H138" s="144"/>
    </row>
    <row r="139" spans="1:11" s="13" customFormat="1" hidden="1" x14ac:dyDescent="0.25">
      <c r="A139" s="145" t="s">
        <v>197</v>
      </c>
      <c r="B139" s="145"/>
      <c r="C139" s="145"/>
      <c r="D139" s="145"/>
      <c r="E139" s="145"/>
      <c r="F139" s="144" t="s">
        <v>198</v>
      </c>
      <c r="G139" s="144"/>
      <c r="H139" s="144"/>
    </row>
    <row r="140" spans="1:11" s="13" customFormat="1" x14ac:dyDescent="0.25">
      <c r="A140" s="145" t="s">
        <v>199</v>
      </c>
      <c r="B140" s="145"/>
      <c r="C140" s="145"/>
      <c r="D140" s="145"/>
      <c r="E140" s="145"/>
      <c r="F140" s="188">
        <v>300000</v>
      </c>
      <c r="G140" s="144"/>
      <c r="H140" s="144"/>
    </row>
    <row r="141" spans="1:11" s="13" customFormat="1" hidden="1" x14ac:dyDescent="0.25">
      <c r="A141" s="145" t="s">
        <v>144</v>
      </c>
      <c r="B141" s="145"/>
      <c r="C141" s="145"/>
      <c r="D141" s="145"/>
      <c r="E141" s="145"/>
      <c r="F141" s="144" t="s">
        <v>32</v>
      </c>
      <c r="G141" s="144"/>
      <c r="H141" s="144"/>
    </row>
    <row r="142" spans="1:11" x14ac:dyDescent="0.25">
      <c r="A142" s="145" t="s">
        <v>65</v>
      </c>
      <c r="B142" s="145"/>
      <c r="C142" s="145"/>
      <c r="D142" s="145"/>
      <c r="E142" s="145"/>
      <c r="F142" s="188" t="s">
        <v>221</v>
      </c>
      <c r="G142" s="188"/>
      <c r="H142" s="188"/>
    </row>
    <row r="143" spans="1:11" s="9" customFormat="1" x14ac:dyDescent="0.25">
      <c r="A143" s="183" t="s">
        <v>66</v>
      </c>
      <c r="B143" s="183"/>
      <c r="C143" s="183"/>
      <c r="D143" s="183"/>
      <c r="E143" s="183"/>
      <c r="F143" s="144">
        <f>F134*0.8</f>
        <v>5600</v>
      </c>
      <c r="G143" s="144"/>
      <c r="H143" s="144"/>
    </row>
    <row r="144" spans="1:11" s="1" customFormat="1" ht="15.75" customHeight="1" x14ac:dyDescent="0.25">
      <c r="A144" s="163" t="s">
        <v>119</v>
      </c>
      <c r="B144" s="163"/>
      <c r="C144" s="163"/>
      <c r="D144" s="163"/>
      <c r="E144" s="163"/>
      <c r="F144" s="163"/>
      <c r="G144" s="163"/>
      <c r="H144" s="163"/>
    </row>
    <row r="145" spans="1:11" s="1" customFormat="1" ht="15.75" customHeight="1" x14ac:dyDescent="0.25">
      <c r="A145" s="128" t="s">
        <v>67</v>
      </c>
      <c r="B145" s="128"/>
      <c r="C145" s="15" t="s">
        <v>122</v>
      </c>
      <c r="D145" s="162" t="s">
        <v>68</v>
      </c>
      <c r="E145" s="162"/>
      <c r="F145" s="128" t="s">
        <v>69</v>
      </c>
      <c r="G145" s="128"/>
      <c r="H145" s="128"/>
    </row>
    <row r="146" spans="1:11" s="1" customFormat="1" x14ac:dyDescent="0.25">
      <c r="A146" s="124" t="s">
        <v>202</v>
      </c>
      <c r="B146" s="124"/>
      <c r="C146" s="16">
        <f>COUNT(D187:D193)</f>
        <v>7</v>
      </c>
      <c r="D146" s="102">
        <f>SUM(D187:D193)</f>
        <v>2198.7622799999999</v>
      </c>
      <c r="E146" s="102"/>
      <c r="F146" s="103">
        <f>SUM(F187:F193)</f>
        <v>3518.019648</v>
      </c>
      <c r="G146" s="103"/>
      <c r="H146" s="103"/>
    </row>
    <row r="147" spans="1:11" s="1" customFormat="1" x14ac:dyDescent="0.25">
      <c r="A147" s="124" t="s">
        <v>203</v>
      </c>
      <c r="B147" s="124"/>
      <c r="C147" s="16">
        <f>COUNT(D225:D238)</f>
        <v>14</v>
      </c>
      <c r="D147" s="102">
        <f>SUM(D225:D238)</f>
        <v>2753.9693999999995</v>
      </c>
      <c r="E147" s="102"/>
      <c r="F147" s="103">
        <f>SUM(F225:F238)</f>
        <v>4406.3510399999996</v>
      </c>
      <c r="G147" s="103"/>
      <c r="H147" s="103"/>
    </row>
    <row r="148" spans="1:11" s="1" customFormat="1" x14ac:dyDescent="0.25">
      <c r="A148" s="125" t="s">
        <v>204</v>
      </c>
      <c r="B148" s="125"/>
      <c r="C148" s="16">
        <f>COUNT(D270:D276)</f>
        <v>7</v>
      </c>
      <c r="D148" s="102">
        <f>SUM(D270:D276)</f>
        <v>2201.2379999999998</v>
      </c>
      <c r="E148" s="102"/>
      <c r="F148" s="103">
        <f>SUM(F270:F276)</f>
        <v>3521.9808000000003</v>
      </c>
      <c r="G148" s="103"/>
      <c r="H148" s="103"/>
    </row>
    <row r="149" spans="1:11" s="1" customFormat="1" x14ac:dyDescent="0.25">
      <c r="A149" s="126" t="s">
        <v>71</v>
      </c>
      <c r="B149" s="126"/>
      <c r="C149" s="59">
        <f>SUM(C146:C148)</f>
        <v>28</v>
      </c>
      <c r="D149" s="127">
        <f>SUM(D146:E148)</f>
        <v>7153.9696799999983</v>
      </c>
      <c r="E149" s="127"/>
      <c r="F149" s="128">
        <f>SUM(F146:H148)</f>
        <v>11446.351488</v>
      </c>
      <c r="G149" s="128"/>
      <c r="H149" s="128"/>
    </row>
    <row r="150" spans="1:11" s="1" customFormat="1" x14ac:dyDescent="0.25">
      <c r="A150" s="163" t="s">
        <v>110</v>
      </c>
      <c r="B150" s="163"/>
      <c r="C150" s="163"/>
      <c r="D150" s="163"/>
      <c r="E150" s="163"/>
      <c r="F150" s="163"/>
      <c r="G150" s="163"/>
      <c r="H150" s="163"/>
      <c r="J150" s="88">
        <f>F149+F157</f>
        <v>272863.97704799997</v>
      </c>
      <c r="K150" s="88">
        <f>D149+D157</f>
        <v>172132.07544000002</v>
      </c>
    </row>
    <row r="151" spans="1:11" s="1" customFormat="1" x14ac:dyDescent="0.25">
      <c r="A151" s="128" t="s">
        <v>67</v>
      </c>
      <c r="B151" s="128"/>
      <c r="C151" s="15" t="s">
        <v>122</v>
      </c>
      <c r="D151" s="162" t="s">
        <v>68</v>
      </c>
      <c r="E151" s="162"/>
      <c r="F151" s="128" t="s">
        <v>69</v>
      </c>
      <c r="G151" s="128"/>
      <c r="H151" s="128"/>
    </row>
    <row r="152" spans="1:11" s="1" customFormat="1" x14ac:dyDescent="0.25">
      <c r="A152" s="104" t="s">
        <v>205</v>
      </c>
      <c r="B152" s="104"/>
      <c r="C152" s="16">
        <f>COUNT(D166:D169)*6+COUNT(D171:D174)*6+COUNT(D176:D177)+COUNT(D179)+COUNT(D181:D182)+COUNT(D184)</f>
        <v>54</v>
      </c>
      <c r="D152" s="102">
        <f>SUM(D166:D169)*6+SUM(D171:D174)*6+SUM(D176:D177)+SUM(D179)+SUM(D181:D182)+SUM(D184)</f>
        <v>28682.830799999996</v>
      </c>
      <c r="E152" s="102"/>
      <c r="F152" s="103">
        <f>SUM(F166:F169)*6+SUM(F171:F174)*6+SUM(F176:F177)+SUM(F179)+SUM(F181:F182)+SUM(F184)</f>
        <v>45709.648920000007</v>
      </c>
      <c r="G152" s="103"/>
      <c r="H152" s="103"/>
    </row>
    <row r="153" spans="1:11" s="1" customFormat="1" x14ac:dyDescent="0.25">
      <c r="A153" s="104" t="s">
        <v>202</v>
      </c>
      <c r="B153" s="104"/>
      <c r="C153" s="16">
        <f>COUNT(D196:D201)*6+COUNT(D203:D208)*6+COUNT(D210:D213)+COUNT(D215)+COUNT(D217:D220)+COUNT(D222)</f>
        <v>82</v>
      </c>
      <c r="D153" s="102">
        <f>SUM(D196:D201)*6+SUM(D203:D208)*6+SUM(D210:D213)+SUM(D215)+SUM(D217:D220)+SUM(D222)</f>
        <v>33564.950639999995</v>
      </c>
      <c r="E153" s="102"/>
      <c r="F153" s="103">
        <f>SUM(F196:F201)*6+SUM(F203:F208)*6+SUM(F210:F213)+SUM(F215)+SUM(F217:F220)+SUM(F222)</f>
        <v>53073.839519999987</v>
      </c>
      <c r="G153" s="103"/>
      <c r="H153" s="103"/>
    </row>
    <row r="154" spans="1:11" s="1" customFormat="1" x14ac:dyDescent="0.25">
      <c r="A154" s="104" t="s">
        <v>203</v>
      </c>
      <c r="B154" s="104"/>
      <c r="C154" s="16">
        <f>COUNT(D241:D246)*6+COUNT(D248:D253)*6+COUNT(D255:D257)+COUNT(D259:D260)+COUNT(D262:D264)+COUNT(D266:D267)</f>
        <v>82</v>
      </c>
      <c r="D154" s="102">
        <f>SUM(D241:D246)*6+SUM(D248:D253)*6+SUM(D255:D257)+SUM(D259:D260)+SUM(D262:D264)+SUM(D266:D267)</f>
        <v>43856.626319999996</v>
      </c>
      <c r="E154" s="102"/>
      <c r="F154" s="103">
        <f>SUM(F241:F246)*6+SUM(F248:F253)*6+SUM(F255:F257)+SUM(F259:F260)+SUM(F262:F264)+SUM(F266:F267)</f>
        <v>69212.089439999982</v>
      </c>
      <c r="G154" s="103"/>
      <c r="H154" s="103"/>
    </row>
    <row r="155" spans="1:11" s="1" customFormat="1" x14ac:dyDescent="0.25">
      <c r="A155" s="105" t="s">
        <v>204</v>
      </c>
      <c r="B155" s="105"/>
      <c r="C155" s="16">
        <f>COUNT(D279:D284)*6+COUNT(D286:D291)*6+COUNT(D293)+COUNT(D295:D298)+COUNT(D300)+COUNT(D302:D305)</f>
        <v>82</v>
      </c>
      <c r="D155" s="102">
        <f>SUM(D279:D284)*6+SUM(D286:D291)*6+SUM(D293)+SUM(D295:D298)+SUM(D300)+SUM(D302:D305)</f>
        <v>33564.950640000003</v>
      </c>
      <c r="E155" s="102"/>
      <c r="F155" s="103">
        <f>SUM(F279:F284)*6+SUM(F286:F291)*6+SUM(F293)+SUM(F295:F298)+SUM(F300)+SUM(F302:F305)</f>
        <v>53073.839519999994</v>
      </c>
      <c r="G155" s="103"/>
      <c r="H155" s="103"/>
    </row>
    <row r="156" spans="1:11" s="1" customFormat="1" x14ac:dyDescent="0.25">
      <c r="A156" s="105" t="s">
        <v>206</v>
      </c>
      <c r="B156" s="105"/>
      <c r="C156" s="16">
        <f>COUNT(D310:D313)*6+COUNT(D315:D318)*6+COUNT(D320)+COUNT(D322:D323)+COUNT(D325)+COUNT(D327:D328)</f>
        <v>54</v>
      </c>
      <c r="D156" s="102">
        <f>SUM(D310:D313)*6+SUM(D315:D318)*6+SUM(D320)+SUM(D322:D323)+SUM(D325)+SUM(D327:D328)</f>
        <v>25308.747359999994</v>
      </c>
      <c r="E156" s="102"/>
      <c r="F156" s="103">
        <f>SUM(F310:F313)*6+SUM(F315:F318)*6+SUM(F320)+SUM(F322:F323)+SUM(F325)+SUM(F327:F328)</f>
        <v>40348.208159999995</v>
      </c>
      <c r="G156" s="103"/>
      <c r="H156" s="103"/>
    </row>
    <row r="157" spans="1:11" s="1" customFormat="1" x14ac:dyDescent="0.25">
      <c r="A157" s="126" t="s">
        <v>71</v>
      </c>
      <c r="B157" s="126"/>
      <c r="C157" s="59">
        <f>SUM(C152:C156)</f>
        <v>354</v>
      </c>
      <c r="D157" s="127">
        <f>SUM(D152:E156)</f>
        <v>164978.10576000001</v>
      </c>
      <c r="E157" s="127"/>
      <c r="F157" s="128">
        <f>SUM(F152:H156)</f>
        <v>261417.62555999996</v>
      </c>
      <c r="G157" s="128"/>
      <c r="H157" s="128"/>
    </row>
    <row r="158" spans="1:11" s="9" customFormat="1" x14ac:dyDescent="0.25">
      <c r="A158" s="106" t="s">
        <v>72</v>
      </c>
      <c r="B158" s="106"/>
      <c r="C158" s="106"/>
      <c r="D158" s="106"/>
      <c r="E158" s="106"/>
      <c r="F158" s="106"/>
      <c r="G158" s="106"/>
      <c r="H158" s="106"/>
    </row>
    <row r="159" spans="1:11" x14ac:dyDescent="0.25">
      <c r="A159" s="106" t="s">
        <v>73</v>
      </c>
      <c r="B159" s="106"/>
      <c r="C159" s="106"/>
      <c r="D159" s="106"/>
      <c r="E159" s="106"/>
      <c r="F159" s="106"/>
      <c r="G159" s="106"/>
      <c r="H159" s="106"/>
    </row>
    <row r="160" spans="1:11" ht="47.25" customHeight="1" x14ac:dyDescent="0.25">
      <c r="A160" s="189" t="s">
        <v>209</v>
      </c>
      <c r="B160" s="189"/>
      <c r="C160" s="24" t="s">
        <v>74</v>
      </c>
      <c r="D160" s="24" t="s">
        <v>75</v>
      </c>
      <c r="E160" s="17" t="s">
        <v>216</v>
      </c>
      <c r="F160" s="24" t="s">
        <v>76</v>
      </c>
      <c r="G160" s="189" t="s">
        <v>77</v>
      </c>
      <c r="H160" s="189"/>
    </row>
    <row r="161" spans="1:9" s="2" customFormat="1" x14ac:dyDescent="0.25">
      <c r="A161" s="129" t="s">
        <v>224</v>
      </c>
      <c r="B161" s="129"/>
      <c r="C161" s="129"/>
      <c r="D161" s="129"/>
      <c r="E161" s="129"/>
      <c r="F161" s="129"/>
      <c r="G161" s="129"/>
      <c r="H161" s="129"/>
    </row>
    <row r="162" spans="1:9" s="2" customFormat="1" x14ac:dyDescent="0.25">
      <c r="A162" s="129" t="s">
        <v>178</v>
      </c>
      <c r="B162" s="129"/>
      <c r="C162" s="129"/>
      <c r="D162" s="129"/>
      <c r="E162" s="129"/>
      <c r="F162" s="129"/>
      <c r="G162" s="129"/>
      <c r="H162" s="129"/>
    </row>
    <row r="163" spans="1:9" s="2" customFormat="1" x14ac:dyDescent="0.25">
      <c r="A163" s="129" t="s">
        <v>179</v>
      </c>
      <c r="B163" s="129"/>
      <c r="C163" s="129"/>
      <c r="D163" s="129"/>
      <c r="E163" s="129"/>
      <c r="F163" s="129"/>
      <c r="G163" s="129"/>
      <c r="H163" s="129"/>
    </row>
    <row r="164" spans="1:9" s="2" customFormat="1" x14ac:dyDescent="0.25">
      <c r="A164" s="129" t="s">
        <v>188</v>
      </c>
      <c r="B164" s="129"/>
      <c r="C164" s="129"/>
      <c r="D164" s="129"/>
      <c r="E164" s="129"/>
      <c r="F164" s="129"/>
      <c r="G164" s="129"/>
      <c r="H164" s="129"/>
    </row>
    <row r="165" spans="1:9" s="2" customFormat="1" x14ac:dyDescent="0.25">
      <c r="A165" s="129" t="s">
        <v>189</v>
      </c>
      <c r="B165" s="129"/>
      <c r="C165" s="129"/>
      <c r="D165" s="129"/>
      <c r="E165" s="129"/>
      <c r="F165" s="129"/>
      <c r="G165" s="129"/>
      <c r="H165" s="129"/>
    </row>
    <row r="166" spans="1:9" s="2" customFormat="1" x14ac:dyDescent="0.25">
      <c r="A166" s="119">
        <v>1</v>
      </c>
      <c r="B166" s="119"/>
      <c r="C166" s="41" t="s">
        <v>190</v>
      </c>
      <c r="D166" s="41">
        <f>46.76*10.764</f>
        <v>503.32463999999993</v>
      </c>
      <c r="E166" s="41">
        <f>4.62*10.764</f>
        <v>49.729679999999995</v>
      </c>
      <c r="F166" s="41">
        <f>D166*1.5+E166</f>
        <v>804.71663999999998</v>
      </c>
      <c r="G166" s="120" t="str">
        <f>A165</f>
        <v>1st, 3rd, 5th, 7th, 9th, 11th Floor</v>
      </c>
      <c r="H166" s="121"/>
    </row>
    <row r="167" spans="1:9" s="2" customFormat="1" x14ac:dyDescent="0.25">
      <c r="A167" s="119">
        <v>2</v>
      </c>
      <c r="B167" s="119"/>
      <c r="C167" s="41" t="s">
        <v>190</v>
      </c>
      <c r="D167" s="41">
        <f>(44.49)*10.764</f>
        <v>478.89035999999999</v>
      </c>
      <c r="E167" s="44">
        <f t="shared" ref="E167:E168" si="0">4.62*10.764</f>
        <v>49.729679999999995</v>
      </c>
      <c r="F167" s="41">
        <f t="shared" ref="F167:F169" si="1">D167*1.5+E167</f>
        <v>768.06522000000007</v>
      </c>
      <c r="G167" s="122"/>
      <c r="H167" s="123"/>
    </row>
    <row r="168" spans="1:9" s="2" customFormat="1" x14ac:dyDescent="0.25">
      <c r="A168" s="119">
        <v>3</v>
      </c>
      <c r="B168" s="119"/>
      <c r="C168" s="41" t="s">
        <v>190</v>
      </c>
      <c r="D168" s="41">
        <f>(51.9)*10.764</f>
        <v>558.65159999999992</v>
      </c>
      <c r="E168" s="44">
        <f t="shared" si="0"/>
        <v>49.729679999999995</v>
      </c>
      <c r="F168" s="41">
        <f t="shared" si="1"/>
        <v>887.70707999999991</v>
      </c>
      <c r="G168" s="122"/>
      <c r="H168" s="123"/>
    </row>
    <row r="169" spans="1:9" s="2" customFormat="1" x14ac:dyDescent="0.25">
      <c r="A169" s="119">
        <v>4</v>
      </c>
      <c r="B169" s="119"/>
      <c r="C169" s="41" t="s">
        <v>190</v>
      </c>
      <c r="D169" s="41">
        <f>(54.6)*10.764</f>
        <v>587.71439999999996</v>
      </c>
      <c r="E169" s="44">
        <f>4.62*10.764</f>
        <v>49.729679999999995</v>
      </c>
      <c r="F169" s="41">
        <f t="shared" si="1"/>
        <v>931.30128000000002</v>
      </c>
      <c r="G169" s="130"/>
      <c r="H169" s="131"/>
      <c r="I169" s="2">
        <f>6149100/F169</f>
        <v>6602.6968200881247</v>
      </c>
    </row>
    <row r="170" spans="1:9" s="2" customFormat="1" x14ac:dyDescent="0.25">
      <c r="A170" s="129" t="s">
        <v>193</v>
      </c>
      <c r="B170" s="129"/>
      <c r="C170" s="129"/>
      <c r="D170" s="129"/>
      <c r="E170" s="129"/>
      <c r="F170" s="129"/>
      <c r="G170" s="129"/>
      <c r="H170" s="129"/>
    </row>
    <row r="171" spans="1:9" s="2" customFormat="1" x14ac:dyDescent="0.25">
      <c r="A171" s="119">
        <v>1</v>
      </c>
      <c r="B171" s="119"/>
      <c r="C171" s="41" t="s">
        <v>190</v>
      </c>
      <c r="D171" s="44">
        <f>46.76*10.764</f>
        <v>503.32463999999993</v>
      </c>
      <c r="E171" s="44">
        <f>4.62*10.764</f>
        <v>49.729679999999995</v>
      </c>
      <c r="F171" s="41">
        <f>D171*1.5+E171</f>
        <v>804.71663999999998</v>
      </c>
      <c r="G171" s="120" t="str">
        <f>A170</f>
        <v>2nd, 4th, 6th, 10th, 12th, 14th Floor</v>
      </c>
      <c r="H171" s="121"/>
    </row>
    <row r="172" spans="1:9" s="2" customFormat="1" x14ac:dyDescent="0.25">
      <c r="A172" s="119">
        <v>2</v>
      </c>
      <c r="B172" s="119"/>
      <c r="C172" s="41" t="s">
        <v>190</v>
      </c>
      <c r="D172" s="44">
        <f>(44.49)*10.764</f>
        <v>478.89035999999999</v>
      </c>
      <c r="E172" s="44">
        <f t="shared" ref="E172:E173" si="2">4.62*10.764</f>
        <v>49.729679999999995</v>
      </c>
      <c r="F172" s="41">
        <f t="shared" ref="F172:F174" si="3">D172*1.5+E172</f>
        <v>768.06522000000007</v>
      </c>
      <c r="G172" s="122"/>
      <c r="H172" s="123"/>
    </row>
    <row r="173" spans="1:9" s="2" customFormat="1" x14ac:dyDescent="0.25">
      <c r="A173" s="119">
        <v>3</v>
      </c>
      <c r="B173" s="119"/>
      <c r="C173" s="41" t="s">
        <v>190</v>
      </c>
      <c r="D173" s="44">
        <f>(51.9)*10.764</f>
        <v>558.65159999999992</v>
      </c>
      <c r="E173" s="44">
        <f t="shared" si="2"/>
        <v>49.729679999999995</v>
      </c>
      <c r="F173" s="41">
        <f t="shared" si="3"/>
        <v>887.70707999999991</v>
      </c>
      <c r="G173" s="122"/>
      <c r="H173" s="123"/>
    </row>
    <row r="174" spans="1:9" s="2" customFormat="1" x14ac:dyDescent="0.25">
      <c r="A174" s="119">
        <v>4</v>
      </c>
      <c r="B174" s="119"/>
      <c r="C174" s="41" t="s">
        <v>190</v>
      </c>
      <c r="D174" s="44">
        <f>(54.6)*10.764</f>
        <v>587.71439999999996</v>
      </c>
      <c r="E174" s="44">
        <f>4.62*10.764</f>
        <v>49.729679999999995</v>
      </c>
      <c r="F174" s="41">
        <f t="shared" si="3"/>
        <v>931.30128000000002</v>
      </c>
      <c r="G174" s="130"/>
      <c r="H174" s="131"/>
    </row>
    <row r="175" spans="1:9" s="2" customFormat="1" x14ac:dyDescent="0.25">
      <c r="A175" s="129" t="s">
        <v>194</v>
      </c>
      <c r="B175" s="129"/>
      <c r="C175" s="129"/>
      <c r="D175" s="129"/>
      <c r="E175" s="129"/>
      <c r="F175" s="129"/>
      <c r="G175" s="129"/>
      <c r="H175" s="129"/>
    </row>
    <row r="176" spans="1:9" s="2" customFormat="1" x14ac:dyDescent="0.25">
      <c r="A176" s="119">
        <v>1</v>
      </c>
      <c r="B176" s="119"/>
      <c r="C176" s="41" t="s">
        <v>190</v>
      </c>
      <c r="D176" s="44">
        <f>46.76*10.764</f>
        <v>503.32463999999993</v>
      </c>
      <c r="E176" s="44">
        <f>4.62*10.764</f>
        <v>49.729679999999995</v>
      </c>
      <c r="F176" s="41">
        <f>D176*1.5+E176</f>
        <v>804.71663999999998</v>
      </c>
      <c r="G176" s="120" t="str">
        <f>A175</f>
        <v>8th Floor</v>
      </c>
      <c r="H176" s="121"/>
    </row>
    <row r="177" spans="1:8" s="2" customFormat="1" x14ac:dyDescent="0.25">
      <c r="A177" s="119">
        <v>2</v>
      </c>
      <c r="B177" s="119"/>
      <c r="C177" s="41" t="s">
        <v>190</v>
      </c>
      <c r="D177" s="44">
        <f>(44.49)*10.764</f>
        <v>478.89035999999999</v>
      </c>
      <c r="E177" s="44">
        <f t="shared" ref="E177" si="4">4.62*10.764</f>
        <v>49.729679999999995</v>
      </c>
      <c r="F177" s="41">
        <f t="shared" ref="F177:F179" si="5">D177*1.5+E177</f>
        <v>768.06522000000007</v>
      </c>
      <c r="G177" s="122"/>
      <c r="H177" s="123"/>
    </row>
    <row r="178" spans="1:8" s="2" customFormat="1" x14ac:dyDescent="0.25">
      <c r="A178" s="119">
        <v>3</v>
      </c>
      <c r="B178" s="119"/>
      <c r="C178" s="132" t="s">
        <v>195</v>
      </c>
      <c r="D178" s="133"/>
      <c r="E178" s="133"/>
      <c r="F178" s="134"/>
      <c r="G178" s="122"/>
      <c r="H178" s="123"/>
    </row>
    <row r="179" spans="1:8" s="2" customFormat="1" x14ac:dyDescent="0.25">
      <c r="A179" s="119">
        <v>4</v>
      </c>
      <c r="B179" s="119"/>
      <c r="C179" s="41" t="s">
        <v>190</v>
      </c>
      <c r="D179" s="44">
        <f>(54.6)*10.764</f>
        <v>587.71439999999996</v>
      </c>
      <c r="E179" s="44">
        <f t="shared" ref="E179" si="6">4.62*10.764</f>
        <v>49.729679999999995</v>
      </c>
      <c r="F179" s="41">
        <f t="shared" si="5"/>
        <v>931.30128000000002</v>
      </c>
      <c r="G179" s="130"/>
      <c r="H179" s="131"/>
    </row>
    <row r="180" spans="1:8" s="2" customFormat="1" x14ac:dyDescent="0.25">
      <c r="A180" s="129" t="s">
        <v>196</v>
      </c>
      <c r="B180" s="129"/>
      <c r="C180" s="129"/>
      <c r="D180" s="129"/>
      <c r="E180" s="129"/>
      <c r="F180" s="129"/>
      <c r="G180" s="129"/>
      <c r="H180" s="129"/>
    </row>
    <row r="181" spans="1:8" s="2" customFormat="1" x14ac:dyDescent="0.25">
      <c r="A181" s="119">
        <v>1</v>
      </c>
      <c r="B181" s="119"/>
      <c r="C181" s="44" t="s">
        <v>190</v>
      </c>
      <c r="D181" s="44">
        <f>46.76*10.764</f>
        <v>503.32463999999993</v>
      </c>
      <c r="E181" s="44">
        <f>4.62*10.764</f>
        <v>49.729679999999995</v>
      </c>
      <c r="F181" s="44">
        <f>D181*1.5+E181</f>
        <v>804.71663999999998</v>
      </c>
      <c r="G181" s="120" t="str">
        <f>A180</f>
        <v>13th Floor</v>
      </c>
      <c r="H181" s="121"/>
    </row>
    <row r="182" spans="1:8" s="2" customFormat="1" x14ac:dyDescent="0.25">
      <c r="A182" s="119">
        <v>2</v>
      </c>
      <c r="B182" s="119"/>
      <c r="C182" s="44" t="s">
        <v>190</v>
      </c>
      <c r="D182" s="44">
        <f>(44.49)*10.764</f>
        <v>478.89035999999999</v>
      </c>
      <c r="E182" s="44">
        <f t="shared" ref="E182" si="7">4.62*10.764</f>
        <v>49.729679999999995</v>
      </c>
      <c r="F182" s="44">
        <f t="shared" ref="F182" si="8">D182*1.5+E182</f>
        <v>768.06522000000007</v>
      </c>
      <c r="G182" s="122"/>
      <c r="H182" s="123"/>
    </row>
    <row r="183" spans="1:8" s="2" customFormat="1" x14ac:dyDescent="0.25">
      <c r="A183" s="119">
        <v>3</v>
      </c>
      <c r="B183" s="119"/>
      <c r="C183" s="132" t="s">
        <v>195</v>
      </c>
      <c r="D183" s="133"/>
      <c r="E183" s="133"/>
      <c r="F183" s="134"/>
      <c r="G183" s="122"/>
      <c r="H183" s="123"/>
    </row>
    <row r="184" spans="1:8" s="2" customFormat="1" x14ac:dyDescent="0.25">
      <c r="A184" s="119">
        <v>4</v>
      </c>
      <c r="B184" s="119"/>
      <c r="C184" s="44" t="s">
        <v>190</v>
      </c>
      <c r="D184" s="44">
        <f>(54.6)*10.764</f>
        <v>587.71439999999996</v>
      </c>
      <c r="E184" s="44">
        <f t="shared" ref="E184" si="9">4.62*10.764</f>
        <v>49.729679999999995</v>
      </c>
      <c r="F184" s="44">
        <f t="shared" ref="F184" si="10">D184*1.5+E184</f>
        <v>931.30128000000002</v>
      </c>
      <c r="G184" s="130"/>
      <c r="H184" s="131"/>
    </row>
    <row r="185" spans="1:8" s="2" customFormat="1" x14ac:dyDescent="0.25">
      <c r="A185" s="129" t="s">
        <v>180</v>
      </c>
      <c r="B185" s="129"/>
      <c r="C185" s="129"/>
      <c r="D185" s="129"/>
      <c r="E185" s="129"/>
      <c r="F185" s="129"/>
      <c r="G185" s="129"/>
      <c r="H185" s="129"/>
    </row>
    <row r="186" spans="1:8" s="2" customFormat="1" x14ac:dyDescent="0.25">
      <c r="A186" s="129" t="s">
        <v>181</v>
      </c>
      <c r="B186" s="129"/>
      <c r="C186" s="129"/>
      <c r="D186" s="129"/>
      <c r="E186" s="129"/>
      <c r="F186" s="129"/>
      <c r="G186" s="129"/>
      <c r="H186" s="129"/>
    </row>
    <row r="187" spans="1:8" s="2" customFormat="1" x14ac:dyDescent="0.25">
      <c r="A187" s="119">
        <v>1</v>
      </c>
      <c r="B187" s="119"/>
      <c r="C187" s="23" t="s">
        <v>215</v>
      </c>
      <c r="D187" s="23">
        <f>96.72*10.764</f>
        <v>1041.0940799999998</v>
      </c>
      <c r="E187" s="23">
        <v>0</v>
      </c>
      <c r="F187" s="23">
        <f>D187*1.6+E187</f>
        <v>1665.7505279999998</v>
      </c>
      <c r="G187" s="120" t="s">
        <v>185</v>
      </c>
      <c r="H187" s="121"/>
    </row>
    <row r="188" spans="1:8" s="2" customFormat="1" x14ac:dyDescent="0.25">
      <c r="A188" s="119">
        <v>2</v>
      </c>
      <c r="B188" s="119"/>
      <c r="C188" s="23" t="s">
        <v>182</v>
      </c>
      <c r="D188" s="23">
        <f>17.39*10.764</f>
        <v>187.18595999999999</v>
      </c>
      <c r="E188" s="41">
        <v>0</v>
      </c>
      <c r="F188" s="41">
        <f t="shared" ref="F188:F193" si="11">D188*1.6+E188</f>
        <v>299.49753600000003</v>
      </c>
      <c r="G188" s="122"/>
      <c r="H188" s="123"/>
    </row>
    <row r="189" spans="1:8" s="2" customFormat="1" x14ac:dyDescent="0.25">
      <c r="A189" s="119">
        <v>3</v>
      </c>
      <c r="B189" s="119"/>
      <c r="C189" s="41" t="s">
        <v>182</v>
      </c>
      <c r="D189" s="23">
        <f>19.06*10.764</f>
        <v>205.16183999999998</v>
      </c>
      <c r="E189" s="41">
        <v>0</v>
      </c>
      <c r="F189" s="41">
        <f t="shared" si="11"/>
        <v>328.25894399999999</v>
      </c>
      <c r="G189" s="122"/>
      <c r="H189" s="123"/>
    </row>
    <row r="190" spans="1:8" s="2" customFormat="1" x14ac:dyDescent="0.25">
      <c r="A190" s="119">
        <v>4</v>
      </c>
      <c r="B190" s="119"/>
      <c r="C190" s="41" t="s">
        <v>182</v>
      </c>
      <c r="D190" s="23">
        <f>19.46*10.764</f>
        <v>209.46744000000001</v>
      </c>
      <c r="E190" s="41">
        <v>0</v>
      </c>
      <c r="F190" s="41">
        <f t="shared" si="11"/>
        <v>335.14790400000004</v>
      </c>
      <c r="G190" s="122"/>
      <c r="H190" s="123"/>
    </row>
    <row r="191" spans="1:8" s="2" customFormat="1" x14ac:dyDescent="0.25">
      <c r="A191" s="119">
        <v>5</v>
      </c>
      <c r="B191" s="119"/>
      <c r="C191" s="41" t="s">
        <v>182</v>
      </c>
      <c r="D191" s="41">
        <f>15.74*10.764</f>
        <v>169.42535999999998</v>
      </c>
      <c r="E191" s="41">
        <v>0</v>
      </c>
      <c r="F191" s="41">
        <f t="shared" si="11"/>
        <v>271.08057600000001</v>
      </c>
      <c r="G191" s="122"/>
      <c r="H191" s="123"/>
    </row>
    <row r="192" spans="1:8" s="2" customFormat="1" x14ac:dyDescent="0.25">
      <c r="A192" s="119">
        <v>6</v>
      </c>
      <c r="B192" s="119"/>
      <c r="C192" s="41" t="s">
        <v>182</v>
      </c>
      <c r="D192" s="23">
        <f>17.95*10.764</f>
        <v>193.21379999999999</v>
      </c>
      <c r="E192" s="41">
        <v>0</v>
      </c>
      <c r="F192" s="41">
        <f t="shared" si="11"/>
        <v>309.14208000000002</v>
      </c>
      <c r="G192" s="122"/>
      <c r="H192" s="123"/>
    </row>
    <row r="193" spans="1:9" s="2" customFormat="1" x14ac:dyDescent="0.25">
      <c r="A193" s="119">
        <v>7</v>
      </c>
      <c r="B193" s="119"/>
      <c r="C193" s="41" t="s">
        <v>182</v>
      </c>
      <c r="D193" s="23">
        <f>17.95*10.764</f>
        <v>193.21379999999999</v>
      </c>
      <c r="E193" s="41">
        <v>0</v>
      </c>
      <c r="F193" s="41">
        <f t="shared" si="11"/>
        <v>309.14208000000002</v>
      </c>
      <c r="G193" s="130"/>
      <c r="H193" s="131"/>
    </row>
    <row r="194" spans="1:9" s="2" customFormat="1" x14ac:dyDescent="0.25">
      <c r="A194" s="129" t="s">
        <v>188</v>
      </c>
      <c r="B194" s="129"/>
      <c r="C194" s="129"/>
      <c r="D194" s="129"/>
      <c r="E194" s="129"/>
      <c r="F194" s="129"/>
      <c r="G194" s="129"/>
      <c r="H194" s="129"/>
    </row>
    <row r="195" spans="1:9" s="2" customFormat="1" x14ac:dyDescent="0.25">
      <c r="A195" s="129" t="s">
        <v>189</v>
      </c>
      <c r="B195" s="129"/>
      <c r="C195" s="129"/>
      <c r="D195" s="129"/>
      <c r="E195" s="129"/>
      <c r="F195" s="129"/>
      <c r="G195" s="129"/>
      <c r="H195" s="129"/>
    </row>
    <row r="196" spans="1:9" s="2" customFormat="1" ht="15.6" customHeight="1" x14ac:dyDescent="0.25">
      <c r="A196" s="119">
        <v>1</v>
      </c>
      <c r="B196" s="119"/>
      <c r="C196" s="41" t="s">
        <v>191</v>
      </c>
      <c r="D196" s="41">
        <f>(33.92)*10.764</f>
        <v>365.11487999999997</v>
      </c>
      <c r="E196" s="41">
        <f>1.53*1.5*10.764</f>
        <v>24.703379999999999</v>
      </c>
      <c r="F196" s="41">
        <f>D196*1.5+E196</f>
        <v>572.37569999999994</v>
      </c>
      <c r="G196" s="120" t="str">
        <f>A195</f>
        <v>1st, 3rd, 5th, 7th, 9th, 11th Floor</v>
      </c>
      <c r="H196" s="121"/>
    </row>
    <row r="197" spans="1:9" s="2" customFormat="1" x14ac:dyDescent="0.25">
      <c r="A197" s="119">
        <v>2</v>
      </c>
      <c r="B197" s="119"/>
      <c r="C197" s="41" t="s">
        <v>191</v>
      </c>
      <c r="D197" s="44">
        <f>(33.92)*10.764</f>
        <v>365.11487999999997</v>
      </c>
      <c r="E197" s="44">
        <f>1.53*1.5*10.764</f>
        <v>24.703379999999999</v>
      </c>
      <c r="F197" s="41">
        <f t="shared" ref="F197:F201" si="12">D197*1.5+E197</f>
        <v>572.37569999999994</v>
      </c>
      <c r="G197" s="122"/>
      <c r="H197" s="123"/>
    </row>
    <row r="198" spans="1:9" s="2" customFormat="1" x14ac:dyDescent="0.25">
      <c r="A198" s="119">
        <v>3</v>
      </c>
      <c r="B198" s="119"/>
      <c r="C198" s="41" t="s">
        <v>190</v>
      </c>
      <c r="D198" s="41">
        <f>(47.22)*10.764</f>
        <v>508.27607999999998</v>
      </c>
      <c r="E198" s="44">
        <f t="shared" ref="E198:E199" si="13">4.62*10.764</f>
        <v>49.729679999999995</v>
      </c>
      <c r="F198" s="41">
        <f t="shared" si="12"/>
        <v>812.14379999999994</v>
      </c>
      <c r="G198" s="122"/>
      <c r="H198" s="123"/>
    </row>
    <row r="199" spans="1:9" s="2" customFormat="1" x14ac:dyDescent="0.25">
      <c r="A199" s="119">
        <v>4</v>
      </c>
      <c r="B199" s="119"/>
      <c r="C199" s="41" t="s">
        <v>190</v>
      </c>
      <c r="D199" s="41">
        <f>(44.4)*10.764</f>
        <v>477.92159999999996</v>
      </c>
      <c r="E199" s="44">
        <f t="shared" si="13"/>
        <v>49.729679999999995</v>
      </c>
      <c r="F199" s="41">
        <f t="shared" si="12"/>
        <v>766.61207999999999</v>
      </c>
      <c r="G199" s="122"/>
      <c r="H199" s="123"/>
    </row>
    <row r="200" spans="1:9" s="2" customFormat="1" x14ac:dyDescent="0.25">
      <c r="A200" s="119">
        <v>5</v>
      </c>
      <c r="B200" s="119"/>
      <c r="C200" s="41" t="s">
        <v>191</v>
      </c>
      <c r="D200" s="41">
        <f>(34.07)*10.764</f>
        <v>366.72947999999997</v>
      </c>
      <c r="E200" s="44">
        <f t="shared" ref="E200:E201" si="14">1.53*1.5*10.764</f>
        <v>24.703379999999999</v>
      </c>
      <c r="F200" s="41">
        <f t="shared" si="12"/>
        <v>574.79759999999999</v>
      </c>
      <c r="G200" s="122"/>
      <c r="H200" s="123"/>
    </row>
    <row r="201" spans="1:9" s="2" customFormat="1" x14ac:dyDescent="0.25">
      <c r="A201" s="119">
        <v>6</v>
      </c>
      <c r="B201" s="119"/>
      <c r="C201" s="41" t="s">
        <v>191</v>
      </c>
      <c r="D201" s="44">
        <f>(34.07)*10.764</f>
        <v>366.72947999999997</v>
      </c>
      <c r="E201" s="44">
        <f t="shared" si="14"/>
        <v>24.703379999999999</v>
      </c>
      <c r="F201" s="41">
        <f t="shared" si="12"/>
        <v>574.79759999999999</v>
      </c>
      <c r="G201" s="130"/>
      <c r="H201" s="131"/>
    </row>
    <row r="202" spans="1:9" s="2" customFormat="1" x14ac:dyDescent="0.25">
      <c r="A202" s="129" t="s">
        <v>193</v>
      </c>
      <c r="B202" s="129"/>
      <c r="C202" s="129"/>
      <c r="D202" s="129"/>
      <c r="E202" s="129"/>
      <c r="F202" s="129"/>
      <c r="G202" s="129"/>
      <c r="H202" s="129"/>
    </row>
    <row r="203" spans="1:9" s="2" customFormat="1" ht="15.6" customHeight="1" x14ac:dyDescent="0.25">
      <c r="A203" s="119">
        <v>1</v>
      </c>
      <c r="B203" s="119"/>
      <c r="C203" s="41" t="s">
        <v>191</v>
      </c>
      <c r="D203" s="44">
        <f>(33.92)*10.764</f>
        <v>365.11487999999997</v>
      </c>
      <c r="E203" s="44">
        <f>1.53*1.5*10.764</f>
        <v>24.703379999999999</v>
      </c>
      <c r="F203" s="41">
        <f>D203*1.5+E203</f>
        <v>572.37569999999994</v>
      </c>
      <c r="G203" s="120" t="str">
        <f>A202</f>
        <v>2nd, 4th, 6th, 10th, 12th, 14th Floor</v>
      </c>
      <c r="H203" s="121"/>
      <c r="I203" s="2">
        <f>3928900/F203</f>
        <v>6864.1977638114276</v>
      </c>
    </row>
    <row r="204" spans="1:9" s="2" customFormat="1" x14ac:dyDescent="0.25">
      <c r="A204" s="119">
        <v>2</v>
      </c>
      <c r="B204" s="119"/>
      <c r="C204" s="41" t="s">
        <v>191</v>
      </c>
      <c r="D204" s="44">
        <f>(33.92)*10.764</f>
        <v>365.11487999999997</v>
      </c>
      <c r="E204" s="44">
        <f>1.53*1.5*10.764</f>
        <v>24.703379999999999</v>
      </c>
      <c r="F204" s="41">
        <f t="shared" ref="F204:F208" si="15">D204*1.5+E204</f>
        <v>572.37569999999994</v>
      </c>
      <c r="G204" s="122"/>
      <c r="H204" s="123"/>
    </row>
    <row r="205" spans="1:9" s="2" customFormat="1" x14ac:dyDescent="0.25">
      <c r="A205" s="119">
        <v>3</v>
      </c>
      <c r="B205" s="119"/>
      <c r="C205" s="41" t="s">
        <v>190</v>
      </c>
      <c r="D205" s="44">
        <f>(47.22)*10.764</f>
        <v>508.27607999999998</v>
      </c>
      <c r="E205" s="44">
        <f t="shared" ref="E205:E206" si="16">4.62*10.764</f>
        <v>49.729679999999995</v>
      </c>
      <c r="F205" s="41">
        <f t="shared" si="15"/>
        <v>812.14379999999994</v>
      </c>
      <c r="G205" s="122"/>
      <c r="H205" s="123"/>
    </row>
    <row r="206" spans="1:9" s="2" customFormat="1" x14ac:dyDescent="0.25">
      <c r="A206" s="119">
        <v>4</v>
      </c>
      <c r="B206" s="119"/>
      <c r="C206" s="41" t="s">
        <v>190</v>
      </c>
      <c r="D206" s="44">
        <f>(44.4)*10.764</f>
        <v>477.92159999999996</v>
      </c>
      <c r="E206" s="44">
        <f t="shared" si="16"/>
        <v>49.729679999999995</v>
      </c>
      <c r="F206" s="41">
        <f t="shared" si="15"/>
        <v>766.61207999999999</v>
      </c>
      <c r="G206" s="122"/>
      <c r="H206" s="123"/>
    </row>
    <row r="207" spans="1:9" s="2" customFormat="1" x14ac:dyDescent="0.25">
      <c r="A207" s="119">
        <v>5</v>
      </c>
      <c r="B207" s="119"/>
      <c r="C207" s="41" t="s">
        <v>191</v>
      </c>
      <c r="D207" s="44">
        <f>(34.07)*10.764</f>
        <v>366.72947999999997</v>
      </c>
      <c r="E207" s="44">
        <f t="shared" ref="E207:E208" si="17">1.53*1.5*10.764</f>
        <v>24.703379999999999</v>
      </c>
      <c r="F207" s="41">
        <f t="shared" si="15"/>
        <v>574.79759999999999</v>
      </c>
      <c r="G207" s="122"/>
      <c r="H207" s="123"/>
    </row>
    <row r="208" spans="1:9" s="2" customFormat="1" x14ac:dyDescent="0.25">
      <c r="A208" s="119">
        <v>6</v>
      </c>
      <c r="B208" s="119"/>
      <c r="C208" s="41" t="s">
        <v>191</v>
      </c>
      <c r="D208" s="44">
        <f>(34.07)*10.764</f>
        <v>366.72947999999997</v>
      </c>
      <c r="E208" s="44">
        <f t="shared" si="17"/>
        <v>24.703379999999999</v>
      </c>
      <c r="F208" s="41">
        <f t="shared" si="15"/>
        <v>574.79759999999999</v>
      </c>
      <c r="G208" s="130"/>
      <c r="H208" s="131"/>
    </row>
    <row r="209" spans="1:8" s="2" customFormat="1" x14ac:dyDescent="0.25">
      <c r="A209" s="129" t="s">
        <v>194</v>
      </c>
      <c r="B209" s="129"/>
      <c r="C209" s="129"/>
      <c r="D209" s="129"/>
      <c r="E209" s="129"/>
      <c r="F209" s="129"/>
      <c r="G209" s="129"/>
      <c r="H209" s="129"/>
    </row>
    <row r="210" spans="1:8" s="2" customFormat="1" ht="15.6" customHeight="1" x14ac:dyDescent="0.25">
      <c r="A210" s="119">
        <v>1</v>
      </c>
      <c r="B210" s="119"/>
      <c r="C210" s="41" t="s">
        <v>191</v>
      </c>
      <c r="D210" s="44">
        <f>(33.92)*10.764</f>
        <v>365.11487999999997</v>
      </c>
      <c r="E210" s="44">
        <f>1.53*1.5*10.764</f>
        <v>24.703379999999999</v>
      </c>
      <c r="F210" s="41">
        <f>D210*1.5+E210</f>
        <v>572.37569999999994</v>
      </c>
      <c r="G210" s="120" t="str">
        <f>A209</f>
        <v>8th Floor</v>
      </c>
      <c r="H210" s="121"/>
    </row>
    <row r="211" spans="1:8" s="2" customFormat="1" x14ac:dyDescent="0.25">
      <c r="A211" s="119">
        <v>2</v>
      </c>
      <c r="B211" s="119"/>
      <c r="C211" s="41" t="s">
        <v>191</v>
      </c>
      <c r="D211" s="44">
        <f>(33.92)*10.764</f>
        <v>365.11487999999997</v>
      </c>
      <c r="E211" s="44">
        <f>1.53*1.5*10.764</f>
        <v>24.703379999999999</v>
      </c>
      <c r="F211" s="41">
        <f t="shared" ref="F211:F215" si="18">D211*1.5+E211</f>
        <v>572.37569999999994</v>
      </c>
      <c r="G211" s="122"/>
      <c r="H211" s="123"/>
    </row>
    <row r="212" spans="1:8" s="2" customFormat="1" x14ac:dyDescent="0.25">
      <c r="A212" s="119">
        <v>3</v>
      </c>
      <c r="B212" s="119"/>
      <c r="C212" s="41" t="s">
        <v>190</v>
      </c>
      <c r="D212" s="44">
        <f>(47.22)*10.764</f>
        <v>508.27607999999998</v>
      </c>
      <c r="E212" s="44">
        <f t="shared" ref="E212:E213" si="19">4.62*10.764</f>
        <v>49.729679999999995</v>
      </c>
      <c r="F212" s="41">
        <f t="shared" si="18"/>
        <v>812.14379999999994</v>
      </c>
      <c r="G212" s="122"/>
      <c r="H212" s="123"/>
    </row>
    <row r="213" spans="1:8" s="2" customFormat="1" x14ac:dyDescent="0.25">
      <c r="A213" s="119">
        <v>4</v>
      </c>
      <c r="B213" s="119"/>
      <c r="C213" s="41" t="s">
        <v>190</v>
      </c>
      <c r="D213" s="44">
        <f>(44.4)*10.764</f>
        <v>477.92159999999996</v>
      </c>
      <c r="E213" s="44">
        <f t="shared" si="19"/>
        <v>49.729679999999995</v>
      </c>
      <c r="F213" s="41">
        <f t="shared" si="18"/>
        <v>766.61207999999999</v>
      </c>
      <c r="G213" s="122"/>
      <c r="H213" s="123"/>
    </row>
    <row r="214" spans="1:8" s="2" customFormat="1" x14ac:dyDescent="0.25">
      <c r="A214" s="119">
        <v>5</v>
      </c>
      <c r="B214" s="119"/>
      <c r="C214" s="132" t="s">
        <v>195</v>
      </c>
      <c r="D214" s="133"/>
      <c r="E214" s="133"/>
      <c r="F214" s="134"/>
      <c r="G214" s="122"/>
      <c r="H214" s="123"/>
    </row>
    <row r="215" spans="1:8" s="2" customFormat="1" x14ac:dyDescent="0.25">
      <c r="A215" s="119">
        <v>6</v>
      </c>
      <c r="B215" s="119"/>
      <c r="C215" s="41" t="s">
        <v>191</v>
      </c>
      <c r="D215" s="44">
        <f>(34.07)*10.764</f>
        <v>366.72947999999997</v>
      </c>
      <c r="E215" s="44">
        <f t="shared" ref="E215" si="20">1.53*1.5*10.764</f>
        <v>24.703379999999999</v>
      </c>
      <c r="F215" s="41">
        <f t="shared" si="18"/>
        <v>574.79759999999999</v>
      </c>
      <c r="G215" s="130"/>
      <c r="H215" s="131"/>
    </row>
    <row r="216" spans="1:8" s="2" customFormat="1" x14ac:dyDescent="0.25">
      <c r="A216" s="129" t="s">
        <v>196</v>
      </c>
      <c r="B216" s="129"/>
      <c r="C216" s="129"/>
      <c r="D216" s="129"/>
      <c r="E216" s="129"/>
      <c r="F216" s="129"/>
      <c r="G216" s="129"/>
      <c r="H216" s="129"/>
    </row>
    <row r="217" spans="1:8" s="2" customFormat="1" ht="15.6" customHeight="1" x14ac:dyDescent="0.25">
      <c r="A217" s="119">
        <v>1</v>
      </c>
      <c r="B217" s="119"/>
      <c r="C217" s="41" t="s">
        <v>191</v>
      </c>
      <c r="D217" s="44">
        <f>(33.92)*10.764</f>
        <v>365.11487999999997</v>
      </c>
      <c r="E217" s="44">
        <f>1.53*1.5*10.764</f>
        <v>24.703379999999999</v>
      </c>
      <c r="F217" s="41">
        <f>D217*1.5+E217</f>
        <v>572.37569999999994</v>
      </c>
      <c r="G217" s="120" t="str">
        <f>A216</f>
        <v>13th Floor</v>
      </c>
      <c r="H217" s="121"/>
    </row>
    <row r="218" spans="1:8" s="2" customFormat="1" x14ac:dyDescent="0.25">
      <c r="A218" s="119">
        <v>2</v>
      </c>
      <c r="B218" s="119"/>
      <c r="C218" s="41" t="s">
        <v>191</v>
      </c>
      <c r="D218" s="44">
        <f>(33.92)*10.764</f>
        <v>365.11487999999997</v>
      </c>
      <c r="E218" s="44">
        <f>1.53*1.5*10.764</f>
        <v>24.703379999999999</v>
      </c>
      <c r="F218" s="41">
        <f t="shared" ref="F218:F220" si="21">D218*1.5+E218</f>
        <v>572.37569999999994</v>
      </c>
      <c r="G218" s="122"/>
      <c r="H218" s="123"/>
    </row>
    <row r="219" spans="1:8" s="2" customFormat="1" x14ac:dyDescent="0.25">
      <c r="A219" s="119">
        <v>3</v>
      </c>
      <c r="B219" s="119"/>
      <c r="C219" s="41" t="s">
        <v>190</v>
      </c>
      <c r="D219" s="44">
        <f>(47.22)*10.764</f>
        <v>508.27607999999998</v>
      </c>
      <c r="E219" s="44">
        <f t="shared" ref="E219:E220" si="22">4.62*10.764</f>
        <v>49.729679999999995</v>
      </c>
      <c r="F219" s="41">
        <f t="shared" si="21"/>
        <v>812.14379999999994</v>
      </c>
      <c r="G219" s="122"/>
      <c r="H219" s="123"/>
    </row>
    <row r="220" spans="1:8" s="2" customFormat="1" x14ac:dyDescent="0.25">
      <c r="A220" s="119">
        <v>4</v>
      </c>
      <c r="B220" s="119"/>
      <c r="C220" s="41" t="s">
        <v>190</v>
      </c>
      <c r="D220" s="44">
        <f>(44.4)*10.764</f>
        <v>477.92159999999996</v>
      </c>
      <c r="E220" s="44">
        <f t="shared" si="22"/>
        <v>49.729679999999995</v>
      </c>
      <c r="F220" s="41">
        <f t="shared" si="21"/>
        <v>766.61207999999999</v>
      </c>
      <c r="G220" s="122"/>
      <c r="H220" s="123"/>
    </row>
    <row r="221" spans="1:8" s="2" customFormat="1" x14ac:dyDescent="0.25">
      <c r="A221" s="119">
        <v>5</v>
      </c>
      <c r="B221" s="119"/>
      <c r="C221" s="132" t="s">
        <v>195</v>
      </c>
      <c r="D221" s="133"/>
      <c r="E221" s="133"/>
      <c r="F221" s="134"/>
      <c r="G221" s="122"/>
      <c r="H221" s="123"/>
    </row>
    <row r="222" spans="1:8" s="2" customFormat="1" x14ac:dyDescent="0.25">
      <c r="A222" s="119">
        <v>6</v>
      </c>
      <c r="B222" s="119"/>
      <c r="C222" s="41" t="s">
        <v>191</v>
      </c>
      <c r="D222" s="44">
        <f>(34.07)*10.764</f>
        <v>366.72947999999997</v>
      </c>
      <c r="E222" s="44">
        <f t="shared" ref="E222" si="23">1.53*1.5*10.764</f>
        <v>24.703379999999999</v>
      </c>
      <c r="F222" s="41">
        <f t="shared" ref="F222" si="24">D222*1.5+E222</f>
        <v>574.79759999999999</v>
      </c>
      <c r="G222" s="130"/>
      <c r="H222" s="131"/>
    </row>
    <row r="223" spans="1:8" s="2" customFormat="1" x14ac:dyDescent="0.25">
      <c r="A223" s="129" t="s">
        <v>183</v>
      </c>
      <c r="B223" s="129"/>
      <c r="C223" s="129"/>
      <c r="D223" s="129"/>
      <c r="E223" s="129"/>
      <c r="F223" s="129"/>
      <c r="G223" s="129"/>
      <c r="H223" s="129"/>
    </row>
    <row r="224" spans="1:8" s="2" customFormat="1" x14ac:dyDescent="0.25">
      <c r="A224" s="129" t="s">
        <v>181</v>
      </c>
      <c r="B224" s="129"/>
      <c r="C224" s="129"/>
      <c r="D224" s="129"/>
      <c r="E224" s="129"/>
      <c r="F224" s="129"/>
      <c r="G224" s="129"/>
      <c r="H224" s="129"/>
    </row>
    <row r="225" spans="1:8" s="2" customFormat="1" x14ac:dyDescent="0.25">
      <c r="A225" s="119">
        <v>8</v>
      </c>
      <c r="B225" s="119"/>
      <c r="C225" s="41" t="s">
        <v>182</v>
      </c>
      <c r="D225" s="23">
        <f>17.95*10.764</f>
        <v>193.21379999999999</v>
      </c>
      <c r="E225" s="41">
        <v>0</v>
      </c>
      <c r="F225" s="41">
        <f t="shared" ref="F225:F238" si="25">D225*1.6+E225</f>
        <v>309.14208000000002</v>
      </c>
      <c r="G225" s="120" t="s">
        <v>184</v>
      </c>
      <c r="H225" s="121"/>
    </row>
    <row r="226" spans="1:8" s="2" customFormat="1" x14ac:dyDescent="0.25">
      <c r="A226" s="119">
        <v>9</v>
      </c>
      <c r="B226" s="119"/>
      <c r="C226" s="41" t="s">
        <v>182</v>
      </c>
      <c r="D226" s="23">
        <f>17.95*10.764</f>
        <v>193.21379999999999</v>
      </c>
      <c r="E226" s="41">
        <v>0</v>
      </c>
      <c r="F226" s="41">
        <f t="shared" si="25"/>
        <v>309.14208000000002</v>
      </c>
      <c r="G226" s="122"/>
      <c r="H226" s="123"/>
    </row>
    <row r="227" spans="1:8" s="2" customFormat="1" x14ac:dyDescent="0.25">
      <c r="A227" s="119">
        <v>10</v>
      </c>
      <c r="B227" s="119"/>
      <c r="C227" s="41" t="s">
        <v>182</v>
      </c>
      <c r="D227" s="23">
        <f>17.95*10.764</f>
        <v>193.21379999999999</v>
      </c>
      <c r="E227" s="41">
        <v>0</v>
      </c>
      <c r="F227" s="41">
        <f t="shared" si="25"/>
        <v>309.14208000000002</v>
      </c>
      <c r="G227" s="122"/>
      <c r="H227" s="123"/>
    </row>
    <row r="228" spans="1:8" s="2" customFormat="1" x14ac:dyDescent="0.25">
      <c r="A228" s="119">
        <v>11</v>
      </c>
      <c r="B228" s="119"/>
      <c r="C228" s="41" t="s">
        <v>182</v>
      </c>
      <c r="D228" s="23">
        <f>17.93*10.764</f>
        <v>192.99851999999998</v>
      </c>
      <c r="E228" s="41">
        <v>0</v>
      </c>
      <c r="F228" s="41">
        <f t="shared" si="25"/>
        <v>308.79763200000002</v>
      </c>
      <c r="G228" s="122"/>
      <c r="H228" s="123"/>
    </row>
    <row r="229" spans="1:8" s="2" customFormat="1" x14ac:dyDescent="0.25">
      <c r="A229" s="119">
        <v>12</v>
      </c>
      <c r="B229" s="119"/>
      <c r="C229" s="41" t="s">
        <v>182</v>
      </c>
      <c r="D229" s="23">
        <f>20.41*10.764</f>
        <v>219.69323999999997</v>
      </c>
      <c r="E229" s="41">
        <v>0</v>
      </c>
      <c r="F229" s="41">
        <f t="shared" si="25"/>
        <v>351.509184</v>
      </c>
      <c r="G229" s="122"/>
      <c r="H229" s="123"/>
    </row>
    <row r="230" spans="1:8" s="2" customFormat="1" x14ac:dyDescent="0.25">
      <c r="A230" s="119">
        <v>13</v>
      </c>
      <c r="B230" s="119"/>
      <c r="C230" s="41" t="s">
        <v>182</v>
      </c>
      <c r="D230" s="23">
        <f>18.52*10.764</f>
        <v>199.34927999999999</v>
      </c>
      <c r="E230" s="41">
        <v>0</v>
      </c>
      <c r="F230" s="41">
        <f t="shared" si="25"/>
        <v>318.95884799999999</v>
      </c>
      <c r="G230" s="122"/>
      <c r="H230" s="123"/>
    </row>
    <row r="231" spans="1:8" s="2" customFormat="1" x14ac:dyDescent="0.25">
      <c r="A231" s="119">
        <v>14</v>
      </c>
      <c r="B231" s="119"/>
      <c r="C231" s="41" t="s">
        <v>182</v>
      </c>
      <c r="D231" s="23">
        <f>18.4*10.764</f>
        <v>198.05759999999998</v>
      </c>
      <c r="E231" s="41">
        <v>0</v>
      </c>
      <c r="F231" s="41">
        <f t="shared" si="25"/>
        <v>316.89215999999999</v>
      </c>
      <c r="G231" s="122"/>
      <c r="H231" s="123"/>
    </row>
    <row r="232" spans="1:8" s="2" customFormat="1" x14ac:dyDescent="0.25">
      <c r="A232" s="119">
        <v>15</v>
      </c>
      <c r="B232" s="119"/>
      <c r="C232" s="41" t="s">
        <v>182</v>
      </c>
      <c r="D232" s="23">
        <f>18.4*10.764</f>
        <v>198.05759999999998</v>
      </c>
      <c r="E232" s="41">
        <v>0</v>
      </c>
      <c r="F232" s="41">
        <f t="shared" si="25"/>
        <v>316.89215999999999</v>
      </c>
      <c r="G232" s="122"/>
      <c r="H232" s="123"/>
    </row>
    <row r="233" spans="1:8" s="2" customFormat="1" x14ac:dyDescent="0.25">
      <c r="A233" s="119">
        <v>16</v>
      </c>
      <c r="B233" s="119"/>
      <c r="C233" s="41" t="s">
        <v>182</v>
      </c>
      <c r="D233" s="23">
        <f>18.52*10.764</f>
        <v>199.34927999999999</v>
      </c>
      <c r="E233" s="41">
        <v>0</v>
      </c>
      <c r="F233" s="41">
        <f t="shared" si="25"/>
        <v>318.95884799999999</v>
      </c>
      <c r="G233" s="122"/>
      <c r="H233" s="123"/>
    </row>
    <row r="234" spans="1:8" s="2" customFormat="1" x14ac:dyDescent="0.25">
      <c r="A234" s="119">
        <v>17</v>
      </c>
      <c r="B234" s="119"/>
      <c r="C234" s="41" t="s">
        <v>182</v>
      </c>
      <c r="D234" s="23">
        <f>20.41*10.764</f>
        <v>219.69323999999997</v>
      </c>
      <c r="E234" s="41">
        <v>0</v>
      </c>
      <c r="F234" s="41">
        <f t="shared" si="25"/>
        <v>351.509184</v>
      </c>
      <c r="G234" s="122"/>
      <c r="H234" s="123"/>
    </row>
    <row r="235" spans="1:8" s="2" customFormat="1" x14ac:dyDescent="0.25">
      <c r="A235" s="119">
        <v>18</v>
      </c>
      <c r="B235" s="119"/>
      <c r="C235" s="41" t="s">
        <v>182</v>
      </c>
      <c r="D235" s="23">
        <f>15.56*10.764</f>
        <v>167.48784000000001</v>
      </c>
      <c r="E235" s="41">
        <v>0</v>
      </c>
      <c r="F235" s="41">
        <f t="shared" si="25"/>
        <v>267.98054400000001</v>
      </c>
      <c r="G235" s="122"/>
      <c r="H235" s="123"/>
    </row>
    <row r="236" spans="1:8" s="2" customFormat="1" x14ac:dyDescent="0.25">
      <c r="A236" s="119">
        <v>19</v>
      </c>
      <c r="B236" s="119"/>
      <c r="C236" s="41" t="s">
        <v>182</v>
      </c>
      <c r="D236" s="23">
        <f>17.95*10.764</f>
        <v>193.21379999999999</v>
      </c>
      <c r="E236" s="41">
        <v>0</v>
      </c>
      <c r="F236" s="41">
        <f t="shared" si="25"/>
        <v>309.14208000000002</v>
      </c>
      <c r="G236" s="122"/>
      <c r="H236" s="123"/>
    </row>
    <row r="237" spans="1:8" s="2" customFormat="1" x14ac:dyDescent="0.25">
      <c r="A237" s="119">
        <v>20</v>
      </c>
      <c r="B237" s="119"/>
      <c r="C237" s="41" t="s">
        <v>182</v>
      </c>
      <c r="D237" s="23">
        <f>17.95*10.764</f>
        <v>193.21379999999999</v>
      </c>
      <c r="E237" s="41">
        <v>0</v>
      </c>
      <c r="F237" s="41">
        <f t="shared" si="25"/>
        <v>309.14208000000002</v>
      </c>
      <c r="G237" s="122"/>
      <c r="H237" s="123"/>
    </row>
    <row r="238" spans="1:8" s="2" customFormat="1" x14ac:dyDescent="0.25">
      <c r="A238" s="119">
        <v>21</v>
      </c>
      <c r="B238" s="119"/>
      <c r="C238" s="41" t="s">
        <v>182</v>
      </c>
      <c r="D238" s="41">
        <f>17.95*10.764</f>
        <v>193.21379999999999</v>
      </c>
      <c r="E238" s="41">
        <v>0</v>
      </c>
      <c r="F238" s="41">
        <f t="shared" si="25"/>
        <v>309.14208000000002</v>
      </c>
      <c r="G238" s="130"/>
      <c r="H238" s="131"/>
    </row>
    <row r="239" spans="1:8" s="2" customFormat="1" x14ac:dyDescent="0.25">
      <c r="A239" s="129" t="s">
        <v>188</v>
      </c>
      <c r="B239" s="129"/>
      <c r="C239" s="129"/>
      <c r="D239" s="129"/>
      <c r="E239" s="129"/>
      <c r="F239" s="129"/>
      <c r="G239" s="129"/>
      <c r="H239" s="129"/>
    </row>
    <row r="240" spans="1:8" s="2" customFormat="1" x14ac:dyDescent="0.25">
      <c r="A240" s="129" t="s">
        <v>189</v>
      </c>
      <c r="B240" s="129"/>
      <c r="C240" s="129"/>
      <c r="D240" s="129"/>
      <c r="E240" s="129"/>
      <c r="F240" s="129"/>
      <c r="G240" s="129"/>
      <c r="H240" s="129"/>
    </row>
    <row r="241" spans="1:9" s="2" customFormat="1" ht="15.6" customHeight="1" x14ac:dyDescent="0.25">
      <c r="A241" s="119">
        <v>1</v>
      </c>
      <c r="B241" s="119"/>
      <c r="C241" s="41" t="s">
        <v>191</v>
      </c>
      <c r="D241" s="41">
        <f>(34.11)*10.764</f>
        <v>367.16003999999998</v>
      </c>
      <c r="E241" s="44">
        <f>1.53*1.5*10.764</f>
        <v>24.703379999999999</v>
      </c>
      <c r="F241" s="41">
        <f>D241*1.5+E241</f>
        <v>575.44344000000001</v>
      </c>
      <c r="G241" s="120" t="str">
        <f>A240</f>
        <v>1st, 3rd, 5th, 7th, 9th, 11th Floor</v>
      </c>
      <c r="H241" s="121"/>
    </row>
    <row r="242" spans="1:9" s="2" customFormat="1" ht="15.6" customHeight="1" x14ac:dyDescent="0.25">
      <c r="A242" s="119">
        <v>2</v>
      </c>
      <c r="B242" s="119"/>
      <c r="C242" s="41" t="s">
        <v>190</v>
      </c>
      <c r="D242" s="41">
        <f>(47.57)*10.764</f>
        <v>512.04347999999993</v>
      </c>
      <c r="E242" s="44">
        <f t="shared" ref="E242:E246" si="26">4.62*10.764</f>
        <v>49.729679999999995</v>
      </c>
      <c r="F242" s="41">
        <f>D242*1.5+E242</f>
        <v>817.79489999999998</v>
      </c>
      <c r="G242" s="122"/>
      <c r="H242" s="123"/>
    </row>
    <row r="243" spans="1:9" s="2" customFormat="1" x14ac:dyDescent="0.25">
      <c r="A243" s="119">
        <v>3</v>
      </c>
      <c r="B243" s="119"/>
      <c r="C243" s="41" t="s">
        <v>190</v>
      </c>
      <c r="D243" s="44">
        <f>(47.57)*10.764</f>
        <v>512.04347999999993</v>
      </c>
      <c r="E243" s="44">
        <f t="shared" si="26"/>
        <v>49.729679999999995</v>
      </c>
      <c r="F243" s="41">
        <f t="shared" ref="F243:F246" si="27">D243*1.5+E243</f>
        <v>817.79489999999998</v>
      </c>
      <c r="G243" s="122"/>
      <c r="H243" s="123"/>
    </row>
    <row r="244" spans="1:9" s="2" customFormat="1" x14ac:dyDescent="0.25">
      <c r="A244" s="119">
        <v>4</v>
      </c>
      <c r="B244" s="119"/>
      <c r="C244" s="41" t="s">
        <v>191</v>
      </c>
      <c r="D244" s="44">
        <f>(34.11)*10.764</f>
        <v>367.16003999999998</v>
      </c>
      <c r="E244" s="44">
        <f>1.53*1.5*10.764</f>
        <v>24.703379999999999</v>
      </c>
      <c r="F244" s="41">
        <f t="shared" si="27"/>
        <v>575.44344000000001</v>
      </c>
      <c r="G244" s="122"/>
      <c r="H244" s="123"/>
    </row>
    <row r="245" spans="1:9" s="2" customFormat="1" x14ac:dyDescent="0.25">
      <c r="A245" s="119">
        <v>5</v>
      </c>
      <c r="B245" s="119"/>
      <c r="C245" s="41" t="s">
        <v>192</v>
      </c>
      <c r="D245" s="41">
        <f>(66.27)*10.764</f>
        <v>713.3302799999999</v>
      </c>
      <c r="E245" s="44">
        <f t="shared" si="26"/>
        <v>49.729679999999995</v>
      </c>
      <c r="F245" s="41">
        <f t="shared" si="27"/>
        <v>1119.7250999999997</v>
      </c>
      <c r="G245" s="122"/>
      <c r="H245" s="123"/>
    </row>
    <row r="246" spans="1:9" s="2" customFormat="1" x14ac:dyDescent="0.25">
      <c r="A246" s="119">
        <v>6</v>
      </c>
      <c r="B246" s="119"/>
      <c r="C246" s="41" t="s">
        <v>192</v>
      </c>
      <c r="D246" s="44">
        <f>(66.27)*10.764</f>
        <v>713.3302799999999</v>
      </c>
      <c r="E246" s="44">
        <f t="shared" si="26"/>
        <v>49.729679999999995</v>
      </c>
      <c r="F246" s="41">
        <f t="shared" si="27"/>
        <v>1119.7250999999997</v>
      </c>
      <c r="G246" s="122"/>
      <c r="H246" s="123"/>
      <c r="I246" s="2">
        <f>6500000/F246</f>
        <v>5804.9962441674315</v>
      </c>
    </row>
    <row r="247" spans="1:9" s="2" customFormat="1" x14ac:dyDescent="0.25">
      <c r="A247" s="129" t="s">
        <v>193</v>
      </c>
      <c r="B247" s="129"/>
      <c r="C247" s="129"/>
      <c r="D247" s="129"/>
      <c r="E247" s="129"/>
      <c r="F247" s="129"/>
      <c r="G247" s="129"/>
      <c r="H247" s="129"/>
    </row>
    <row r="248" spans="1:9" s="2" customFormat="1" ht="15.6" customHeight="1" x14ac:dyDescent="0.25">
      <c r="A248" s="119">
        <v>1</v>
      </c>
      <c r="B248" s="119"/>
      <c r="C248" s="41" t="s">
        <v>191</v>
      </c>
      <c r="D248" s="44">
        <f>(34.11)*10.764</f>
        <v>367.16003999999998</v>
      </c>
      <c r="E248" s="44">
        <f>1.53*1.5*10.764</f>
        <v>24.703379999999999</v>
      </c>
      <c r="F248" s="41">
        <f>D248*1.5+E248</f>
        <v>575.44344000000001</v>
      </c>
      <c r="G248" s="120" t="str">
        <f>A247</f>
        <v>2nd, 4th, 6th, 10th, 12th, 14th Floor</v>
      </c>
      <c r="H248" s="121"/>
    </row>
    <row r="249" spans="1:9" s="2" customFormat="1" ht="15.6" customHeight="1" x14ac:dyDescent="0.25">
      <c r="A249" s="119">
        <v>2</v>
      </c>
      <c r="B249" s="119"/>
      <c r="C249" s="41" t="s">
        <v>190</v>
      </c>
      <c r="D249" s="44">
        <f>(47.57)*10.764</f>
        <v>512.04347999999993</v>
      </c>
      <c r="E249" s="44">
        <f t="shared" ref="E249:E253" si="28">4.62*10.764</f>
        <v>49.729679999999995</v>
      </c>
      <c r="F249" s="41">
        <f>D249*1.5+E249</f>
        <v>817.79489999999998</v>
      </c>
      <c r="G249" s="122"/>
      <c r="H249" s="123"/>
    </row>
    <row r="250" spans="1:9" s="2" customFormat="1" x14ac:dyDescent="0.25">
      <c r="A250" s="119">
        <v>3</v>
      </c>
      <c r="B250" s="119"/>
      <c r="C250" s="41" t="s">
        <v>190</v>
      </c>
      <c r="D250" s="44">
        <f>(47.57)*10.764</f>
        <v>512.04347999999993</v>
      </c>
      <c r="E250" s="44">
        <f t="shared" si="28"/>
        <v>49.729679999999995</v>
      </c>
      <c r="F250" s="41">
        <f t="shared" ref="F250:F253" si="29">D250*1.5+E250</f>
        <v>817.79489999999998</v>
      </c>
      <c r="G250" s="122"/>
      <c r="H250" s="123"/>
    </row>
    <row r="251" spans="1:9" s="2" customFormat="1" x14ac:dyDescent="0.25">
      <c r="A251" s="119">
        <v>4</v>
      </c>
      <c r="B251" s="119"/>
      <c r="C251" s="41" t="s">
        <v>191</v>
      </c>
      <c r="D251" s="44">
        <f>(34.11)*10.764</f>
        <v>367.16003999999998</v>
      </c>
      <c r="E251" s="44">
        <f>1.53*1.5*10.764</f>
        <v>24.703379999999999</v>
      </c>
      <c r="F251" s="41">
        <f t="shared" si="29"/>
        <v>575.44344000000001</v>
      </c>
      <c r="G251" s="122"/>
      <c r="H251" s="123"/>
    </row>
    <row r="252" spans="1:9" s="2" customFormat="1" x14ac:dyDescent="0.25">
      <c r="A252" s="119">
        <v>5</v>
      </c>
      <c r="B252" s="119"/>
      <c r="C252" s="41" t="s">
        <v>192</v>
      </c>
      <c r="D252" s="44">
        <f>(66.27)*10.764</f>
        <v>713.3302799999999</v>
      </c>
      <c r="E252" s="44">
        <f t="shared" si="28"/>
        <v>49.729679999999995</v>
      </c>
      <c r="F252" s="41">
        <f t="shared" si="29"/>
        <v>1119.7250999999997</v>
      </c>
      <c r="G252" s="122"/>
      <c r="H252" s="123"/>
    </row>
    <row r="253" spans="1:9" s="2" customFormat="1" x14ac:dyDescent="0.25">
      <c r="A253" s="119">
        <v>6</v>
      </c>
      <c r="B253" s="119"/>
      <c r="C253" s="41" t="s">
        <v>192</v>
      </c>
      <c r="D253" s="44">
        <f>(66.27)*10.764</f>
        <v>713.3302799999999</v>
      </c>
      <c r="E253" s="44">
        <f t="shared" si="28"/>
        <v>49.729679999999995</v>
      </c>
      <c r="F253" s="41">
        <f t="shared" si="29"/>
        <v>1119.7250999999997</v>
      </c>
      <c r="G253" s="122"/>
      <c r="H253" s="123"/>
    </row>
    <row r="254" spans="1:9" s="2" customFormat="1" x14ac:dyDescent="0.25">
      <c r="A254" s="129" t="s">
        <v>194</v>
      </c>
      <c r="B254" s="129"/>
      <c r="C254" s="129"/>
      <c r="D254" s="129"/>
      <c r="E254" s="129"/>
      <c r="F254" s="129"/>
      <c r="G254" s="129"/>
      <c r="H254" s="129"/>
    </row>
    <row r="255" spans="1:9" s="2" customFormat="1" ht="15.6" customHeight="1" x14ac:dyDescent="0.25">
      <c r="A255" s="119">
        <v>1</v>
      </c>
      <c r="B255" s="119"/>
      <c r="C255" s="41" t="s">
        <v>191</v>
      </c>
      <c r="D255" s="44">
        <f>(34.11)*10.764</f>
        <v>367.16003999999998</v>
      </c>
      <c r="E255" s="44">
        <f>1.53*1.5*10.764</f>
        <v>24.703379999999999</v>
      </c>
      <c r="F255" s="41">
        <f>D255*1.5+E255</f>
        <v>575.44344000000001</v>
      </c>
      <c r="G255" s="120" t="str">
        <f>A254</f>
        <v>8th Floor</v>
      </c>
      <c r="H255" s="121"/>
    </row>
    <row r="256" spans="1:9" s="2" customFormat="1" ht="15.6" customHeight="1" x14ac:dyDescent="0.25">
      <c r="A256" s="119">
        <v>2</v>
      </c>
      <c r="B256" s="119"/>
      <c r="C256" s="41" t="s">
        <v>190</v>
      </c>
      <c r="D256" s="44">
        <f>(47.57)*10.764</f>
        <v>512.04347999999993</v>
      </c>
      <c r="E256" s="44">
        <f t="shared" ref="E256:E257" si="30">4.62*10.764</f>
        <v>49.729679999999995</v>
      </c>
      <c r="F256" s="41">
        <f>D256*1.5+E256</f>
        <v>817.79489999999998</v>
      </c>
      <c r="G256" s="122"/>
      <c r="H256" s="123"/>
    </row>
    <row r="257" spans="1:8" s="2" customFormat="1" x14ac:dyDescent="0.25">
      <c r="A257" s="119">
        <v>3</v>
      </c>
      <c r="B257" s="119"/>
      <c r="C257" s="41" t="s">
        <v>190</v>
      </c>
      <c r="D257" s="44">
        <f>(47.57)*10.764</f>
        <v>512.04347999999993</v>
      </c>
      <c r="E257" s="44">
        <f t="shared" si="30"/>
        <v>49.729679999999995</v>
      </c>
      <c r="F257" s="41">
        <f t="shared" ref="F257:F260" si="31">D257*1.5+E257</f>
        <v>817.79489999999998</v>
      </c>
      <c r="G257" s="122"/>
      <c r="H257" s="123"/>
    </row>
    <row r="258" spans="1:8" s="2" customFormat="1" x14ac:dyDescent="0.25">
      <c r="A258" s="119">
        <v>4</v>
      </c>
      <c r="B258" s="119"/>
      <c r="C258" s="132" t="s">
        <v>195</v>
      </c>
      <c r="D258" s="133">
        <f>(3.05*3.27+2.29*1.95+3.05*3.3+1.22*2.14+2.14*1.22+1*2.29+3.05*1)*10.764</f>
        <v>377.44611839999993</v>
      </c>
      <c r="E258" s="133">
        <v>0</v>
      </c>
      <c r="F258" s="134">
        <f t="shared" si="31"/>
        <v>566.1691775999999</v>
      </c>
      <c r="G258" s="122"/>
      <c r="H258" s="123"/>
    </row>
    <row r="259" spans="1:8" s="2" customFormat="1" x14ac:dyDescent="0.25">
      <c r="A259" s="119">
        <v>5</v>
      </c>
      <c r="B259" s="119"/>
      <c r="C259" s="41" t="s">
        <v>192</v>
      </c>
      <c r="D259" s="44">
        <f>(66.27)*10.764</f>
        <v>713.3302799999999</v>
      </c>
      <c r="E259" s="44">
        <f t="shared" ref="E259:E260" si="32">4.62*10.764</f>
        <v>49.729679999999995</v>
      </c>
      <c r="F259" s="41">
        <f t="shared" si="31"/>
        <v>1119.7250999999997</v>
      </c>
      <c r="G259" s="122"/>
      <c r="H259" s="123"/>
    </row>
    <row r="260" spans="1:8" s="2" customFormat="1" x14ac:dyDescent="0.25">
      <c r="A260" s="119">
        <v>6</v>
      </c>
      <c r="B260" s="119"/>
      <c r="C260" s="41" t="s">
        <v>192</v>
      </c>
      <c r="D260" s="44">
        <f>(66.27)*10.764</f>
        <v>713.3302799999999</v>
      </c>
      <c r="E260" s="44">
        <f t="shared" si="32"/>
        <v>49.729679999999995</v>
      </c>
      <c r="F260" s="41">
        <f t="shared" si="31"/>
        <v>1119.7250999999997</v>
      </c>
      <c r="G260" s="122"/>
      <c r="H260" s="123"/>
    </row>
    <row r="261" spans="1:8" s="2" customFormat="1" x14ac:dyDescent="0.25">
      <c r="A261" s="129" t="s">
        <v>196</v>
      </c>
      <c r="B261" s="129"/>
      <c r="C261" s="129"/>
      <c r="D261" s="129"/>
      <c r="E261" s="129"/>
      <c r="F261" s="129"/>
      <c r="G261" s="129"/>
      <c r="H261" s="129"/>
    </row>
    <row r="262" spans="1:8" s="2" customFormat="1" ht="15.6" customHeight="1" x14ac:dyDescent="0.25">
      <c r="A262" s="119">
        <v>1</v>
      </c>
      <c r="B262" s="119"/>
      <c r="C262" s="41" t="s">
        <v>191</v>
      </c>
      <c r="D262" s="44">
        <f>(34.11)*10.764</f>
        <v>367.16003999999998</v>
      </c>
      <c r="E262" s="44">
        <f>1.53*1.5*10.764</f>
        <v>24.703379999999999</v>
      </c>
      <c r="F262" s="41">
        <f>D262*1.5+E262</f>
        <v>575.44344000000001</v>
      </c>
      <c r="G262" s="120" t="str">
        <f>A261</f>
        <v>13th Floor</v>
      </c>
      <c r="H262" s="121"/>
    </row>
    <row r="263" spans="1:8" s="2" customFormat="1" ht="15.6" customHeight="1" x14ac:dyDescent="0.25">
      <c r="A263" s="119">
        <v>2</v>
      </c>
      <c r="B263" s="119"/>
      <c r="C263" s="41" t="s">
        <v>190</v>
      </c>
      <c r="D263" s="44">
        <f>(47.57)*10.764</f>
        <v>512.04347999999993</v>
      </c>
      <c r="E263" s="44">
        <f t="shared" ref="E263:E264" si="33">4.62*10.764</f>
        <v>49.729679999999995</v>
      </c>
      <c r="F263" s="41">
        <f>D263*1.5+E263</f>
        <v>817.79489999999998</v>
      </c>
      <c r="G263" s="122"/>
      <c r="H263" s="123"/>
    </row>
    <row r="264" spans="1:8" s="2" customFormat="1" x14ac:dyDescent="0.25">
      <c r="A264" s="119">
        <v>3</v>
      </c>
      <c r="B264" s="119"/>
      <c r="C264" s="41" t="s">
        <v>190</v>
      </c>
      <c r="D264" s="44">
        <f>(47.57)*10.764</f>
        <v>512.04347999999993</v>
      </c>
      <c r="E264" s="44">
        <f t="shared" si="33"/>
        <v>49.729679999999995</v>
      </c>
      <c r="F264" s="41">
        <f t="shared" ref="F264:F267" si="34">D264*1.5+E264</f>
        <v>817.79489999999998</v>
      </c>
      <c r="G264" s="122"/>
      <c r="H264" s="123"/>
    </row>
    <row r="265" spans="1:8" s="2" customFormat="1" x14ac:dyDescent="0.25">
      <c r="A265" s="119">
        <v>4</v>
      </c>
      <c r="B265" s="119"/>
      <c r="C265" s="132" t="s">
        <v>195</v>
      </c>
      <c r="D265" s="133"/>
      <c r="E265" s="133"/>
      <c r="F265" s="134"/>
      <c r="G265" s="122"/>
      <c r="H265" s="123"/>
    </row>
    <row r="266" spans="1:8" s="2" customFormat="1" x14ac:dyDescent="0.25">
      <c r="A266" s="119">
        <v>5</v>
      </c>
      <c r="B266" s="119"/>
      <c r="C266" s="41" t="s">
        <v>192</v>
      </c>
      <c r="D266" s="44">
        <f>(66.27)*10.764</f>
        <v>713.3302799999999</v>
      </c>
      <c r="E266" s="44">
        <f t="shared" ref="E266:E267" si="35">4.62*10.764</f>
        <v>49.729679999999995</v>
      </c>
      <c r="F266" s="41">
        <f t="shared" si="34"/>
        <v>1119.7250999999997</v>
      </c>
      <c r="G266" s="122"/>
      <c r="H266" s="123"/>
    </row>
    <row r="267" spans="1:8" s="2" customFormat="1" x14ac:dyDescent="0.25">
      <c r="A267" s="119">
        <v>6</v>
      </c>
      <c r="B267" s="119"/>
      <c r="C267" s="41" t="s">
        <v>192</v>
      </c>
      <c r="D267" s="44">
        <f>(66.27)*10.764</f>
        <v>713.3302799999999</v>
      </c>
      <c r="E267" s="44">
        <f t="shared" si="35"/>
        <v>49.729679999999995</v>
      </c>
      <c r="F267" s="41">
        <f t="shared" si="34"/>
        <v>1119.7250999999997</v>
      </c>
      <c r="G267" s="122"/>
      <c r="H267" s="123"/>
    </row>
    <row r="268" spans="1:8" s="2" customFormat="1" x14ac:dyDescent="0.25">
      <c r="A268" s="129" t="s">
        <v>186</v>
      </c>
      <c r="B268" s="129"/>
      <c r="C268" s="129"/>
      <c r="D268" s="129"/>
      <c r="E268" s="129"/>
      <c r="F268" s="129"/>
      <c r="G268" s="129"/>
      <c r="H268" s="129"/>
    </row>
    <row r="269" spans="1:8" s="2" customFormat="1" x14ac:dyDescent="0.25">
      <c r="A269" s="129" t="s">
        <v>181</v>
      </c>
      <c r="B269" s="129"/>
      <c r="C269" s="129"/>
      <c r="D269" s="129"/>
      <c r="E269" s="129"/>
      <c r="F269" s="129"/>
      <c r="G269" s="129"/>
      <c r="H269" s="129"/>
    </row>
    <row r="270" spans="1:8" s="2" customFormat="1" x14ac:dyDescent="0.25">
      <c r="A270" s="119">
        <v>22</v>
      </c>
      <c r="B270" s="119"/>
      <c r="C270" s="41" t="s">
        <v>182</v>
      </c>
      <c r="D270" s="23">
        <f>17.95*10.764</f>
        <v>193.21379999999999</v>
      </c>
      <c r="E270" s="41">
        <v>0</v>
      </c>
      <c r="F270" s="41">
        <f t="shared" ref="F270:F276" si="36">D270*1.6+E270</f>
        <v>309.14208000000002</v>
      </c>
      <c r="G270" s="120" t="s">
        <v>185</v>
      </c>
      <c r="H270" s="121"/>
    </row>
    <row r="271" spans="1:8" s="2" customFormat="1" x14ac:dyDescent="0.25">
      <c r="A271" s="119">
        <v>23</v>
      </c>
      <c r="B271" s="119"/>
      <c r="C271" s="41" t="s">
        <v>182</v>
      </c>
      <c r="D271" s="23">
        <f>17.95*10.764</f>
        <v>193.21379999999999</v>
      </c>
      <c r="E271" s="41">
        <v>0</v>
      </c>
      <c r="F271" s="41">
        <f t="shared" si="36"/>
        <v>309.14208000000002</v>
      </c>
      <c r="G271" s="122"/>
      <c r="H271" s="123"/>
    </row>
    <row r="272" spans="1:8" s="2" customFormat="1" x14ac:dyDescent="0.25">
      <c r="A272" s="119">
        <v>24</v>
      </c>
      <c r="B272" s="119"/>
      <c r="C272" s="41" t="s">
        <v>182</v>
      </c>
      <c r="D272" s="23">
        <f>15.74*10.764</f>
        <v>169.42535999999998</v>
      </c>
      <c r="E272" s="41">
        <v>0</v>
      </c>
      <c r="F272" s="41">
        <f t="shared" si="36"/>
        <v>271.08057600000001</v>
      </c>
      <c r="G272" s="122"/>
      <c r="H272" s="123"/>
    </row>
    <row r="273" spans="1:9" s="2" customFormat="1" x14ac:dyDescent="0.25">
      <c r="A273" s="119">
        <v>25</v>
      </c>
      <c r="B273" s="119"/>
      <c r="C273" s="41" t="s">
        <v>182</v>
      </c>
      <c r="D273" s="23">
        <f>19.77*10.764</f>
        <v>212.80427999999998</v>
      </c>
      <c r="E273" s="41">
        <v>0</v>
      </c>
      <c r="F273" s="41">
        <f t="shared" si="36"/>
        <v>340.48684800000001</v>
      </c>
      <c r="G273" s="122"/>
      <c r="H273" s="123"/>
    </row>
    <row r="274" spans="1:9" s="2" customFormat="1" x14ac:dyDescent="0.25">
      <c r="A274" s="119">
        <v>26</v>
      </c>
      <c r="B274" s="119"/>
      <c r="C274" s="41" t="s">
        <v>182</v>
      </c>
      <c r="D274" s="23">
        <f>19.06*10.764</f>
        <v>205.16183999999998</v>
      </c>
      <c r="E274" s="41">
        <v>0</v>
      </c>
      <c r="F274" s="41">
        <f t="shared" si="36"/>
        <v>328.25894399999999</v>
      </c>
      <c r="G274" s="122"/>
      <c r="H274" s="123"/>
    </row>
    <row r="275" spans="1:9" s="2" customFormat="1" x14ac:dyDescent="0.25">
      <c r="A275" s="119">
        <v>27</v>
      </c>
      <c r="B275" s="119"/>
      <c r="C275" s="41" t="s">
        <v>182</v>
      </c>
      <c r="D275" s="23">
        <f>17.39*10.764</f>
        <v>187.18595999999999</v>
      </c>
      <c r="E275" s="41">
        <v>0</v>
      </c>
      <c r="F275" s="41">
        <f t="shared" si="36"/>
        <v>299.49753600000003</v>
      </c>
      <c r="G275" s="122"/>
      <c r="H275" s="123"/>
    </row>
    <row r="276" spans="1:9" s="2" customFormat="1" x14ac:dyDescent="0.25">
      <c r="A276" s="119">
        <v>28</v>
      </c>
      <c r="B276" s="119"/>
      <c r="C276" s="44" t="s">
        <v>215</v>
      </c>
      <c r="D276" s="23">
        <f>96.64*10.764</f>
        <v>1040.23296</v>
      </c>
      <c r="E276" s="41">
        <v>0</v>
      </c>
      <c r="F276" s="41">
        <f t="shared" si="36"/>
        <v>1664.3727360000003</v>
      </c>
      <c r="G276" s="130"/>
      <c r="H276" s="131"/>
    </row>
    <row r="277" spans="1:9" s="2" customFormat="1" x14ac:dyDescent="0.25">
      <c r="A277" s="129" t="s">
        <v>188</v>
      </c>
      <c r="B277" s="129"/>
      <c r="C277" s="129"/>
      <c r="D277" s="129"/>
      <c r="E277" s="129"/>
      <c r="F277" s="129"/>
      <c r="G277" s="129"/>
      <c r="H277" s="129"/>
    </row>
    <row r="278" spans="1:9" s="2" customFormat="1" x14ac:dyDescent="0.25">
      <c r="A278" s="129" t="s">
        <v>189</v>
      </c>
      <c r="B278" s="129"/>
      <c r="C278" s="129"/>
      <c r="D278" s="129"/>
      <c r="E278" s="129"/>
      <c r="F278" s="129"/>
      <c r="G278" s="129"/>
      <c r="H278" s="129"/>
    </row>
    <row r="279" spans="1:9" s="2" customFormat="1" ht="15.6" customHeight="1" x14ac:dyDescent="0.25">
      <c r="A279" s="119">
        <v>1</v>
      </c>
      <c r="B279" s="119"/>
      <c r="C279" s="41" t="s">
        <v>191</v>
      </c>
      <c r="D279" s="44">
        <f>(34.07)*10.764</f>
        <v>366.72947999999997</v>
      </c>
      <c r="E279" s="44">
        <f>1.53*1.5*10.764</f>
        <v>24.703379999999999</v>
      </c>
      <c r="F279" s="41">
        <f>D279*1.5+E279</f>
        <v>574.79759999999999</v>
      </c>
      <c r="G279" s="119" t="str">
        <f>A278</f>
        <v>1st, 3rd, 5th, 7th, 9th, 11th Floor</v>
      </c>
      <c r="H279" s="119"/>
      <c r="I279" s="57"/>
    </row>
    <row r="280" spans="1:9" s="2" customFormat="1" ht="15.6" customHeight="1" x14ac:dyDescent="0.25">
      <c r="A280" s="119">
        <v>2</v>
      </c>
      <c r="B280" s="119"/>
      <c r="C280" s="41" t="s">
        <v>191</v>
      </c>
      <c r="D280" s="44">
        <f>(34.07)*10.764</f>
        <v>366.72947999999997</v>
      </c>
      <c r="E280" s="44">
        <f>1.53*1.5*10.764</f>
        <v>24.703379999999999</v>
      </c>
      <c r="F280" s="41">
        <f>D280*1.5+E280</f>
        <v>574.79759999999999</v>
      </c>
      <c r="G280" s="119"/>
      <c r="H280" s="119"/>
      <c r="I280" s="57"/>
    </row>
    <row r="281" spans="1:9" s="2" customFormat="1" x14ac:dyDescent="0.25">
      <c r="A281" s="119">
        <v>3</v>
      </c>
      <c r="B281" s="119"/>
      <c r="C281" s="41" t="s">
        <v>190</v>
      </c>
      <c r="D281" s="44">
        <f>(44.4)*10.764</f>
        <v>477.92159999999996</v>
      </c>
      <c r="E281" s="44">
        <f t="shared" ref="E281:E282" si="37">4.62*10.764</f>
        <v>49.729679999999995</v>
      </c>
      <c r="F281" s="41">
        <f t="shared" ref="F281:F284" si="38">D281*1.5+E281</f>
        <v>766.61207999999999</v>
      </c>
      <c r="G281" s="119"/>
      <c r="H281" s="119"/>
      <c r="I281" s="57"/>
    </row>
    <row r="282" spans="1:9" s="2" customFormat="1" x14ac:dyDescent="0.25">
      <c r="A282" s="119">
        <v>4</v>
      </c>
      <c r="B282" s="119"/>
      <c r="C282" s="41" t="s">
        <v>190</v>
      </c>
      <c r="D282" s="44">
        <f>(47.22)*10.764</f>
        <v>508.27607999999998</v>
      </c>
      <c r="E282" s="44">
        <f t="shared" si="37"/>
        <v>49.729679999999995</v>
      </c>
      <c r="F282" s="41">
        <f t="shared" si="38"/>
        <v>812.14379999999994</v>
      </c>
      <c r="G282" s="119"/>
      <c r="H282" s="119"/>
      <c r="I282" s="57"/>
    </row>
    <row r="283" spans="1:9" s="2" customFormat="1" x14ac:dyDescent="0.25">
      <c r="A283" s="119">
        <v>5</v>
      </c>
      <c r="B283" s="119"/>
      <c r="C283" s="41" t="s">
        <v>191</v>
      </c>
      <c r="D283" s="44">
        <f>(33.92)*10.764</f>
        <v>365.11487999999997</v>
      </c>
      <c r="E283" s="44">
        <f t="shared" ref="E283:E284" si="39">1.53*1.5*10.764</f>
        <v>24.703379999999999</v>
      </c>
      <c r="F283" s="41">
        <f t="shared" si="38"/>
        <v>572.37569999999994</v>
      </c>
      <c r="G283" s="119"/>
      <c r="H283" s="119"/>
      <c r="I283" s="57"/>
    </row>
    <row r="284" spans="1:9" s="2" customFormat="1" x14ac:dyDescent="0.25">
      <c r="A284" s="119">
        <v>6</v>
      </c>
      <c r="B284" s="119"/>
      <c r="C284" s="41" t="s">
        <v>191</v>
      </c>
      <c r="D284" s="44">
        <f>(33.92)*10.764</f>
        <v>365.11487999999997</v>
      </c>
      <c r="E284" s="44">
        <f t="shared" si="39"/>
        <v>24.703379999999999</v>
      </c>
      <c r="F284" s="41">
        <f t="shared" si="38"/>
        <v>572.37569999999994</v>
      </c>
      <c r="G284" s="119"/>
      <c r="H284" s="119"/>
      <c r="I284" s="57"/>
    </row>
    <row r="285" spans="1:9" s="2" customFormat="1" x14ac:dyDescent="0.25">
      <c r="A285" s="129" t="s">
        <v>193</v>
      </c>
      <c r="B285" s="129"/>
      <c r="C285" s="129"/>
      <c r="D285" s="129"/>
      <c r="E285" s="129"/>
      <c r="F285" s="129"/>
      <c r="G285" s="129"/>
      <c r="H285" s="129"/>
      <c r="I285" s="58"/>
    </row>
    <row r="286" spans="1:9" s="2" customFormat="1" ht="15.6" customHeight="1" x14ac:dyDescent="0.25">
      <c r="A286" s="119">
        <v>1</v>
      </c>
      <c r="B286" s="119"/>
      <c r="C286" s="41" t="s">
        <v>191</v>
      </c>
      <c r="D286" s="44">
        <f>(34.07)*10.764</f>
        <v>366.72947999999997</v>
      </c>
      <c r="E286" s="44">
        <f>1.53*1.5*10.764</f>
        <v>24.703379999999999</v>
      </c>
      <c r="F286" s="41">
        <f>D286*1.5+E286</f>
        <v>574.79759999999999</v>
      </c>
      <c r="G286" s="120" t="str">
        <f>A285</f>
        <v>2nd, 4th, 6th, 10th, 12th, 14th Floor</v>
      </c>
      <c r="H286" s="121"/>
    </row>
    <row r="287" spans="1:9" s="2" customFormat="1" ht="15.6" customHeight="1" x14ac:dyDescent="0.25">
      <c r="A287" s="119">
        <v>2</v>
      </c>
      <c r="B287" s="119"/>
      <c r="C287" s="41" t="s">
        <v>191</v>
      </c>
      <c r="D287" s="44">
        <f>(34.07)*10.764</f>
        <v>366.72947999999997</v>
      </c>
      <c r="E287" s="44">
        <f>1.53*1.5*10.764</f>
        <v>24.703379999999999</v>
      </c>
      <c r="F287" s="41">
        <f>D287*1.5+E287</f>
        <v>574.79759999999999</v>
      </c>
      <c r="G287" s="122"/>
      <c r="H287" s="123"/>
    </row>
    <row r="288" spans="1:9" s="2" customFormat="1" x14ac:dyDescent="0.25">
      <c r="A288" s="119">
        <v>3</v>
      </c>
      <c r="B288" s="119"/>
      <c r="C288" s="41" t="s">
        <v>190</v>
      </c>
      <c r="D288" s="44">
        <f>(44.4)*10.764</f>
        <v>477.92159999999996</v>
      </c>
      <c r="E288" s="44">
        <f t="shared" ref="E288:E289" si="40">4.62*10.764</f>
        <v>49.729679999999995</v>
      </c>
      <c r="F288" s="41">
        <f t="shared" ref="F288:F291" si="41">D288*1.5+E288</f>
        <v>766.61207999999999</v>
      </c>
      <c r="G288" s="122"/>
      <c r="H288" s="123"/>
    </row>
    <row r="289" spans="1:8" s="2" customFormat="1" x14ac:dyDescent="0.25">
      <c r="A289" s="119">
        <v>4</v>
      </c>
      <c r="B289" s="119"/>
      <c r="C289" s="41" t="s">
        <v>190</v>
      </c>
      <c r="D289" s="44">
        <f>(47.22)*10.764</f>
        <v>508.27607999999998</v>
      </c>
      <c r="E289" s="44">
        <f t="shared" si="40"/>
        <v>49.729679999999995</v>
      </c>
      <c r="F289" s="41">
        <f t="shared" si="41"/>
        <v>812.14379999999994</v>
      </c>
      <c r="G289" s="122"/>
      <c r="H289" s="123"/>
    </row>
    <row r="290" spans="1:8" s="2" customFormat="1" x14ac:dyDescent="0.25">
      <c r="A290" s="119">
        <v>5</v>
      </c>
      <c r="B290" s="119"/>
      <c r="C290" s="41" t="s">
        <v>191</v>
      </c>
      <c r="D290" s="44">
        <f>(33.92)*10.764</f>
        <v>365.11487999999997</v>
      </c>
      <c r="E290" s="44">
        <f t="shared" ref="E290:E291" si="42">1.53*1.5*10.764</f>
        <v>24.703379999999999</v>
      </c>
      <c r="F290" s="41">
        <f t="shared" si="41"/>
        <v>572.37569999999994</v>
      </c>
      <c r="G290" s="122"/>
      <c r="H290" s="123"/>
    </row>
    <row r="291" spans="1:8" s="2" customFormat="1" x14ac:dyDescent="0.25">
      <c r="A291" s="119">
        <v>6</v>
      </c>
      <c r="B291" s="119"/>
      <c r="C291" s="41" t="s">
        <v>191</v>
      </c>
      <c r="D291" s="44">
        <f>(33.92)*10.764</f>
        <v>365.11487999999997</v>
      </c>
      <c r="E291" s="44">
        <f t="shared" si="42"/>
        <v>24.703379999999999</v>
      </c>
      <c r="F291" s="41">
        <f t="shared" si="41"/>
        <v>572.37569999999994</v>
      </c>
      <c r="G291" s="122"/>
      <c r="H291" s="123"/>
    </row>
    <row r="292" spans="1:8" s="2" customFormat="1" x14ac:dyDescent="0.25">
      <c r="A292" s="129" t="s">
        <v>194</v>
      </c>
      <c r="B292" s="129"/>
      <c r="C292" s="129"/>
      <c r="D292" s="129"/>
      <c r="E292" s="129"/>
      <c r="F292" s="129"/>
      <c r="G292" s="129"/>
      <c r="H292" s="129"/>
    </row>
    <row r="293" spans="1:8" s="2" customFormat="1" ht="15.6" customHeight="1" x14ac:dyDescent="0.25">
      <c r="A293" s="119">
        <v>1</v>
      </c>
      <c r="B293" s="119"/>
      <c r="C293" s="41" t="s">
        <v>191</v>
      </c>
      <c r="D293" s="44">
        <f>(34.07)*10.764</f>
        <v>366.72947999999997</v>
      </c>
      <c r="E293" s="44">
        <f>1.53*1.5*10.764</f>
        <v>24.703379999999999</v>
      </c>
      <c r="F293" s="41">
        <f>D293*1.5+E293</f>
        <v>574.79759999999999</v>
      </c>
      <c r="G293" s="120" t="str">
        <f>A292</f>
        <v>8th Floor</v>
      </c>
      <c r="H293" s="121"/>
    </row>
    <row r="294" spans="1:8" s="2" customFormat="1" ht="15.6" customHeight="1" x14ac:dyDescent="0.25">
      <c r="A294" s="119">
        <v>2</v>
      </c>
      <c r="B294" s="119"/>
      <c r="C294" s="132" t="s">
        <v>195</v>
      </c>
      <c r="D294" s="133">
        <f>(3.05*3.27+2.29*1.95+3.05*3.3+2.14*1.22+2.14*1.22+1*2.29+1*3.05)*10.764</f>
        <v>377.44611839999993</v>
      </c>
      <c r="E294" s="133">
        <v>0</v>
      </c>
      <c r="F294" s="134">
        <f>D294*1.5+E294</f>
        <v>566.1691775999999</v>
      </c>
      <c r="G294" s="122"/>
      <c r="H294" s="123"/>
    </row>
    <row r="295" spans="1:8" s="2" customFormat="1" x14ac:dyDescent="0.25">
      <c r="A295" s="119">
        <v>3</v>
      </c>
      <c r="B295" s="119"/>
      <c r="C295" s="41" t="s">
        <v>190</v>
      </c>
      <c r="D295" s="44">
        <f>(44.4)*10.764</f>
        <v>477.92159999999996</v>
      </c>
      <c r="E295" s="44">
        <f t="shared" ref="E295:E296" si="43">4.62*10.764</f>
        <v>49.729679999999995</v>
      </c>
      <c r="F295" s="41">
        <f t="shared" ref="F295:F298" si="44">D295*1.5+E295</f>
        <v>766.61207999999999</v>
      </c>
      <c r="G295" s="122"/>
      <c r="H295" s="123"/>
    </row>
    <row r="296" spans="1:8" s="2" customFormat="1" x14ac:dyDescent="0.25">
      <c r="A296" s="119">
        <v>4</v>
      </c>
      <c r="B296" s="119"/>
      <c r="C296" s="41" t="s">
        <v>190</v>
      </c>
      <c r="D296" s="44">
        <f>(47.22)*10.764</f>
        <v>508.27607999999998</v>
      </c>
      <c r="E296" s="44">
        <f t="shared" si="43"/>
        <v>49.729679999999995</v>
      </c>
      <c r="F296" s="41">
        <f t="shared" si="44"/>
        <v>812.14379999999994</v>
      </c>
      <c r="G296" s="122"/>
      <c r="H296" s="123"/>
    </row>
    <row r="297" spans="1:8" s="2" customFormat="1" x14ac:dyDescent="0.25">
      <c r="A297" s="119">
        <v>5</v>
      </c>
      <c r="B297" s="119"/>
      <c r="C297" s="41" t="s">
        <v>191</v>
      </c>
      <c r="D297" s="44">
        <f>(33.92)*10.764</f>
        <v>365.11487999999997</v>
      </c>
      <c r="E297" s="44">
        <f t="shared" ref="E297:E298" si="45">1.53*1.5*10.764</f>
        <v>24.703379999999999</v>
      </c>
      <c r="F297" s="41">
        <f t="shared" si="44"/>
        <v>572.37569999999994</v>
      </c>
      <c r="G297" s="122"/>
      <c r="H297" s="123"/>
    </row>
    <row r="298" spans="1:8" s="2" customFormat="1" x14ac:dyDescent="0.25">
      <c r="A298" s="119">
        <v>6</v>
      </c>
      <c r="B298" s="119"/>
      <c r="C298" s="41" t="s">
        <v>191</v>
      </c>
      <c r="D298" s="44">
        <f>(33.92)*10.764</f>
        <v>365.11487999999997</v>
      </c>
      <c r="E298" s="44">
        <f t="shared" si="45"/>
        <v>24.703379999999999</v>
      </c>
      <c r="F298" s="41">
        <f t="shared" si="44"/>
        <v>572.37569999999994</v>
      </c>
      <c r="G298" s="122"/>
      <c r="H298" s="123"/>
    </row>
    <row r="299" spans="1:8" s="2" customFormat="1" x14ac:dyDescent="0.25">
      <c r="A299" s="129" t="s">
        <v>196</v>
      </c>
      <c r="B299" s="129"/>
      <c r="C299" s="129"/>
      <c r="D299" s="129"/>
      <c r="E299" s="129"/>
      <c r="F299" s="129"/>
      <c r="G299" s="129"/>
      <c r="H299" s="129"/>
    </row>
    <row r="300" spans="1:8" s="2" customFormat="1" ht="15.6" customHeight="1" x14ac:dyDescent="0.25">
      <c r="A300" s="119">
        <v>1</v>
      </c>
      <c r="B300" s="119"/>
      <c r="C300" s="41" t="s">
        <v>191</v>
      </c>
      <c r="D300" s="44">
        <f>(34.07)*10.764</f>
        <v>366.72947999999997</v>
      </c>
      <c r="E300" s="44">
        <f>1.53*1.5*10.764</f>
        <v>24.703379999999999</v>
      </c>
      <c r="F300" s="41">
        <f>D300*1.5+E300</f>
        <v>574.79759999999999</v>
      </c>
      <c r="G300" s="120" t="str">
        <f>A299</f>
        <v>13th Floor</v>
      </c>
      <c r="H300" s="121"/>
    </row>
    <row r="301" spans="1:8" s="2" customFormat="1" ht="15.6" customHeight="1" x14ac:dyDescent="0.25">
      <c r="A301" s="119">
        <v>2</v>
      </c>
      <c r="B301" s="119"/>
      <c r="C301" s="132" t="s">
        <v>195</v>
      </c>
      <c r="D301" s="133"/>
      <c r="E301" s="133"/>
      <c r="F301" s="134"/>
      <c r="G301" s="122"/>
      <c r="H301" s="123"/>
    </row>
    <row r="302" spans="1:8" s="2" customFormat="1" x14ac:dyDescent="0.25">
      <c r="A302" s="119">
        <v>3</v>
      </c>
      <c r="B302" s="119"/>
      <c r="C302" s="41" t="s">
        <v>190</v>
      </c>
      <c r="D302" s="44">
        <f>(44.4)*10.764</f>
        <v>477.92159999999996</v>
      </c>
      <c r="E302" s="44">
        <f t="shared" ref="E302:E303" si="46">4.62*10.764</f>
        <v>49.729679999999995</v>
      </c>
      <c r="F302" s="41">
        <f t="shared" ref="F302:F305" si="47">D302*1.5+E302</f>
        <v>766.61207999999999</v>
      </c>
      <c r="G302" s="122"/>
      <c r="H302" s="123"/>
    </row>
    <row r="303" spans="1:8" s="2" customFormat="1" x14ac:dyDescent="0.25">
      <c r="A303" s="119">
        <v>4</v>
      </c>
      <c r="B303" s="119"/>
      <c r="C303" s="41" t="s">
        <v>190</v>
      </c>
      <c r="D303" s="44">
        <f>(47.22)*10.764</f>
        <v>508.27607999999998</v>
      </c>
      <c r="E303" s="44">
        <f t="shared" si="46"/>
        <v>49.729679999999995</v>
      </c>
      <c r="F303" s="41">
        <f t="shared" si="47"/>
        <v>812.14379999999994</v>
      </c>
      <c r="G303" s="122"/>
      <c r="H303" s="123"/>
    </row>
    <row r="304" spans="1:8" s="2" customFormat="1" x14ac:dyDescent="0.25">
      <c r="A304" s="119">
        <v>5</v>
      </c>
      <c r="B304" s="119"/>
      <c r="C304" s="41" t="s">
        <v>191</v>
      </c>
      <c r="D304" s="44">
        <f>(33.92)*10.764</f>
        <v>365.11487999999997</v>
      </c>
      <c r="E304" s="44">
        <f t="shared" ref="E304:E305" si="48">1.53*1.5*10.764</f>
        <v>24.703379999999999</v>
      </c>
      <c r="F304" s="41">
        <f t="shared" si="47"/>
        <v>572.37569999999994</v>
      </c>
      <c r="G304" s="122"/>
      <c r="H304" s="123"/>
    </row>
    <row r="305" spans="1:11" s="2" customFormat="1" x14ac:dyDescent="0.25">
      <c r="A305" s="119">
        <v>6</v>
      </c>
      <c r="B305" s="119"/>
      <c r="C305" s="41" t="s">
        <v>191</v>
      </c>
      <c r="D305" s="44">
        <f>(33.92)*10.764</f>
        <v>365.11487999999997</v>
      </c>
      <c r="E305" s="44">
        <f t="shared" si="48"/>
        <v>24.703379999999999</v>
      </c>
      <c r="F305" s="41">
        <f t="shared" si="47"/>
        <v>572.37569999999994</v>
      </c>
      <c r="G305" s="122"/>
      <c r="H305" s="123"/>
    </row>
    <row r="306" spans="1:11" s="2" customFormat="1" x14ac:dyDescent="0.25">
      <c r="A306" s="129" t="s">
        <v>187</v>
      </c>
      <c r="B306" s="129"/>
      <c r="C306" s="129"/>
      <c r="D306" s="129"/>
      <c r="E306" s="129"/>
      <c r="F306" s="129"/>
      <c r="G306" s="129"/>
      <c r="H306" s="129"/>
    </row>
    <row r="307" spans="1:11" s="2" customFormat="1" x14ac:dyDescent="0.25">
      <c r="A307" s="129" t="s">
        <v>179</v>
      </c>
      <c r="B307" s="129"/>
      <c r="C307" s="129"/>
      <c r="D307" s="129"/>
      <c r="E307" s="129"/>
      <c r="F307" s="129"/>
      <c r="G307" s="129"/>
      <c r="H307" s="129"/>
    </row>
    <row r="308" spans="1:11" s="2" customFormat="1" x14ac:dyDescent="0.25">
      <c r="A308" s="129" t="s">
        <v>188</v>
      </c>
      <c r="B308" s="129"/>
      <c r="C308" s="129"/>
      <c r="D308" s="129"/>
      <c r="E308" s="129"/>
      <c r="F308" s="129"/>
      <c r="G308" s="129"/>
      <c r="H308" s="129"/>
    </row>
    <row r="309" spans="1:11" s="2" customFormat="1" x14ac:dyDescent="0.25">
      <c r="A309" s="129" t="s">
        <v>189</v>
      </c>
      <c r="B309" s="129"/>
      <c r="C309" s="129"/>
      <c r="D309" s="129"/>
      <c r="E309" s="129"/>
      <c r="F309" s="129"/>
      <c r="G309" s="129"/>
      <c r="H309" s="129"/>
      <c r="J309" s="58"/>
      <c r="K309" s="58"/>
    </row>
    <row r="310" spans="1:11" s="2" customFormat="1" ht="15.6" customHeight="1" x14ac:dyDescent="0.25">
      <c r="A310" s="119">
        <v>1</v>
      </c>
      <c r="B310" s="119"/>
      <c r="C310" s="41" t="s">
        <v>190</v>
      </c>
      <c r="D310" s="41">
        <f>(45.3)*10.764</f>
        <v>487.60919999999993</v>
      </c>
      <c r="E310" s="44">
        <f t="shared" ref="E310" si="49">4.62*10.764</f>
        <v>49.729679999999995</v>
      </c>
      <c r="F310" s="41">
        <f>D310*1.5+E310</f>
        <v>781.14347999999995</v>
      </c>
      <c r="G310" s="120" t="str">
        <f>A309</f>
        <v>1st, 3rd, 5th, 7th, 9th, 11th Floor</v>
      </c>
      <c r="H310" s="121"/>
      <c r="J310" s="57"/>
      <c r="K310" s="57"/>
    </row>
    <row r="311" spans="1:11" s="2" customFormat="1" ht="15.6" customHeight="1" x14ac:dyDescent="0.25">
      <c r="A311" s="119">
        <v>2</v>
      </c>
      <c r="B311" s="119"/>
      <c r="C311" s="41" t="s">
        <v>191</v>
      </c>
      <c r="D311" s="41">
        <f>(34.33)*10.764</f>
        <v>369.52811999999994</v>
      </c>
      <c r="E311" s="44">
        <f t="shared" ref="E311" si="50">1.53*1.5*10.764</f>
        <v>24.703379999999999</v>
      </c>
      <c r="F311" s="23">
        <f>D311*1.5+E311</f>
        <v>578.99555999999995</v>
      </c>
      <c r="G311" s="122"/>
      <c r="H311" s="123"/>
      <c r="J311" s="57"/>
      <c r="K311" s="57"/>
    </row>
    <row r="312" spans="1:11" s="2" customFormat="1" x14ac:dyDescent="0.25">
      <c r="A312" s="119">
        <v>3</v>
      </c>
      <c r="B312" s="119"/>
      <c r="C312" s="41" t="s">
        <v>190</v>
      </c>
      <c r="D312" s="41">
        <f>(46.61)*10.764</f>
        <v>501.71003999999994</v>
      </c>
      <c r="E312" s="44">
        <f t="shared" ref="E312:E313" si="51">4.62*10.764</f>
        <v>49.729679999999995</v>
      </c>
      <c r="F312" s="41">
        <f t="shared" ref="F312:F313" si="52">D312*1.5+E312</f>
        <v>802.29473999999993</v>
      </c>
      <c r="G312" s="122"/>
      <c r="H312" s="123"/>
      <c r="J312" s="57"/>
      <c r="K312" s="57"/>
    </row>
    <row r="313" spans="1:11" s="2" customFormat="1" x14ac:dyDescent="0.25">
      <c r="A313" s="119">
        <v>4</v>
      </c>
      <c r="B313" s="119"/>
      <c r="C313" s="41" t="s">
        <v>190</v>
      </c>
      <c r="D313" s="44">
        <f>(46.61)*10.764</f>
        <v>501.71003999999994</v>
      </c>
      <c r="E313" s="44">
        <f t="shared" si="51"/>
        <v>49.729679999999995</v>
      </c>
      <c r="F313" s="41">
        <f t="shared" si="52"/>
        <v>802.29473999999993</v>
      </c>
      <c r="G313" s="122"/>
      <c r="H313" s="123"/>
      <c r="J313" s="57"/>
      <c r="K313" s="57"/>
    </row>
    <row r="314" spans="1:11" s="2" customFormat="1" x14ac:dyDescent="0.25">
      <c r="A314" s="129" t="s">
        <v>193</v>
      </c>
      <c r="B314" s="129"/>
      <c r="C314" s="129"/>
      <c r="D314" s="129"/>
      <c r="E314" s="129"/>
      <c r="F314" s="129"/>
      <c r="G314" s="129"/>
      <c r="H314" s="129"/>
      <c r="J314" s="58"/>
      <c r="K314" s="58"/>
    </row>
    <row r="315" spans="1:11" s="2" customFormat="1" ht="15.6" customHeight="1" x14ac:dyDescent="0.25">
      <c r="A315" s="119">
        <v>1</v>
      </c>
      <c r="B315" s="119"/>
      <c r="C315" s="41" t="s">
        <v>190</v>
      </c>
      <c r="D315" s="44">
        <f>(45.3)*10.764</f>
        <v>487.60919999999993</v>
      </c>
      <c r="E315" s="44">
        <f t="shared" ref="E315" si="53">4.62*10.764</f>
        <v>49.729679999999995</v>
      </c>
      <c r="F315" s="41">
        <f>D315*1.5+E315</f>
        <v>781.14347999999995</v>
      </c>
      <c r="G315" s="120" t="str">
        <f>A314</f>
        <v>2nd, 4th, 6th, 10th, 12th, 14th Floor</v>
      </c>
      <c r="H315" s="121"/>
    </row>
    <row r="316" spans="1:11" s="2" customFormat="1" ht="15.6" customHeight="1" x14ac:dyDescent="0.25">
      <c r="A316" s="119">
        <v>2</v>
      </c>
      <c r="B316" s="119"/>
      <c r="C316" s="41" t="s">
        <v>191</v>
      </c>
      <c r="D316" s="44">
        <f>(34.33)*10.764</f>
        <v>369.52811999999994</v>
      </c>
      <c r="E316" s="44">
        <f t="shared" ref="E316" si="54">1.53*1.5*10.764</f>
        <v>24.703379999999999</v>
      </c>
      <c r="F316" s="41">
        <f>D316*1.5+E316</f>
        <v>578.99555999999995</v>
      </c>
      <c r="G316" s="122"/>
      <c r="H316" s="123"/>
    </row>
    <row r="317" spans="1:11" s="2" customFormat="1" x14ac:dyDescent="0.25">
      <c r="A317" s="119">
        <v>3</v>
      </c>
      <c r="B317" s="119"/>
      <c r="C317" s="41" t="s">
        <v>190</v>
      </c>
      <c r="D317" s="44">
        <f>(46.61)*10.764</f>
        <v>501.71003999999994</v>
      </c>
      <c r="E317" s="44">
        <f t="shared" ref="E317:E318" si="55">4.62*10.764</f>
        <v>49.729679999999995</v>
      </c>
      <c r="F317" s="41">
        <f t="shared" ref="F317:F318" si="56">D317*1.5+E317</f>
        <v>802.29473999999993</v>
      </c>
      <c r="G317" s="122"/>
      <c r="H317" s="123"/>
    </row>
    <row r="318" spans="1:11" s="2" customFormat="1" x14ac:dyDescent="0.25">
      <c r="A318" s="119">
        <v>4</v>
      </c>
      <c r="B318" s="119"/>
      <c r="C318" s="41" t="s">
        <v>190</v>
      </c>
      <c r="D318" s="44">
        <f>(46.61)*10.764</f>
        <v>501.71003999999994</v>
      </c>
      <c r="E318" s="44">
        <f t="shared" si="55"/>
        <v>49.729679999999995</v>
      </c>
      <c r="F318" s="41">
        <f t="shared" si="56"/>
        <v>802.29473999999993</v>
      </c>
      <c r="G318" s="122"/>
      <c r="H318" s="123"/>
    </row>
    <row r="319" spans="1:11" s="2" customFormat="1" x14ac:dyDescent="0.25">
      <c r="A319" s="129" t="s">
        <v>194</v>
      </c>
      <c r="B319" s="129"/>
      <c r="C319" s="129"/>
      <c r="D319" s="129"/>
      <c r="E319" s="129"/>
      <c r="F319" s="129"/>
      <c r="G319" s="129"/>
      <c r="H319" s="129"/>
    </row>
    <row r="320" spans="1:11" s="2" customFormat="1" ht="15.6" customHeight="1" x14ac:dyDescent="0.25">
      <c r="A320" s="119">
        <v>1</v>
      </c>
      <c r="B320" s="119"/>
      <c r="C320" s="41" t="s">
        <v>190</v>
      </c>
      <c r="D320" s="44">
        <f>(45.3)*10.764</f>
        <v>487.60919999999993</v>
      </c>
      <c r="E320" s="44">
        <f t="shared" ref="E320" si="57">4.62*10.764</f>
        <v>49.729679999999995</v>
      </c>
      <c r="F320" s="41">
        <f>D320*1.5+E320</f>
        <v>781.14347999999995</v>
      </c>
      <c r="G320" s="120" t="str">
        <f>A319</f>
        <v>8th Floor</v>
      </c>
      <c r="H320" s="121"/>
    </row>
    <row r="321" spans="1:8" s="2" customFormat="1" ht="15.6" customHeight="1" x14ac:dyDescent="0.25">
      <c r="A321" s="119">
        <v>2</v>
      </c>
      <c r="B321" s="119"/>
      <c r="C321" s="132" t="s">
        <v>195</v>
      </c>
      <c r="D321" s="133"/>
      <c r="E321" s="133"/>
      <c r="F321" s="134"/>
      <c r="G321" s="122"/>
      <c r="H321" s="123"/>
    </row>
    <row r="322" spans="1:8" s="2" customFormat="1" x14ac:dyDescent="0.25">
      <c r="A322" s="119">
        <v>3</v>
      </c>
      <c r="B322" s="119"/>
      <c r="C322" s="41" t="s">
        <v>190</v>
      </c>
      <c r="D322" s="44">
        <f>(46.61)*10.764</f>
        <v>501.71003999999994</v>
      </c>
      <c r="E322" s="44">
        <f t="shared" ref="E322:E323" si="58">4.62*10.764</f>
        <v>49.729679999999995</v>
      </c>
      <c r="F322" s="41">
        <f t="shared" ref="F322:F323" si="59">D322*1.5+E322</f>
        <v>802.29473999999993</v>
      </c>
      <c r="G322" s="122"/>
      <c r="H322" s="123"/>
    </row>
    <row r="323" spans="1:8" s="2" customFormat="1" x14ac:dyDescent="0.25">
      <c r="A323" s="119">
        <v>4</v>
      </c>
      <c r="B323" s="119"/>
      <c r="C323" s="41" t="s">
        <v>190</v>
      </c>
      <c r="D323" s="44">
        <f>(46.61)*10.764</f>
        <v>501.71003999999994</v>
      </c>
      <c r="E323" s="44">
        <f t="shared" si="58"/>
        <v>49.729679999999995</v>
      </c>
      <c r="F323" s="41">
        <f t="shared" si="59"/>
        <v>802.29473999999993</v>
      </c>
      <c r="G323" s="122"/>
      <c r="H323" s="123"/>
    </row>
    <row r="324" spans="1:8" s="2" customFormat="1" x14ac:dyDescent="0.25">
      <c r="A324" s="129" t="s">
        <v>196</v>
      </c>
      <c r="B324" s="129"/>
      <c r="C324" s="129"/>
      <c r="D324" s="129"/>
      <c r="E324" s="129"/>
      <c r="F324" s="129"/>
      <c r="G324" s="129"/>
      <c r="H324" s="129"/>
    </row>
    <row r="325" spans="1:8" s="2" customFormat="1" ht="15.6" customHeight="1" x14ac:dyDescent="0.25">
      <c r="A325" s="119">
        <v>1</v>
      </c>
      <c r="B325" s="119"/>
      <c r="C325" s="41" t="s">
        <v>190</v>
      </c>
      <c r="D325" s="44">
        <f>(45.3)*10.764</f>
        <v>487.60919999999993</v>
      </c>
      <c r="E325" s="44">
        <f t="shared" ref="E325" si="60">4.62*10.764</f>
        <v>49.729679999999995</v>
      </c>
      <c r="F325" s="41">
        <f>D325*1.5+E325</f>
        <v>781.14347999999995</v>
      </c>
      <c r="G325" s="120" t="str">
        <f>A324</f>
        <v>13th Floor</v>
      </c>
      <c r="H325" s="121"/>
    </row>
    <row r="326" spans="1:8" s="2" customFormat="1" ht="15.6" customHeight="1" x14ac:dyDescent="0.25">
      <c r="A326" s="119">
        <v>2</v>
      </c>
      <c r="B326" s="119"/>
      <c r="C326" s="132" t="s">
        <v>195</v>
      </c>
      <c r="D326" s="133"/>
      <c r="E326" s="133"/>
      <c r="F326" s="134"/>
      <c r="G326" s="122"/>
      <c r="H326" s="123"/>
    </row>
    <row r="327" spans="1:8" s="2" customFormat="1" x14ac:dyDescent="0.25">
      <c r="A327" s="119">
        <v>3</v>
      </c>
      <c r="B327" s="119"/>
      <c r="C327" s="41" t="s">
        <v>190</v>
      </c>
      <c r="D327" s="44">
        <f>(46.61)*10.764</f>
        <v>501.71003999999994</v>
      </c>
      <c r="E327" s="44">
        <f t="shared" ref="E327:E328" si="61">4.62*10.764</f>
        <v>49.729679999999995</v>
      </c>
      <c r="F327" s="41">
        <f t="shared" ref="F327:F328" si="62">D327*1.5+E327</f>
        <v>802.29473999999993</v>
      </c>
      <c r="G327" s="122"/>
      <c r="H327" s="123"/>
    </row>
    <row r="328" spans="1:8" s="2" customFormat="1" x14ac:dyDescent="0.25">
      <c r="A328" s="119">
        <v>4</v>
      </c>
      <c r="B328" s="119"/>
      <c r="C328" s="41" t="s">
        <v>190</v>
      </c>
      <c r="D328" s="44">
        <f>(46.61)*10.764</f>
        <v>501.71003999999994</v>
      </c>
      <c r="E328" s="44">
        <f t="shared" si="61"/>
        <v>49.729679999999995</v>
      </c>
      <c r="F328" s="41">
        <f t="shared" si="62"/>
        <v>802.29473999999993</v>
      </c>
      <c r="G328" s="130"/>
      <c r="H328" s="131"/>
    </row>
    <row r="329" spans="1:8" s="1" customFormat="1" x14ac:dyDescent="0.25">
      <c r="A329" s="159" t="s">
        <v>87</v>
      </c>
      <c r="B329" s="159"/>
      <c r="C329" s="159"/>
      <c r="D329" s="159"/>
      <c r="E329" s="159"/>
      <c r="F329" s="159"/>
      <c r="G329" s="159"/>
      <c r="H329" s="159"/>
    </row>
    <row r="330" spans="1:8" s="10" customFormat="1" ht="144" customHeight="1" x14ac:dyDescent="0.25">
      <c r="A330" s="160" t="s">
        <v>264</v>
      </c>
      <c r="B330" s="160"/>
      <c r="C330" s="160"/>
      <c r="D330" s="160"/>
      <c r="E330" s="160"/>
      <c r="F330" s="160"/>
      <c r="G330" s="160"/>
      <c r="H330" s="160"/>
    </row>
    <row r="331" spans="1:8" x14ac:dyDescent="0.25">
      <c r="A331" s="161" t="s">
        <v>78</v>
      </c>
      <c r="B331" s="161"/>
      <c r="C331" s="161"/>
      <c r="D331" s="161"/>
      <c r="E331" s="161"/>
      <c r="F331" s="161"/>
      <c r="G331" s="161"/>
      <c r="H331" s="161"/>
    </row>
    <row r="332" spans="1:8" x14ac:dyDescent="0.25">
      <c r="A332" s="157" t="s">
        <v>79</v>
      </c>
      <c r="B332" s="157"/>
      <c r="C332" s="157"/>
      <c r="D332" s="157"/>
      <c r="E332" s="157"/>
      <c r="F332" s="157"/>
      <c r="G332" s="157"/>
      <c r="H332" s="157"/>
    </row>
    <row r="333" spans="1:8" ht="15.75" customHeight="1" x14ac:dyDescent="0.25">
      <c r="A333" s="161" t="s">
        <v>80</v>
      </c>
      <c r="B333" s="161"/>
      <c r="C333" s="161"/>
      <c r="D333" s="161"/>
      <c r="E333" s="161"/>
      <c r="F333" s="161"/>
      <c r="G333" s="161"/>
      <c r="H333" s="161"/>
    </row>
    <row r="334" spans="1:8" x14ac:dyDescent="0.25">
      <c r="A334" s="157" t="s">
        <v>81</v>
      </c>
      <c r="B334" s="157"/>
      <c r="C334" s="157"/>
      <c r="D334" s="157"/>
      <c r="E334" s="157"/>
      <c r="F334" s="157"/>
      <c r="G334" s="157"/>
      <c r="H334" s="157"/>
    </row>
    <row r="335" spans="1:8" x14ac:dyDescent="0.25">
      <c r="A335" s="157" t="s">
        <v>82</v>
      </c>
      <c r="B335" s="157"/>
      <c r="C335" s="157"/>
      <c r="D335" s="157"/>
      <c r="E335" s="157"/>
      <c r="F335" s="157"/>
      <c r="G335" s="157"/>
      <c r="H335" s="157"/>
    </row>
    <row r="336" spans="1:8" x14ac:dyDescent="0.25">
      <c r="A336" s="157" t="s">
        <v>83</v>
      </c>
      <c r="B336" s="157"/>
      <c r="C336" s="157"/>
      <c r="D336" s="157"/>
      <c r="E336" s="157"/>
      <c r="F336" s="157"/>
      <c r="G336" s="157"/>
      <c r="H336" s="157"/>
    </row>
    <row r="337" spans="1:8" ht="35.25" customHeight="1" x14ac:dyDescent="0.25">
      <c r="A337" s="158" t="s">
        <v>84</v>
      </c>
      <c r="B337" s="158"/>
      <c r="C337" s="158"/>
      <c r="D337" s="158"/>
      <c r="E337" s="158"/>
      <c r="F337" s="158"/>
      <c r="G337" s="158"/>
      <c r="H337" s="158"/>
    </row>
    <row r="338" spans="1:8" x14ac:dyDescent="0.25">
      <c r="A338" s="187" t="s">
        <v>121</v>
      </c>
      <c r="B338" s="187"/>
      <c r="C338" s="187" t="s">
        <v>260</v>
      </c>
      <c r="D338" s="187"/>
      <c r="E338" s="187" t="s">
        <v>155</v>
      </c>
      <c r="F338" s="187"/>
      <c r="G338" s="187" t="s">
        <v>259</v>
      </c>
      <c r="H338" s="187"/>
    </row>
    <row r="339" spans="1:8" x14ac:dyDescent="0.25">
      <c r="A339" s="186" t="s">
        <v>123</v>
      </c>
      <c r="B339" s="186"/>
      <c r="C339" s="186"/>
      <c r="D339" s="186"/>
      <c r="E339" s="186"/>
      <c r="F339" s="186"/>
      <c r="G339" s="186"/>
      <c r="H339" s="186"/>
    </row>
    <row r="340" spans="1:8" x14ac:dyDescent="0.25">
      <c r="A340" s="186"/>
      <c r="B340" s="186"/>
      <c r="C340" s="186"/>
      <c r="D340" s="186"/>
      <c r="E340" s="186"/>
      <c r="F340" s="186"/>
      <c r="G340" s="186"/>
      <c r="H340" s="186"/>
    </row>
    <row r="341" spans="1:8" x14ac:dyDescent="0.25">
      <c r="A341" s="186"/>
      <c r="B341" s="186"/>
      <c r="C341" s="186"/>
      <c r="D341" s="186"/>
      <c r="E341" s="186"/>
      <c r="F341" s="186"/>
      <c r="G341" s="186"/>
      <c r="H341" s="186"/>
    </row>
    <row r="342" spans="1:8" x14ac:dyDescent="0.25">
      <c r="A342" s="186"/>
      <c r="B342" s="186"/>
      <c r="C342" s="186"/>
      <c r="D342" s="186"/>
      <c r="E342" s="186"/>
      <c r="F342" s="186"/>
      <c r="G342" s="186"/>
      <c r="H342" s="186"/>
    </row>
    <row r="343" spans="1:8" x14ac:dyDescent="0.25">
      <c r="A343" s="18" t="s">
        <v>85</v>
      </c>
      <c r="B343" s="19"/>
      <c r="C343" s="19"/>
      <c r="D343" s="18" t="str">
        <f>E8</f>
        <v>Blu Pearl</v>
      </c>
      <c r="F343" s="19"/>
      <c r="G343" s="19"/>
      <c r="H343" s="19"/>
    </row>
    <row r="344" spans="1:8" x14ac:dyDescent="0.25">
      <c r="A344" s="19"/>
      <c r="B344" s="19"/>
      <c r="C344" s="19"/>
      <c r="D344" s="19"/>
      <c r="E344" s="19"/>
      <c r="F344" s="19"/>
      <c r="G344" s="19"/>
      <c r="H344" s="19"/>
    </row>
    <row r="345" spans="1:8" x14ac:dyDescent="0.25">
      <c r="A345" s="19"/>
      <c r="B345" s="19"/>
      <c r="C345" s="19"/>
      <c r="D345" s="19"/>
      <c r="E345" s="19"/>
      <c r="F345" s="19"/>
      <c r="G345" s="19"/>
      <c r="H345" s="19"/>
    </row>
    <row r="346" spans="1:8" ht="15" customHeight="1" x14ac:dyDescent="0.25"/>
    <row r="386" spans="1:1" x14ac:dyDescent="0.25">
      <c r="A386" s="21" t="s">
        <v>86</v>
      </c>
    </row>
  </sheetData>
  <mergeCells count="506">
    <mergeCell ref="A176:B176"/>
    <mergeCell ref="G176:H179"/>
    <mergeCell ref="A177:B177"/>
    <mergeCell ref="A178:B178"/>
    <mergeCell ref="A179:B179"/>
    <mergeCell ref="C178:F178"/>
    <mergeCell ref="A233:B233"/>
    <mergeCell ref="A230:B230"/>
    <mergeCell ref="A231:B231"/>
    <mergeCell ref="A232:B232"/>
    <mergeCell ref="A201:B201"/>
    <mergeCell ref="A202:H202"/>
    <mergeCell ref="A203:B203"/>
    <mergeCell ref="G203:H208"/>
    <mergeCell ref="A204:B204"/>
    <mergeCell ref="A205:B205"/>
    <mergeCell ref="A206:B206"/>
    <mergeCell ref="A207:B207"/>
    <mergeCell ref="A208:B208"/>
    <mergeCell ref="A216:H216"/>
    <mergeCell ref="A217:B217"/>
    <mergeCell ref="G217:H222"/>
    <mergeCell ref="A194:H194"/>
    <mergeCell ref="A209:H209"/>
    <mergeCell ref="G79:H85"/>
    <mergeCell ref="A141:E141"/>
    <mergeCell ref="A175:H175"/>
    <mergeCell ref="A136:E136"/>
    <mergeCell ref="F136:H136"/>
    <mergeCell ref="A137:E137"/>
    <mergeCell ref="F137:H137"/>
    <mergeCell ref="A170:H170"/>
    <mergeCell ref="A171:B171"/>
    <mergeCell ref="G171:H174"/>
    <mergeCell ref="A172:B172"/>
    <mergeCell ref="A173:B173"/>
    <mergeCell ref="A174:B174"/>
    <mergeCell ref="A161:H161"/>
    <mergeCell ref="A133:H133"/>
    <mergeCell ref="A134:E134"/>
    <mergeCell ref="F134:H134"/>
    <mergeCell ref="A131:H131"/>
    <mergeCell ref="E40:H40"/>
    <mergeCell ref="A35:B35"/>
    <mergeCell ref="E35:F35"/>
    <mergeCell ref="C35:D35"/>
    <mergeCell ref="G35:H35"/>
    <mergeCell ref="A47:B48"/>
    <mergeCell ref="G47:H47"/>
    <mergeCell ref="E41:H41"/>
    <mergeCell ref="E42:H42"/>
    <mergeCell ref="E43:H43"/>
    <mergeCell ref="A41:D41"/>
    <mergeCell ref="A42:D42"/>
    <mergeCell ref="A43:D43"/>
    <mergeCell ref="A44:H44"/>
    <mergeCell ref="C48:H48"/>
    <mergeCell ref="A29:B29"/>
    <mergeCell ref="F141:H141"/>
    <mergeCell ref="A138:E138"/>
    <mergeCell ref="F138:H138"/>
    <mergeCell ref="A139:E139"/>
    <mergeCell ref="F139:H139"/>
    <mergeCell ref="A140:E140"/>
    <mergeCell ref="F140:H140"/>
    <mergeCell ref="F30:H30"/>
    <mergeCell ref="F31:H31"/>
    <mergeCell ref="D56:H56"/>
    <mergeCell ref="C77:H77"/>
    <mergeCell ref="A78:B78"/>
    <mergeCell ref="A79:B79"/>
    <mergeCell ref="A80:B80"/>
    <mergeCell ref="A81:B81"/>
    <mergeCell ref="G45:H45"/>
    <mergeCell ref="G46:H46"/>
    <mergeCell ref="A46:B46"/>
    <mergeCell ref="C46:E46"/>
    <mergeCell ref="C47:E47"/>
    <mergeCell ref="A45:B45"/>
    <mergeCell ref="C45:E45"/>
    <mergeCell ref="A40:D40"/>
    <mergeCell ref="A339:H342"/>
    <mergeCell ref="A338:B338"/>
    <mergeCell ref="E338:F338"/>
    <mergeCell ref="C338:D338"/>
    <mergeCell ref="G338:H338"/>
    <mergeCell ref="A144:H144"/>
    <mergeCell ref="A142:E142"/>
    <mergeCell ref="F142:H142"/>
    <mergeCell ref="A143:E143"/>
    <mergeCell ref="F143:H143"/>
    <mergeCell ref="D152:E152"/>
    <mergeCell ref="F152:H152"/>
    <mergeCell ref="A160:B160"/>
    <mergeCell ref="A162:H162"/>
    <mergeCell ref="A152:B152"/>
    <mergeCell ref="A228:B228"/>
    <mergeCell ref="A229:B229"/>
    <mergeCell ref="A158:H158"/>
    <mergeCell ref="A151:B151"/>
    <mergeCell ref="D151:E151"/>
    <mergeCell ref="G160:H160"/>
    <mergeCell ref="F151:H151"/>
    <mergeCell ref="A145:B145"/>
    <mergeCell ref="A333:H333"/>
    <mergeCell ref="A26:D26"/>
    <mergeCell ref="E26:H26"/>
    <mergeCell ref="A39:D39"/>
    <mergeCell ref="E39:H39"/>
    <mergeCell ref="A27:D27"/>
    <mergeCell ref="E27:H27"/>
    <mergeCell ref="A34:H34"/>
    <mergeCell ref="A33:B33"/>
    <mergeCell ref="A28:D28"/>
    <mergeCell ref="E28:H28"/>
    <mergeCell ref="A37:H37"/>
    <mergeCell ref="A38:D38"/>
    <mergeCell ref="E38:H38"/>
    <mergeCell ref="C29:E29"/>
    <mergeCell ref="F32:H32"/>
    <mergeCell ref="F33:H33"/>
    <mergeCell ref="F29:H29"/>
    <mergeCell ref="A30:B30"/>
    <mergeCell ref="C30:E30"/>
    <mergeCell ref="A31:B31"/>
    <mergeCell ref="C31:E31"/>
    <mergeCell ref="A32:B32"/>
    <mergeCell ref="C32:E32"/>
    <mergeCell ref="C33:E33"/>
    <mergeCell ref="A16:B16"/>
    <mergeCell ref="C16:D16"/>
    <mergeCell ref="E16:F16"/>
    <mergeCell ref="G16:H16"/>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E7:H7"/>
    <mergeCell ref="A14:B14"/>
    <mergeCell ref="A11:D11"/>
    <mergeCell ref="E11:H11"/>
    <mergeCell ref="A12:D12"/>
    <mergeCell ref="E12:H12"/>
    <mergeCell ref="A13:B13"/>
    <mergeCell ref="C13:H13"/>
    <mergeCell ref="C14:H14"/>
    <mergeCell ref="A15:B15"/>
    <mergeCell ref="C15:D15"/>
    <mergeCell ref="E15:F15"/>
    <mergeCell ref="G15:H15"/>
    <mergeCell ref="A23:D23"/>
    <mergeCell ref="A24:D24"/>
    <mergeCell ref="E24:H24"/>
    <mergeCell ref="E23:H23"/>
    <mergeCell ref="A25:D25"/>
    <mergeCell ref="E25:H25"/>
    <mergeCell ref="A22:D22"/>
    <mergeCell ref="E22:H22"/>
    <mergeCell ref="A17:B17"/>
    <mergeCell ref="C17:D17"/>
    <mergeCell ref="E17:F17"/>
    <mergeCell ref="G17:H17"/>
    <mergeCell ref="A18:B18"/>
    <mergeCell ref="C18:D18"/>
    <mergeCell ref="E18:F18"/>
    <mergeCell ref="G18:H18"/>
    <mergeCell ref="A19:D20"/>
    <mergeCell ref="E19:H20"/>
    <mergeCell ref="A21:D21"/>
    <mergeCell ref="E21:H21"/>
    <mergeCell ref="E90:F96"/>
    <mergeCell ref="G90:H96"/>
    <mergeCell ref="A91:B91"/>
    <mergeCell ref="A92:B92"/>
    <mergeCell ref="A93:B93"/>
    <mergeCell ref="A94:B94"/>
    <mergeCell ref="A95:B95"/>
    <mergeCell ref="A96:B96"/>
    <mergeCell ref="A108:H108"/>
    <mergeCell ref="A97:H97"/>
    <mergeCell ref="A99:B99"/>
    <mergeCell ref="C99:H99"/>
    <mergeCell ref="A100:B100"/>
    <mergeCell ref="E100:F100"/>
    <mergeCell ref="G100:H100"/>
    <mergeCell ref="A334:H334"/>
    <mergeCell ref="A335:H335"/>
    <mergeCell ref="A336:H336"/>
    <mergeCell ref="A337:H337"/>
    <mergeCell ref="A57:C57"/>
    <mergeCell ref="D57:H57"/>
    <mergeCell ref="A329:H329"/>
    <mergeCell ref="A330:H330"/>
    <mergeCell ref="A331:H331"/>
    <mergeCell ref="A332:H332"/>
    <mergeCell ref="A159:H159"/>
    <mergeCell ref="A187:B187"/>
    <mergeCell ref="D145:E145"/>
    <mergeCell ref="F145:H145"/>
    <mergeCell ref="A146:B146"/>
    <mergeCell ref="D146:E146"/>
    <mergeCell ref="F146:H146"/>
    <mergeCell ref="A150:H150"/>
    <mergeCell ref="A75:H75"/>
    <mergeCell ref="G78:H78"/>
    <mergeCell ref="A130:H130"/>
    <mergeCell ref="A225:B225"/>
    <mergeCell ref="A226:B226"/>
    <mergeCell ref="A227:B227"/>
    <mergeCell ref="A271:B271"/>
    <mergeCell ref="A272:B272"/>
    <mergeCell ref="A273:B273"/>
    <mergeCell ref="A274:B274"/>
    <mergeCell ref="A239:H239"/>
    <mergeCell ref="A236:B236"/>
    <mergeCell ref="A237:B237"/>
    <mergeCell ref="A238:B238"/>
    <mergeCell ref="A270:B270"/>
    <mergeCell ref="A240:H240"/>
    <mergeCell ref="A241:B241"/>
    <mergeCell ref="G241:H246"/>
    <mergeCell ref="A242:B242"/>
    <mergeCell ref="A243:B243"/>
    <mergeCell ref="A244:B244"/>
    <mergeCell ref="A245:B245"/>
    <mergeCell ref="A246:B246"/>
    <mergeCell ref="A258:B258"/>
    <mergeCell ref="A259:B259"/>
    <mergeCell ref="A260:B260"/>
    <mergeCell ref="A261:H261"/>
    <mergeCell ref="A262:B262"/>
    <mergeCell ref="A312:B312"/>
    <mergeCell ref="A313:B313"/>
    <mergeCell ref="A275:B275"/>
    <mergeCell ref="A306:H306"/>
    <mergeCell ref="A307:H307"/>
    <mergeCell ref="A308:H308"/>
    <mergeCell ref="A309:H309"/>
    <mergeCell ref="G270:H276"/>
    <mergeCell ref="A285:H285"/>
    <mergeCell ref="A286:B286"/>
    <mergeCell ref="G286:H291"/>
    <mergeCell ref="A287:B287"/>
    <mergeCell ref="A288:B288"/>
    <mergeCell ref="A289:B289"/>
    <mergeCell ref="A277:H277"/>
    <mergeCell ref="A310:B310"/>
    <mergeCell ref="A278:H278"/>
    <mergeCell ref="A279:B279"/>
    <mergeCell ref="G279:H284"/>
    <mergeCell ref="A280:B280"/>
    <mergeCell ref="A281:B281"/>
    <mergeCell ref="A282:B282"/>
    <mergeCell ref="G310:H313"/>
    <mergeCell ref="A293:B293"/>
    <mergeCell ref="A50:H50"/>
    <mergeCell ref="A51:C51"/>
    <mergeCell ref="G49:H49"/>
    <mergeCell ref="A49:B49"/>
    <mergeCell ref="C49:E49"/>
    <mergeCell ref="A55:C55"/>
    <mergeCell ref="A56:C56"/>
    <mergeCell ref="D55:H55"/>
    <mergeCell ref="D53:H53"/>
    <mergeCell ref="A53:C53"/>
    <mergeCell ref="A54:C54"/>
    <mergeCell ref="D54:H54"/>
    <mergeCell ref="A52:C52"/>
    <mergeCell ref="D52:H52"/>
    <mergeCell ref="D51:H51"/>
    <mergeCell ref="A58:C58"/>
    <mergeCell ref="D58:H58"/>
    <mergeCell ref="A77:B77"/>
    <mergeCell ref="E78:F78"/>
    <mergeCell ref="E79:F85"/>
    <mergeCell ref="A101:B101"/>
    <mergeCell ref="E101:F107"/>
    <mergeCell ref="G101:H107"/>
    <mergeCell ref="A102:B102"/>
    <mergeCell ref="A103:B103"/>
    <mergeCell ref="A104:B104"/>
    <mergeCell ref="A105:B105"/>
    <mergeCell ref="A106:B106"/>
    <mergeCell ref="A107:B107"/>
    <mergeCell ref="A67:B67"/>
    <mergeCell ref="A68:B68"/>
    <mergeCell ref="A69:B69"/>
    <mergeCell ref="A70:B70"/>
    <mergeCell ref="A71:B71"/>
    <mergeCell ref="A72:B72"/>
    <mergeCell ref="A73:B73"/>
    <mergeCell ref="A74:B74"/>
    <mergeCell ref="A82:B82"/>
    <mergeCell ref="A83:B83"/>
    <mergeCell ref="A199:B199"/>
    <mergeCell ref="A200:B200"/>
    <mergeCell ref="A253:B253"/>
    <mergeCell ref="A119:H119"/>
    <mergeCell ref="A121:B121"/>
    <mergeCell ref="C121:H121"/>
    <mergeCell ref="A122:B122"/>
    <mergeCell ref="E122:F122"/>
    <mergeCell ref="G122:H122"/>
    <mergeCell ref="A123:B123"/>
    <mergeCell ref="E123:F129"/>
    <mergeCell ref="G123:H129"/>
    <mergeCell ref="A124:B124"/>
    <mergeCell ref="A125:B125"/>
    <mergeCell ref="A126:B126"/>
    <mergeCell ref="A127:B127"/>
    <mergeCell ref="A128:B128"/>
    <mergeCell ref="A129:B129"/>
    <mergeCell ref="A234:B234"/>
    <mergeCell ref="A235:B235"/>
    <mergeCell ref="A132:B132"/>
    <mergeCell ref="C132:H132"/>
    <mergeCell ref="F135:H135"/>
    <mergeCell ref="A135:E135"/>
    <mergeCell ref="A276:B276"/>
    <mergeCell ref="A311:B311"/>
    <mergeCell ref="A292:H292"/>
    <mergeCell ref="A163:H163"/>
    <mergeCell ref="A185:H185"/>
    <mergeCell ref="A186:H186"/>
    <mergeCell ref="A223:H223"/>
    <mergeCell ref="A224:H224"/>
    <mergeCell ref="G225:H238"/>
    <mergeCell ref="G187:H193"/>
    <mergeCell ref="A268:H268"/>
    <mergeCell ref="A269:H269"/>
    <mergeCell ref="A164:H164"/>
    <mergeCell ref="A165:H165"/>
    <mergeCell ref="A166:B166"/>
    <mergeCell ref="G166:H169"/>
    <mergeCell ref="A167:B167"/>
    <mergeCell ref="A168:B168"/>
    <mergeCell ref="A169:B169"/>
    <mergeCell ref="A195:H195"/>
    <mergeCell ref="A196:B196"/>
    <mergeCell ref="G196:H201"/>
    <mergeCell ref="A197:B197"/>
    <mergeCell ref="A198:B198"/>
    <mergeCell ref="A300:B300"/>
    <mergeCell ref="G300:H305"/>
    <mergeCell ref="A301:B301"/>
    <mergeCell ref="A302:B302"/>
    <mergeCell ref="A303:B303"/>
    <mergeCell ref="A304:B304"/>
    <mergeCell ref="A305:B305"/>
    <mergeCell ref="C301:F301"/>
    <mergeCell ref="C294:F294"/>
    <mergeCell ref="A210:B210"/>
    <mergeCell ref="G210:H215"/>
    <mergeCell ref="A211:B211"/>
    <mergeCell ref="A212:B212"/>
    <mergeCell ref="A213:B213"/>
    <mergeCell ref="A214:B214"/>
    <mergeCell ref="A215:B215"/>
    <mergeCell ref="C214:F214"/>
    <mergeCell ref="A266:B266"/>
    <mergeCell ref="C265:F265"/>
    <mergeCell ref="C258:F258"/>
    <mergeCell ref="A251:B251"/>
    <mergeCell ref="A252:B252"/>
    <mergeCell ref="A247:H247"/>
    <mergeCell ref="A248:B248"/>
    <mergeCell ref="G248:H253"/>
    <mergeCell ref="A249:B249"/>
    <mergeCell ref="A250:B250"/>
    <mergeCell ref="A254:H254"/>
    <mergeCell ref="A255:B255"/>
    <mergeCell ref="G255:H260"/>
    <mergeCell ref="A256:B256"/>
    <mergeCell ref="A257:B257"/>
    <mergeCell ref="A324:H324"/>
    <mergeCell ref="A325:B325"/>
    <mergeCell ref="G325:H328"/>
    <mergeCell ref="A326:B326"/>
    <mergeCell ref="A327:B327"/>
    <mergeCell ref="A328:B328"/>
    <mergeCell ref="C326:F326"/>
    <mergeCell ref="A319:H319"/>
    <mergeCell ref="A320:B320"/>
    <mergeCell ref="G320:H323"/>
    <mergeCell ref="A321:B321"/>
    <mergeCell ref="C321:F321"/>
    <mergeCell ref="A322:B322"/>
    <mergeCell ref="A323:B323"/>
    <mergeCell ref="A315:B315"/>
    <mergeCell ref="G315:H318"/>
    <mergeCell ref="A316:B316"/>
    <mergeCell ref="A317:B317"/>
    <mergeCell ref="A318:B318"/>
    <mergeCell ref="A291:B291"/>
    <mergeCell ref="A218:B218"/>
    <mergeCell ref="A219:B219"/>
    <mergeCell ref="A220:B220"/>
    <mergeCell ref="A221:B221"/>
    <mergeCell ref="C221:F221"/>
    <mergeCell ref="A222:B222"/>
    <mergeCell ref="G293:H298"/>
    <mergeCell ref="A294:B294"/>
    <mergeCell ref="A295:B295"/>
    <mergeCell ref="A296:B296"/>
    <mergeCell ref="A297:B297"/>
    <mergeCell ref="A298:B298"/>
    <mergeCell ref="A283:B283"/>
    <mergeCell ref="A284:B284"/>
    <mergeCell ref="A267:B267"/>
    <mergeCell ref="A290:B290"/>
    <mergeCell ref="A314:H314"/>
    <mergeCell ref="A299:H299"/>
    <mergeCell ref="A180:H180"/>
    <mergeCell ref="A181:B181"/>
    <mergeCell ref="G181:H184"/>
    <mergeCell ref="A182:B182"/>
    <mergeCell ref="A183:B183"/>
    <mergeCell ref="C183:F183"/>
    <mergeCell ref="A184:B184"/>
    <mergeCell ref="A188:B188"/>
    <mergeCell ref="A189:B189"/>
    <mergeCell ref="A190:B190"/>
    <mergeCell ref="A191:B191"/>
    <mergeCell ref="A192:B192"/>
    <mergeCell ref="A193:B193"/>
    <mergeCell ref="G262:H267"/>
    <mergeCell ref="A263:B263"/>
    <mergeCell ref="A264:B264"/>
    <mergeCell ref="A265:B265"/>
    <mergeCell ref="A147:B147"/>
    <mergeCell ref="D147:E147"/>
    <mergeCell ref="F147:H147"/>
    <mergeCell ref="A148:B148"/>
    <mergeCell ref="D148:E148"/>
    <mergeCell ref="F148:H148"/>
    <mergeCell ref="A149:B149"/>
    <mergeCell ref="D149:E149"/>
    <mergeCell ref="F149:H149"/>
    <mergeCell ref="A156:B156"/>
    <mergeCell ref="D156:E156"/>
    <mergeCell ref="F156:H156"/>
    <mergeCell ref="A157:B157"/>
    <mergeCell ref="D157:E157"/>
    <mergeCell ref="F157:H157"/>
    <mergeCell ref="A153:B153"/>
    <mergeCell ref="A155:B155"/>
    <mergeCell ref="D155:E155"/>
    <mergeCell ref="F155:H155"/>
    <mergeCell ref="A36:B36"/>
    <mergeCell ref="C36:H36"/>
    <mergeCell ref="A59:B59"/>
    <mergeCell ref="C59:H59"/>
    <mergeCell ref="A61:B61"/>
    <mergeCell ref="C61:H61"/>
    <mergeCell ref="A64:B64"/>
    <mergeCell ref="E64:F64"/>
    <mergeCell ref="G64:H64"/>
    <mergeCell ref="A65:B65"/>
    <mergeCell ref="E65:F74"/>
    <mergeCell ref="G65:H74"/>
    <mergeCell ref="A66:B66"/>
    <mergeCell ref="A110:B110"/>
    <mergeCell ref="C110:H110"/>
    <mergeCell ref="A111:B111"/>
    <mergeCell ref="E111:F111"/>
    <mergeCell ref="G111:H111"/>
    <mergeCell ref="A112:B112"/>
    <mergeCell ref="E112:F118"/>
    <mergeCell ref="G112:H118"/>
    <mergeCell ref="A62:B63"/>
    <mergeCell ref="C62:D63"/>
    <mergeCell ref="E62:F63"/>
    <mergeCell ref="G62:H63"/>
    <mergeCell ref="D153:E153"/>
    <mergeCell ref="F153:H153"/>
    <mergeCell ref="A154:B154"/>
    <mergeCell ref="D154:E154"/>
    <mergeCell ref="F154:H154"/>
    <mergeCell ref="A113:B113"/>
    <mergeCell ref="A114:B114"/>
    <mergeCell ref="A115:B115"/>
    <mergeCell ref="A116:B116"/>
    <mergeCell ref="A117:B117"/>
    <mergeCell ref="A118:B118"/>
    <mergeCell ref="A84:B84"/>
    <mergeCell ref="A85:B85"/>
    <mergeCell ref="A86:H86"/>
    <mergeCell ref="A88:B88"/>
    <mergeCell ref="C88:H88"/>
    <mergeCell ref="A89:B89"/>
    <mergeCell ref="E89:F89"/>
    <mergeCell ref="G89:H89"/>
    <mergeCell ref="A90:B90"/>
  </mergeCells>
  <hyperlinks>
    <hyperlink ref="C36" r:id="rId1"/>
  </hyperlinks>
  <printOptions horizontalCentered="1"/>
  <pageMargins left="0.39370078740157483" right="0.39370078740157483" top="0.78740157480314965" bottom="0.78740157480314965" header="0.19685039370078741" footer="0.19685039370078741"/>
  <pageSetup fitToHeight="0" orientation="portrait" r:id="rId2"/>
  <headerFooter>
    <oddHeader>&amp;C&amp;G</oddHeader>
    <oddFooter>&amp;L&amp;"Times New Roman,Bold"&amp;12Ref No: &amp;F&amp;C&amp;G&amp;R&amp;"Times New Roman,Bold"&amp;12                                                                    &amp;P</oddFooter>
  </headerFooter>
  <rowBreaks count="3" manualBreakCount="3">
    <brk id="132" max="7" man="1"/>
    <brk id="342" max="16383" man="1"/>
    <brk id="385"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B11" sqref="B11"/>
    </sheetView>
  </sheetViews>
  <sheetFormatPr defaultColWidth="8.7109375" defaultRowHeight="15" x14ac:dyDescent="0.25"/>
  <cols>
    <col min="1" max="1" width="8.7109375" style="63"/>
    <col min="2" max="2" width="22.140625" style="63" customWidth="1"/>
    <col min="3" max="3" width="37" style="63" customWidth="1"/>
    <col min="4" max="5" width="11.42578125" style="63" customWidth="1"/>
    <col min="6" max="6" width="14" style="63" customWidth="1"/>
    <col min="7" max="7" width="20" style="63" customWidth="1"/>
    <col min="8" max="8" width="16.42578125" style="63" customWidth="1"/>
    <col min="9" max="16384" width="8.7109375" style="63"/>
  </cols>
  <sheetData>
    <row r="1" spans="1:9" ht="15" customHeight="1" x14ac:dyDescent="0.25">
      <c r="A1" s="62"/>
      <c r="B1" s="62"/>
      <c r="C1" s="62"/>
      <c r="D1" s="62"/>
      <c r="E1" s="62"/>
      <c r="F1" s="62"/>
      <c r="G1" s="62"/>
      <c r="H1" s="62"/>
    </row>
    <row r="2" spans="1:9" ht="15" customHeight="1" x14ac:dyDescent="0.25">
      <c r="A2" s="64"/>
      <c r="B2" s="64"/>
      <c r="C2" s="64"/>
      <c r="D2" s="64"/>
      <c r="E2" s="64"/>
      <c r="F2" s="64"/>
      <c r="G2" s="64"/>
      <c r="H2" s="64"/>
    </row>
    <row r="3" spans="1:9" x14ac:dyDescent="0.25">
      <c r="A3" s="64"/>
      <c r="B3" s="198" t="s">
        <v>225</v>
      </c>
      <c r="C3" s="198"/>
      <c r="D3" s="198"/>
      <c r="E3" s="198"/>
      <c r="F3" s="198"/>
      <c r="G3" s="198"/>
      <c r="H3" s="198"/>
    </row>
    <row r="4" spans="1:9" x14ac:dyDescent="0.25">
      <c r="A4" s="64"/>
      <c r="B4" s="65" t="s">
        <v>226</v>
      </c>
      <c r="C4" s="65" t="s">
        <v>227</v>
      </c>
      <c r="D4" s="65" t="s">
        <v>89</v>
      </c>
      <c r="E4" s="65" t="s">
        <v>228</v>
      </c>
      <c r="F4" s="65" t="s">
        <v>229</v>
      </c>
      <c r="G4" s="65" t="s">
        <v>230</v>
      </c>
      <c r="H4" s="65" t="s">
        <v>231</v>
      </c>
    </row>
    <row r="5" spans="1:9" ht="15" customHeight="1" x14ac:dyDescent="0.25">
      <c r="A5" s="64"/>
      <c r="B5" s="66" t="s">
        <v>232</v>
      </c>
      <c r="C5" s="67" t="s">
        <v>210</v>
      </c>
      <c r="D5" s="66" t="s">
        <v>192</v>
      </c>
      <c r="E5" s="66">
        <v>865</v>
      </c>
      <c r="F5" s="68">
        <f>E5*1.6</f>
        <v>1384</v>
      </c>
      <c r="G5" s="68">
        <f>H5/F5</f>
        <v>4624.277456647399</v>
      </c>
      <c r="H5" s="69">
        <v>6400000</v>
      </c>
    </row>
    <row r="6" spans="1:9" x14ac:dyDescent="0.25">
      <c r="A6" s="64"/>
      <c r="B6" s="66" t="s">
        <v>232</v>
      </c>
      <c r="C6" s="67" t="s">
        <v>210</v>
      </c>
      <c r="D6" s="66" t="s">
        <v>190</v>
      </c>
      <c r="E6" s="66">
        <v>490</v>
      </c>
      <c r="F6" s="68">
        <f t="shared" ref="F6:F7" si="0">E6*1.6</f>
        <v>784</v>
      </c>
      <c r="G6" s="68">
        <f t="shared" ref="G6:G7" si="1">H6/F6</f>
        <v>6632.6530612244896</v>
      </c>
      <c r="H6" s="69">
        <v>5200000</v>
      </c>
    </row>
    <row r="7" spans="1:9" ht="15" customHeight="1" x14ac:dyDescent="0.25">
      <c r="A7" s="64"/>
      <c r="B7" s="66" t="s">
        <v>232</v>
      </c>
      <c r="C7" s="67" t="s">
        <v>210</v>
      </c>
      <c r="D7" s="66" t="s">
        <v>191</v>
      </c>
      <c r="E7" s="66">
        <v>403</v>
      </c>
      <c r="F7" s="68">
        <f t="shared" si="0"/>
        <v>644.80000000000007</v>
      </c>
      <c r="G7" s="68">
        <f t="shared" si="1"/>
        <v>4962.7791563275432</v>
      </c>
      <c r="H7" s="69">
        <v>3200000</v>
      </c>
    </row>
    <row r="8" spans="1:9" ht="15" customHeight="1" x14ac:dyDescent="0.25">
      <c r="A8" s="64"/>
      <c r="B8" s="70" t="s">
        <v>233</v>
      </c>
      <c r="C8" s="66"/>
      <c r="D8" s="66"/>
      <c r="E8" s="66"/>
      <c r="F8" s="66"/>
      <c r="G8" s="71">
        <f>AVERAGE(G5:G7)</f>
        <v>5406.5698913998103</v>
      </c>
      <c r="H8" s="66"/>
    </row>
    <row r="9" spans="1:9" ht="15" customHeight="1" x14ac:dyDescent="0.25">
      <c r="A9" s="62"/>
      <c r="B9" s="70" t="s">
        <v>234</v>
      </c>
      <c r="C9" s="72"/>
      <c r="D9" s="72"/>
      <c r="E9" s="72"/>
      <c r="F9" s="73"/>
      <c r="G9" s="70">
        <v>5400</v>
      </c>
      <c r="H9" s="70"/>
      <c r="I9" s="74"/>
    </row>
    <row r="10" spans="1:9" ht="15" customHeight="1" x14ac:dyDescent="0.25">
      <c r="B10" s="62"/>
      <c r="C10" s="62"/>
      <c r="D10" s="62"/>
      <c r="E10" s="62"/>
    </row>
    <row r="11" spans="1:9" ht="15" customHeight="1" x14ac:dyDescent="0.25">
      <c r="B11" s="62"/>
      <c r="C11" s="62"/>
      <c r="D11" s="62"/>
      <c r="E11" s="62"/>
    </row>
    <row r="12" spans="1:9" ht="15" customHeight="1" x14ac:dyDescent="0.25">
      <c r="B12" s="62"/>
      <c r="C12" s="62"/>
      <c r="D12" s="62"/>
      <c r="E12" s="62"/>
    </row>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M197" sqref="M197"/>
    </sheetView>
  </sheetViews>
  <sheetFormatPr defaultRowHeight="15" x14ac:dyDescent="0.25"/>
  <cols>
    <col min="2" max="2" width="12.28515625" customWidth="1"/>
  </cols>
  <sheetData>
    <row r="2" spans="1:12" x14ac:dyDescent="0.25">
      <c r="B2" s="3" t="s">
        <v>88</v>
      </c>
      <c r="C2" s="199"/>
      <c r="D2" s="199"/>
    </row>
    <row r="3" spans="1:12" x14ac:dyDescent="0.25">
      <c r="D3" s="4"/>
      <c r="E3" s="4"/>
      <c r="F3" s="4"/>
      <c r="G3" s="4"/>
      <c r="H3" s="4"/>
      <c r="I3" s="4"/>
    </row>
    <row r="4" spans="1:12" x14ac:dyDescent="0.25">
      <c r="A4" s="3" t="s">
        <v>89</v>
      </c>
      <c r="B4" s="5" t="s">
        <v>90</v>
      </c>
      <c r="C4" s="200" t="s">
        <v>91</v>
      </c>
      <c r="D4" s="200"/>
      <c r="E4" s="200"/>
      <c r="F4" s="6"/>
      <c r="G4" s="200" t="s">
        <v>92</v>
      </c>
      <c r="H4" s="200"/>
      <c r="I4" s="200"/>
      <c r="J4" s="200" t="s">
        <v>93</v>
      </c>
      <c r="K4" s="200"/>
      <c r="L4" s="200"/>
    </row>
    <row r="5" spans="1:12" x14ac:dyDescent="0.25">
      <c r="A5" s="3">
        <v>202</v>
      </c>
      <c r="B5" s="5"/>
      <c r="C5" s="5" t="s">
        <v>94</v>
      </c>
      <c r="D5" s="5" t="s">
        <v>95</v>
      </c>
      <c r="E5" s="5" t="s">
        <v>70</v>
      </c>
      <c r="F5" s="5"/>
      <c r="G5" s="5" t="s">
        <v>94</v>
      </c>
      <c r="H5" s="5" t="s">
        <v>95</v>
      </c>
      <c r="I5" s="5" t="s">
        <v>70</v>
      </c>
      <c r="J5" s="5" t="s">
        <v>94</v>
      </c>
      <c r="K5" s="5" t="s">
        <v>95</v>
      </c>
      <c r="L5" s="5" t="s">
        <v>70</v>
      </c>
    </row>
    <row r="6" spans="1:12" x14ac:dyDescent="0.25">
      <c r="B6" s="7" t="s">
        <v>96</v>
      </c>
      <c r="C6" s="7">
        <v>4.5</v>
      </c>
      <c r="D6" s="7">
        <v>2.9</v>
      </c>
      <c r="E6" s="7">
        <f>C6*D6</f>
        <v>13.049999999999999</v>
      </c>
      <c r="F6" s="7" t="s">
        <v>97</v>
      </c>
      <c r="G6" s="7"/>
      <c r="H6" s="7"/>
      <c r="I6" s="7">
        <f>G6*H6</f>
        <v>0</v>
      </c>
      <c r="J6" s="7"/>
      <c r="K6" s="7"/>
      <c r="L6" s="7">
        <f>J6*K6</f>
        <v>0</v>
      </c>
    </row>
    <row r="7" spans="1:12" x14ac:dyDescent="0.25">
      <c r="B7" s="7"/>
      <c r="C7" s="7"/>
      <c r="D7" s="7"/>
      <c r="E7" s="7">
        <f t="shared" ref="E7:E33" si="0">C7*D7</f>
        <v>0</v>
      </c>
      <c r="F7" s="7" t="s">
        <v>98</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99</v>
      </c>
      <c r="C9" s="7">
        <v>1.88</v>
      </c>
      <c r="D9" s="7">
        <v>2.13</v>
      </c>
      <c r="E9" s="7">
        <f t="shared" si="0"/>
        <v>4.0043999999999995</v>
      </c>
      <c r="F9" s="7" t="s">
        <v>97</v>
      </c>
      <c r="G9" s="7"/>
      <c r="H9" s="7"/>
      <c r="I9" s="7">
        <f t="shared" si="1"/>
        <v>0</v>
      </c>
      <c r="J9" s="7"/>
      <c r="K9" s="7"/>
      <c r="L9" s="7">
        <f t="shared" si="2"/>
        <v>0</v>
      </c>
    </row>
    <row r="10" spans="1:12" x14ac:dyDescent="0.25">
      <c r="B10" s="7"/>
      <c r="C10" s="7"/>
      <c r="D10" s="7"/>
      <c r="E10" s="7">
        <f t="shared" si="0"/>
        <v>0</v>
      </c>
      <c r="F10" s="7" t="s">
        <v>98</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100</v>
      </c>
      <c r="C13" s="7"/>
      <c r="D13" s="7"/>
      <c r="E13" s="7">
        <f t="shared" si="0"/>
        <v>0</v>
      </c>
      <c r="F13" s="7" t="s">
        <v>97</v>
      </c>
      <c r="G13" s="7"/>
      <c r="H13" s="7"/>
      <c r="I13" s="7">
        <f t="shared" si="1"/>
        <v>0</v>
      </c>
      <c r="J13" s="7"/>
      <c r="K13" s="7"/>
      <c r="L13" s="7">
        <f t="shared" si="2"/>
        <v>0</v>
      </c>
    </row>
    <row r="14" spans="1:12" x14ac:dyDescent="0.25">
      <c r="B14" s="7"/>
      <c r="C14" s="7"/>
      <c r="D14" s="7"/>
      <c r="E14" s="7">
        <f t="shared" si="0"/>
        <v>0</v>
      </c>
      <c r="F14" s="7" t="s">
        <v>98</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101</v>
      </c>
      <c r="C17" s="7"/>
      <c r="D17" s="7"/>
      <c r="E17" s="7">
        <f t="shared" si="0"/>
        <v>0</v>
      </c>
      <c r="F17" s="7" t="s">
        <v>97</v>
      </c>
      <c r="G17" s="7"/>
      <c r="H17" s="7"/>
      <c r="I17" s="7">
        <f t="shared" si="1"/>
        <v>0</v>
      </c>
      <c r="J17" s="7"/>
      <c r="K17" s="7"/>
      <c r="L17" s="7">
        <f t="shared" si="2"/>
        <v>0</v>
      </c>
    </row>
    <row r="18" spans="2:12" x14ac:dyDescent="0.25">
      <c r="B18" s="7"/>
      <c r="C18" s="7"/>
      <c r="D18" s="7"/>
      <c r="E18" s="7">
        <f t="shared" si="0"/>
        <v>0</v>
      </c>
      <c r="F18" s="7" t="s">
        <v>98</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101</v>
      </c>
      <c r="C20" s="7"/>
      <c r="D20" s="7"/>
      <c r="E20" s="7">
        <f t="shared" si="0"/>
        <v>0</v>
      </c>
      <c r="F20" s="7" t="s">
        <v>97</v>
      </c>
      <c r="G20" s="7"/>
      <c r="H20" s="7"/>
      <c r="I20" s="7">
        <f t="shared" si="1"/>
        <v>0</v>
      </c>
      <c r="J20" s="7"/>
      <c r="K20" s="7"/>
      <c r="L20" s="7">
        <f t="shared" si="2"/>
        <v>0</v>
      </c>
    </row>
    <row r="21" spans="2:12" x14ac:dyDescent="0.25">
      <c r="B21" s="7"/>
      <c r="C21" s="7"/>
      <c r="D21" s="7"/>
      <c r="E21" s="7">
        <f t="shared" si="0"/>
        <v>0</v>
      </c>
      <c r="F21" s="7" t="s">
        <v>98</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102</v>
      </c>
      <c r="C23" s="7">
        <v>1.9</v>
      </c>
      <c r="D23" s="7">
        <v>1.07</v>
      </c>
      <c r="E23" s="7">
        <f t="shared" si="0"/>
        <v>2.0329999999999999</v>
      </c>
      <c r="F23" s="7" t="s">
        <v>103</v>
      </c>
      <c r="G23" s="7"/>
      <c r="H23" s="7"/>
      <c r="I23" s="7">
        <f t="shared" si="1"/>
        <v>0</v>
      </c>
      <c r="J23" s="7"/>
      <c r="K23" s="7"/>
      <c r="L23" s="7">
        <f t="shared" si="2"/>
        <v>0</v>
      </c>
    </row>
    <row r="24" spans="2:12" x14ac:dyDescent="0.25">
      <c r="B24" s="7" t="s">
        <v>104</v>
      </c>
      <c r="C24" s="7"/>
      <c r="D24" s="7"/>
      <c r="E24" s="7">
        <f t="shared" si="0"/>
        <v>0</v>
      </c>
      <c r="F24" s="7" t="s">
        <v>103</v>
      </c>
      <c r="G24" s="7"/>
      <c r="H24" s="7"/>
      <c r="I24" s="7">
        <f t="shared" si="1"/>
        <v>0</v>
      </c>
      <c r="J24" s="7"/>
      <c r="K24" s="7"/>
      <c r="L24" s="7">
        <f t="shared" si="2"/>
        <v>0</v>
      </c>
    </row>
    <row r="25" spans="2:12" x14ac:dyDescent="0.25">
      <c r="B25" s="7" t="s">
        <v>105</v>
      </c>
      <c r="C25" s="7"/>
      <c r="D25" s="7"/>
      <c r="E25" s="7">
        <f t="shared" si="0"/>
        <v>0</v>
      </c>
      <c r="F25" s="7" t="s">
        <v>103</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106</v>
      </c>
      <c r="C27" s="7"/>
      <c r="D27" s="7"/>
      <c r="E27" s="7">
        <f t="shared" si="0"/>
        <v>0</v>
      </c>
      <c r="F27" s="7"/>
      <c r="G27" s="7"/>
      <c r="H27" s="7"/>
      <c r="I27" s="7">
        <f t="shared" si="1"/>
        <v>0</v>
      </c>
      <c r="J27" s="7"/>
      <c r="K27" s="7"/>
      <c r="L27" s="7">
        <f t="shared" si="2"/>
        <v>0</v>
      </c>
    </row>
    <row r="28" spans="2:12" x14ac:dyDescent="0.25">
      <c r="B28" s="7" t="s">
        <v>107</v>
      </c>
      <c r="C28" s="7"/>
      <c r="D28" s="7"/>
      <c r="E28" s="7">
        <f t="shared" si="0"/>
        <v>0</v>
      </c>
      <c r="F28" s="7"/>
      <c r="G28" s="7"/>
      <c r="H28" s="7"/>
      <c r="I28" s="7">
        <f t="shared" si="1"/>
        <v>0</v>
      </c>
      <c r="J28" s="7"/>
      <c r="K28" s="7"/>
      <c r="L28" s="7">
        <f t="shared" si="2"/>
        <v>0</v>
      </c>
    </row>
    <row r="29" spans="2:12" x14ac:dyDescent="0.25">
      <c r="B29" s="7" t="s">
        <v>108</v>
      </c>
      <c r="C29" s="7"/>
      <c r="D29" s="7"/>
      <c r="E29" s="7">
        <f t="shared" si="0"/>
        <v>0</v>
      </c>
      <c r="F29" s="7"/>
      <c r="G29" s="7"/>
      <c r="H29" s="7"/>
      <c r="I29" s="7">
        <f t="shared" si="1"/>
        <v>0</v>
      </c>
      <c r="J29" s="7"/>
      <c r="K29" s="7"/>
      <c r="L29" s="7">
        <f t="shared" si="2"/>
        <v>0</v>
      </c>
    </row>
    <row r="30" spans="2:12" x14ac:dyDescent="0.25">
      <c r="B30" s="7" t="s">
        <v>109</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71</v>
      </c>
      <c r="C34" s="7"/>
      <c r="D34" s="7">
        <f>E34*10.764</f>
        <v>205.45677359999996</v>
      </c>
      <c r="E34" s="7">
        <f>SUM(E6:E33)</f>
        <v>19.087399999999999</v>
      </c>
      <c r="F34" s="7"/>
      <c r="G34" s="7"/>
      <c r="H34" s="7">
        <f>I34*10.764</f>
        <v>0</v>
      </c>
      <c r="I34" s="7">
        <f>SUM(I6:I33)</f>
        <v>0</v>
      </c>
      <c r="J34" s="7"/>
      <c r="K34" s="7">
        <f>L34*10.764</f>
        <v>0</v>
      </c>
      <c r="L34" s="7">
        <f>SUM(L6:L33)</f>
        <v>0</v>
      </c>
    </row>
    <row r="36" spans="2:12" x14ac:dyDescent="0.2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election activeCell="M20" sqref="M20"/>
    </sheetView>
  </sheetViews>
  <sheetFormatPr defaultRowHeight="15" x14ac:dyDescent="0.25"/>
  <cols>
    <col min="1" max="1" width="11.140625" bestFit="1" customWidth="1"/>
  </cols>
  <sheetData>
    <row r="2" spans="1:2" x14ac:dyDescent="0.25">
      <c r="A2" t="s">
        <v>156</v>
      </c>
      <c r="B2" t="s">
        <v>207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VALUTATION</vt:lpstr>
      <vt:lpstr>Flat detail</vt:lpstr>
      <vt:lpstr>Note</vt:lpstr>
      <vt:lpstr>Report!Print_Area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2025-08-21T11:20:02Z</cp:lastPrinted>
  <dcterms:created xsi:type="dcterms:W3CDTF">2019-07-16T09:29:46Z</dcterms:created>
  <dcterms:modified xsi:type="dcterms:W3CDTF">2025-08-21T11:31:25Z</dcterms:modified>
</cp:coreProperties>
</file>