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07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0" i="1" l="1"/>
  <c r="C132" i="1" s="1"/>
  <c r="C131" i="1" l="1"/>
  <c r="C95" i="1"/>
  <c r="J106" i="1"/>
  <c r="J105" i="1"/>
  <c r="J104" i="1"/>
  <c r="J103" i="1"/>
  <c r="J148" i="1" l="1"/>
  <c r="J147" i="1"/>
  <c r="J146" i="1"/>
  <c r="J151" i="1" s="1"/>
  <c r="J152" i="1" s="1"/>
  <c r="J145" i="1"/>
  <c r="L137" i="1"/>
  <c r="H138" i="1"/>
  <c r="J143" i="1" l="1"/>
  <c r="J144" i="1" s="1"/>
  <c r="J149" i="1" s="1"/>
  <c r="J150" i="1" s="1"/>
  <c r="C142" i="1" s="1"/>
  <c r="J142" i="1"/>
  <c r="C141" i="1" s="1"/>
  <c r="D141" i="1" s="1"/>
  <c r="J140" i="1"/>
  <c r="D150" i="1"/>
  <c r="D149" i="1"/>
  <c r="D145" i="1"/>
  <c r="J141" i="1"/>
  <c r="D144" i="1"/>
  <c r="D147" i="1"/>
  <c r="D143" i="1"/>
  <c r="D146" i="1"/>
  <c r="D148" i="1"/>
  <c r="C74" i="1"/>
  <c r="C76" i="1" s="1"/>
  <c r="E141" i="1" l="1"/>
  <c r="I137" i="1" s="1"/>
  <c r="C139" i="1" s="1"/>
  <c r="D142" i="1"/>
  <c r="G141" i="1"/>
  <c r="C75" i="1"/>
  <c r="E3" i="1"/>
  <c r="M174" i="1" l="1"/>
  <c r="D270" i="1"/>
  <c r="D269" i="1"/>
  <c r="D268" i="1"/>
  <c r="D266" i="1"/>
  <c r="D265" i="1"/>
  <c r="D264" i="1"/>
  <c r="D263" i="1"/>
  <c r="D262" i="1"/>
  <c r="D261" i="1"/>
  <c r="D260" i="1"/>
  <c r="D259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0" i="1"/>
  <c r="D229" i="1"/>
  <c r="D228" i="1"/>
  <c r="J229" i="1"/>
  <c r="D227" i="1"/>
  <c r="C173" i="1" l="1"/>
  <c r="E173" i="1"/>
  <c r="D221" i="1"/>
  <c r="J224" i="1"/>
  <c r="D224" i="1"/>
  <c r="D223" i="1"/>
  <c r="D222" i="1"/>
  <c r="D215" i="1"/>
  <c r="D207" i="1"/>
  <c r="D206" i="1"/>
  <c r="D205" i="1"/>
  <c r="D204" i="1"/>
  <c r="D203" i="1"/>
  <c r="D202" i="1"/>
  <c r="D187" i="1" l="1"/>
  <c r="D186" i="1"/>
  <c r="D185" i="1"/>
  <c r="D184" i="1"/>
  <c r="C109" i="1" l="1"/>
  <c r="J120" i="1"/>
  <c r="J119" i="1"/>
  <c r="J118" i="1"/>
  <c r="J117" i="1"/>
  <c r="C81" i="1" l="1"/>
  <c r="J92" i="1"/>
  <c r="J91" i="1"/>
  <c r="J90" i="1"/>
  <c r="J89" i="1"/>
  <c r="F270" i="1" l="1"/>
  <c r="F269" i="1"/>
  <c r="F268" i="1"/>
  <c r="F266" i="1"/>
  <c r="F265" i="1"/>
  <c r="F264" i="1"/>
  <c r="F263" i="1"/>
  <c r="F262" i="1"/>
  <c r="F261" i="1"/>
  <c r="F260" i="1"/>
  <c r="G259" i="1"/>
  <c r="F259" i="1"/>
  <c r="F257" i="1"/>
  <c r="F256" i="1"/>
  <c r="F255" i="1"/>
  <c r="F254" i="1"/>
  <c r="F253" i="1"/>
  <c r="F252" i="1"/>
  <c r="F251" i="1"/>
  <c r="F250" i="1"/>
  <c r="F249" i="1"/>
  <c r="F248" i="1"/>
  <c r="F247" i="1"/>
  <c r="G246" i="1"/>
  <c r="F246" i="1"/>
  <c r="F244" i="1"/>
  <c r="F243" i="1"/>
  <c r="F242" i="1"/>
  <c r="F241" i="1"/>
  <c r="F240" i="1"/>
  <c r="F239" i="1"/>
  <c r="F238" i="1"/>
  <c r="F237" i="1"/>
  <c r="F236" i="1"/>
  <c r="F235" i="1"/>
  <c r="F234" i="1"/>
  <c r="G233" i="1"/>
  <c r="D231" i="1"/>
  <c r="F231" i="1" s="1"/>
  <c r="F230" i="1"/>
  <c r="F229" i="1"/>
  <c r="F228" i="1"/>
  <c r="F227" i="1"/>
  <c r="D226" i="1"/>
  <c r="F226" i="1" s="1"/>
  <c r="D225" i="1"/>
  <c r="F225" i="1" s="1"/>
  <c r="I203" i="1" s="1"/>
  <c r="F224" i="1"/>
  <c r="F223" i="1"/>
  <c r="F222" i="1"/>
  <c r="F221" i="1"/>
  <c r="D220" i="1"/>
  <c r="G220" i="1"/>
  <c r="D216" i="1"/>
  <c r="F216" i="1" s="1"/>
  <c r="F215" i="1"/>
  <c r="D214" i="1"/>
  <c r="F214" i="1" s="1"/>
  <c r="D213" i="1"/>
  <c r="F213" i="1" s="1"/>
  <c r="D212" i="1"/>
  <c r="F212" i="1" s="1"/>
  <c r="D211" i="1"/>
  <c r="G211" i="1"/>
  <c r="F207" i="1"/>
  <c r="F206" i="1"/>
  <c r="F205" i="1"/>
  <c r="F204" i="1"/>
  <c r="F203" i="1"/>
  <c r="G202" i="1"/>
  <c r="D198" i="1"/>
  <c r="F198" i="1" s="1"/>
  <c r="I176" i="1" s="1"/>
  <c r="D197" i="1"/>
  <c r="F197" i="1" s="1"/>
  <c r="I175" i="1" s="1"/>
  <c r="D196" i="1"/>
  <c r="F196" i="1" s="1"/>
  <c r="I174" i="1" s="1"/>
  <c r="D195" i="1"/>
  <c r="F195" i="1" s="1"/>
  <c r="I173" i="1" s="1"/>
  <c r="D194" i="1"/>
  <c r="F194" i="1" s="1"/>
  <c r="I172" i="1" s="1"/>
  <c r="D193" i="1"/>
  <c r="G193" i="1"/>
  <c r="D189" i="1"/>
  <c r="D188" i="1"/>
  <c r="E174" i="1" l="1"/>
  <c r="C174" i="1"/>
  <c r="G173" i="1"/>
  <c r="F233" i="1"/>
  <c r="F193" i="1"/>
  <c r="C170" i="1"/>
  <c r="E170" i="1"/>
  <c r="F211" i="1"/>
  <c r="G172" i="1" s="1"/>
  <c r="E172" i="1"/>
  <c r="C172" i="1"/>
  <c r="F220" i="1"/>
  <c r="F202" i="1"/>
  <c r="G171" i="1" s="1"/>
  <c r="C171" i="1"/>
  <c r="E171" i="1"/>
  <c r="C169" i="1"/>
  <c r="E169" i="1"/>
  <c r="F189" i="1"/>
  <c r="F188" i="1"/>
  <c r="F187" i="1"/>
  <c r="F186" i="1"/>
  <c r="F185" i="1"/>
  <c r="G184" i="1"/>
  <c r="F184" i="1"/>
  <c r="E175" i="1" l="1"/>
  <c r="L173" i="1"/>
  <c r="C175" i="1"/>
  <c r="G174" i="1"/>
  <c r="G170" i="1"/>
  <c r="I171" i="1"/>
  <c r="G169" i="1"/>
  <c r="L123" i="1"/>
  <c r="L122" i="1"/>
  <c r="L121" i="1"/>
  <c r="L120" i="1"/>
  <c r="L119" i="1"/>
  <c r="L118" i="1"/>
  <c r="L117" i="1"/>
  <c r="L116" i="1"/>
  <c r="G175" i="1" l="1"/>
  <c r="B273" i="1"/>
  <c r="C13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95" i="1"/>
  <c r="F166" i="1"/>
  <c r="J134" i="1"/>
  <c r="J133" i="1"/>
  <c r="J132" i="1"/>
  <c r="J131" i="1"/>
  <c r="J78" i="1"/>
  <c r="J77" i="1"/>
  <c r="J76" i="1"/>
  <c r="J75" i="1"/>
  <c r="C67" i="1"/>
  <c r="D52" i="1"/>
  <c r="G47" i="1"/>
  <c r="G48" i="1" s="1"/>
  <c r="C47" i="1"/>
  <c r="C48" i="1" s="1"/>
  <c r="E40" i="1"/>
  <c r="E41" i="1" s="1"/>
  <c r="E24" i="1"/>
  <c r="E22" i="1"/>
  <c r="E7" i="1"/>
  <c r="D61" i="1"/>
  <c r="H124" i="1"/>
  <c r="H68" i="1"/>
  <c r="D73" i="1" l="1"/>
  <c r="J71" i="1"/>
  <c r="D80" i="1"/>
  <c r="D78" i="1"/>
  <c r="D76" i="1"/>
  <c r="D74" i="1"/>
  <c r="J72" i="1"/>
  <c r="J70" i="1"/>
  <c r="J73" i="1"/>
  <c r="J74" i="1" s="1"/>
  <c r="D79" i="1"/>
  <c r="D75" i="1"/>
  <c r="D77" i="1"/>
  <c r="J129" i="1"/>
  <c r="D135" i="1"/>
  <c r="D133" i="1"/>
  <c r="D131" i="1"/>
  <c r="D129" i="1"/>
  <c r="J127" i="1"/>
  <c r="D136" i="1"/>
  <c r="J128" i="1"/>
  <c r="C127" i="1" s="1"/>
  <c r="D130" i="1"/>
  <c r="D132" i="1"/>
  <c r="D134" i="1"/>
  <c r="J126" i="1"/>
  <c r="H82" i="1"/>
  <c r="J130" i="1" l="1"/>
  <c r="J79" i="1"/>
  <c r="D127" i="1"/>
  <c r="C71" i="1"/>
  <c r="J86" i="1"/>
  <c r="C85" i="1" s="1"/>
  <c r="D94" i="1"/>
  <c r="D92" i="1"/>
  <c r="D90" i="1"/>
  <c r="D88" i="1"/>
  <c r="J84" i="1"/>
  <c r="D93" i="1"/>
  <c r="D91" i="1"/>
  <c r="J87" i="1"/>
  <c r="J85" i="1"/>
  <c r="D89" i="1"/>
  <c r="D87" i="1"/>
  <c r="J88" i="1" l="1"/>
  <c r="J93" i="1" s="1"/>
  <c r="J94" i="1" s="1"/>
  <c r="C86" i="1"/>
  <c r="D85" i="1"/>
  <c r="J135" i="1"/>
  <c r="J80" i="1"/>
  <c r="C72" i="1" s="1"/>
  <c r="D72" i="1" s="1"/>
  <c r="D71" i="1"/>
  <c r="H96" i="1"/>
  <c r="H110" i="1"/>
  <c r="D86" i="1" l="1"/>
  <c r="E85" i="1"/>
  <c r="I81" i="1" s="1"/>
  <c r="C83" i="1" s="1"/>
  <c r="D108" i="1"/>
  <c r="D106" i="1"/>
  <c r="D104" i="1"/>
  <c r="D102" i="1"/>
  <c r="D100" i="1"/>
  <c r="J101" i="1"/>
  <c r="J102" i="1" s="1"/>
  <c r="J107" i="1" s="1"/>
  <c r="J108" i="1" s="1"/>
  <c r="J99" i="1"/>
  <c r="G99" i="1" s="1"/>
  <c r="D107" i="1"/>
  <c r="D105" i="1"/>
  <c r="D103" i="1"/>
  <c r="D101" i="1"/>
  <c r="J98" i="1"/>
  <c r="J100" i="1"/>
  <c r="E99" i="1"/>
  <c r="G85" i="1"/>
  <c r="D122" i="1"/>
  <c r="D118" i="1"/>
  <c r="J113" i="1"/>
  <c r="D121" i="1"/>
  <c r="D117" i="1"/>
  <c r="D120" i="1"/>
  <c r="D116" i="1"/>
  <c r="J115" i="1"/>
  <c r="D119" i="1"/>
  <c r="D115" i="1"/>
  <c r="J112" i="1"/>
  <c r="J114" i="1"/>
  <c r="C113" i="1" s="1"/>
  <c r="J136" i="1"/>
  <c r="E71" i="1"/>
  <c r="I67" i="1" s="1"/>
  <c r="C69" i="1" s="1"/>
  <c r="G71" i="1"/>
  <c r="D65" i="1" s="1"/>
  <c r="D66" i="1" s="1"/>
  <c r="D99" i="1" l="1"/>
  <c r="I95" i="1" s="1"/>
  <c r="C97" i="1" s="1"/>
  <c r="C128" i="1"/>
  <c r="G127" i="1" s="1"/>
  <c r="G151" i="1" s="1"/>
  <c r="J116" i="1"/>
  <c r="J121" i="1" s="1"/>
  <c r="J122" i="1" s="1"/>
  <c r="C114" i="1" s="1"/>
  <c r="G113" i="1" s="1"/>
  <c r="D113" i="1"/>
  <c r="F66" i="1"/>
  <c r="E127" i="1" l="1"/>
  <c r="D128" i="1"/>
  <c r="D114" i="1"/>
  <c r="E113" i="1"/>
  <c r="I109" i="1" s="1"/>
  <c r="C111" i="1" s="1"/>
  <c r="I123" i="1" l="1"/>
  <c r="C125" i="1" s="1"/>
  <c r="C151" i="1"/>
</calcChain>
</file>

<file path=xl/sharedStrings.xml><?xml version="1.0" encoding="utf-8"?>
<sst xmlns="http://schemas.openxmlformats.org/spreadsheetml/2006/main" count="563" uniqueCount="237">
  <si>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</si>
  <si>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</si>
  <si>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</si>
  <si>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</si>
  <si>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</si>
  <si>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</si>
  <si>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</si>
  <si>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</si>
  <si>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</si>
  <si>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</si>
  <si>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</si>
  <si>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</si>
  <si>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</si>
  <si>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</si>
  <si>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</si>
  <si>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</si>
  <si>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</si>
  <si>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</si>
  <si>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</si>
  <si>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</si>
  <si>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</si>
  <si>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</si>
  <si>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</si>
  <si>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</si>
  <si>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</si>
  <si>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</si>
  <si>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</si>
  <si>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</si>
  <si>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</si>
  <si>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</si>
  <si>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</si>
  <si>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</si>
  <si>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</si>
  <si>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</si>
  <si>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</si>
  <si>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</si>
  <si>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</si>
  <si>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</si>
  <si>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</si>
  <si>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</si>
  <si>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</si>
  <si>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</si>
  <si>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</si>
  <si>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</si>
  <si>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</si>
  <si>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</si>
  <si>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</si>
  <si>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</si>
  <si>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</si>
  <si>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</si>
  <si>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</si>
  <si>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</si>
  <si>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</si>
  <si>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</si>
  <si>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</si>
  <si>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</si>
  <si>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</si>
  <si>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</si>
  <si>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</si>
  <si>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</si>
  <si>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</si>
  <si>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</si>
  <si>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</si>
  <si>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</si>
  <si>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</si>
  <si>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</si>
  <si>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</si>
  <si>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</si>
  <si>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</si>
  <si>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</si>
  <si>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</si>
  <si>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</si>
  <si>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</si>
  <si>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</si>
  <si>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</si>
  <si>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</si>
  <si>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</si>
  <si>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</si>
  <si>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</si>
  <si>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</si>
  <si>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</si>
  <si>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</si>
  <si>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</si>
  <si>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</si>
  <si>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</si>
  <si>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</si>
  <si>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</si>
  <si>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</si>
  <si>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</si>
  <si>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</si>
  <si>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</si>
  <si>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</si>
  <si>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</si>
  <si>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</si>
  <si>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</si>
  <si>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</si>
  <si>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</si>
  <si>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</si>
  <si>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</si>
  <si>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</si>
  <si>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</si>
  <si>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</si>
  <si>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</si>
  <si>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</si>
  <si>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</si>
  <si>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</si>
  <si>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</si>
  <si>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</si>
  <si>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</si>
  <si>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</si>
  <si>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</si>
  <si>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</si>
  <si>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</si>
  <si>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</si>
  <si>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</si>
  <si>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</si>
  <si>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</si>
  <si>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</si>
  <si>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</si>
  <si>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</si>
  <si>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</si>
  <si>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</si>
  <si>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</si>
  <si>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</si>
  <si>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</si>
  <si>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</si>
  <si>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</si>
  <si>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</si>
  <si>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</si>
  <si>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</si>
  <si>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</si>
  <si>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</si>
  <si>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</si>
  <si>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</si>
  <si>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</si>
  <si>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</si>
  <si>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</si>
  <si>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</si>
  <si>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</si>
  <si>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</si>
  <si>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</si>
  <si>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</si>
  <si>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</si>
  <si>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</si>
  <si>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</si>
  <si>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</si>
  <si>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</si>
  <si>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</si>
  <si>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</si>
  <si>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</si>
  <si>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</si>
  <si>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</si>
  <si>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</si>
  <si>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</si>
  <si>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</si>
  <si>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</si>
  <si>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</si>
  <si>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</si>
  <si>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</si>
  <si>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</si>
  <si>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</si>
  <si>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</si>
  <si>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</si>
  <si>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</si>
  <si>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</si>
  <si>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of the flat Per Sq. Ft. (on Saleable area)</t>
  </si>
  <si>
    <t>Recommended rate of the shop Per Sq. Ft. (on Saleable area)</t>
  </si>
  <si>
    <t>Recommended rate of the Office Per Sq. Ft. (on Saleable area)</t>
  </si>
  <si>
    <t>Recommended rate should be considered as all inclusive rate if other charges are not mentioned. (Excluding GST &amp; other government Taxes)</t>
  </si>
  <si>
    <t>Axis Sanpada</t>
  </si>
  <si>
    <t>Balaji Estate Phase - 2</t>
  </si>
  <si>
    <t>Approved Plans, CC.</t>
  </si>
  <si>
    <t>P51700031992</t>
  </si>
  <si>
    <t>Survey No</t>
  </si>
  <si>
    <t>18/5,6, S.No. 20, S.No. 41-1/4.</t>
  </si>
  <si>
    <t>Umbroli</t>
  </si>
  <si>
    <t>Ambarnath</t>
  </si>
  <si>
    <t>Thane</t>
  </si>
  <si>
    <t>Kalyan Shil road</t>
  </si>
  <si>
    <t>Janiv Ashram</t>
  </si>
  <si>
    <t>Open land</t>
  </si>
  <si>
    <t>Kalyan shil road</t>
  </si>
  <si>
    <t>5 Wing</t>
  </si>
  <si>
    <t>Kalyan-Dombivli Municipal Corporation</t>
  </si>
  <si>
    <t>Building No. 2 (E Wing) - G/St + 1st to 24th Floor</t>
  </si>
  <si>
    <t>As per RERA - 31/12/2026</t>
  </si>
  <si>
    <t>Residential</t>
  </si>
  <si>
    <t>Mr. Sunil - 8291206833</t>
  </si>
  <si>
    <t xml:space="preserve">Dombivali </t>
  </si>
  <si>
    <t>6.7 KM from Dombivali Railway Station</t>
  </si>
  <si>
    <t>M/s.Sai Balaji Buildcon</t>
  </si>
  <si>
    <t>Wing A</t>
  </si>
  <si>
    <t>Ground Floor for Parking</t>
  </si>
  <si>
    <t>1st to 21st Floor for Residential</t>
  </si>
  <si>
    <t>2BHK</t>
  </si>
  <si>
    <t>1BHK</t>
  </si>
  <si>
    <t>Wing B</t>
  </si>
  <si>
    <t>Wing C</t>
  </si>
  <si>
    <t>1st to 11th Floor for Residential</t>
  </si>
  <si>
    <t>Wing D</t>
  </si>
  <si>
    <t>Wing E</t>
  </si>
  <si>
    <t>1st to 3rd Floor for Residential</t>
  </si>
  <si>
    <t>1RK</t>
  </si>
  <si>
    <t>4th Floor (Partly alloted to Mhada)</t>
  </si>
  <si>
    <t>Mhada</t>
  </si>
  <si>
    <t>Sale</t>
  </si>
  <si>
    <t>Refuge Area</t>
  </si>
  <si>
    <t>Sale Flat</t>
  </si>
  <si>
    <t>Mhada Flat</t>
  </si>
  <si>
    <t>Building No. 2 (A Wing) - G/St + 1st to 21st Floor</t>
  </si>
  <si>
    <t>We considered Gross carpet area = Net carpet + Enclose balcony + Balcony + W.S Area.</t>
  </si>
  <si>
    <t>Building No. 2 (D Wing) - G/St + 1st to 21st Floor</t>
  </si>
  <si>
    <t>KDMC/TPD/BP/27Villages/2019-20/16/62</t>
  </si>
  <si>
    <t>Building No. 2 (A, B &amp; D Wing) - G/St + 1st to 21st Floor
Building No. 2 (C Wing) - G/St + 1st to 11th Floor
Building No. 2 (E Wing) - G/St + 1st to 24th Floor</t>
  </si>
  <si>
    <t>1st to 11th &amp; 12th to 21st Floor for Residential</t>
  </si>
  <si>
    <t>8th, 13th &amp; 19th Floor (Part Refuge Area)</t>
  </si>
  <si>
    <t>5th, 6th, 7th, 9th, 10th, 11th, 12th, 14th, 15th, 16th, 17th, 18th, 20th, 21st, 22nd, 23rd &amp; 24th Floor</t>
  </si>
  <si>
    <t>Sale Flat - 627, Mhada Flat - 42</t>
  </si>
  <si>
    <t>Location Link</t>
  </si>
  <si>
    <t>https://goo.gl/maps/F9UMzMNU8iYHEcju6?coh=178572&amp;entry=tt</t>
  </si>
  <si>
    <t xml:space="preserve">We have updated revised approved floor plan &amp; C.C (on 29/05/2023).
</t>
  </si>
  <si>
    <t xml:space="preserve">CC taken from RERA site.
</t>
  </si>
  <si>
    <t>On Site, we meet Mr. Sunil : 8097725003.</t>
  </si>
  <si>
    <t xml:space="preserve">Commencement Certificate No.
Valid Up to: </t>
  </si>
  <si>
    <t>Building No. 2 (B Wing) - G/St + 1st to 21st Floor</t>
  </si>
  <si>
    <t>Building No. 2 (C Wing) - G/St + 1st to 21st Floor</t>
  </si>
  <si>
    <t>Pooja</t>
  </si>
  <si>
    <t xml:space="preserve">Layout : </t>
  </si>
  <si>
    <t>Office No. 1031, Wing J, Akshar Business Park, Plot No. 03 Sector 25, Near APMC Market, Vashi, 
Navi Mumbai, Maharashtra 400703 TEL: 022-46090378/79/80
E mail : vsjcapf@gmail.com. Web site : www.vsjadon.com</t>
  </si>
  <si>
    <t>A Wing (Uma), 
B Wing (Pavapuri), 
C Wing (Hansh), 
D Wing (Shiv) &amp; 
E Wing (Bhoomi)</t>
  </si>
  <si>
    <t>Building No. 2 (E Wing) 
Average Progress %</t>
  </si>
  <si>
    <t>Building No. 2 (E Wing) 
Average Disbursement %</t>
  </si>
  <si>
    <t>Building No. 2 (E Wing) (Part 1) = G/St + 1st to 24th Floor</t>
  </si>
  <si>
    <t>Building No. 2 (E Wing) (Part 2) = G/St + 1st to 24th Floor</t>
  </si>
  <si>
    <t>Gangaram parshuram Lambore</t>
  </si>
  <si>
    <t>Wing E (Part II) = Work is same as last visit (09/08/2024).</t>
  </si>
  <si>
    <t>Wing A &amp; Wing E (Part I) = Construction work is in process at the time of visit.
Wing B  = Construction work was not active at the time of visit.
Wing C = Work not yet started.
Wing D = Work is same as last visit (07/11/2023).
Wing E (Part II) = Work has recently resumed.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</si>
</sst>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  <numFmt numFmtId="168" formatCode="_ * #,##0_ ;_ * \-#,##0_ ;_ * &quot;-&quot;??_ ;_ @_ 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b/>
      <sz val="11.5"/>
      <color rgb="FF000000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9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8" xfId="8" applyFont="1" applyFill="1" applyBorder="1" applyAlignment="1" applyProtection="1">
      <alignment horizontal="center" vertical="top" wrapText="1"/>
      <protection locked="0"/>
    </xf>
    <xf numFmtId="0" fontId="16" fillId="0" borderId="0" xfId="0" applyFont="1" applyProtection="1">
      <protection hidden="1"/>
    </xf>
    <xf numFmtId="0" fontId="7" fillId="0" borderId="10" xfId="1" applyFont="1" applyBorder="1" applyProtection="1">
      <protection hidden="1"/>
    </xf>
    <xf numFmtId="0" fontId="7" fillId="0" borderId="0" xfId="1" applyFont="1" applyProtection="1">
      <protection hidden="1"/>
    </xf>
    <xf numFmtId="0" fontId="16" fillId="0" borderId="13" xfId="0" applyFont="1" applyBorder="1" applyProtection="1">
      <protection hidden="1"/>
    </xf>
    <xf numFmtId="0" fontId="11" fillId="0" borderId="3" xfId="1" applyFont="1" applyBorder="1" applyAlignment="1" applyProtection="1">
      <alignment horizontal="center" vertical="top"/>
      <protection locked="0"/>
    </xf>
    <xf numFmtId="0" fontId="11" fillId="0" borderId="4" xfId="1" applyFont="1" applyBorder="1" applyAlignment="1" applyProtection="1">
      <alignment horizontal="center" vertical="top"/>
      <protection locked="0"/>
    </xf>
    <xf numFmtId="1" fontId="11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7" fillId="0" borderId="0" xfId="1" applyFont="1"/>
    <xf numFmtId="0" fontId="14" fillId="0" borderId="0" xfId="1" applyFont="1"/>
    <xf numFmtId="0" fontId="11" fillId="0" borderId="1" xfId="1" applyFont="1" applyBorder="1" applyAlignment="1" applyProtection="1">
      <alignment vertical="top"/>
      <protection locked="0"/>
    </xf>
    <xf numFmtId="0" fontId="11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22" fillId="0" borderId="0" xfId="1" applyFont="1"/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11" fillId="0" borderId="1" xfId="1" applyFont="1" applyBorder="1" applyAlignment="1" applyProtection="1">
      <alignment horizontal="center" wrapText="1"/>
      <protection locked="0"/>
    </xf>
    <xf numFmtId="9" fontId="11" fillId="0" borderId="1" xfId="1" applyNumberFormat="1" applyFont="1" applyBorder="1" applyAlignment="1" applyProtection="1">
      <alignment horizontal="center" vertical="center" wrapText="1"/>
      <protection hidden="1"/>
    </xf>
    <xf numFmtId="0" fontId="16" fillId="0" borderId="12" xfId="0" applyFont="1" applyBorder="1" applyProtection="1">
      <protection hidden="1"/>
    </xf>
    <xf numFmtId="1" fontId="11" fillId="0" borderId="1" xfId="1" applyNumberFormat="1" applyFont="1" applyBorder="1" applyAlignment="1" applyProtection="1">
      <alignment horizontal="center" wrapText="1"/>
      <protection locked="0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0" fontId="11" fillId="0" borderId="6" xfId="1" applyFont="1" applyBorder="1" applyAlignment="1" applyProtection="1">
      <alignment horizontal="center" wrapText="1"/>
      <protection locked="0"/>
    </xf>
    <xf numFmtId="9" fontId="11" fillId="0" borderId="6" xfId="1" applyNumberFormat="1" applyFont="1" applyBorder="1" applyAlignment="1" applyProtection="1">
      <alignment horizontal="center" vertical="center" wrapText="1"/>
      <protection hidden="1"/>
    </xf>
    <xf numFmtId="1" fontId="0" fillId="0" borderId="14" xfId="0" applyNumberFormat="1" applyBorder="1"/>
    <xf numFmtId="0" fontId="15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11" fillId="0" borderId="2" xfId="1" applyFont="1" applyBorder="1" applyAlignment="1" applyProtection="1">
      <alignment horizontal="center" wrapText="1"/>
      <protection locked="0"/>
    </xf>
    <xf numFmtId="9" fontId="11" fillId="0" borderId="2" xfId="1" applyNumberFormat="1" applyFont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left" vertical="top"/>
      <protection locked="0"/>
    </xf>
    <xf numFmtId="0" fontId="11" fillId="0" borderId="27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9" fontId="11" fillId="0" borderId="1" xfId="1" applyNumberFormat="1" applyFont="1" applyBorder="1" applyAlignment="1" applyProtection="1">
      <alignment horizontal="center" vertical="center" wrapText="1"/>
      <protection hidden="1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left" vertical="top" wrapText="1"/>
      <protection locked="0"/>
    </xf>
    <xf numFmtId="0" fontId="11" fillId="0" borderId="3" xfId="1" applyFont="1" applyBorder="1" applyAlignment="1" applyProtection="1">
      <alignment horizontal="center" vertical="top" wrapText="1"/>
      <protection locked="0"/>
    </xf>
    <xf numFmtId="1" fontId="12" fillId="0" borderId="8" xfId="0" applyNumberFormat="1" applyFont="1" applyBorder="1" applyAlignment="1" applyProtection="1">
      <alignment vertical="top" wrapText="1"/>
      <protection locked="0"/>
    </xf>
    <xf numFmtId="1" fontId="12" fillId="0" borderId="23" xfId="0" applyNumberFormat="1" applyFont="1" applyBorder="1" applyAlignment="1" applyProtection="1">
      <alignment vertical="top" wrapText="1"/>
      <protection locked="0"/>
    </xf>
    <xf numFmtId="1" fontId="12" fillId="0" borderId="9" xfId="0" applyNumberFormat="1" applyFont="1" applyBorder="1" applyAlignment="1" applyProtection="1">
      <alignment vertical="top" wrapText="1"/>
      <protection locked="0"/>
    </xf>
    <xf numFmtId="0" fontId="12" fillId="0" borderId="38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39" xfId="1" applyFont="1" applyBorder="1" applyAlignment="1" applyProtection="1">
      <alignment horizontal="left" vertical="top" wrapText="1"/>
      <protection locked="0"/>
    </xf>
    <xf numFmtId="0" fontId="12" fillId="0" borderId="40" xfId="1" applyFont="1" applyBorder="1" applyAlignment="1" applyProtection="1">
      <alignment horizontal="left" vertical="top" wrapText="1"/>
      <protection locked="0"/>
    </xf>
    <xf numFmtId="0" fontId="11" fillId="0" borderId="4" xfId="1" applyFont="1" applyBorder="1" applyAlignment="1" applyProtection="1">
      <alignment horizontal="center" vertical="top" wrapText="1"/>
      <protection locked="0"/>
    </xf>
    <xf numFmtId="9" fontId="11" fillId="0" borderId="6" xfId="1" applyNumberFormat="1" applyFont="1" applyBorder="1" applyAlignment="1" applyProtection="1">
      <alignment horizontal="center" vertical="center" wrapText="1"/>
      <protection hidden="1"/>
    </xf>
    <xf numFmtId="9" fontId="11" fillId="0" borderId="4" xfId="1" applyNumberFormat="1" applyFont="1" applyBorder="1" applyAlignment="1" applyProtection="1">
      <alignment horizontal="center" vertical="center" wrapText="1"/>
      <protection hidden="1"/>
    </xf>
    <xf numFmtId="9" fontId="11" fillId="0" borderId="7" xfId="1" applyNumberFormat="1" applyFont="1" applyBorder="1" applyAlignment="1" applyProtection="1">
      <alignment horizontal="center" vertical="center" wrapText="1"/>
      <protection hidden="1"/>
    </xf>
    <xf numFmtId="0" fontId="11" fillId="0" borderId="5" xfId="1" applyFont="1" applyBorder="1" applyAlignment="1" applyProtection="1">
      <alignment horizontal="center" vertical="top" wrapText="1"/>
      <protection locked="0"/>
    </xf>
    <xf numFmtId="0" fontId="11" fillId="0" borderId="6" xfId="1" applyFont="1" applyBorder="1" applyAlignment="1" applyProtection="1">
      <alignment horizontal="center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3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11" fillId="0" borderId="8" xfId="1" applyFont="1" applyBorder="1" applyAlignment="1" applyProtection="1">
      <alignment horizontal="left" vertical="top" wrapText="1"/>
      <protection locked="0"/>
    </xf>
    <xf numFmtId="0" fontId="11" fillId="0" borderId="9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43" fontId="11" fillId="0" borderId="1" xfId="9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9" fontId="11" fillId="0" borderId="2" xfId="1" applyNumberFormat="1" applyFont="1" applyBorder="1" applyAlignment="1" applyProtection="1">
      <alignment horizontal="center" vertical="center" wrapText="1"/>
      <protection hidden="1"/>
    </xf>
    <xf numFmtId="0" fontId="11" fillId="0" borderId="36" xfId="1" applyFont="1" applyBorder="1" applyAlignment="1" applyProtection="1">
      <alignment horizontal="center" vertical="top" wrapText="1"/>
      <protection locked="0"/>
    </xf>
    <xf numFmtId="0" fontId="11" fillId="0" borderId="2" xfId="1" applyFont="1" applyBorder="1" applyAlignment="1" applyProtection="1">
      <alignment horizontal="center" vertical="top" wrapText="1"/>
      <protection locked="0"/>
    </xf>
    <xf numFmtId="9" fontId="12" fillId="2" borderId="30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31" xfId="1" applyFont="1" applyFill="1" applyBorder="1" applyAlignment="1" applyProtection="1">
      <alignment horizontal="center" vertical="center" wrapText="1"/>
      <protection locked="0"/>
    </xf>
    <xf numFmtId="0" fontId="12" fillId="2" borderId="32" xfId="1" applyFont="1" applyFill="1" applyBorder="1" applyAlignment="1" applyProtection="1">
      <alignment horizontal="center" vertical="center" wrapText="1"/>
      <protection locked="0"/>
    </xf>
    <xf numFmtId="0" fontId="12" fillId="2" borderId="33" xfId="1" applyFont="1" applyFill="1" applyBorder="1" applyAlignment="1" applyProtection="1">
      <alignment horizontal="center" vertical="center" wrapText="1"/>
      <protection locked="0"/>
    </xf>
    <xf numFmtId="9" fontId="12" fillId="2" borderId="30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3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32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33" xfId="1" applyNumberFormat="1" applyFont="1" applyFill="1" applyBorder="1" applyAlignment="1" applyProtection="1">
      <alignment horizontal="center" vertical="center" wrapText="1"/>
      <protection hidden="1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4" fillId="0" borderId="1" xfId="10" applyFill="1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11" fillId="0" borderId="19" xfId="1" applyFont="1" applyBorder="1" applyAlignment="1" applyProtection="1">
      <alignment horizontal="left" vertical="top" wrapText="1"/>
      <protection locked="0"/>
    </xf>
    <xf numFmtId="0" fontId="11" fillId="0" borderId="26" xfId="1" applyFont="1" applyBorder="1" applyAlignment="1" applyProtection="1">
      <alignment horizontal="left" vertical="top" wrapText="1"/>
      <protection locked="0"/>
    </xf>
    <xf numFmtId="0" fontId="11" fillId="0" borderId="20" xfId="1" applyFont="1" applyBorder="1" applyAlignment="1" applyProtection="1">
      <alignment horizontal="left" vertical="top" wrapText="1"/>
      <protection locked="0"/>
    </xf>
    <xf numFmtId="167" fontId="11" fillId="0" borderId="1" xfId="1" applyNumberFormat="1" applyFont="1" applyBorder="1" applyAlignment="1" applyProtection="1">
      <alignment horizontal="left" vertical="top" wrapText="1"/>
      <protection locked="0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167" fontId="11" fillId="0" borderId="8" xfId="0" applyNumberFormat="1" applyFont="1" applyBorder="1" applyAlignment="1" applyProtection="1">
      <alignment horizontal="left" vertical="top"/>
      <protection locked="0"/>
    </xf>
    <xf numFmtId="167" fontId="11" fillId="0" borderId="23" xfId="0" applyNumberFormat="1" applyFont="1" applyBorder="1" applyAlignment="1" applyProtection="1">
      <alignment horizontal="left" vertical="top"/>
      <protection locked="0"/>
    </xf>
    <xf numFmtId="167" fontId="11" fillId="0" borderId="28" xfId="0" applyNumberFormat="1" applyFont="1" applyBorder="1" applyAlignment="1" applyProtection="1">
      <alignment horizontal="left" vertical="top"/>
      <protection locked="0"/>
    </xf>
    <xf numFmtId="167" fontId="11" fillId="0" borderId="1" xfId="1" applyNumberFormat="1" applyFont="1" applyBorder="1" applyAlignment="1" applyProtection="1">
      <alignment horizontal="left" vertical="top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165" fontId="11" fillId="0" borderId="1" xfId="1" applyNumberFormat="1" applyFont="1" applyBorder="1" applyAlignment="1" applyProtection="1">
      <alignment horizontal="left" vertical="top"/>
      <protection locked="0"/>
    </xf>
    <xf numFmtId="2" fontId="11" fillId="0" borderId="1" xfId="1" applyNumberFormat="1" applyFont="1" applyBorder="1" applyAlignment="1" applyProtection="1">
      <alignment horizontal="left" vertical="top"/>
      <protection locked="0"/>
    </xf>
    <xf numFmtId="1" fontId="11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168" fontId="11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23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1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8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9" fontId="11" fillId="0" borderId="37" xfId="1" applyNumberFormat="1" applyFont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9" fontId="12" fillId="2" borderId="1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14" xfId="1" applyNumberFormat="1" applyFont="1" applyFill="1" applyBorder="1" applyAlignment="1" applyProtection="1">
      <alignment horizontal="center" vertical="center" wrapText="1"/>
      <protection hidden="1"/>
    </xf>
    <xf numFmtId="0" fontId="12" fillId="2" borderId="34" xfId="1" applyFont="1" applyFill="1" applyBorder="1" applyAlignment="1" applyProtection="1">
      <alignment horizontal="center" vertical="center" wrapText="1"/>
      <protection locked="0"/>
    </xf>
    <xf numFmtId="0" fontId="12" fillId="2" borderId="35" xfId="1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382</xdr:row>
      <xdr:rowOff>9525</xdr:rowOff>
    </xdr:from>
    <xdr:to>
      <xdr:col>7</xdr:col>
      <xdr:colOff>391963</xdr:colOff>
      <xdr:row>400</xdr:row>
      <xdr:rowOff>101182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4351" y="52768500"/>
          <a:ext cx="6021237" cy="36921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514350</xdr:colOff>
      <xdr:row>401</xdr:row>
      <xdr:rowOff>105273</xdr:rowOff>
    </xdr:from>
    <xdr:to>
      <xdr:col>7</xdr:col>
      <xdr:colOff>391962</xdr:colOff>
      <xdr:row>420</xdr:row>
      <xdr:rowOff>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4350" y="56664723"/>
          <a:ext cx="6021237" cy="36921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9</xdr:col>
      <xdr:colOff>546100</xdr:colOff>
      <xdr:row>300</xdr:row>
      <xdr:rowOff>101600</xdr:rowOff>
    </xdr:from>
    <xdr:ext cx="583814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585200" y="62776100"/>
          <a:ext cx="58381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E Wing</a:t>
          </a:r>
        </a:p>
        <a:p>
          <a:r>
            <a:rPr lang="en-IN" sz="11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(Part</a:t>
          </a:r>
          <a:r>
            <a:rPr lang="en-IN" sz="1100" b="0" cap="none" spc="0" baseline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I)</a:t>
          </a:r>
          <a:endParaRPr lang="en-IN" sz="1100" b="0" cap="none" spc="0">
            <a:ln w="0"/>
            <a:solidFill>
              <a:srgbClr val="FFFF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twoCellAnchor>
    <xdr:from>
      <xdr:col>9</xdr:col>
      <xdr:colOff>0</xdr:colOff>
      <xdr:row>294</xdr:row>
      <xdr:rowOff>0</xdr:rowOff>
    </xdr:from>
    <xdr:to>
      <xdr:col>10</xdr:col>
      <xdr:colOff>223884</xdr:colOff>
      <xdr:row>295</xdr:row>
      <xdr:rowOff>67710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039100" y="61499750"/>
          <a:ext cx="102398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E Wing</a:t>
          </a:r>
          <a:r>
            <a:rPr lang="en-IN" sz="1100" b="0" cap="none" spc="0" baseline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</a:t>
          </a:r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(Part</a:t>
          </a:r>
          <a:r>
            <a:rPr lang="en-IN" sz="1100" b="0" cap="none" spc="0" baseline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I)</a:t>
          </a:r>
          <a:endParaRPr lang="en-IN" sz="1100" b="0" cap="none" spc="0">
            <a:ln w="0"/>
            <a:solidFill>
              <a:sysClr val="windowText" lastClr="00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twoCellAnchor>
  <xdr:twoCellAnchor>
    <xdr:from>
      <xdr:col>0</xdr:col>
      <xdr:colOff>368300</xdr:colOff>
      <xdr:row>338</xdr:row>
      <xdr:rowOff>139700</xdr:rowOff>
    </xdr:from>
    <xdr:to>
      <xdr:col>7</xdr:col>
      <xdr:colOff>400885</xdr:colOff>
      <xdr:row>374</xdr:row>
      <xdr:rowOff>131163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368300" y="71672450"/>
          <a:ext cx="5988885" cy="7078063"/>
          <a:chOff x="368300" y="70326250"/>
          <a:chExt cx="5982535" cy="7078063"/>
        </a:xfrm>
      </xdr:grpSpPr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68300" y="70326250"/>
            <a:ext cx="5982535" cy="707806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3460109" y="72918814"/>
            <a:ext cx="1359406" cy="77055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IN" sz="1100" b="0" cap="none" spc="0">
                <a:ln w="0"/>
                <a:solidFill>
                  <a:srgbClr val="FF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No.2</a:t>
            </a:r>
          </a:p>
          <a:p>
            <a:pPr algn="ctr"/>
            <a:r>
              <a:rPr lang="en-IN" sz="1100" b="0" cap="none" spc="0">
                <a:ln w="0"/>
                <a:solidFill>
                  <a:srgbClr val="FF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A</a:t>
            </a: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3554194" y="75258791"/>
            <a:ext cx="1206774" cy="7817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IN" sz="1100" b="0" cap="none" spc="0">
                <a:ln w="0"/>
                <a:solidFill>
                  <a:srgbClr val="FF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No.2</a:t>
            </a:r>
          </a:p>
          <a:p>
            <a:pPr algn="ctr"/>
            <a:r>
              <a:rPr lang="en-IN" sz="1100" b="0" cap="none" spc="0">
                <a:ln w="0"/>
                <a:solidFill>
                  <a:srgbClr val="FF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B</a:t>
            </a:r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/>
        </xdr:nvSpPr>
        <xdr:spPr>
          <a:xfrm>
            <a:off x="941956" y="75222457"/>
            <a:ext cx="1125800" cy="8071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IN" sz="1100" b="0" cap="none" spc="0">
                <a:ln w="0"/>
                <a:solidFill>
                  <a:srgbClr val="FF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No.2</a:t>
            </a:r>
          </a:p>
          <a:p>
            <a:pPr algn="ctr"/>
            <a:r>
              <a:rPr lang="en-IN" sz="1100" b="0" cap="none" spc="0">
                <a:ln w="0"/>
                <a:solidFill>
                  <a:srgbClr val="FF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C</a:t>
            </a:r>
          </a:p>
        </xdr:txBody>
      </xdr: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 txBox="1"/>
        </xdr:nvSpPr>
        <xdr:spPr>
          <a:xfrm>
            <a:off x="901467" y="72965559"/>
            <a:ext cx="1154579" cy="8550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IN" sz="1100" b="0" cap="none" spc="0">
                <a:ln w="0"/>
                <a:solidFill>
                  <a:srgbClr val="FF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No.2</a:t>
            </a:r>
          </a:p>
          <a:p>
            <a:pPr algn="ctr"/>
            <a:r>
              <a:rPr lang="en-IN" sz="1100" b="0" cap="none" spc="0">
                <a:ln w="0"/>
                <a:solidFill>
                  <a:srgbClr val="FF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D</a:t>
            </a:r>
          </a:p>
        </xdr:txBody>
      </xdr:sp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 txBox="1"/>
        </xdr:nvSpPr>
        <xdr:spPr>
          <a:xfrm>
            <a:off x="2258794" y="73661770"/>
            <a:ext cx="933084" cy="7712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IN" sz="1100" b="0" cap="none" spc="0">
                <a:ln w="0"/>
                <a:solidFill>
                  <a:srgbClr val="FF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No.2</a:t>
            </a:r>
          </a:p>
          <a:p>
            <a:pPr algn="ctr"/>
            <a:r>
              <a:rPr lang="en-IN" sz="1100" b="0" cap="none" spc="0">
                <a:ln w="0"/>
                <a:solidFill>
                  <a:srgbClr val="FF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E</a:t>
            </a:r>
          </a:p>
        </xdr:txBody>
      </xdr:sp>
    </xdr:grpSp>
    <xdr:clientData/>
  </xdr:twoCellAnchor>
  <xdr:twoCellAnchor>
    <xdr:from>
      <xdr:col>0</xdr:col>
      <xdr:colOff>146050</xdr:colOff>
      <xdr:row>295</xdr:row>
      <xdr:rowOff>88900</xdr:rowOff>
    </xdr:from>
    <xdr:to>
      <xdr:col>7</xdr:col>
      <xdr:colOff>656454</xdr:colOff>
      <xdr:row>336</xdr:row>
      <xdr:rowOff>82550</xdr:rowOff>
    </xdr:to>
    <xdr:grpSp>
      <xdr:nvGrpSpPr>
        <xdr:cNvPr id="12" name="Group 11"/>
        <xdr:cNvGrpSpPr/>
      </xdr:nvGrpSpPr>
      <xdr:grpSpPr>
        <a:xfrm>
          <a:off x="146050" y="63163450"/>
          <a:ext cx="6466704" cy="8058150"/>
          <a:chOff x="146050" y="63023750"/>
          <a:chExt cx="6466704" cy="8058150"/>
        </a:xfrm>
      </xdr:grpSpPr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49701" y="69818313"/>
            <a:ext cx="1348594" cy="126358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6050" y="6302516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09623" y="67553930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40545" y="6302516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35040" y="63023750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6050" y="65289547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09623" y="65289547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6050" y="67553930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57537" y="6755393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57537" y="65289547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2" name="TextBox 51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5182673" y="66908797"/>
            <a:ext cx="583814" cy="436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 Wing</a:t>
            </a:r>
          </a:p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(Part</a:t>
            </a:r>
            <a:r>
              <a:rPr lang="en-IN" sz="1100" b="0" cap="none" spc="0" baseline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I)</a:t>
            </a:r>
            <a:endParaRPr lang="en-IN" sz="11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53" name="TextBox 52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/>
        </xdr:nvSpPr>
        <xdr:spPr>
          <a:xfrm>
            <a:off x="1809750" y="69287480"/>
            <a:ext cx="755650" cy="50537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IN" sz="1100" b="1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 Wing</a:t>
            </a:r>
            <a:r>
              <a:rPr lang="en-IN" sz="1100" b="1" cap="none" spc="0" baseline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</a:t>
            </a:r>
            <a:r>
              <a:rPr lang="en-IN" sz="1100" b="1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(Part</a:t>
            </a:r>
            <a:r>
              <a:rPr lang="en-IN" sz="1100" b="1" cap="none" spc="0" baseline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II)</a:t>
            </a:r>
            <a:endParaRPr lang="en-IN" sz="1100" b="1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cxnSp macro="">
        <xdr:nvCxnSpPr>
          <xdr:cNvPr id="7" name="Straight Arrow Connector 6"/>
          <xdr:cNvCxnSpPr>
            <a:stCxn id="53" idx="0"/>
          </xdr:cNvCxnSpPr>
        </xdr:nvCxnSpPr>
        <xdr:spPr>
          <a:xfrm flipH="1" flipV="1">
            <a:off x="1835150" y="68973700"/>
            <a:ext cx="352425" cy="313780"/>
          </a:xfrm>
          <a:prstGeom prst="straightConnector1">
            <a:avLst/>
          </a:prstGeom>
          <a:ln w="285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31678</xdr:rowOff>
    </xdr:from>
    <xdr:to>
      <xdr:col>2</xdr:col>
      <xdr:colOff>2362699</xdr:colOff>
      <xdr:row>38</xdr:row>
      <xdr:rowOff>96178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5186384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272131</xdr:colOff>
      <xdr:row>27</xdr:row>
      <xdr:rowOff>31678</xdr:rowOff>
    </xdr:from>
    <xdr:to>
      <xdr:col>7</xdr:col>
      <xdr:colOff>326417</xdr:colOff>
      <xdr:row>38</xdr:row>
      <xdr:rowOff>96178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99307" y="5186384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695646</xdr:colOff>
      <xdr:row>27</xdr:row>
      <xdr:rowOff>31678</xdr:rowOff>
    </xdr:from>
    <xdr:to>
      <xdr:col>13</xdr:col>
      <xdr:colOff>525815</xdr:colOff>
      <xdr:row>38</xdr:row>
      <xdr:rowOff>96178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10411" y="5186384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14</xdr:row>
      <xdr:rowOff>0</xdr:rowOff>
    </xdr:from>
    <xdr:to>
      <xdr:col>2</xdr:col>
      <xdr:colOff>2362700</xdr:colOff>
      <xdr:row>25</xdr:row>
      <xdr:rowOff>64500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7" y="2678206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239285</xdr:colOff>
      <xdr:row>14</xdr:row>
      <xdr:rowOff>100902</xdr:rowOff>
    </xdr:from>
    <xdr:to>
      <xdr:col>7</xdr:col>
      <xdr:colOff>293571</xdr:colOff>
      <xdr:row>25</xdr:row>
      <xdr:rowOff>165402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6461" y="2779108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695647</xdr:colOff>
      <xdr:row>14</xdr:row>
      <xdr:rowOff>159914</xdr:rowOff>
    </xdr:from>
    <xdr:to>
      <xdr:col>13</xdr:col>
      <xdr:colOff>525816</xdr:colOff>
      <xdr:row>26</xdr:row>
      <xdr:rowOff>33914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10412" y="2838120"/>
          <a:ext cx="3841875" cy="21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F9UMzMNU8iYHEcju6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381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54" customWidth="1"/>
    <col min="2" max="2" width="12.453125" style="54" customWidth="1"/>
    <col min="3" max="3" width="12.54296875" style="54" customWidth="1"/>
    <col min="4" max="4" width="14.1796875" style="54" customWidth="1"/>
    <col min="5" max="7" width="11.54296875" style="54" customWidth="1"/>
    <col min="8" max="8" width="12.453125" style="54" customWidth="1"/>
    <col min="9" max="9" width="17.453125" style="28" customWidth="1"/>
    <col min="10" max="10" width="11.453125" style="28" customWidth="1"/>
    <col min="11" max="11" width="10.54296875" style="28" bestFit="1" customWidth="1"/>
    <col min="12" max="12" width="10.54296875" style="28" customWidth="1"/>
    <col min="13" max="13" width="11.81640625" style="28" customWidth="1"/>
    <col min="14" max="14" width="12.54296875" style="28" customWidth="1"/>
    <col min="15" max="15" width="9.81640625" style="28" customWidth="1"/>
    <col min="16" max="16" width="11.54296875" style="28" customWidth="1"/>
    <col min="17" max="247" width="9.1796875" style="28"/>
    <col min="248" max="248" width="8.54296875" style="28" customWidth="1"/>
    <col min="249" max="249" width="9.81640625" style="28" customWidth="1"/>
    <col min="250" max="250" width="14.453125" style="28" customWidth="1"/>
    <col min="251" max="251" width="7.453125" style="28" customWidth="1"/>
    <col min="252" max="252" width="5.54296875" style="28" customWidth="1"/>
    <col min="253" max="253" width="9" style="28" customWidth="1"/>
    <col min="254" max="255" width="9.81640625" style="28" customWidth="1"/>
    <col min="256" max="256" width="11.1796875" style="28" customWidth="1"/>
    <col min="257" max="257" width="2.81640625" style="28" customWidth="1"/>
    <col min="258" max="258" width="3.54296875" style="28" customWidth="1"/>
    <col min="259" max="503" width="9.1796875" style="28"/>
    <col min="504" max="504" width="8.54296875" style="28" customWidth="1"/>
    <col min="505" max="505" width="9.81640625" style="28" customWidth="1"/>
    <col min="506" max="506" width="14.453125" style="28" customWidth="1"/>
    <col min="507" max="507" width="7.453125" style="28" customWidth="1"/>
    <col min="508" max="508" width="5.54296875" style="28" customWidth="1"/>
    <col min="509" max="509" width="9" style="28" customWidth="1"/>
    <col min="510" max="511" width="9.81640625" style="28" customWidth="1"/>
    <col min="512" max="512" width="11.1796875" style="28" customWidth="1"/>
    <col min="513" max="513" width="2.81640625" style="28" customWidth="1"/>
    <col min="514" max="514" width="3.54296875" style="28" customWidth="1"/>
    <col min="515" max="759" width="9.1796875" style="28"/>
    <col min="760" max="760" width="8.54296875" style="28" customWidth="1"/>
    <col min="761" max="761" width="9.81640625" style="28" customWidth="1"/>
    <col min="762" max="762" width="14.453125" style="28" customWidth="1"/>
    <col min="763" max="763" width="7.453125" style="28" customWidth="1"/>
    <col min="764" max="764" width="5.54296875" style="28" customWidth="1"/>
    <col min="765" max="765" width="9" style="28" customWidth="1"/>
    <col min="766" max="767" width="9.81640625" style="28" customWidth="1"/>
    <col min="768" max="768" width="11.1796875" style="28" customWidth="1"/>
    <col min="769" max="769" width="2.81640625" style="28" customWidth="1"/>
    <col min="770" max="770" width="3.54296875" style="28" customWidth="1"/>
    <col min="771" max="1015" width="9.1796875" style="28"/>
    <col min="1016" max="1016" width="8.54296875" style="28" customWidth="1"/>
    <col min="1017" max="1017" width="9.81640625" style="28" customWidth="1"/>
    <col min="1018" max="1018" width="14.453125" style="28" customWidth="1"/>
    <col min="1019" max="1019" width="7.453125" style="28" customWidth="1"/>
    <col min="1020" max="1020" width="5.54296875" style="28" customWidth="1"/>
    <col min="1021" max="1021" width="9" style="28" customWidth="1"/>
    <col min="1022" max="1023" width="9.81640625" style="28" customWidth="1"/>
    <col min="1024" max="1024" width="11.1796875" style="28" customWidth="1"/>
    <col min="1025" max="1025" width="2.81640625" style="28" customWidth="1"/>
    <col min="1026" max="1026" width="3.54296875" style="28" customWidth="1"/>
    <col min="1027" max="1271" width="9.1796875" style="28"/>
    <col min="1272" max="1272" width="8.54296875" style="28" customWidth="1"/>
    <col min="1273" max="1273" width="9.81640625" style="28" customWidth="1"/>
    <col min="1274" max="1274" width="14.453125" style="28" customWidth="1"/>
    <col min="1275" max="1275" width="7.453125" style="28" customWidth="1"/>
    <col min="1276" max="1276" width="5.54296875" style="28" customWidth="1"/>
    <col min="1277" max="1277" width="9" style="28" customWidth="1"/>
    <col min="1278" max="1279" width="9.81640625" style="28" customWidth="1"/>
    <col min="1280" max="1280" width="11.1796875" style="28" customWidth="1"/>
    <col min="1281" max="1281" width="2.81640625" style="28" customWidth="1"/>
    <col min="1282" max="1282" width="3.54296875" style="28" customWidth="1"/>
    <col min="1283" max="1527" width="9.1796875" style="28"/>
    <col min="1528" max="1528" width="8.54296875" style="28" customWidth="1"/>
    <col min="1529" max="1529" width="9.81640625" style="28" customWidth="1"/>
    <col min="1530" max="1530" width="14.453125" style="28" customWidth="1"/>
    <col min="1531" max="1531" width="7.453125" style="28" customWidth="1"/>
    <col min="1532" max="1532" width="5.54296875" style="28" customWidth="1"/>
    <col min="1533" max="1533" width="9" style="28" customWidth="1"/>
    <col min="1534" max="1535" width="9.81640625" style="28" customWidth="1"/>
    <col min="1536" max="1536" width="11.1796875" style="28" customWidth="1"/>
    <col min="1537" max="1537" width="2.81640625" style="28" customWidth="1"/>
    <col min="1538" max="1538" width="3.54296875" style="28" customWidth="1"/>
    <col min="1539" max="1783" width="9.1796875" style="28"/>
    <col min="1784" max="1784" width="8.54296875" style="28" customWidth="1"/>
    <col min="1785" max="1785" width="9.81640625" style="28" customWidth="1"/>
    <col min="1786" max="1786" width="14.453125" style="28" customWidth="1"/>
    <col min="1787" max="1787" width="7.453125" style="28" customWidth="1"/>
    <col min="1788" max="1788" width="5.54296875" style="28" customWidth="1"/>
    <col min="1789" max="1789" width="9" style="28" customWidth="1"/>
    <col min="1790" max="1791" width="9.81640625" style="28" customWidth="1"/>
    <col min="1792" max="1792" width="11.1796875" style="28" customWidth="1"/>
    <col min="1793" max="1793" width="2.81640625" style="28" customWidth="1"/>
    <col min="1794" max="1794" width="3.54296875" style="28" customWidth="1"/>
    <col min="1795" max="2039" width="9.1796875" style="28"/>
    <col min="2040" max="2040" width="8.54296875" style="28" customWidth="1"/>
    <col min="2041" max="2041" width="9.81640625" style="28" customWidth="1"/>
    <col min="2042" max="2042" width="14.453125" style="28" customWidth="1"/>
    <col min="2043" max="2043" width="7.453125" style="28" customWidth="1"/>
    <col min="2044" max="2044" width="5.54296875" style="28" customWidth="1"/>
    <col min="2045" max="2045" width="9" style="28" customWidth="1"/>
    <col min="2046" max="2047" width="9.81640625" style="28" customWidth="1"/>
    <col min="2048" max="2048" width="11.1796875" style="28" customWidth="1"/>
    <col min="2049" max="2049" width="2.81640625" style="28" customWidth="1"/>
    <col min="2050" max="2050" width="3.54296875" style="28" customWidth="1"/>
    <col min="2051" max="2295" width="9.1796875" style="28"/>
    <col min="2296" max="2296" width="8.54296875" style="28" customWidth="1"/>
    <col min="2297" max="2297" width="9.81640625" style="28" customWidth="1"/>
    <col min="2298" max="2298" width="14.453125" style="28" customWidth="1"/>
    <col min="2299" max="2299" width="7.453125" style="28" customWidth="1"/>
    <col min="2300" max="2300" width="5.54296875" style="28" customWidth="1"/>
    <col min="2301" max="2301" width="9" style="28" customWidth="1"/>
    <col min="2302" max="2303" width="9.81640625" style="28" customWidth="1"/>
    <col min="2304" max="2304" width="11.1796875" style="28" customWidth="1"/>
    <col min="2305" max="2305" width="2.81640625" style="28" customWidth="1"/>
    <col min="2306" max="2306" width="3.54296875" style="28" customWidth="1"/>
    <col min="2307" max="2551" width="9.1796875" style="28"/>
    <col min="2552" max="2552" width="8.54296875" style="28" customWidth="1"/>
    <col min="2553" max="2553" width="9.81640625" style="28" customWidth="1"/>
    <col min="2554" max="2554" width="14.453125" style="28" customWidth="1"/>
    <col min="2555" max="2555" width="7.453125" style="28" customWidth="1"/>
    <col min="2556" max="2556" width="5.54296875" style="28" customWidth="1"/>
    <col min="2557" max="2557" width="9" style="28" customWidth="1"/>
    <col min="2558" max="2559" width="9.81640625" style="28" customWidth="1"/>
    <col min="2560" max="2560" width="11.1796875" style="28" customWidth="1"/>
    <col min="2561" max="2561" width="2.81640625" style="28" customWidth="1"/>
    <col min="2562" max="2562" width="3.54296875" style="28" customWidth="1"/>
    <col min="2563" max="2807" width="9.1796875" style="28"/>
    <col min="2808" max="2808" width="8.54296875" style="28" customWidth="1"/>
    <col min="2809" max="2809" width="9.81640625" style="28" customWidth="1"/>
    <col min="2810" max="2810" width="14.453125" style="28" customWidth="1"/>
    <col min="2811" max="2811" width="7.453125" style="28" customWidth="1"/>
    <col min="2812" max="2812" width="5.54296875" style="28" customWidth="1"/>
    <col min="2813" max="2813" width="9" style="28" customWidth="1"/>
    <col min="2814" max="2815" width="9.81640625" style="28" customWidth="1"/>
    <col min="2816" max="2816" width="11.1796875" style="28" customWidth="1"/>
    <col min="2817" max="2817" width="2.81640625" style="28" customWidth="1"/>
    <col min="2818" max="2818" width="3.54296875" style="28" customWidth="1"/>
    <col min="2819" max="3063" width="9.1796875" style="28"/>
    <col min="3064" max="3064" width="8.54296875" style="28" customWidth="1"/>
    <col min="3065" max="3065" width="9.81640625" style="28" customWidth="1"/>
    <col min="3066" max="3066" width="14.453125" style="28" customWidth="1"/>
    <col min="3067" max="3067" width="7.453125" style="28" customWidth="1"/>
    <col min="3068" max="3068" width="5.54296875" style="28" customWidth="1"/>
    <col min="3069" max="3069" width="9" style="28" customWidth="1"/>
    <col min="3070" max="3071" width="9.81640625" style="28" customWidth="1"/>
    <col min="3072" max="3072" width="11.1796875" style="28" customWidth="1"/>
    <col min="3073" max="3073" width="2.81640625" style="28" customWidth="1"/>
    <col min="3074" max="3074" width="3.54296875" style="28" customWidth="1"/>
    <col min="3075" max="3319" width="9.1796875" style="28"/>
    <col min="3320" max="3320" width="8.54296875" style="28" customWidth="1"/>
    <col min="3321" max="3321" width="9.81640625" style="28" customWidth="1"/>
    <col min="3322" max="3322" width="14.453125" style="28" customWidth="1"/>
    <col min="3323" max="3323" width="7.453125" style="28" customWidth="1"/>
    <col min="3324" max="3324" width="5.54296875" style="28" customWidth="1"/>
    <col min="3325" max="3325" width="9" style="28" customWidth="1"/>
    <col min="3326" max="3327" width="9.81640625" style="28" customWidth="1"/>
    <col min="3328" max="3328" width="11.1796875" style="28" customWidth="1"/>
    <col min="3329" max="3329" width="2.81640625" style="28" customWidth="1"/>
    <col min="3330" max="3330" width="3.54296875" style="28" customWidth="1"/>
    <col min="3331" max="3575" width="9.1796875" style="28"/>
    <col min="3576" max="3576" width="8.54296875" style="28" customWidth="1"/>
    <col min="3577" max="3577" width="9.81640625" style="28" customWidth="1"/>
    <col min="3578" max="3578" width="14.453125" style="28" customWidth="1"/>
    <col min="3579" max="3579" width="7.453125" style="28" customWidth="1"/>
    <col min="3580" max="3580" width="5.54296875" style="28" customWidth="1"/>
    <col min="3581" max="3581" width="9" style="28" customWidth="1"/>
    <col min="3582" max="3583" width="9.81640625" style="28" customWidth="1"/>
    <col min="3584" max="3584" width="11.1796875" style="28" customWidth="1"/>
    <col min="3585" max="3585" width="2.81640625" style="28" customWidth="1"/>
    <col min="3586" max="3586" width="3.54296875" style="28" customWidth="1"/>
    <col min="3587" max="3831" width="9.1796875" style="28"/>
    <col min="3832" max="3832" width="8.54296875" style="28" customWidth="1"/>
    <col min="3833" max="3833" width="9.81640625" style="28" customWidth="1"/>
    <col min="3834" max="3834" width="14.453125" style="28" customWidth="1"/>
    <col min="3835" max="3835" width="7.453125" style="28" customWidth="1"/>
    <col min="3836" max="3836" width="5.54296875" style="28" customWidth="1"/>
    <col min="3837" max="3837" width="9" style="28" customWidth="1"/>
    <col min="3838" max="3839" width="9.81640625" style="28" customWidth="1"/>
    <col min="3840" max="3840" width="11.1796875" style="28" customWidth="1"/>
    <col min="3841" max="3841" width="2.81640625" style="28" customWidth="1"/>
    <col min="3842" max="3842" width="3.54296875" style="28" customWidth="1"/>
    <col min="3843" max="4087" width="9.1796875" style="28"/>
    <col min="4088" max="4088" width="8.54296875" style="28" customWidth="1"/>
    <col min="4089" max="4089" width="9.81640625" style="28" customWidth="1"/>
    <col min="4090" max="4090" width="14.453125" style="28" customWidth="1"/>
    <col min="4091" max="4091" width="7.453125" style="28" customWidth="1"/>
    <col min="4092" max="4092" width="5.54296875" style="28" customWidth="1"/>
    <col min="4093" max="4093" width="9" style="28" customWidth="1"/>
    <col min="4094" max="4095" width="9.81640625" style="28" customWidth="1"/>
    <col min="4096" max="4096" width="11.1796875" style="28" customWidth="1"/>
    <col min="4097" max="4097" width="2.81640625" style="28" customWidth="1"/>
    <col min="4098" max="4098" width="3.54296875" style="28" customWidth="1"/>
    <col min="4099" max="4343" width="9.1796875" style="28"/>
    <col min="4344" max="4344" width="8.54296875" style="28" customWidth="1"/>
    <col min="4345" max="4345" width="9.81640625" style="28" customWidth="1"/>
    <col min="4346" max="4346" width="14.453125" style="28" customWidth="1"/>
    <col min="4347" max="4347" width="7.453125" style="28" customWidth="1"/>
    <col min="4348" max="4348" width="5.54296875" style="28" customWidth="1"/>
    <col min="4349" max="4349" width="9" style="28" customWidth="1"/>
    <col min="4350" max="4351" width="9.81640625" style="28" customWidth="1"/>
    <col min="4352" max="4352" width="11.1796875" style="28" customWidth="1"/>
    <col min="4353" max="4353" width="2.81640625" style="28" customWidth="1"/>
    <col min="4354" max="4354" width="3.54296875" style="28" customWidth="1"/>
    <col min="4355" max="4599" width="9.1796875" style="28"/>
    <col min="4600" max="4600" width="8.54296875" style="28" customWidth="1"/>
    <col min="4601" max="4601" width="9.81640625" style="28" customWidth="1"/>
    <col min="4602" max="4602" width="14.453125" style="28" customWidth="1"/>
    <col min="4603" max="4603" width="7.453125" style="28" customWidth="1"/>
    <col min="4604" max="4604" width="5.54296875" style="28" customWidth="1"/>
    <col min="4605" max="4605" width="9" style="28" customWidth="1"/>
    <col min="4606" max="4607" width="9.81640625" style="28" customWidth="1"/>
    <col min="4608" max="4608" width="11.1796875" style="28" customWidth="1"/>
    <col min="4609" max="4609" width="2.81640625" style="28" customWidth="1"/>
    <col min="4610" max="4610" width="3.54296875" style="28" customWidth="1"/>
    <col min="4611" max="4855" width="9.1796875" style="28"/>
    <col min="4856" max="4856" width="8.54296875" style="28" customWidth="1"/>
    <col min="4857" max="4857" width="9.81640625" style="28" customWidth="1"/>
    <col min="4858" max="4858" width="14.453125" style="28" customWidth="1"/>
    <col min="4859" max="4859" width="7.453125" style="28" customWidth="1"/>
    <col min="4860" max="4860" width="5.54296875" style="28" customWidth="1"/>
    <col min="4861" max="4861" width="9" style="28" customWidth="1"/>
    <col min="4862" max="4863" width="9.81640625" style="28" customWidth="1"/>
    <col min="4864" max="4864" width="11.1796875" style="28" customWidth="1"/>
    <col min="4865" max="4865" width="2.81640625" style="28" customWidth="1"/>
    <col min="4866" max="4866" width="3.54296875" style="28" customWidth="1"/>
    <col min="4867" max="5111" width="9.1796875" style="28"/>
    <col min="5112" max="5112" width="8.54296875" style="28" customWidth="1"/>
    <col min="5113" max="5113" width="9.81640625" style="28" customWidth="1"/>
    <col min="5114" max="5114" width="14.453125" style="28" customWidth="1"/>
    <col min="5115" max="5115" width="7.453125" style="28" customWidth="1"/>
    <col min="5116" max="5116" width="5.54296875" style="28" customWidth="1"/>
    <col min="5117" max="5117" width="9" style="28" customWidth="1"/>
    <col min="5118" max="5119" width="9.81640625" style="28" customWidth="1"/>
    <col min="5120" max="5120" width="11.1796875" style="28" customWidth="1"/>
    <col min="5121" max="5121" width="2.81640625" style="28" customWidth="1"/>
    <col min="5122" max="5122" width="3.54296875" style="28" customWidth="1"/>
    <col min="5123" max="5367" width="9.1796875" style="28"/>
    <col min="5368" max="5368" width="8.54296875" style="28" customWidth="1"/>
    <col min="5369" max="5369" width="9.81640625" style="28" customWidth="1"/>
    <col min="5370" max="5370" width="14.453125" style="28" customWidth="1"/>
    <col min="5371" max="5371" width="7.453125" style="28" customWidth="1"/>
    <col min="5372" max="5372" width="5.54296875" style="28" customWidth="1"/>
    <col min="5373" max="5373" width="9" style="28" customWidth="1"/>
    <col min="5374" max="5375" width="9.81640625" style="28" customWidth="1"/>
    <col min="5376" max="5376" width="11.1796875" style="28" customWidth="1"/>
    <col min="5377" max="5377" width="2.81640625" style="28" customWidth="1"/>
    <col min="5378" max="5378" width="3.54296875" style="28" customWidth="1"/>
    <col min="5379" max="5623" width="9.1796875" style="28"/>
    <col min="5624" max="5624" width="8.54296875" style="28" customWidth="1"/>
    <col min="5625" max="5625" width="9.81640625" style="28" customWidth="1"/>
    <col min="5626" max="5626" width="14.453125" style="28" customWidth="1"/>
    <col min="5627" max="5627" width="7.453125" style="28" customWidth="1"/>
    <col min="5628" max="5628" width="5.54296875" style="28" customWidth="1"/>
    <col min="5629" max="5629" width="9" style="28" customWidth="1"/>
    <col min="5630" max="5631" width="9.81640625" style="28" customWidth="1"/>
    <col min="5632" max="5632" width="11.1796875" style="28" customWidth="1"/>
    <col min="5633" max="5633" width="2.81640625" style="28" customWidth="1"/>
    <col min="5634" max="5634" width="3.54296875" style="28" customWidth="1"/>
    <col min="5635" max="5879" width="9.1796875" style="28"/>
    <col min="5880" max="5880" width="8.54296875" style="28" customWidth="1"/>
    <col min="5881" max="5881" width="9.81640625" style="28" customWidth="1"/>
    <col min="5882" max="5882" width="14.453125" style="28" customWidth="1"/>
    <col min="5883" max="5883" width="7.453125" style="28" customWidth="1"/>
    <col min="5884" max="5884" width="5.54296875" style="28" customWidth="1"/>
    <col min="5885" max="5885" width="9" style="28" customWidth="1"/>
    <col min="5886" max="5887" width="9.81640625" style="28" customWidth="1"/>
    <col min="5888" max="5888" width="11.1796875" style="28" customWidth="1"/>
    <col min="5889" max="5889" width="2.81640625" style="28" customWidth="1"/>
    <col min="5890" max="5890" width="3.54296875" style="28" customWidth="1"/>
    <col min="5891" max="6135" width="9.1796875" style="28"/>
    <col min="6136" max="6136" width="8.54296875" style="28" customWidth="1"/>
    <col min="6137" max="6137" width="9.81640625" style="28" customWidth="1"/>
    <col min="6138" max="6138" width="14.453125" style="28" customWidth="1"/>
    <col min="6139" max="6139" width="7.453125" style="28" customWidth="1"/>
    <col min="6140" max="6140" width="5.54296875" style="28" customWidth="1"/>
    <col min="6141" max="6141" width="9" style="28" customWidth="1"/>
    <col min="6142" max="6143" width="9.81640625" style="28" customWidth="1"/>
    <col min="6144" max="6144" width="11.1796875" style="28" customWidth="1"/>
    <col min="6145" max="6145" width="2.81640625" style="28" customWidth="1"/>
    <col min="6146" max="6146" width="3.54296875" style="28" customWidth="1"/>
    <col min="6147" max="6391" width="9.1796875" style="28"/>
    <col min="6392" max="6392" width="8.54296875" style="28" customWidth="1"/>
    <col min="6393" max="6393" width="9.81640625" style="28" customWidth="1"/>
    <col min="6394" max="6394" width="14.453125" style="28" customWidth="1"/>
    <col min="6395" max="6395" width="7.453125" style="28" customWidth="1"/>
    <col min="6396" max="6396" width="5.54296875" style="28" customWidth="1"/>
    <col min="6397" max="6397" width="9" style="28" customWidth="1"/>
    <col min="6398" max="6399" width="9.81640625" style="28" customWidth="1"/>
    <col min="6400" max="6400" width="11.1796875" style="28" customWidth="1"/>
    <col min="6401" max="6401" width="2.81640625" style="28" customWidth="1"/>
    <col min="6402" max="6402" width="3.54296875" style="28" customWidth="1"/>
    <col min="6403" max="6647" width="9.1796875" style="28"/>
    <col min="6648" max="6648" width="8.54296875" style="28" customWidth="1"/>
    <col min="6649" max="6649" width="9.81640625" style="28" customWidth="1"/>
    <col min="6650" max="6650" width="14.453125" style="28" customWidth="1"/>
    <col min="6651" max="6651" width="7.453125" style="28" customWidth="1"/>
    <col min="6652" max="6652" width="5.54296875" style="28" customWidth="1"/>
    <col min="6653" max="6653" width="9" style="28" customWidth="1"/>
    <col min="6654" max="6655" width="9.81640625" style="28" customWidth="1"/>
    <col min="6656" max="6656" width="11.1796875" style="28" customWidth="1"/>
    <col min="6657" max="6657" width="2.81640625" style="28" customWidth="1"/>
    <col min="6658" max="6658" width="3.54296875" style="28" customWidth="1"/>
    <col min="6659" max="6903" width="9.1796875" style="28"/>
    <col min="6904" max="6904" width="8.54296875" style="28" customWidth="1"/>
    <col min="6905" max="6905" width="9.81640625" style="28" customWidth="1"/>
    <col min="6906" max="6906" width="14.453125" style="28" customWidth="1"/>
    <col min="6907" max="6907" width="7.453125" style="28" customWidth="1"/>
    <col min="6908" max="6908" width="5.54296875" style="28" customWidth="1"/>
    <col min="6909" max="6909" width="9" style="28" customWidth="1"/>
    <col min="6910" max="6911" width="9.81640625" style="28" customWidth="1"/>
    <col min="6912" max="6912" width="11.1796875" style="28" customWidth="1"/>
    <col min="6913" max="6913" width="2.81640625" style="28" customWidth="1"/>
    <col min="6914" max="6914" width="3.54296875" style="28" customWidth="1"/>
    <col min="6915" max="7159" width="9.1796875" style="28"/>
    <col min="7160" max="7160" width="8.54296875" style="28" customWidth="1"/>
    <col min="7161" max="7161" width="9.81640625" style="28" customWidth="1"/>
    <col min="7162" max="7162" width="14.453125" style="28" customWidth="1"/>
    <col min="7163" max="7163" width="7.453125" style="28" customWidth="1"/>
    <col min="7164" max="7164" width="5.54296875" style="28" customWidth="1"/>
    <col min="7165" max="7165" width="9" style="28" customWidth="1"/>
    <col min="7166" max="7167" width="9.81640625" style="28" customWidth="1"/>
    <col min="7168" max="7168" width="11.1796875" style="28" customWidth="1"/>
    <col min="7169" max="7169" width="2.81640625" style="28" customWidth="1"/>
    <col min="7170" max="7170" width="3.54296875" style="28" customWidth="1"/>
    <col min="7171" max="7415" width="9.1796875" style="28"/>
    <col min="7416" max="7416" width="8.54296875" style="28" customWidth="1"/>
    <col min="7417" max="7417" width="9.81640625" style="28" customWidth="1"/>
    <col min="7418" max="7418" width="14.453125" style="28" customWidth="1"/>
    <col min="7419" max="7419" width="7.453125" style="28" customWidth="1"/>
    <col min="7420" max="7420" width="5.54296875" style="28" customWidth="1"/>
    <col min="7421" max="7421" width="9" style="28" customWidth="1"/>
    <col min="7422" max="7423" width="9.81640625" style="28" customWidth="1"/>
    <col min="7424" max="7424" width="11.1796875" style="28" customWidth="1"/>
    <col min="7425" max="7425" width="2.81640625" style="28" customWidth="1"/>
    <col min="7426" max="7426" width="3.54296875" style="28" customWidth="1"/>
    <col min="7427" max="7671" width="9.1796875" style="28"/>
    <col min="7672" max="7672" width="8.54296875" style="28" customWidth="1"/>
    <col min="7673" max="7673" width="9.81640625" style="28" customWidth="1"/>
    <col min="7674" max="7674" width="14.453125" style="28" customWidth="1"/>
    <col min="7675" max="7675" width="7.453125" style="28" customWidth="1"/>
    <col min="7676" max="7676" width="5.54296875" style="28" customWidth="1"/>
    <col min="7677" max="7677" width="9" style="28" customWidth="1"/>
    <col min="7678" max="7679" width="9.81640625" style="28" customWidth="1"/>
    <col min="7680" max="7680" width="11.1796875" style="28" customWidth="1"/>
    <col min="7681" max="7681" width="2.81640625" style="28" customWidth="1"/>
    <col min="7682" max="7682" width="3.54296875" style="28" customWidth="1"/>
    <col min="7683" max="7927" width="9.1796875" style="28"/>
    <col min="7928" max="7928" width="8.54296875" style="28" customWidth="1"/>
    <col min="7929" max="7929" width="9.81640625" style="28" customWidth="1"/>
    <col min="7930" max="7930" width="14.453125" style="28" customWidth="1"/>
    <col min="7931" max="7931" width="7.453125" style="28" customWidth="1"/>
    <col min="7932" max="7932" width="5.54296875" style="28" customWidth="1"/>
    <col min="7933" max="7933" width="9" style="28" customWidth="1"/>
    <col min="7934" max="7935" width="9.81640625" style="28" customWidth="1"/>
    <col min="7936" max="7936" width="11.1796875" style="28" customWidth="1"/>
    <col min="7937" max="7937" width="2.81640625" style="28" customWidth="1"/>
    <col min="7938" max="7938" width="3.54296875" style="28" customWidth="1"/>
    <col min="7939" max="8183" width="9.1796875" style="28"/>
    <col min="8184" max="8184" width="8.54296875" style="28" customWidth="1"/>
    <col min="8185" max="8185" width="9.81640625" style="28" customWidth="1"/>
    <col min="8186" max="8186" width="14.453125" style="28" customWidth="1"/>
    <col min="8187" max="8187" width="7.453125" style="28" customWidth="1"/>
    <col min="8188" max="8188" width="5.54296875" style="28" customWidth="1"/>
    <col min="8189" max="8189" width="9" style="28" customWidth="1"/>
    <col min="8190" max="8191" width="9.81640625" style="28" customWidth="1"/>
    <col min="8192" max="8192" width="11.1796875" style="28" customWidth="1"/>
    <col min="8193" max="8193" width="2.81640625" style="28" customWidth="1"/>
    <col min="8194" max="8194" width="3.54296875" style="28" customWidth="1"/>
    <col min="8195" max="8439" width="9.1796875" style="28"/>
    <col min="8440" max="8440" width="8.54296875" style="28" customWidth="1"/>
    <col min="8441" max="8441" width="9.81640625" style="28" customWidth="1"/>
    <col min="8442" max="8442" width="14.453125" style="28" customWidth="1"/>
    <col min="8443" max="8443" width="7.453125" style="28" customWidth="1"/>
    <col min="8444" max="8444" width="5.54296875" style="28" customWidth="1"/>
    <col min="8445" max="8445" width="9" style="28" customWidth="1"/>
    <col min="8446" max="8447" width="9.81640625" style="28" customWidth="1"/>
    <col min="8448" max="8448" width="11.1796875" style="28" customWidth="1"/>
    <col min="8449" max="8449" width="2.81640625" style="28" customWidth="1"/>
    <col min="8450" max="8450" width="3.54296875" style="28" customWidth="1"/>
    <col min="8451" max="8695" width="9.1796875" style="28"/>
    <col min="8696" max="8696" width="8.54296875" style="28" customWidth="1"/>
    <col min="8697" max="8697" width="9.81640625" style="28" customWidth="1"/>
    <col min="8698" max="8698" width="14.453125" style="28" customWidth="1"/>
    <col min="8699" max="8699" width="7.453125" style="28" customWidth="1"/>
    <col min="8700" max="8700" width="5.54296875" style="28" customWidth="1"/>
    <col min="8701" max="8701" width="9" style="28" customWidth="1"/>
    <col min="8702" max="8703" width="9.81640625" style="28" customWidth="1"/>
    <col min="8704" max="8704" width="11.1796875" style="28" customWidth="1"/>
    <col min="8705" max="8705" width="2.81640625" style="28" customWidth="1"/>
    <col min="8706" max="8706" width="3.54296875" style="28" customWidth="1"/>
    <col min="8707" max="8951" width="9.1796875" style="28"/>
    <col min="8952" max="8952" width="8.54296875" style="28" customWidth="1"/>
    <col min="8953" max="8953" width="9.81640625" style="28" customWidth="1"/>
    <col min="8954" max="8954" width="14.453125" style="28" customWidth="1"/>
    <col min="8955" max="8955" width="7.453125" style="28" customWidth="1"/>
    <col min="8956" max="8956" width="5.54296875" style="28" customWidth="1"/>
    <col min="8957" max="8957" width="9" style="28" customWidth="1"/>
    <col min="8958" max="8959" width="9.81640625" style="28" customWidth="1"/>
    <col min="8960" max="8960" width="11.1796875" style="28" customWidth="1"/>
    <col min="8961" max="8961" width="2.81640625" style="28" customWidth="1"/>
    <col min="8962" max="8962" width="3.54296875" style="28" customWidth="1"/>
    <col min="8963" max="9207" width="9.1796875" style="28"/>
    <col min="9208" max="9208" width="8.54296875" style="28" customWidth="1"/>
    <col min="9209" max="9209" width="9.81640625" style="28" customWidth="1"/>
    <col min="9210" max="9210" width="14.453125" style="28" customWidth="1"/>
    <col min="9211" max="9211" width="7.453125" style="28" customWidth="1"/>
    <col min="9212" max="9212" width="5.54296875" style="28" customWidth="1"/>
    <col min="9213" max="9213" width="9" style="28" customWidth="1"/>
    <col min="9214" max="9215" width="9.81640625" style="28" customWidth="1"/>
    <col min="9216" max="9216" width="11.1796875" style="28" customWidth="1"/>
    <col min="9217" max="9217" width="2.81640625" style="28" customWidth="1"/>
    <col min="9218" max="9218" width="3.54296875" style="28" customWidth="1"/>
    <col min="9219" max="9463" width="9.1796875" style="28"/>
    <col min="9464" max="9464" width="8.54296875" style="28" customWidth="1"/>
    <col min="9465" max="9465" width="9.81640625" style="28" customWidth="1"/>
    <col min="9466" max="9466" width="14.453125" style="28" customWidth="1"/>
    <col min="9467" max="9467" width="7.453125" style="28" customWidth="1"/>
    <col min="9468" max="9468" width="5.54296875" style="28" customWidth="1"/>
    <col min="9469" max="9469" width="9" style="28" customWidth="1"/>
    <col min="9470" max="9471" width="9.81640625" style="28" customWidth="1"/>
    <col min="9472" max="9472" width="11.1796875" style="28" customWidth="1"/>
    <col min="9473" max="9473" width="2.81640625" style="28" customWidth="1"/>
    <col min="9474" max="9474" width="3.54296875" style="28" customWidth="1"/>
    <col min="9475" max="9719" width="9.1796875" style="28"/>
    <col min="9720" max="9720" width="8.54296875" style="28" customWidth="1"/>
    <col min="9721" max="9721" width="9.81640625" style="28" customWidth="1"/>
    <col min="9722" max="9722" width="14.453125" style="28" customWidth="1"/>
    <col min="9723" max="9723" width="7.453125" style="28" customWidth="1"/>
    <col min="9724" max="9724" width="5.54296875" style="28" customWidth="1"/>
    <col min="9725" max="9725" width="9" style="28" customWidth="1"/>
    <col min="9726" max="9727" width="9.81640625" style="28" customWidth="1"/>
    <col min="9728" max="9728" width="11.1796875" style="28" customWidth="1"/>
    <col min="9729" max="9729" width="2.81640625" style="28" customWidth="1"/>
    <col min="9730" max="9730" width="3.54296875" style="28" customWidth="1"/>
    <col min="9731" max="9975" width="9.1796875" style="28"/>
    <col min="9976" max="9976" width="8.54296875" style="28" customWidth="1"/>
    <col min="9977" max="9977" width="9.81640625" style="28" customWidth="1"/>
    <col min="9978" max="9978" width="14.453125" style="28" customWidth="1"/>
    <col min="9979" max="9979" width="7.453125" style="28" customWidth="1"/>
    <col min="9980" max="9980" width="5.54296875" style="28" customWidth="1"/>
    <col min="9981" max="9981" width="9" style="28" customWidth="1"/>
    <col min="9982" max="9983" width="9.81640625" style="28" customWidth="1"/>
    <col min="9984" max="9984" width="11.1796875" style="28" customWidth="1"/>
    <col min="9985" max="9985" width="2.81640625" style="28" customWidth="1"/>
    <col min="9986" max="9986" width="3.54296875" style="28" customWidth="1"/>
    <col min="9987" max="10231" width="9.1796875" style="28"/>
    <col min="10232" max="10232" width="8.54296875" style="28" customWidth="1"/>
    <col min="10233" max="10233" width="9.81640625" style="28" customWidth="1"/>
    <col min="10234" max="10234" width="14.453125" style="28" customWidth="1"/>
    <col min="10235" max="10235" width="7.453125" style="28" customWidth="1"/>
    <col min="10236" max="10236" width="5.54296875" style="28" customWidth="1"/>
    <col min="10237" max="10237" width="9" style="28" customWidth="1"/>
    <col min="10238" max="10239" width="9.81640625" style="28" customWidth="1"/>
    <col min="10240" max="10240" width="11.1796875" style="28" customWidth="1"/>
    <col min="10241" max="10241" width="2.81640625" style="28" customWidth="1"/>
    <col min="10242" max="10242" width="3.54296875" style="28" customWidth="1"/>
    <col min="10243" max="10487" width="9.1796875" style="28"/>
    <col min="10488" max="10488" width="8.54296875" style="28" customWidth="1"/>
    <col min="10489" max="10489" width="9.81640625" style="28" customWidth="1"/>
    <col min="10490" max="10490" width="14.453125" style="28" customWidth="1"/>
    <col min="10491" max="10491" width="7.453125" style="28" customWidth="1"/>
    <col min="10492" max="10492" width="5.54296875" style="28" customWidth="1"/>
    <col min="10493" max="10493" width="9" style="28" customWidth="1"/>
    <col min="10494" max="10495" width="9.81640625" style="28" customWidth="1"/>
    <col min="10496" max="10496" width="11.1796875" style="28" customWidth="1"/>
    <col min="10497" max="10497" width="2.81640625" style="28" customWidth="1"/>
    <col min="10498" max="10498" width="3.54296875" style="28" customWidth="1"/>
    <col min="10499" max="10743" width="9.1796875" style="28"/>
    <col min="10744" max="10744" width="8.54296875" style="28" customWidth="1"/>
    <col min="10745" max="10745" width="9.81640625" style="28" customWidth="1"/>
    <col min="10746" max="10746" width="14.453125" style="28" customWidth="1"/>
    <col min="10747" max="10747" width="7.453125" style="28" customWidth="1"/>
    <col min="10748" max="10748" width="5.54296875" style="28" customWidth="1"/>
    <col min="10749" max="10749" width="9" style="28" customWidth="1"/>
    <col min="10750" max="10751" width="9.81640625" style="28" customWidth="1"/>
    <col min="10752" max="10752" width="11.1796875" style="28" customWidth="1"/>
    <col min="10753" max="10753" width="2.81640625" style="28" customWidth="1"/>
    <col min="10754" max="10754" width="3.54296875" style="28" customWidth="1"/>
    <col min="10755" max="10999" width="9.1796875" style="28"/>
    <col min="11000" max="11000" width="8.54296875" style="28" customWidth="1"/>
    <col min="11001" max="11001" width="9.81640625" style="28" customWidth="1"/>
    <col min="11002" max="11002" width="14.453125" style="28" customWidth="1"/>
    <col min="11003" max="11003" width="7.453125" style="28" customWidth="1"/>
    <col min="11004" max="11004" width="5.54296875" style="28" customWidth="1"/>
    <col min="11005" max="11005" width="9" style="28" customWidth="1"/>
    <col min="11006" max="11007" width="9.81640625" style="28" customWidth="1"/>
    <col min="11008" max="11008" width="11.1796875" style="28" customWidth="1"/>
    <col min="11009" max="11009" width="2.81640625" style="28" customWidth="1"/>
    <col min="11010" max="11010" width="3.54296875" style="28" customWidth="1"/>
    <col min="11011" max="11255" width="9.1796875" style="28"/>
    <col min="11256" max="11256" width="8.54296875" style="28" customWidth="1"/>
    <col min="11257" max="11257" width="9.81640625" style="28" customWidth="1"/>
    <col min="11258" max="11258" width="14.453125" style="28" customWidth="1"/>
    <col min="11259" max="11259" width="7.453125" style="28" customWidth="1"/>
    <col min="11260" max="11260" width="5.54296875" style="28" customWidth="1"/>
    <col min="11261" max="11261" width="9" style="28" customWidth="1"/>
    <col min="11262" max="11263" width="9.81640625" style="28" customWidth="1"/>
    <col min="11264" max="11264" width="11.1796875" style="28" customWidth="1"/>
    <col min="11265" max="11265" width="2.81640625" style="28" customWidth="1"/>
    <col min="11266" max="11266" width="3.54296875" style="28" customWidth="1"/>
    <col min="11267" max="11511" width="9.1796875" style="28"/>
    <col min="11512" max="11512" width="8.54296875" style="28" customWidth="1"/>
    <col min="11513" max="11513" width="9.81640625" style="28" customWidth="1"/>
    <col min="11514" max="11514" width="14.453125" style="28" customWidth="1"/>
    <col min="11515" max="11515" width="7.453125" style="28" customWidth="1"/>
    <col min="11516" max="11516" width="5.54296875" style="28" customWidth="1"/>
    <col min="11517" max="11517" width="9" style="28" customWidth="1"/>
    <col min="11518" max="11519" width="9.81640625" style="28" customWidth="1"/>
    <col min="11520" max="11520" width="11.1796875" style="28" customWidth="1"/>
    <col min="11521" max="11521" width="2.81640625" style="28" customWidth="1"/>
    <col min="11522" max="11522" width="3.54296875" style="28" customWidth="1"/>
    <col min="11523" max="11767" width="9.1796875" style="28"/>
    <col min="11768" max="11768" width="8.54296875" style="28" customWidth="1"/>
    <col min="11769" max="11769" width="9.81640625" style="28" customWidth="1"/>
    <col min="11770" max="11770" width="14.453125" style="28" customWidth="1"/>
    <col min="11771" max="11771" width="7.453125" style="28" customWidth="1"/>
    <col min="11772" max="11772" width="5.54296875" style="28" customWidth="1"/>
    <col min="11773" max="11773" width="9" style="28" customWidth="1"/>
    <col min="11774" max="11775" width="9.81640625" style="28" customWidth="1"/>
    <col min="11776" max="11776" width="11.1796875" style="28" customWidth="1"/>
    <col min="11777" max="11777" width="2.81640625" style="28" customWidth="1"/>
    <col min="11778" max="11778" width="3.54296875" style="28" customWidth="1"/>
    <col min="11779" max="12023" width="9.1796875" style="28"/>
    <col min="12024" max="12024" width="8.54296875" style="28" customWidth="1"/>
    <col min="12025" max="12025" width="9.81640625" style="28" customWidth="1"/>
    <col min="12026" max="12026" width="14.453125" style="28" customWidth="1"/>
    <col min="12027" max="12027" width="7.453125" style="28" customWidth="1"/>
    <col min="12028" max="12028" width="5.54296875" style="28" customWidth="1"/>
    <col min="12029" max="12029" width="9" style="28" customWidth="1"/>
    <col min="12030" max="12031" width="9.81640625" style="28" customWidth="1"/>
    <col min="12032" max="12032" width="11.1796875" style="28" customWidth="1"/>
    <col min="12033" max="12033" width="2.81640625" style="28" customWidth="1"/>
    <col min="12034" max="12034" width="3.54296875" style="28" customWidth="1"/>
    <col min="12035" max="12279" width="9.1796875" style="28"/>
    <col min="12280" max="12280" width="8.54296875" style="28" customWidth="1"/>
    <col min="12281" max="12281" width="9.81640625" style="28" customWidth="1"/>
    <col min="12282" max="12282" width="14.453125" style="28" customWidth="1"/>
    <col min="12283" max="12283" width="7.453125" style="28" customWidth="1"/>
    <col min="12284" max="12284" width="5.54296875" style="28" customWidth="1"/>
    <col min="12285" max="12285" width="9" style="28" customWidth="1"/>
    <col min="12286" max="12287" width="9.81640625" style="28" customWidth="1"/>
    <col min="12288" max="12288" width="11.1796875" style="28" customWidth="1"/>
    <col min="12289" max="12289" width="2.81640625" style="28" customWidth="1"/>
    <col min="12290" max="12290" width="3.54296875" style="28" customWidth="1"/>
    <col min="12291" max="12535" width="9.1796875" style="28"/>
    <col min="12536" max="12536" width="8.54296875" style="28" customWidth="1"/>
    <col min="12537" max="12537" width="9.81640625" style="28" customWidth="1"/>
    <col min="12538" max="12538" width="14.453125" style="28" customWidth="1"/>
    <col min="12539" max="12539" width="7.453125" style="28" customWidth="1"/>
    <col min="12540" max="12540" width="5.54296875" style="28" customWidth="1"/>
    <col min="12541" max="12541" width="9" style="28" customWidth="1"/>
    <col min="12542" max="12543" width="9.81640625" style="28" customWidth="1"/>
    <col min="12544" max="12544" width="11.1796875" style="28" customWidth="1"/>
    <col min="12545" max="12545" width="2.81640625" style="28" customWidth="1"/>
    <col min="12546" max="12546" width="3.54296875" style="28" customWidth="1"/>
    <col min="12547" max="12791" width="9.1796875" style="28"/>
    <col min="12792" max="12792" width="8.54296875" style="28" customWidth="1"/>
    <col min="12793" max="12793" width="9.81640625" style="28" customWidth="1"/>
    <col min="12794" max="12794" width="14.453125" style="28" customWidth="1"/>
    <col min="12795" max="12795" width="7.453125" style="28" customWidth="1"/>
    <col min="12796" max="12796" width="5.54296875" style="28" customWidth="1"/>
    <col min="12797" max="12797" width="9" style="28" customWidth="1"/>
    <col min="12798" max="12799" width="9.81640625" style="28" customWidth="1"/>
    <col min="12800" max="12800" width="11.1796875" style="28" customWidth="1"/>
    <col min="12801" max="12801" width="2.81640625" style="28" customWidth="1"/>
    <col min="12802" max="12802" width="3.54296875" style="28" customWidth="1"/>
    <col min="12803" max="13047" width="9.1796875" style="28"/>
    <col min="13048" max="13048" width="8.54296875" style="28" customWidth="1"/>
    <col min="13049" max="13049" width="9.81640625" style="28" customWidth="1"/>
    <col min="13050" max="13050" width="14.453125" style="28" customWidth="1"/>
    <col min="13051" max="13051" width="7.453125" style="28" customWidth="1"/>
    <col min="13052" max="13052" width="5.54296875" style="28" customWidth="1"/>
    <col min="13053" max="13053" width="9" style="28" customWidth="1"/>
    <col min="13054" max="13055" width="9.81640625" style="28" customWidth="1"/>
    <col min="13056" max="13056" width="11.1796875" style="28" customWidth="1"/>
    <col min="13057" max="13057" width="2.81640625" style="28" customWidth="1"/>
    <col min="13058" max="13058" width="3.54296875" style="28" customWidth="1"/>
    <col min="13059" max="13303" width="9.1796875" style="28"/>
    <col min="13304" max="13304" width="8.54296875" style="28" customWidth="1"/>
    <col min="13305" max="13305" width="9.81640625" style="28" customWidth="1"/>
    <col min="13306" max="13306" width="14.453125" style="28" customWidth="1"/>
    <col min="13307" max="13307" width="7.453125" style="28" customWidth="1"/>
    <col min="13308" max="13308" width="5.54296875" style="28" customWidth="1"/>
    <col min="13309" max="13309" width="9" style="28" customWidth="1"/>
    <col min="13310" max="13311" width="9.81640625" style="28" customWidth="1"/>
    <col min="13312" max="13312" width="11.1796875" style="28" customWidth="1"/>
    <col min="13313" max="13313" width="2.81640625" style="28" customWidth="1"/>
    <col min="13314" max="13314" width="3.54296875" style="28" customWidth="1"/>
    <col min="13315" max="13559" width="9.1796875" style="28"/>
    <col min="13560" max="13560" width="8.54296875" style="28" customWidth="1"/>
    <col min="13561" max="13561" width="9.81640625" style="28" customWidth="1"/>
    <col min="13562" max="13562" width="14.453125" style="28" customWidth="1"/>
    <col min="13563" max="13563" width="7.453125" style="28" customWidth="1"/>
    <col min="13564" max="13564" width="5.54296875" style="28" customWidth="1"/>
    <col min="13565" max="13565" width="9" style="28" customWidth="1"/>
    <col min="13566" max="13567" width="9.81640625" style="28" customWidth="1"/>
    <col min="13568" max="13568" width="11.1796875" style="28" customWidth="1"/>
    <col min="13569" max="13569" width="2.81640625" style="28" customWidth="1"/>
    <col min="13570" max="13570" width="3.54296875" style="28" customWidth="1"/>
    <col min="13571" max="13815" width="9.1796875" style="28"/>
    <col min="13816" max="13816" width="8.54296875" style="28" customWidth="1"/>
    <col min="13817" max="13817" width="9.81640625" style="28" customWidth="1"/>
    <col min="13818" max="13818" width="14.453125" style="28" customWidth="1"/>
    <col min="13819" max="13819" width="7.453125" style="28" customWidth="1"/>
    <col min="13820" max="13820" width="5.54296875" style="28" customWidth="1"/>
    <col min="13821" max="13821" width="9" style="28" customWidth="1"/>
    <col min="13822" max="13823" width="9.81640625" style="28" customWidth="1"/>
    <col min="13824" max="13824" width="11.1796875" style="28" customWidth="1"/>
    <col min="13825" max="13825" width="2.81640625" style="28" customWidth="1"/>
    <col min="13826" max="13826" width="3.54296875" style="28" customWidth="1"/>
    <col min="13827" max="14071" width="9.1796875" style="28"/>
    <col min="14072" max="14072" width="8.54296875" style="28" customWidth="1"/>
    <col min="14073" max="14073" width="9.81640625" style="28" customWidth="1"/>
    <col min="14074" max="14074" width="14.453125" style="28" customWidth="1"/>
    <col min="14075" max="14075" width="7.453125" style="28" customWidth="1"/>
    <col min="14076" max="14076" width="5.54296875" style="28" customWidth="1"/>
    <col min="14077" max="14077" width="9" style="28" customWidth="1"/>
    <col min="14078" max="14079" width="9.81640625" style="28" customWidth="1"/>
    <col min="14080" max="14080" width="11.1796875" style="28" customWidth="1"/>
    <col min="14081" max="14081" width="2.81640625" style="28" customWidth="1"/>
    <col min="14082" max="14082" width="3.54296875" style="28" customWidth="1"/>
    <col min="14083" max="14327" width="9.1796875" style="28"/>
    <col min="14328" max="14328" width="8.54296875" style="28" customWidth="1"/>
    <col min="14329" max="14329" width="9.81640625" style="28" customWidth="1"/>
    <col min="14330" max="14330" width="14.453125" style="28" customWidth="1"/>
    <col min="14331" max="14331" width="7.453125" style="28" customWidth="1"/>
    <col min="14332" max="14332" width="5.54296875" style="28" customWidth="1"/>
    <col min="14333" max="14333" width="9" style="28" customWidth="1"/>
    <col min="14334" max="14335" width="9.81640625" style="28" customWidth="1"/>
    <col min="14336" max="14336" width="11.1796875" style="28" customWidth="1"/>
    <col min="14337" max="14337" width="2.81640625" style="28" customWidth="1"/>
    <col min="14338" max="14338" width="3.54296875" style="28" customWidth="1"/>
    <col min="14339" max="14583" width="9.1796875" style="28"/>
    <col min="14584" max="14584" width="8.54296875" style="28" customWidth="1"/>
    <col min="14585" max="14585" width="9.81640625" style="28" customWidth="1"/>
    <col min="14586" max="14586" width="14.453125" style="28" customWidth="1"/>
    <col min="14587" max="14587" width="7.453125" style="28" customWidth="1"/>
    <col min="14588" max="14588" width="5.54296875" style="28" customWidth="1"/>
    <col min="14589" max="14589" width="9" style="28" customWidth="1"/>
    <col min="14590" max="14591" width="9.81640625" style="28" customWidth="1"/>
    <col min="14592" max="14592" width="11.1796875" style="28" customWidth="1"/>
    <col min="14593" max="14593" width="2.81640625" style="28" customWidth="1"/>
    <col min="14594" max="14594" width="3.54296875" style="28" customWidth="1"/>
    <col min="14595" max="14839" width="9.1796875" style="28"/>
    <col min="14840" max="14840" width="8.54296875" style="28" customWidth="1"/>
    <col min="14841" max="14841" width="9.81640625" style="28" customWidth="1"/>
    <col min="14842" max="14842" width="14.453125" style="28" customWidth="1"/>
    <col min="14843" max="14843" width="7.453125" style="28" customWidth="1"/>
    <col min="14844" max="14844" width="5.54296875" style="28" customWidth="1"/>
    <col min="14845" max="14845" width="9" style="28" customWidth="1"/>
    <col min="14846" max="14847" width="9.81640625" style="28" customWidth="1"/>
    <col min="14848" max="14848" width="11.1796875" style="28" customWidth="1"/>
    <col min="14849" max="14849" width="2.81640625" style="28" customWidth="1"/>
    <col min="14850" max="14850" width="3.54296875" style="28" customWidth="1"/>
    <col min="14851" max="15095" width="9.1796875" style="28"/>
    <col min="15096" max="15096" width="8.54296875" style="28" customWidth="1"/>
    <col min="15097" max="15097" width="9.81640625" style="28" customWidth="1"/>
    <col min="15098" max="15098" width="14.453125" style="28" customWidth="1"/>
    <col min="15099" max="15099" width="7.453125" style="28" customWidth="1"/>
    <col min="15100" max="15100" width="5.54296875" style="28" customWidth="1"/>
    <col min="15101" max="15101" width="9" style="28" customWidth="1"/>
    <col min="15102" max="15103" width="9.81640625" style="28" customWidth="1"/>
    <col min="15104" max="15104" width="11.1796875" style="28" customWidth="1"/>
    <col min="15105" max="15105" width="2.81640625" style="28" customWidth="1"/>
    <col min="15106" max="15106" width="3.54296875" style="28" customWidth="1"/>
    <col min="15107" max="15351" width="9.1796875" style="28"/>
    <col min="15352" max="15352" width="8.54296875" style="28" customWidth="1"/>
    <col min="15353" max="15353" width="9.81640625" style="28" customWidth="1"/>
    <col min="15354" max="15354" width="14.453125" style="28" customWidth="1"/>
    <col min="15355" max="15355" width="7.453125" style="28" customWidth="1"/>
    <col min="15356" max="15356" width="5.54296875" style="28" customWidth="1"/>
    <col min="15357" max="15357" width="9" style="28" customWidth="1"/>
    <col min="15358" max="15359" width="9.81640625" style="28" customWidth="1"/>
    <col min="15360" max="15360" width="11.1796875" style="28" customWidth="1"/>
    <col min="15361" max="15361" width="2.81640625" style="28" customWidth="1"/>
    <col min="15362" max="15362" width="3.54296875" style="28" customWidth="1"/>
    <col min="15363" max="15607" width="9.1796875" style="28"/>
    <col min="15608" max="15608" width="8.54296875" style="28" customWidth="1"/>
    <col min="15609" max="15609" width="9.81640625" style="28" customWidth="1"/>
    <col min="15610" max="15610" width="14.453125" style="28" customWidth="1"/>
    <col min="15611" max="15611" width="7.453125" style="28" customWidth="1"/>
    <col min="15612" max="15612" width="5.54296875" style="28" customWidth="1"/>
    <col min="15613" max="15613" width="9" style="28" customWidth="1"/>
    <col min="15614" max="15615" width="9.81640625" style="28" customWidth="1"/>
    <col min="15616" max="15616" width="11.1796875" style="28" customWidth="1"/>
    <col min="15617" max="15617" width="2.81640625" style="28" customWidth="1"/>
    <col min="15618" max="15618" width="3.54296875" style="28" customWidth="1"/>
    <col min="15619" max="15863" width="9.1796875" style="28"/>
    <col min="15864" max="15864" width="8.54296875" style="28" customWidth="1"/>
    <col min="15865" max="15865" width="9.81640625" style="28" customWidth="1"/>
    <col min="15866" max="15866" width="14.453125" style="28" customWidth="1"/>
    <col min="15867" max="15867" width="7.453125" style="28" customWidth="1"/>
    <col min="15868" max="15868" width="5.54296875" style="28" customWidth="1"/>
    <col min="15869" max="15869" width="9" style="28" customWidth="1"/>
    <col min="15870" max="15871" width="9.81640625" style="28" customWidth="1"/>
    <col min="15872" max="15872" width="11.1796875" style="28" customWidth="1"/>
    <col min="15873" max="15873" width="2.81640625" style="28" customWidth="1"/>
    <col min="15874" max="15874" width="3.54296875" style="28" customWidth="1"/>
    <col min="15875" max="16119" width="9.1796875" style="28"/>
    <col min="16120" max="16120" width="8.54296875" style="28" customWidth="1"/>
    <col min="16121" max="16121" width="9.81640625" style="28" customWidth="1"/>
    <col min="16122" max="16122" width="14.453125" style="28" customWidth="1"/>
    <col min="16123" max="16123" width="7.453125" style="28" customWidth="1"/>
    <col min="16124" max="16124" width="5.54296875" style="28" customWidth="1"/>
    <col min="16125" max="16125" width="9" style="28" customWidth="1"/>
    <col min="16126" max="16127" width="9.81640625" style="28" customWidth="1"/>
    <col min="16128" max="16128" width="11.1796875" style="28" customWidth="1"/>
    <col min="16129" max="16129" width="2.81640625" style="28" customWidth="1"/>
    <col min="16130" max="16130" width="3.54296875" style="28" customWidth="1"/>
    <col min="16131" max="16384" width="9.1796875" style="28"/>
  </cols>
  <sheetData>
    <row r="1" spans="1:17" ht="46.5" customHeight="1" x14ac:dyDescent="0.35">
      <c r="A1" s="141" t="s">
        <v>228</v>
      </c>
      <c r="B1" s="142"/>
      <c r="C1" s="142"/>
      <c r="D1" s="142"/>
      <c r="E1" s="142"/>
      <c r="F1" s="142"/>
      <c r="G1" s="142"/>
      <c r="H1" s="143"/>
    </row>
    <row r="2" spans="1:17" ht="16.5" customHeight="1" x14ac:dyDescent="0.35">
      <c r="A2" s="124" t="s">
        <v>0</v>
      </c>
      <c r="B2" s="124"/>
      <c r="C2" s="124"/>
      <c r="D2" s="124"/>
      <c r="E2" s="124"/>
      <c r="F2" s="124"/>
      <c r="G2" s="124"/>
      <c r="H2" s="124"/>
    </row>
    <row r="3" spans="1:17" x14ac:dyDescent="0.35">
      <c r="A3" s="102" t="s">
        <v>1</v>
      </c>
      <c r="B3" s="102"/>
      <c r="C3" s="102"/>
      <c r="D3" s="102"/>
      <c r="E3" s="144" t="str">
        <f ca="1">TEXT(TODAY(),"DD/MM/YYYY")</f>
        <v>07/08/2025</v>
      </c>
      <c r="F3" s="145"/>
      <c r="G3" s="145"/>
      <c r="H3" s="146"/>
    </row>
    <row r="4" spans="1:17" ht="15" customHeight="1" x14ac:dyDescent="0.35">
      <c r="A4" s="102" t="s">
        <v>2</v>
      </c>
      <c r="B4" s="102"/>
      <c r="C4" s="102"/>
      <c r="D4" s="102"/>
      <c r="E4" s="134" t="s">
        <v>169</v>
      </c>
      <c r="F4" s="134"/>
      <c r="G4" s="134"/>
      <c r="H4" s="134"/>
    </row>
    <row r="5" spans="1:17" x14ac:dyDescent="0.35">
      <c r="A5" s="102" t="s">
        <v>3</v>
      </c>
      <c r="B5" s="102"/>
      <c r="C5" s="102"/>
      <c r="D5" s="102"/>
      <c r="E5" s="147">
        <v>45876</v>
      </c>
      <c r="F5" s="147"/>
      <c r="G5" s="147"/>
      <c r="H5" s="147"/>
    </row>
    <row r="6" spans="1:17" ht="16.5" customHeight="1" x14ac:dyDescent="0.35">
      <c r="A6" s="102" t="s">
        <v>4</v>
      </c>
      <c r="B6" s="102"/>
      <c r="C6" s="102"/>
      <c r="D6" s="102"/>
      <c r="E6" s="133" t="s">
        <v>190</v>
      </c>
      <c r="F6" s="133"/>
      <c r="G6" s="133"/>
      <c r="H6" s="133"/>
    </row>
    <row r="7" spans="1:17" ht="15" customHeight="1" x14ac:dyDescent="0.35">
      <c r="A7" s="102" t="s">
        <v>5</v>
      </c>
      <c r="B7" s="102"/>
      <c r="C7" s="102"/>
      <c r="D7" s="102"/>
      <c r="E7" s="133" t="str">
        <f>E6</f>
        <v>M/s.Sai Balaji Buildcon</v>
      </c>
      <c r="F7" s="133"/>
      <c r="G7" s="133"/>
      <c r="H7" s="133"/>
      <c r="I7" s="29"/>
      <c r="J7" s="29"/>
      <c r="K7" s="29"/>
      <c r="L7" s="29"/>
      <c r="M7" s="29"/>
      <c r="N7" s="29"/>
      <c r="O7" s="29"/>
      <c r="P7" s="29"/>
      <c r="Q7" s="29"/>
    </row>
    <row r="8" spans="1:17" x14ac:dyDescent="0.35">
      <c r="A8" s="102" t="s">
        <v>6</v>
      </c>
      <c r="B8" s="102"/>
      <c r="C8" s="102"/>
      <c r="D8" s="102"/>
      <c r="E8" s="129" t="s">
        <v>170</v>
      </c>
      <c r="F8" s="129"/>
      <c r="G8" s="129"/>
      <c r="H8" s="129"/>
      <c r="I8" s="29"/>
      <c r="J8" s="29"/>
      <c r="K8" s="29"/>
      <c r="L8" s="29"/>
      <c r="M8" s="29"/>
      <c r="N8" s="29"/>
      <c r="O8" s="29"/>
      <c r="P8" s="29"/>
      <c r="Q8" s="29"/>
    </row>
    <row r="9" spans="1:17" x14ac:dyDescent="0.35">
      <c r="A9" s="102" t="s">
        <v>131</v>
      </c>
      <c r="B9" s="102"/>
      <c r="C9" s="102"/>
      <c r="D9" s="102"/>
      <c r="E9" s="133" t="s">
        <v>187</v>
      </c>
      <c r="F9" s="102"/>
      <c r="G9" s="102"/>
      <c r="H9" s="102"/>
    </row>
    <row r="10" spans="1:17" ht="83" customHeight="1" x14ac:dyDescent="0.35">
      <c r="A10" s="135" t="s">
        <v>7</v>
      </c>
      <c r="B10" s="135"/>
      <c r="C10" s="135"/>
      <c r="D10" s="135"/>
      <c r="E10" s="132" t="s">
        <v>229</v>
      </c>
      <c r="F10" s="132"/>
      <c r="G10" s="132"/>
      <c r="H10" s="132"/>
      <c r="I10" s="29"/>
      <c r="J10" s="29"/>
      <c r="K10" s="29"/>
      <c r="L10" s="29"/>
      <c r="M10" s="29"/>
      <c r="N10" s="29"/>
      <c r="O10" s="29"/>
      <c r="P10" s="29"/>
      <c r="Q10" s="29"/>
    </row>
    <row r="11" spans="1:17" x14ac:dyDescent="0.35">
      <c r="A11" s="102" t="s">
        <v>8</v>
      </c>
      <c r="B11" s="102"/>
      <c r="C11" s="102"/>
      <c r="D11" s="102"/>
      <c r="E11" s="132" t="s">
        <v>171</v>
      </c>
      <c r="F11" s="132"/>
      <c r="G11" s="132"/>
      <c r="H11" s="132"/>
    </row>
    <row r="12" spans="1:17" x14ac:dyDescent="0.35">
      <c r="A12" s="102" t="s">
        <v>9</v>
      </c>
      <c r="B12" s="102"/>
      <c r="C12" s="102"/>
      <c r="D12" s="102"/>
      <c r="E12" s="132" t="s">
        <v>172</v>
      </c>
      <c r="F12" s="135"/>
      <c r="G12" s="135"/>
      <c r="H12" s="135"/>
    </row>
    <row r="13" spans="1:17" ht="54.75" customHeight="1" x14ac:dyDescent="0.35">
      <c r="A13" s="133" t="s">
        <v>10</v>
      </c>
      <c r="B13" s="133"/>
      <c r="C13" s="133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Balaji Estate Phase - 2, Survey No.18/5,6, S.No. 20, S.No. 41-1/4., near Janiv Ashram, Kalyan Shil road, Umbroli, Dombivali , Ambarnath, Thane - 421204.</v>
      </c>
      <c r="D13" s="133"/>
      <c r="E13" s="133"/>
      <c r="F13" s="133"/>
      <c r="G13" s="133"/>
      <c r="H13" s="133"/>
    </row>
    <row r="14" spans="1:17" x14ac:dyDescent="0.35">
      <c r="A14" s="132" t="s">
        <v>173</v>
      </c>
      <c r="B14" s="132"/>
      <c r="C14" s="132" t="s">
        <v>174</v>
      </c>
      <c r="D14" s="132"/>
      <c r="E14" s="132"/>
      <c r="F14" s="132"/>
      <c r="G14" s="132"/>
      <c r="H14" s="132"/>
    </row>
    <row r="15" spans="1:17" ht="15.75" customHeight="1" x14ac:dyDescent="0.35">
      <c r="A15" s="133" t="s">
        <v>11</v>
      </c>
      <c r="B15" s="133"/>
      <c r="C15" s="135" t="s">
        <v>178</v>
      </c>
      <c r="D15" s="135"/>
      <c r="E15" s="133" t="s">
        <v>79</v>
      </c>
      <c r="F15" s="133"/>
      <c r="G15" s="132" t="s">
        <v>175</v>
      </c>
      <c r="H15" s="132"/>
    </row>
    <row r="16" spans="1:17" x14ac:dyDescent="0.35">
      <c r="A16" s="102" t="s">
        <v>13</v>
      </c>
      <c r="B16" s="102"/>
      <c r="C16" s="132" t="s">
        <v>188</v>
      </c>
      <c r="D16" s="132"/>
      <c r="E16" s="133" t="s">
        <v>12</v>
      </c>
      <c r="F16" s="133"/>
      <c r="G16" s="136" t="s">
        <v>177</v>
      </c>
      <c r="H16" s="136"/>
    </row>
    <row r="17" spans="1:17" x14ac:dyDescent="0.35">
      <c r="A17" s="102" t="s">
        <v>80</v>
      </c>
      <c r="B17" s="102"/>
      <c r="C17" s="132" t="s">
        <v>176</v>
      </c>
      <c r="D17" s="132"/>
      <c r="E17" s="133" t="s">
        <v>14</v>
      </c>
      <c r="F17" s="133"/>
      <c r="G17" s="132">
        <v>421204</v>
      </c>
      <c r="H17" s="132"/>
    </row>
    <row r="18" spans="1:17" ht="32.25" customHeight="1" x14ac:dyDescent="0.35">
      <c r="A18" s="102" t="s">
        <v>132</v>
      </c>
      <c r="B18" s="102"/>
      <c r="C18" s="133" t="s">
        <v>179</v>
      </c>
      <c r="D18" s="133"/>
      <c r="E18" s="133" t="s">
        <v>15</v>
      </c>
      <c r="F18" s="133"/>
      <c r="G18" s="132" t="s">
        <v>189</v>
      </c>
      <c r="H18" s="132"/>
    </row>
    <row r="19" spans="1:17" ht="15" customHeight="1" x14ac:dyDescent="0.35">
      <c r="A19" s="133" t="s">
        <v>82</v>
      </c>
      <c r="B19" s="133"/>
      <c r="C19" s="133"/>
      <c r="D19" s="133"/>
      <c r="E19" s="135" t="s">
        <v>16</v>
      </c>
      <c r="F19" s="135"/>
      <c r="G19" s="135"/>
      <c r="H19" s="135"/>
    </row>
    <row r="20" spans="1:17" ht="18.75" customHeight="1" x14ac:dyDescent="0.35">
      <c r="A20" s="133"/>
      <c r="B20" s="133"/>
      <c r="C20" s="133"/>
      <c r="D20" s="133"/>
      <c r="E20" s="135"/>
      <c r="F20" s="135"/>
      <c r="G20" s="135"/>
      <c r="H20" s="135"/>
    </row>
    <row r="21" spans="1:17" ht="15" customHeight="1" x14ac:dyDescent="0.35">
      <c r="A21" s="133" t="s">
        <v>17</v>
      </c>
      <c r="B21" s="133"/>
      <c r="C21" s="133"/>
      <c r="D21" s="133"/>
      <c r="E21" s="132" t="s">
        <v>18</v>
      </c>
      <c r="F21" s="132"/>
      <c r="G21" s="132"/>
      <c r="H21" s="132"/>
    </row>
    <row r="22" spans="1:17" ht="15" customHeight="1" x14ac:dyDescent="0.35">
      <c r="A22" s="102" t="s">
        <v>19</v>
      </c>
      <c r="B22" s="102"/>
      <c r="C22" s="102"/>
      <c r="D22" s="102"/>
      <c r="E22" s="132" t="str">
        <f>IF(AND(G16="Mumbai"),"Upper Class","Middle Class")</f>
        <v>Middle Class</v>
      </c>
      <c r="F22" s="132"/>
      <c r="G22" s="132"/>
      <c r="H22" s="132"/>
    </row>
    <row r="23" spans="1:17" x14ac:dyDescent="0.35">
      <c r="A23" s="102" t="s">
        <v>20</v>
      </c>
      <c r="B23" s="102"/>
      <c r="C23" s="102"/>
      <c r="D23" s="102"/>
      <c r="E23" s="132" t="s">
        <v>21</v>
      </c>
      <c r="F23" s="132"/>
      <c r="G23" s="132"/>
      <c r="H23" s="132"/>
    </row>
    <row r="24" spans="1:17" ht="15.75" customHeight="1" x14ac:dyDescent="0.35">
      <c r="A24" s="102" t="s">
        <v>22</v>
      </c>
      <c r="B24" s="102"/>
      <c r="C24" s="102"/>
      <c r="D24" s="102"/>
      <c r="E24" s="132" t="str">
        <f>IF(AND(G16="Mumbai"),"Developed","Developing")</f>
        <v>Developing</v>
      </c>
      <c r="F24" s="132"/>
      <c r="G24" s="132"/>
      <c r="H24" s="132"/>
    </row>
    <row r="25" spans="1:17" x14ac:dyDescent="0.35">
      <c r="A25" s="102" t="s">
        <v>23</v>
      </c>
      <c r="B25" s="102"/>
      <c r="C25" s="102"/>
      <c r="D25" s="102"/>
      <c r="E25" s="132" t="s">
        <v>24</v>
      </c>
      <c r="F25" s="132"/>
      <c r="G25" s="132"/>
      <c r="H25" s="132"/>
      <c r="I25" s="31"/>
      <c r="J25" s="31"/>
      <c r="K25" s="31"/>
      <c r="L25" s="31"/>
      <c r="M25" s="31"/>
      <c r="N25" s="31"/>
      <c r="O25" s="31"/>
      <c r="P25" s="31"/>
      <c r="Q25" s="31"/>
    </row>
    <row r="26" spans="1:17" x14ac:dyDescent="0.35">
      <c r="A26" s="102" t="s">
        <v>87</v>
      </c>
      <c r="B26" s="102"/>
      <c r="C26" s="102"/>
      <c r="D26" s="102"/>
      <c r="E26" s="132" t="s">
        <v>88</v>
      </c>
      <c r="F26" s="132"/>
      <c r="G26" s="132"/>
      <c r="H26" s="132"/>
      <c r="I26" s="31"/>
      <c r="J26" s="31"/>
      <c r="K26" s="31"/>
      <c r="L26" s="31"/>
      <c r="M26" s="31"/>
      <c r="N26" s="31"/>
      <c r="O26" s="31"/>
      <c r="P26" s="31"/>
      <c r="Q26" s="31"/>
    </row>
    <row r="27" spans="1:17" ht="15" customHeight="1" x14ac:dyDescent="0.35">
      <c r="A27" s="133" t="s">
        <v>35</v>
      </c>
      <c r="B27" s="133"/>
      <c r="C27" s="133"/>
      <c r="D27" s="133"/>
      <c r="E27" s="134" t="s">
        <v>186</v>
      </c>
      <c r="F27" s="134"/>
      <c r="G27" s="134"/>
      <c r="H27" s="134"/>
    </row>
    <row r="28" spans="1:17" x14ac:dyDescent="0.35">
      <c r="A28" s="133" t="s">
        <v>99</v>
      </c>
      <c r="B28" s="133"/>
      <c r="C28" s="133"/>
      <c r="D28" s="133"/>
      <c r="E28" s="133" t="s">
        <v>36</v>
      </c>
      <c r="F28" s="133"/>
      <c r="G28" s="133"/>
      <c r="H28" s="133"/>
    </row>
    <row r="29" spans="1:17" s="29" customFormat="1" x14ac:dyDescent="0.35">
      <c r="A29" s="128" t="s">
        <v>100</v>
      </c>
      <c r="B29" s="128"/>
      <c r="C29" s="123" t="s">
        <v>29</v>
      </c>
      <c r="D29" s="123"/>
      <c r="E29" s="123"/>
      <c r="F29" s="123" t="s">
        <v>31</v>
      </c>
      <c r="G29" s="123"/>
      <c r="H29" s="123"/>
      <c r="I29" s="28"/>
      <c r="J29" s="28"/>
      <c r="K29" s="28"/>
      <c r="L29" s="28"/>
      <c r="M29" s="28"/>
      <c r="N29" s="28"/>
      <c r="O29" s="28"/>
      <c r="P29" s="28"/>
      <c r="Q29" s="28"/>
    </row>
    <row r="30" spans="1:17" s="29" customFormat="1" x14ac:dyDescent="0.35">
      <c r="A30" s="127" t="s">
        <v>25</v>
      </c>
      <c r="B30" s="127" t="s">
        <v>30</v>
      </c>
      <c r="C30" s="122" t="s">
        <v>30</v>
      </c>
      <c r="D30" s="122"/>
      <c r="E30" s="122"/>
      <c r="F30" s="122" t="s">
        <v>180</v>
      </c>
      <c r="G30" s="122"/>
      <c r="H30" s="122"/>
      <c r="I30" s="32"/>
      <c r="J30" s="28"/>
      <c r="K30" s="28"/>
      <c r="L30" s="28"/>
      <c r="M30" s="28"/>
      <c r="N30" s="28"/>
      <c r="O30" s="28"/>
      <c r="P30" s="28"/>
      <c r="Q30" s="28"/>
    </row>
    <row r="31" spans="1:17" x14ac:dyDescent="0.35">
      <c r="A31" s="127" t="s">
        <v>26</v>
      </c>
      <c r="B31" s="127" t="s">
        <v>30</v>
      </c>
      <c r="C31" s="122" t="s">
        <v>30</v>
      </c>
      <c r="D31" s="122"/>
      <c r="E31" s="122"/>
      <c r="F31" s="122" t="s">
        <v>180</v>
      </c>
      <c r="G31" s="122"/>
      <c r="H31" s="122"/>
    </row>
    <row r="32" spans="1:17" s="29" customFormat="1" x14ac:dyDescent="0.35">
      <c r="A32" s="127" t="s">
        <v>28</v>
      </c>
      <c r="B32" s="127" t="s">
        <v>30</v>
      </c>
      <c r="C32" s="122" t="s">
        <v>30</v>
      </c>
      <c r="D32" s="122"/>
      <c r="E32" s="122"/>
      <c r="F32" s="122" t="s">
        <v>181</v>
      </c>
      <c r="G32" s="122"/>
      <c r="H32" s="122"/>
      <c r="I32" s="28"/>
      <c r="J32" s="28"/>
      <c r="K32" s="28"/>
      <c r="L32" s="28"/>
      <c r="M32" s="28"/>
      <c r="N32" s="28"/>
      <c r="O32" s="28"/>
      <c r="P32" s="28"/>
      <c r="Q32" s="28"/>
    </row>
    <row r="33" spans="1:17" x14ac:dyDescent="0.35">
      <c r="A33" s="127" t="s">
        <v>27</v>
      </c>
      <c r="B33" s="127" t="s">
        <v>30</v>
      </c>
      <c r="C33" s="122" t="s">
        <v>30</v>
      </c>
      <c r="D33" s="122"/>
      <c r="E33" s="122"/>
      <c r="F33" s="122" t="s">
        <v>180</v>
      </c>
      <c r="G33" s="122"/>
      <c r="H33" s="122"/>
    </row>
    <row r="34" spans="1:17" x14ac:dyDescent="0.35">
      <c r="A34" s="102" t="s">
        <v>32</v>
      </c>
      <c r="B34" s="102"/>
      <c r="C34" s="102"/>
      <c r="D34" s="102"/>
      <c r="E34" s="102"/>
      <c r="F34" s="102"/>
      <c r="G34" s="102"/>
      <c r="H34" s="102"/>
    </row>
    <row r="35" spans="1:17" ht="15.75" customHeight="1" x14ac:dyDescent="0.35">
      <c r="A35" s="124" t="s">
        <v>33</v>
      </c>
      <c r="B35" s="124"/>
      <c r="C35" s="125">
        <v>19.181662899999999</v>
      </c>
      <c r="D35" s="125"/>
      <c r="E35" s="124" t="s">
        <v>34</v>
      </c>
      <c r="F35" s="124"/>
      <c r="G35" s="126">
        <v>73.103992000000005</v>
      </c>
      <c r="H35" s="126"/>
    </row>
    <row r="36" spans="1:17" ht="15.75" customHeight="1" x14ac:dyDescent="0.35">
      <c r="A36" s="124" t="s">
        <v>218</v>
      </c>
      <c r="B36" s="124"/>
      <c r="C36" s="130" t="s">
        <v>219</v>
      </c>
      <c r="D36" s="131"/>
      <c r="E36" s="131"/>
      <c r="F36" s="131"/>
      <c r="G36" s="131"/>
      <c r="H36" s="131"/>
    </row>
    <row r="37" spans="1:17" x14ac:dyDescent="0.35">
      <c r="A37" s="129" t="s">
        <v>37</v>
      </c>
      <c r="B37" s="129"/>
      <c r="C37" s="129"/>
      <c r="D37" s="129"/>
      <c r="E37" s="129"/>
      <c r="F37" s="129"/>
      <c r="G37" s="129"/>
      <c r="H37" s="129"/>
      <c r="J37" s="33"/>
      <c r="K37" s="32"/>
      <c r="N37" s="32"/>
    </row>
    <row r="38" spans="1:17" x14ac:dyDescent="0.35">
      <c r="A38" s="102" t="s">
        <v>38</v>
      </c>
      <c r="B38" s="102"/>
      <c r="C38" s="102"/>
      <c r="D38" s="102"/>
      <c r="E38" s="121">
        <v>10795.28</v>
      </c>
      <c r="F38" s="121"/>
      <c r="G38" s="121"/>
      <c r="H38" s="121"/>
      <c r="N38" s="32"/>
    </row>
    <row r="39" spans="1:17" x14ac:dyDescent="0.35">
      <c r="A39" s="102" t="s">
        <v>39</v>
      </c>
      <c r="B39" s="102"/>
      <c r="C39" s="102"/>
      <c r="D39" s="102"/>
      <c r="E39" s="148">
        <v>1.1000000000000001</v>
      </c>
      <c r="F39" s="148"/>
      <c r="G39" s="148"/>
      <c r="H39" s="148"/>
      <c r="J39" s="16"/>
      <c r="K39" s="16"/>
    </row>
    <row r="40" spans="1:17" x14ac:dyDescent="0.35">
      <c r="A40" s="102" t="s">
        <v>40</v>
      </c>
      <c r="B40" s="102"/>
      <c r="C40" s="102"/>
      <c r="D40" s="102"/>
      <c r="E40" s="148">
        <f>E42/E38-E39</f>
        <v>2.1267842983229706</v>
      </c>
      <c r="F40" s="148"/>
      <c r="G40" s="148"/>
      <c r="H40" s="148"/>
    </row>
    <row r="41" spans="1:17" x14ac:dyDescent="0.35">
      <c r="A41" s="135" t="s">
        <v>41</v>
      </c>
      <c r="B41" s="135"/>
      <c r="C41" s="135"/>
      <c r="D41" s="135"/>
      <c r="E41" s="149">
        <f>E39+E40</f>
        <v>3.2267842983229706</v>
      </c>
      <c r="F41" s="149"/>
      <c r="G41" s="149"/>
      <c r="H41" s="149"/>
      <c r="I41" s="34"/>
      <c r="J41" s="34"/>
      <c r="K41" s="34"/>
      <c r="L41" s="34"/>
      <c r="M41" s="34"/>
      <c r="N41" s="34"/>
    </row>
    <row r="42" spans="1:17" x14ac:dyDescent="0.35">
      <c r="A42" s="135" t="s">
        <v>98</v>
      </c>
      <c r="B42" s="135"/>
      <c r="C42" s="135"/>
      <c r="D42" s="135"/>
      <c r="E42" s="150">
        <v>34834.04</v>
      </c>
      <c r="F42" s="150"/>
      <c r="G42" s="150"/>
      <c r="H42" s="150"/>
      <c r="J42" s="16"/>
    </row>
    <row r="43" spans="1:17" x14ac:dyDescent="0.35">
      <c r="A43" s="135" t="s">
        <v>42</v>
      </c>
      <c r="B43" s="135"/>
      <c r="C43" s="135"/>
      <c r="D43" s="135"/>
      <c r="E43" s="135" t="s">
        <v>182</v>
      </c>
      <c r="F43" s="135"/>
      <c r="G43" s="135"/>
      <c r="H43" s="135"/>
    </row>
    <row r="44" spans="1:17" x14ac:dyDescent="0.35">
      <c r="A44" s="61" t="s">
        <v>43</v>
      </c>
      <c r="B44" s="61"/>
      <c r="C44" s="61"/>
      <c r="D44" s="61"/>
      <c r="E44" s="61"/>
      <c r="F44" s="61"/>
      <c r="G44" s="61"/>
      <c r="H44" s="61"/>
    </row>
    <row r="45" spans="1:17" ht="33.75" customHeight="1" x14ac:dyDescent="0.35">
      <c r="A45" s="96" t="s">
        <v>162</v>
      </c>
      <c r="B45" s="97"/>
      <c r="C45" s="98" t="s">
        <v>183</v>
      </c>
      <c r="D45" s="99"/>
      <c r="E45" s="99"/>
      <c r="F45" s="99"/>
      <c r="G45" s="99"/>
      <c r="H45" s="100"/>
    </row>
    <row r="46" spans="1:17" ht="30.75" customHeight="1" x14ac:dyDescent="0.35">
      <c r="A46" s="132" t="s">
        <v>44</v>
      </c>
      <c r="B46" s="132"/>
      <c r="C46" s="132" t="s">
        <v>212</v>
      </c>
      <c r="D46" s="132"/>
      <c r="E46" s="132"/>
      <c r="F46" s="24" t="s">
        <v>45</v>
      </c>
      <c r="G46" s="140">
        <v>45055</v>
      </c>
      <c r="H46" s="140"/>
    </row>
    <row r="47" spans="1:17" ht="33" customHeight="1" x14ac:dyDescent="0.35">
      <c r="A47" s="135" t="s">
        <v>46</v>
      </c>
      <c r="B47" s="135"/>
      <c r="C47" s="132" t="str">
        <f>C46</f>
        <v>KDMC/TPD/BP/27Villages/2019-20/16/62</v>
      </c>
      <c r="D47" s="132"/>
      <c r="E47" s="132"/>
      <c r="F47" s="24" t="s">
        <v>45</v>
      </c>
      <c r="G47" s="140">
        <f>G46</f>
        <v>45055</v>
      </c>
      <c r="H47" s="140"/>
    </row>
    <row r="48" spans="1:17" s="31" customFormat="1" ht="30" customHeight="1" x14ac:dyDescent="0.35">
      <c r="A48" s="132" t="s">
        <v>223</v>
      </c>
      <c r="B48" s="132"/>
      <c r="C48" s="132" t="str">
        <f>C47</f>
        <v>KDMC/TPD/BP/27Villages/2019-20/16/62</v>
      </c>
      <c r="D48" s="135"/>
      <c r="E48" s="135"/>
      <c r="F48" s="30" t="s">
        <v>45</v>
      </c>
      <c r="G48" s="140">
        <f>G47</f>
        <v>45055</v>
      </c>
      <c r="H48" s="140"/>
      <c r="L48" s="28"/>
      <c r="M48" s="28"/>
      <c r="N48" s="28"/>
      <c r="O48" s="28"/>
      <c r="P48" s="28"/>
      <c r="Q48" s="28"/>
    </row>
    <row r="49" spans="1:17" s="31" customFormat="1" ht="48.75" customHeight="1" x14ac:dyDescent="0.35">
      <c r="A49" s="132"/>
      <c r="B49" s="132"/>
      <c r="C49" s="96" t="s">
        <v>213</v>
      </c>
      <c r="D49" s="165"/>
      <c r="E49" s="165"/>
      <c r="F49" s="165"/>
      <c r="G49" s="165"/>
      <c r="H49" s="97"/>
      <c r="L49" s="28"/>
      <c r="M49" s="28"/>
      <c r="N49" s="28"/>
      <c r="O49" s="28"/>
      <c r="P49" s="28"/>
      <c r="Q49" s="28"/>
    </row>
    <row r="50" spans="1:17" x14ac:dyDescent="0.35">
      <c r="A50" s="60" t="s">
        <v>47</v>
      </c>
      <c r="B50" s="60"/>
      <c r="C50" s="60" t="s">
        <v>115</v>
      </c>
      <c r="D50" s="61"/>
      <c r="E50" s="61" t="s">
        <v>48</v>
      </c>
      <c r="F50" s="26" t="s">
        <v>45</v>
      </c>
      <c r="G50" s="164" t="s">
        <v>30</v>
      </c>
      <c r="H50" s="164"/>
    </row>
    <row r="51" spans="1:17" x14ac:dyDescent="0.35">
      <c r="A51" s="183" t="s">
        <v>50</v>
      </c>
      <c r="B51" s="183"/>
      <c r="C51" s="183"/>
      <c r="D51" s="183"/>
      <c r="E51" s="183"/>
      <c r="F51" s="183"/>
      <c r="G51" s="183"/>
      <c r="H51" s="183"/>
    </row>
    <row r="52" spans="1:17" x14ac:dyDescent="0.35">
      <c r="A52" s="133" t="s">
        <v>97</v>
      </c>
      <c r="B52" s="133"/>
      <c r="C52" s="133"/>
      <c r="D52" s="102">
        <f>E42</f>
        <v>34834.04</v>
      </c>
      <c r="E52" s="102"/>
      <c r="F52" s="102"/>
      <c r="G52" s="102"/>
      <c r="H52" s="102"/>
    </row>
    <row r="53" spans="1:17" x14ac:dyDescent="0.35">
      <c r="A53" s="132" t="s">
        <v>51</v>
      </c>
      <c r="B53" s="135"/>
      <c r="C53" s="135"/>
      <c r="D53" s="135" t="s">
        <v>217</v>
      </c>
      <c r="E53" s="135"/>
      <c r="F53" s="135"/>
      <c r="G53" s="135"/>
      <c r="H53" s="135"/>
    </row>
    <row r="54" spans="1:17" ht="48" customHeight="1" x14ac:dyDescent="0.35">
      <c r="A54" s="137" t="s">
        <v>52</v>
      </c>
      <c r="B54" s="138"/>
      <c r="C54" s="139"/>
      <c r="D54" s="132" t="s">
        <v>213</v>
      </c>
      <c r="E54" s="135"/>
      <c r="F54" s="135"/>
      <c r="G54" s="135"/>
      <c r="H54" s="135"/>
    </row>
    <row r="55" spans="1:17" ht="15.75" customHeight="1" x14ac:dyDescent="0.35">
      <c r="A55" s="132" t="s">
        <v>95</v>
      </c>
      <c r="B55" s="132"/>
      <c r="C55" s="132"/>
      <c r="D55" s="58" t="s">
        <v>209</v>
      </c>
      <c r="E55" s="58"/>
      <c r="F55" s="58"/>
      <c r="G55" s="58"/>
      <c r="H55" s="58"/>
    </row>
    <row r="56" spans="1:17" ht="15.75" customHeight="1" x14ac:dyDescent="0.35">
      <c r="A56" s="132"/>
      <c r="B56" s="132"/>
      <c r="C56" s="132"/>
      <c r="D56" s="58" t="s">
        <v>224</v>
      </c>
      <c r="E56" s="58"/>
      <c r="F56" s="58"/>
      <c r="G56" s="58"/>
      <c r="H56" s="59"/>
    </row>
    <row r="57" spans="1:17" ht="15.75" customHeight="1" x14ac:dyDescent="0.35">
      <c r="A57" s="132"/>
      <c r="B57" s="132"/>
      <c r="C57" s="132"/>
      <c r="D57" s="58" t="s">
        <v>225</v>
      </c>
      <c r="E57" s="58"/>
      <c r="F57" s="58"/>
      <c r="G57" s="58"/>
      <c r="H57" s="59"/>
    </row>
    <row r="58" spans="1:17" ht="15.75" customHeight="1" x14ac:dyDescent="0.35">
      <c r="A58" s="132"/>
      <c r="B58" s="132"/>
      <c r="C58" s="132"/>
      <c r="D58" s="58" t="s">
        <v>211</v>
      </c>
      <c r="E58" s="58"/>
      <c r="F58" s="58"/>
      <c r="G58" s="58"/>
      <c r="H58" s="59"/>
    </row>
    <row r="59" spans="1:17" ht="15.75" customHeight="1" x14ac:dyDescent="0.35">
      <c r="A59" s="132"/>
      <c r="B59" s="132"/>
      <c r="C59" s="132"/>
      <c r="D59" s="58" t="s">
        <v>184</v>
      </c>
      <c r="E59" s="58"/>
      <c r="F59" s="58"/>
      <c r="G59" s="58"/>
      <c r="H59" s="59"/>
    </row>
    <row r="60" spans="1:17" ht="15.75" customHeight="1" x14ac:dyDescent="0.35">
      <c r="A60" s="102" t="s">
        <v>49</v>
      </c>
      <c r="B60" s="102"/>
      <c r="C60" s="102"/>
      <c r="D60" s="132" t="s">
        <v>185</v>
      </c>
      <c r="E60" s="132"/>
      <c r="F60" s="132"/>
      <c r="G60" s="132"/>
      <c r="H60" s="132"/>
    </row>
    <row r="61" spans="1:17" ht="15.75" customHeight="1" x14ac:dyDescent="0.35">
      <c r="A61" s="102" t="s">
        <v>93</v>
      </c>
      <c r="B61" s="102"/>
      <c r="C61" s="102"/>
      <c r="D61" s="151" t="str">
        <f>(IF(G50="NA","60 Years After Completion",IF(G50&lt;&gt;"NA",""&amp;60-ROUNDDOWN((E3-G50)/360,0)&amp;" Years"," ")))</f>
        <v>60 Years After Completion</v>
      </c>
      <c r="E61" s="151"/>
      <c r="F61" s="151"/>
      <c r="G61" s="151"/>
      <c r="H61" s="151"/>
    </row>
    <row r="62" spans="1:17" ht="15.75" customHeight="1" x14ac:dyDescent="0.35">
      <c r="A62" s="102" t="s">
        <v>94</v>
      </c>
      <c r="B62" s="102"/>
      <c r="C62" s="102"/>
      <c r="D62" s="132" t="s">
        <v>24</v>
      </c>
      <c r="E62" s="132"/>
      <c r="F62" s="132"/>
      <c r="G62" s="132"/>
      <c r="H62" s="132"/>
    </row>
    <row r="63" spans="1:17" ht="15" hidden="1" customHeight="1" x14ac:dyDescent="0.35">
      <c r="A63" s="102" t="s">
        <v>81</v>
      </c>
      <c r="B63" s="102"/>
      <c r="C63" s="102"/>
      <c r="D63" s="132" t="s">
        <v>158</v>
      </c>
      <c r="E63" s="133"/>
      <c r="F63" s="133"/>
      <c r="G63" s="133"/>
      <c r="H63" s="133"/>
    </row>
    <row r="64" spans="1:17" x14ac:dyDescent="0.35">
      <c r="A64" s="133" t="s">
        <v>159</v>
      </c>
      <c r="B64" s="133"/>
      <c r="C64" s="133"/>
      <c r="D64" s="133" t="s">
        <v>30</v>
      </c>
      <c r="E64" s="133"/>
      <c r="F64" s="133"/>
      <c r="G64" s="133"/>
      <c r="H64" s="133"/>
    </row>
    <row r="65" spans="1:10" ht="15.75" customHeight="1" x14ac:dyDescent="0.35">
      <c r="A65" s="171" t="s">
        <v>92</v>
      </c>
      <c r="B65" s="171"/>
      <c r="C65" s="171"/>
      <c r="D65" s="172" t="str">
        <f ca="1">(IF(G71&gt;95%,"Nothing",IF(G71&gt;0%,"Cement, Aggregate, Steel, etc",IF(G71=0%,"Work not yet Started"))))</f>
        <v>Cement, Aggregate, Steel, etc</v>
      </c>
      <c r="E65" s="172"/>
      <c r="F65" s="172"/>
      <c r="G65" s="172"/>
      <c r="H65" s="172"/>
    </row>
    <row r="66" spans="1:10" ht="33.75" customHeight="1" thickBot="1" x14ac:dyDescent="0.4">
      <c r="A66" s="173" t="s">
        <v>128</v>
      </c>
      <c r="B66" s="173"/>
      <c r="C66" s="173"/>
      <c r="D66" s="172" t="str">
        <f ca="1">(IF(D65="Nothing","Yes",IF(D65="Cement, Aggregate, Steel, etc","Under Construction",IF(D65="Work not yet Started","Work not yet Started"))))</f>
        <v>Under Construction</v>
      </c>
      <c r="E66" s="172"/>
      <c r="F66" s="172" t="str">
        <f ca="1">(IF(D65="Nothing","Yes",IF(D65="Cement, Aggregate, Steel, etc","Under Construction",IF(D65="Work not yet Started","Work not yet Started"))))</f>
        <v>Under Construction</v>
      </c>
      <c r="G66" s="172"/>
      <c r="H66" s="172"/>
    </row>
    <row r="67" spans="1:10" ht="15.75" customHeight="1" x14ac:dyDescent="0.35">
      <c r="A67" s="166" t="s">
        <v>150</v>
      </c>
      <c r="B67" s="167"/>
      <c r="C67" s="168" t="str">
        <f>D55</f>
        <v>Building No. 2 (A Wing) - G/St + 1st to 21st Floor</v>
      </c>
      <c r="D67" s="169"/>
      <c r="E67" s="169"/>
      <c r="F67" s="169"/>
      <c r="G67" s="169"/>
      <c r="H67" s="170"/>
      <c r="I67" s="15" t="str">
        <f ca="1">(IF(E71&gt;99%,"All work completed. Please provide OC.",IF(E71&gt;89.8%,"Plinth, RCC, Brick, Plaster, Flooring, Painting work Completed. Finishing work is in process.",IF(E71&lt;94%,(IF(C71=0,"Work not yet Started.",IF(D71=25%,"Piling work in process",IF(D71=50%,"Excavation work in process",IF(D71=100%,"Excavation work Completed. ","0")))&amp;(IF(C72=0%,"",IF(C72=J73,"Footing work is process",IF(C72=J74,"Footing work Completed",IF(C72=J75,"1st Basement Completed",IF(C72=J76,"1st &amp; 2nd Basement Completed",IF(C72=J77,"1st to 3rd Basement Completed",IF(C72=J78,"1st to 4th Basement Completed",IF(C72=J79,"Plinth work is process",IF(C72=J80,"Plinth work completed","0")))))))))))&amp;(IF(C73=(D68+F68+H68),", RCC Slab Completed",IF(C73&gt;0,", RCC upto "&amp;C73&amp;" Slab Completed",""))&amp;(IF(C74=H68,", Brickwork Completed",IF(C74&gt;0,", Brickwork upto "&amp;C74&amp;" Floor Completed",""))&amp;(IF(C75=H68,", Internal Plaster Completed",IF(C75&gt;0,", Internal Plaster upto "&amp;C75&amp;" Floor Completed",""))&amp;(IF(C76=H68,", External Plaster Completed",IF(C76&gt;0,", External Plaster upto "&amp;C76&amp;" Floor Completed",""))&amp;(IF(C77=H68,", Flooring Completed",IF(C77&gt;0,", Flooring upto "&amp;C77&amp;" Floor Completed",""))&amp;(IF(C78=H68,", Painting Completed",IF(C78&gt;0,", Painting upto "&amp;C78&amp;" Floor Completed",""))&amp;(IF(C79&gt;0,", Finishing upto "&amp;C79&amp;" Floor Completed","")&amp;(IF(C73&gt;0.5,".",""))))))))))))))</f>
        <v>Excavation work Completed. Plinth work completed, RCC upto 13 Slab Completed, Brickwork upto 12 Floor Completed, Internal Plaster upto 9 Floor Completed, External Plaster upto 8.4 Floor Completed.</v>
      </c>
      <c r="J67" s="35"/>
    </row>
    <row r="68" spans="1:10" x14ac:dyDescent="0.35">
      <c r="A68" s="18" t="s">
        <v>152</v>
      </c>
      <c r="B68" s="27">
        <v>0</v>
      </c>
      <c r="C68" s="27" t="s">
        <v>78</v>
      </c>
      <c r="D68" s="27">
        <v>1</v>
      </c>
      <c r="E68" s="27" t="s">
        <v>77</v>
      </c>
      <c r="F68" s="27">
        <v>0</v>
      </c>
      <c r="G68" s="27" t="s">
        <v>86</v>
      </c>
      <c r="H68" s="19">
        <f ca="1">--TRIM(RIGHT(SUBSTITUTE(LEFT(C67,_xlfn.AGGREGATE(16,6,FIND({0,1,2,3,4,5,6,7,8,9},C67,ROW(INDIRECT("1:"&amp;LEN(C67)))),1))," ",REPT(" ",LEN(C67))),LEN(C67)))</f>
        <v>21</v>
      </c>
      <c r="I68" s="16"/>
      <c r="J68" s="36"/>
    </row>
    <row r="69" spans="1:10" ht="48" customHeight="1" x14ac:dyDescent="0.35">
      <c r="A69" s="64" t="s">
        <v>96</v>
      </c>
      <c r="B69" s="61"/>
      <c r="C69" s="60" t="str">
        <f ca="1">(IF($G$50="NA",I67,"All work Completed. OC Received."))</f>
        <v>Excavation work Completed. Plinth work completed, RCC upto 13 Slab Completed, Brickwork upto 12 Floor Completed, Internal Plaster upto 9 Floor Completed, External Plaster upto 8.4 Floor Completed.</v>
      </c>
      <c r="D69" s="60"/>
      <c r="E69" s="60"/>
      <c r="F69" s="60"/>
      <c r="G69" s="60"/>
      <c r="H69" s="65"/>
      <c r="I69" s="16" t="s">
        <v>114</v>
      </c>
      <c r="J69" s="36"/>
    </row>
    <row r="70" spans="1:10" ht="15.75" customHeight="1" x14ac:dyDescent="0.35">
      <c r="A70" s="66" t="s">
        <v>53</v>
      </c>
      <c r="B70" s="62"/>
      <c r="C70" s="22" t="s">
        <v>149</v>
      </c>
      <c r="D70" s="22" t="s">
        <v>89</v>
      </c>
      <c r="E70" s="62" t="s">
        <v>91</v>
      </c>
      <c r="F70" s="62"/>
      <c r="G70" s="62" t="s">
        <v>90</v>
      </c>
      <c r="H70" s="75"/>
      <c r="I70" s="14" t="s">
        <v>151</v>
      </c>
      <c r="J70" s="37">
        <f ca="1">H68*25%</f>
        <v>5.25</v>
      </c>
    </row>
    <row r="71" spans="1:10" x14ac:dyDescent="0.35">
      <c r="A71" s="66" t="s">
        <v>138</v>
      </c>
      <c r="B71" s="62"/>
      <c r="C71" s="38">
        <f ca="1">J72</f>
        <v>21</v>
      </c>
      <c r="D71" s="39">
        <f ca="1">((100/H68)*C71)/100</f>
        <v>1</v>
      </c>
      <c r="E71" s="63">
        <f ca="1">(((C72/H68*10)+(40/(D68+F68+H68)*C73)+(7.5/(H68)*C74)+(7.5/(H68)*C75)+(10/H68*C76)+(10/H68*C77)+(5/H68*C78)+(5/H68*C79)+(5/H68*C80))/100)</f>
        <v>0.45136363636363641</v>
      </c>
      <c r="F71" s="63"/>
      <c r="G71" s="63">
        <f ca="1">((((C71/H68)*20)+((C72/H68)*25)+(30/(H68+F68+D68)*C73)+(5/H68*C74)+(5/H68*C75)+(5/H68*C76)+(5/H68*C77)+(0/H68*C78)+(0/H68*C79)+(5/H68*C80))/100)</f>
        <v>0.69727272727272716</v>
      </c>
      <c r="H71" s="77"/>
      <c r="I71" s="14" t="s">
        <v>109</v>
      </c>
      <c r="J71" s="40">
        <f ca="1">H68*50%</f>
        <v>10.5</v>
      </c>
    </row>
    <row r="72" spans="1:10" x14ac:dyDescent="0.35">
      <c r="A72" s="66" t="s">
        <v>54</v>
      </c>
      <c r="B72" s="62"/>
      <c r="C72" s="41">
        <f ca="1">J80</f>
        <v>21</v>
      </c>
      <c r="D72" s="39">
        <f ca="1">((100/H68)*C72)/100</f>
        <v>1</v>
      </c>
      <c r="E72" s="63"/>
      <c r="F72" s="63"/>
      <c r="G72" s="63"/>
      <c r="H72" s="77"/>
      <c r="I72" s="14" t="s">
        <v>110</v>
      </c>
      <c r="J72" s="40">
        <f ca="1">H68</f>
        <v>21</v>
      </c>
    </row>
    <row r="73" spans="1:10" ht="15.75" customHeight="1" x14ac:dyDescent="0.35">
      <c r="A73" s="66" t="s">
        <v>139</v>
      </c>
      <c r="B73" s="62"/>
      <c r="C73" s="41">
        <v>13</v>
      </c>
      <c r="D73" s="39">
        <f ca="1">((100/(D68+F68+H68))*C73)/100</f>
        <v>0.59090909090909094</v>
      </c>
      <c r="E73" s="63"/>
      <c r="F73" s="63"/>
      <c r="G73" s="63"/>
      <c r="H73" s="77"/>
      <c r="I73" s="14" t="s">
        <v>111</v>
      </c>
      <c r="J73" s="42">
        <f ca="1">(IF(B68&gt;1,(H68/(B68+2)),H68/4))</f>
        <v>5.25</v>
      </c>
    </row>
    <row r="74" spans="1:10" ht="15.75" customHeight="1" x14ac:dyDescent="0.35">
      <c r="A74" s="66" t="s">
        <v>146</v>
      </c>
      <c r="B74" s="62" t="s">
        <v>140</v>
      </c>
      <c r="C74" s="41">
        <f>C73-1</f>
        <v>12</v>
      </c>
      <c r="D74" s="39">
        <f ca="1">((100/H68)*C74)/100</f>
        <v>0.5714285714285714</v>
      </c>
      <c r="E74" s="63"/>
      <c r="F74" s="63"/>
      <c r="G74" s="63"/>
      <c r="H74" s="77"/>
      <c r="I74" s="14" t="s">
        <v>112</v>
      </c>
      <c r="J74" s="42">
        <f ca="1">(IF(B68&gt;1,(H68/(B68+2)+J73),H68/4+J73))</f>
        <v>10.5</v>
      </c>
    </row>
    <row r="75" spans="1:10" ht="15.75" customHeight="1" x14ac:dyDescent="0.35">
      <c r="A75" s="66" t="s">
        <v>147</v>
      </c>
      <c r="B75" s="62" t="s">
        <v>140</v>
      </c>
      <c r="C75" s="41">
        <f>C74*0.75</f>
        <v>9</v>
      </c>
      <c r="D75" s="39">
        <f ca="1">((100/H68)*C75)/100</f>
        <v>0.42857142857142855</v>
      </c>
      <c r="E75" s="63"/>
      <c r="F75" s="63"/>
      <c r="G75" s="63"/>
      <c r="H75" s="77"/>
      <c r="I75" s="14" t="s">
        <v>156</v>
      </c>
      <c r="J75" s="42">
        <f>(IF(B68&gt;1,(H68/(B68+2)+J74),0))</f>
        <v>0</v>
      </c>
    </row>
    <row r="76" spans="1:10" ht="15" customHeight="1" x14ac:dyDescent="0.35">
      <c r="A76" s="66" t="s">
        <v>145</v>
      </c>
      <c r="B76" s="62" t="s">
        <v>142</v>
      </c>
      <c r="C76" s="41">
        <f>C74*0.7</f>
        <v>8.3999999999999986</v>
      </c>
      <c r="D76" s="39">
        <f ca="1">((100/(H68))*C76)/100</f>
        <v>0.39999999999999991</v>
      </c>
      <c r="E76" s="63"/>
      <c r="F76" s="63"/>
      <c r="G76" s="63"/>
      <c r="H76" s="77"/>
      <c r="I76" s="14" t="s">
        <v>153</v>
      </c>
      <c r="J76" s="42">
        <f>(IF(B68&gt;2,(H68/(B68+2)+J75),0))</f>
        <v>0</v>
      </c>
    </row>
    <row r="77" spans="1:10" ht="15.75" customHeight="1" x14ac:dyDescent="0.35">
      <c r="A77" s="66" t="s">
        <v>141</v>
      </c>
      <c r="B77" s="62" t="s">
        <v>141</v>
      </c>
      <c r="C77" s="38">
        <v>0</v>
      </c>
      <c r="D77" s="39">
        <f ca="1">((100/H68)*C77)/100</f>
        <v>0</v>
      </c>
      <c r="E77" s="63"/>
      <c r="F77" s="63"/>
      <c r="G77" s="63"/>
      <c r="H77" s="77"/>
      <c r="I77" s="14" t="s">
        <v>154</v>
      </c>
      <c r="J77" s="43">
        <f>(IF(B68&gt;3,(H68/(B68+2)+J76),0))</f>
        <v>0</v>
      </c>
    </row>
    <row r="78" spans="1:10" ht="15.75" customHeight="1" x14ac:dyDescent="0.35">
      <c r="A78" s="66" t="s">
        <v>148</v>
      </c>
      <c r="B78" s="62"/>
      <c r="C78" s="38">
        <v>0</v>
      </c>
      <c r="D78" s="39">
        <f ca="1">((100/H68)*C78)/100</f>
        <v>0</v>
      </c>
      <c r="E78" s="63"/>
      <c r="F78" s="63"/>
      <c r="G78" s="63"/>
      <c r="H78" s="77"/>
      <c r="I78" s="14" t="s">
        <v>155</v>
      </c>
      <c r="J78" s="42">
        <f>(IF(B68&gt;4,(H68/(B68+2)+J77),0))</f>
        <v>0</v>
      </c>
    </row>
    <row r="79" spans="1:10" ht="15.75" customHeight="1" x14ac:dyDescent="0.35">
      <c r="A79" s="66" t="s">
        <v>143</v>
      </c>
      <c r="B79" s="62" t="s">
        <v>143</v>
      </c>
      <c r="C79" s="38">
        <v>0</v>
      </c>
      <c r="D79" s="39">
        <f ca="1">((100/(H68))*C79)/100</f>
        <v>0</v>
      </c>
      <c r="E79" s="63"/>
      <c r="F79" s="63"/>
      <c r="G79" s="63"/>
      <c r="H79" s="77"/>
      <c r="I79" s="14" t="s">
        <v>157</v>
      </c>
      <c r="J79" s="42">
        <f ca="1">(IF(B68=1,(H68/(B68+3)+J74),IF(B68=0,(H68/4+J74),IF(B68&gt;1,0))))</f>
        <v>15.75</v>
      </c>
    </row>
    <row r="80" spans="1:10" ht="16" thickBot="1" x14ac:dyDescent="0.4">
      <c r="A80" s="79" t="s">
        <v>144</v>
      </c>
      <c r="B80" s="80"/>
      <c r="C80" s="44">
        <v>0</v>
      </c>
      <c r="D80" s="45">
        <f ca="1">((100/(H68))*C80)/100</f>
        <v>0</v>
      </c>
      <c r="E80" s="76"/>
      <c r="F80" s="76"/>
      <c r="G80" s="76"/>
      <c r="H80" s="78"/>
      <c r="I80" s="17" t="s">
        <v>113</v>
      </c>
      <c r="J80" s="46">
        <f ca="1">(IF(B68&gt;1.5,(H68/(B68+2)+J74+MAX(0,J75-J74)+MAX(0,J76-J75)+MAX(0,J77-J76)+MAX(0,J78-J77)+MAX(0,J79-J78)),IF(B68=1,(H68/(B68+3)+J79),IF(B68=0,H68/4+J79))))</f>
        <v>21</v>
      </c>
    </row>
    <row r="81" spans="1:10" ht="15.75" customHeight="1" x14ac:dyDescent="0.35">
      <c r="A81" s="166" t="s">
        <v>150</v>
      </c>
      <c r="B81" s="167"/>
      <c r="C81" s="168" t="str">
        <f>D56</f>
        <v>Building No. 2 (B Wing) - G/St + 1st to 21st Floor</v>
      </c>
      <c r="D81" s="169"/>
      <c r="E81" s="169"/>
      <c r="F81" s="169"/>
      <c r="G81" s="169"/>
      <c r="H81" s="170"/>
      <c r="I81" s="15" t="str">
        <f ca="1">(IF(E85&gt;99%,"All work completed. Please provide OC.",IF(E85&gt;89.8%,"Plinth, RCC, Brick, Plaster, Flooring, Painting work Completed. Finishing work is in process.",IF(E85&lt;94%,(IF(C85=0,"Work not yet Started.",IF(D85=25%,"Piling work in process",IF(D85=50%,"Excavation work in process",IF(D85=100%,"Excavation work Completed. ","0")))&amp;(IF(C86=0%,"",IF(C86=J87,"Footing work is process",IF(C86=J88,"Footing work Completed",IF(C86=J89,"1st Basement Completed",IF(C86=J90,"1st &amp; 2nd Basement Completed",IF(C86=J91,"1st to 3rd Basement Completed",IF(C86=J92,"1st to 4th Basement Completed",IF(C86=J93,"Plinth work is process",IF(C86=J94,"Plinth work completed","0")))))))))))&amp;(IF(C87=(D82+F82+H82),", RCC Slab Completed",IF(C87&gt;0,", RCC upto "&amp;C87&amp;" Slab Completed",""))&amp;(IF(C88=H82,", Brickwork Completed",IF(C88&gt;0,", Brickwork upto "&amp;C88&amp;" Floor Completed",""))&amp;(IF(C89=H82,", Internal Plaster Completed",IF(C89&gt;0,", Internal Plaster upto "&amp;C89&amp;" Floor Completed",""))&amp;(IF(C90=H82,", External Plaster Completed",IF(C90&gt;0,", External Plaster upto "&amp;C90&amp;" Floor Completed",""))&amp;(IF(C91=H82,", Flooring Completed",IF(C91&gt;0,", Flooring upto "&amp;C91&amp;" Floor Completed",""))&amp;(IF(C92=H82,", Painting Completed",IF(C92&gt;0,", Painting upto "&amp;C92&amp;" Floor Completed",""))&amp;(IF(C93&gt;0,", Finishing upto "&amp;C93&amp;" Floor Completed","")&amp;(IF(C87&gt;0.5,".",""))))))))))))))</f>
        <v>Excavation work Completed. Footing work is process</v>
      </c>
      <c r="J81" s="35"/>
    </row>
    <row r="82" spans="1:10" x14ac:dyDescent="0.35">
      <c r="A82" s="18" t="s">
        <v>152</v>
      </c>
      <c r="B82" s="27">
        <v>0</v>
      </c>
      <c r="C82" s="27" t="s">
        <v>78</v>
      </c>
      <c r="D82" s="27">
        <v>1</v>
      </c>
      <c r="E82" s="27" t="s">
        <v>77</v>
      </c>
      <c r="F82" s="27">
        <v>0</v>
      </c>
      <c r="G82" s="27" t="s">
        <v>86</v>
      </c>
      <c r="H82" s="19">
        <f ca="1">--TRIM(RIGHT(SUBSTITUTE(LEFT(C81,_xlfn.AGGREGATE(16,6,FIND({0,1,2,3,4,5,6,7,8,9},C81,ROW(INDIRECT("1:"&amp;LEN(C81)))),1))," ",REPT(" ",LEN(C81))),LEN(C81)))</f>
        <v>21</v>
      </c>
      <c r="I82" s="16"/>
      <c r="J82" s="36"/>
    </row>
    <row r="83" spans="1:10" x14ac:dyDescent="0.35">
      <c r="A83" s="64" t="s">
        <v>96</v>
      </c>
      <c r="B83" s="61"/>
      <c r="C83" s="60" t="str">
        <f ca="1">(IF($G$50="NA",I81,"All work Completed. OC Received."))</f>
        <v>Excavation work Completed. Footing work is process</v>
      </c>
      <c r="D83" s="60"/>
      <c r="E83" s="60"/>
      <c r="F83" s="60"/>
      <c r="G83" s="60"/>
      <c r="H83" s="65"/>
      <c r="I83" s="16" t="s">
        <v>114</v>
      </c>
      <c r="J83" s="36"/>
    </row>
    <row r="84" spans="1:10" ht="15.75" customHeight="1" x14ac:dyDescent="0.35">
      <c r="A84" s="66" t="s">
        <v>53</v>
      </c>
      <c r="B84" s="62"/>
      <c r="C84" s="22" t="s">
        <v>149</v>
      </c>
      <c r="D84" s="22" t="s">
        <v>89</v>
      </c>
      <c r="E84" s="62" t="s">
        <v>91</v>
      </c>
      <c r="F84" s="62"/>
      <c r="G84" s="62" t="s">
        <v>90</v>
      </c>
      <c r="H84" s="75"/>
      <c r="I84" s="14" t="s">
        <v>151</v>
      </c>
      <c r="J84" s="37">
        <f ca="1">H82*25%</f>
        <v>5.25</v>
      </c>
    </row>
    <row r="85" spans="1:10" x14ac:dyDescent="0.35">
      <c r="A85" s="66" t="s">
        <v>138</v>
      </c>
      <c r="B85" s="62"/>
      <c r="C85" s="38">
        <f ca="1">J86</f>
        <v>21</v>
      </c>
      <c r="D85" s="39">
        <f ca="1">((100/H82)*C85)/100</f>
        <v>1</v>
      </c>
      <c r="E85" s="63">
        <f ca="1">(((C86/H82*10)+(40/(D82+F82+H82)*C87)+(7.5/(H82)*C88)+(7.5/(H82)*C89)+(10/H82*C90)+(10/H82*C91)+(5/H82*C92)+(5/H82*C93)+(5/H82*C94))/100)</f>
        <v>2.5000000000000001E-2</v>
      </c>
      <c r="F85" s="63"/>
      <c r="G85" s="63">
        <f ca="1">((((C85/H82)*20)+((C86/H82)*25)+(30/(H82+F82+D82)*C87)+(5/H82*C88)+(5/H82*C89)+(5/H82*C90)+(5/H82*C91)+(0/H82*C92)+(0/H82*C93)+(5/H82*C94))/100)</f>
        <v>0.26250000000000001</v>
      </c>
      <c r="H85" s="77"/>
      <c r="I85" s="14" t="s">
        <v>109</v>
      </c>
      <c r="J85" s="40">
        <f ca="1">H82*50%</f>
        <v>10.5</v>
      </c>
    </row>
    <row r="86" spans="1:10" x14ac:dyDescent="0.35">
      <c r="A86" s="66" t="s">
        <v>54</v>
      </c>
      <c r="B86" s="62"/>
      <c r="C86" s="41">
        <f ca="1">J87</f>
        <v>5.25</v>
      </c>
      <c r="D86" s="39">
        <f ca="1">((100/H82)*C86)/100</f>
        <v>0.25</v>
      </c>
      <c r="E86" s="63"/>
      <c r="F86" s="63"/>
      <c r="G86" s="63"/>
      <c r="H86" s="77"/>
      <c r="I86" s="14" t="s">
        <v>110</v>
      </c>
      <c r="J86" s="40">
        <f ca="1">H82</f>
        <v>21</v>
      </c>
    </row>
    <row r="87" spans="1:10" ht="15.75" customHeight="1" x14ac:dyDescent="0.35">
      <c r="A87" s="66" t="s">
        <v>139</v>
      </c>
      <c r="B87" s="62"/>
      <c r="C87" s="41">
        <v>0</v>
      </c>
      <c r="D87" s="39">
        <f ca="1">((100/(D82+F82+H82))*C87)/100</f>
        <v>0</v>
      </c>
      <c r="E87" s="63"/>
      <c r="F87" s="63"/>
      <c r="G87" s="63"/>
      <c r="H87" s="77"/>
      <c r="I87" s="14" t="s">
        <v>111</v>
      </c>
      <c r="J87" s="42">
        <f ca="1">(IF(B82&gt;1,(H82/(B82+2)),H82/4))</f>
        <v>5.25</v>
      </c>
    </row>
    <row r="88" spans="1:10" ht="15.75" customHeight="1" x14ac:dyDescent="0.35">
      <c r="A88" s="66" t="s">
        <v>146</v>
      </c>
      <c r="B88" s="62" t="s">
        <v>140</v>
      </c>
      <c r="C88" s="38">
        <v>0</v>
      </c>
      <c r="D88" s="39">
        <f ca="1">((100/H82)*C88)/100</f>
        <v>0</v>
      </c>
      <c r="E88" s="63"/>
      <c r="F88" s="63"/>
      <c r="G88" s="63"/>
      <c r="H88" s="77"/>
      <c r="I88" s="14" t="s">
        <v>112</v>
      </c>
      <c r="J88" s="42">
        <f ca="1">(IF(B82&gt;1,(H82/(B82+2)+J87),H82/4+J87))</f>
        <v>10.5</v>
      </c>
    </row>
    <row r="89" spans="1:10" ht="15.75" customHeight="1" x14ac:dyDescent="0.35">
      <c r="A89" s="66" t="s">
        <v>147</v>
      </c>
      <c r="B89" s="62" t="s">
        <v>140</v>
      </c>
      <c r="C89" s="38">
        <v>0</v>
      </c>
      <c r="D89" s="39">
        <f ca="1">((100/H82)*C89)/100</f>
        <v>0</v>
      </c>
      <c r="E89" s="63"/>
      <c r="F89" s="63"/>
      <c r="G89" s="63"/>
      <c r="H89" s="77"/>
      <c r="I89" s="14" t="s">
        <v>156</v>
      </c>
      <c r="J89" s="42">
        <f>(IF(B82&gt;1,(H82/(B82+2)+J88),0))</f>
        <v>0</v>
      </c>
    </row>
    <row r="90" spans="1:10" ht="15" customHeight="1" x14ac:dyDescent="0.35">
      <c r="A90" s="66" t="s">
        <v>145</v>
      </c>
      <c r="B90" s="62" t="s">
        <v>142</v>
      </c>
      <c r="C90" s="38">
        <v>0</v>
      </c>
      <c r="D90" s="39">
        <f ca="1">((100/(H82))*C90)/100</f>
        <v>0</v>
      </c>
      <c r="E90" s="63"/>
      <c r="F90" s="63"/>
      <c r="G90" s="63"/>
      <c r="H90" s="77"/>
      <c r="I90" s="14" t="s">
        <v>153</v>
      </c>
      <c r="J90" s="42">
        <f>(IF(B82&gt;2,(H82/(B82+2)+J89),0))</f>
        <v>0</v>
      </c>
    </row>
    <row r="91" spans="1:10" ht="15.75" customHeight="1" x14ac:dyDescent="0.35">
      <c r="A91" s="66" t="s">
        <v>141</v>
      </c>
      <c r="B91" s="62" t="s">
        <v>141</v>
      </c>
      <c r="C91" s="38">
        <v>0</v>
      </c>
      <c r="D91" s="39">
        <f ca="1">((100/H82)*C91)/100</f>
        <v>0</v>
      </c>
      <c r="E91" s="63"/>
      <c r="F91" s="63"/>
      <c r="G91" s="63"/>
      <c r="H91" s="77"/>
      <c r="I91" s="14" t="s">
        <v>154</v>
      </c>
      <c r="J91" s="43">
        <f>(IF(B82&gt;3,(H82/(B82+2)+J90),0))</f>
        <v>0</v>
      </c>
    </row>
    <row r="92" spans="1:10" ht="15.75" customHeight="1" x14ac:dyDescent="0.35">
      <c r="A92" s="66" t="s">
        <v>148</v>
      </c>
      <c r="B92" s="62"/>
      <c r="C92" s="38">
        <v>0</v>
      </c>
      <c r="D92" s="39">
        <f ca="1">((100/H82)*C92)/100</f>
        <v>0</v>
      </c>
      <c r="E92" s="63"/>
      <c r="F92" s="63"/>
      <c r="G92" s="63"/>
      <c r="H92" s="77"/>
      <c r="I92" s="14" t="s">
        <v>155</v>
      </c>
      <c r="J92" s="42">
        <f>(IF(B82&gt;4,(H82/(B82+2)+J91),0))</f>
        <v>0</v>
      </c>
    </row>
    <row r="93" spans="1:10" ht="15.75" customHeight="1" x14ac:dyDescent="0.35">
      <c r="A93" s="66" t="s">
        <v>143</v>
      </c>
      <c r="B93" s="62" t="s">
        <v>143</v>
      </c>
      <c r="C93" s="38">
        <v>0</v>
      </c>
      <c r="D93" s="39">
        <f ca="1">((100/(H82))*C93)/100</f>
        <v>0</v>
      </c>
      <c r="E93" s="63"/>
      <c r="F93" s="63"/>
      <c r="G93" s="63"/>
      <c r="H93" s="77"/>
      <c r="I93" s="14" t="s">
        <v>157</v>
      </c>
      <c r="J93" s="42">
        <f ca="1">(IF(B82=1,(H82/(B82+3)+J88),IF(B82=0,(H82/4+J88),IF(B82&gt;1,0))))</f>
        <v>15.75</v>
      </c>
    </row>
    <row r="94" spans="1:10" ht="16" thickBot="1" x14ac:dyDescent="0.4">
      <c r="A94" s="111" t="s">
        <v>144</v>
      </c>
      <c r="B94" s="112"/>
      <c r="C94" s="56">
        <v>0</v>
      </c>
      <c r="D94" s="57">
        <f ca="1">((100/(H82))*C94)/100</f>
        <v>0</v>
      </c>
      <c r="E94" s="110"/>
      <c r="F94" s="110"/>
      <c r="G94" s="110"/>
      <c r="H94" s="182"/>
      <c r="I94" s="17" t="s">
        <v>113</v>
      </c>
      <c r="J94" s="46">
        <f ca="1">(IF(B82&gt;1.5,(H82/(B82+2)+J88+MAX(0,J89-J88)+MAX(0,J90-J89)+MAX(0,J91-J90)+MAX(0,J92-J91)+MAX(0,J93-J92)),IF(B82=1,(H82/(B82+3)+J93),IF(B82=0,H82/4+J93))))</f>
        <v>21</v>
      </c>
    </row>
    <row r="95" spans="1:10" ht="15.75" customHeight="1" x14ac:dyDescent="0.35">
      <c r="A95" s="60" t="s">
        <v>150</v>
      </c>
      <c r="B95" s="60"/>
      <c r="C95" s="60" t="str">
        <f>D57</f>
        <v>Building No. 2 (C Wing) - G/St + 1st to 21st Floor</v>
      </c>
      <c r="D95" s="60"/>
      <c r="E95" s="60"/>
      <c r="F95" s="60"/>
      <c r="G95" s="60"/>
      <c r="H95" s="60"/>
      <c r="I95" s="15" t="str">
        <f ca="1">(IF(E99&gt;99%,"All work completed. Please provide OC.",IF(E99&gt;89.8%,"Plinth, RCC, Brick, Plaster, Flooring, Painting work Completed. Finishing work is in process.",IF(E99&lt;94%,(IF(C99=0,"Work not yet Started.",IF(D99=25%,"Piling work in process",IF(D99=50%,"Excavation work in process",IF(D99=100%,"Excavation work Completed. ","0")))&amp;(IF(C100=0%,"",IF(C100=J101,"Footing work is process",IF(C100=J102,"Footing work Completed",IF(C100=J103,"1st Basement Completed",IF(C100=J104,"1st &amp; 2nd Basement Completed",IF(C100=J105,"1st to 3rd Basement Completed",IF(C100=J106,"1st to 4th Basement Completed",IF(C100=J107,"Plinth work is process",IF(C100=J108,"Plinth work completed","0")))))))))))&amp;(IF(C101=(D96+F96+H96),", RCC Slab Completed",IF(C101&gt;0,", RCC upto "&amp;C101&amp;" Slab Completed",""))&amp;(IF(C102=H96,", Brickwork Completed",IF(C102&gt;0,", Brickwork upto "&amp;C102&amp;" Floor Completed",""))&amp;(IF(C103=H96,", Internal Plaster Completed",IF(C103&gt;0,", Internal Plaster upto "&amp;C103&amp;" Floor Completed",""))&amp;(IF(C104=H96,", External Plaster Completed",IF(C104&gt;0,", External Plaster upto "&amp;C104&amp;" Floor Completed",""))&amp;(IF(C105=H96,", Flooring Completed",IF(C105&gt;0,", Flooring upto "&amp;C105&amp;" Floor Completed",""))&amp;(IF(C106=H96,", Painting Completed",IF(C106&gt;0,", Painting upto "&amp;C106&amp;" Floor Completed",""))&amp;(IF(C107&gt;0,", Finishing upto "&amp;C107&amp;" Floor Completed","")&amp;(IF(C101&gt;0.5,".",""))))))))))))))</f>
        <v>Work not yet Started.</v>
      </c>
      <c r="J95" s="35"/>
    </row>
    <row r="96" spans="1:10" x14ac:dyDescent="0.35">
      <c r="A96" s="27" t="s">
        <v>152</v>
      </c>
      <c r="B96" s="27">
        <v>0</v>
      </c>
      <c r="C96" s="27" t="s">
        <v>78</v>
      </c>
      <c r="D96" s="27">
        <v>1</v>
      </c>
      <c r="E96" s="27" t="s">
        <v>77</v>
      </c>
      <c r="F96" s="27">
        <v>0</v>
      </c>
      <c r="G96" s="27" t="s">
        <v>86</v>
      </c>
      <c r="H96" s="27">
        <f ca="1">--TRIM(RIGHT(SUBSTITUTE(LEFT(C95,_xlfn.AGGREGATE(16,6,FIND({0,1,2,3,4,5,6,7,8,9},C95,ROW(INDIRECT("1:"&amp;LEN(C95)))),1))," ",REPT(" ",LEN(C95))),LEN(C95)))</f>
        <v>21</v>
      </c>
      <c r="I96" s="16"/>
      <c r="J96" s="36"/>
    </row>
    <row r="97" spans="1:11" x14ac:dyDescent="0.35">
      <c r="A97" s="61" t="s">
        <v>96</v>
      </c>
      <c r="B97" s="61"/>
      <c r="C97" s="60" t="str">
        <f ca="1">(IF($G$50="NA",I95,"All work Completed. OC Received."))</f>
        <v>Work not yet Started.</v>
      </c>
      <c r="D97" s="60"/>
      <c r="E97" s="60"/>
      <c r="F97" s="60"/>
      <c r="G97" s="60"/>
      <c r="H97" s="60"/>
      <c r="I97" s="16" t="s">
        <v>114</v>
      </c>
      <c r="J97" s="36"/>
    </row>
    <row r="98" spans="1:11" ht="15.75" customHeight="1" x14ac:dyDescent="0.35">
      <c r="A98" s="62" t="s">
        <v>53</v>
      </c>
      <c r="B98" s="62"/>
      <c r="C98" s="22" t="s">
        <v>149</v>
      </c>
      <c r="D98" s="22" t="s">
        <v>89</v>
      </c>
      <c r="E98" s="62" t="s">
        <v>91</v>
      </c>
      <c r="F98" s="62"/>
      <c r="G98" s="62" t="s">
        <v>90</v>
      </c>
      <c r="H98" s="62"/>
      <c r="I98" s="14" t="s">
        <v>151</v>
      </c>
      <c r="J98" s="37">
        <f ca="1">H96*25%</f>
        <v>5.25</v>
      </c>
      <c r="K98" s="29"/>
    </row>
    <row r="99" spans="1:11" x14ac:dyDescent="0.35">
      <c r="A99" s="62" t="s">
        <v>138</v>
      </c>
      <c r="B99" s="62"/>
      <c r="C99" s="38">
        <v>0</v>
      </c>
      <c r="D99" s="39">
        <f ca="1">((100/H96)*C99)/100</f>
        <v>0</v>
      </c>
      <c r="E99" s="63">
        <f ca="1">(((C100/H96*10)+(40/(D96+F96+H96)*C101)+(7.5/(H96)*C102)+(7.5/(H96)*C103)+(10/H96*C104)+(10/H96*C105)+(5/H96*C106)+(5/H96*C107)+(5/H96*C108))/100)</f>
        <v>0</v>
      </c>
      <c r="F99" s="63"/>
      <c r="G99" s="63">
        <f ca="1">((((C99/H96)*20)+((C100/H96)*25)+(30/(H96+F96+D96)*C101)+(5/H96*C102)+(5/H96*C103)+(5/H96*C104)+(5/H96*C105)+(0/H96*C106)+(0/H96*C107)+(5/H96*C108))/100)</f>
        <v>0</v>
      </c>
      <c r="H99" s="63"/>
      <c r="I99" s="14" t="s">
        <v>109</v>
      </c>
      <c r="J99" s="40">
        <f ca="1">H96*50%</f>
        <v>10.5</v>
      </c>
    </row>
    <row r="100" spans="1:11" x14ac:dyDescent="0.35">
      <c r="A100" s="62" t="s">
        <v>54</v>
      </c>
      <c r="B100" s="62"/>
      <c r="C100" s="38">
        <v>0</v>
      </c>
      <c r="D100" s="39">
        <f ca="1">((100/H96)*C100)/100</f>
        <v>0</v>
      </c>
      <c r="E100" s="63"/>
      <c r="F100" s="63"/>
      <c r="G100" s="63"/>
      <c r="H100" s="63"/>
      <c r="I100" s="14" t="s">
        <v>110</v>
      </c>
      <c r="J100" s="40">
        <f ca="1">H96</f>
        <v>21</v>
      </c>
    </row>
    <row r="101" spans="1:11" ht="15.75" customHeight="1" x14ac:dyDescent="0.35">
      <c r="A101" s="62" t="s">
        <v>139</v>
      </c>
      <c r="B101" s="62"/>
      <c r="C101" s="38">
        <v>0</v>
      </c>
      <c r="D101" s="39">
        <f ca="1">((100/(D96+F96+H96))*C101)/100</f>
        <v>0</v>
      </c>
      <c r="E101" s="63"/>
      <c r="F101" s="63"/>
      <c r="G101" s="63"/>
      <c r="H101" s="63"/>
      <c r="I101" s="14" t="s">
        <v>111</v>
      </c>
      <c r="J101" s="42">
        <f ca="1">(IF(B96&gt;1,(H96/(B96+2)),H96/4))</f>
        <v>5.25</v>
      </c>
    </row>
    <row r="102" spans="1:11" ht="15.75" customHeight="1" x14ac:dyDescent="0.35">
      <c r="A102" s="62" t="s">
        <v>146</v>
      </c>
      <c r="B102" s="62" t="s">
        <v>140</v>
      </c>
      <c r="C102" s="38">
        <v>0</v>
      </c>
      <c r="D102" s="39">
        <f ca="1">((100/H96)*C102)/100</f>
        <v>0</v>
      </c>
      <c r="E102" s="63"/>
      <c r="F102" s="63"/>
      <c r="G102" s="63"/>
      <c r="H102" s="63"/>
      <c r="I102" s="14" t="s">
        <v>112</v>
      </c>
      <c r="J102" s="42">
        <f ca="1">(IF(B96&gt;1,(H96/(B96+2)+J101),H96/4+J101))</f>
        <v>10.5</v>
      </c>
    </row>
    <row r="103" spans="1:11" ht="15.75" customHeight="1" x14ac:dyDescent="0.35">
      <c r="A103" s="62" t="s">
        <v>147</v>
      </c>
      <c r="B103" s="62" t="s">
        <v>140</v>
      </c>
      <c r="C103" s="38">
        <v>0</v>
      </c>
      <c r="D103" s="39">
        <f ca="1">((100/H96)*C103)/100</f>
        <v>0</v>
      </c>
      <c r="E103" s="63"/>
      <c r="F103" s="63"/>
      <c r="G103" s="63"/>
      <c r="H103" s="63"/>
      <c r="I103" s="14" t="s">
        <v>156</v>
      </c>
      <c r="J103" s="42">
        <f>(IF(B96&gt;1,(H96/(B96+2)+J102),0))</f>
        <v>0</v>
      </c>
    </row>
    <row r="104" spans="1:11" ht="15" customHeight="1" x14ac:dyDescent="0.35">
      <c r="A104" s="62" t="s">
        <v>145</v>
      </c>
      <c r="B104" s="62" t="s">
        <v>142</v>
      </c>
      <c r="C104" s="38">
        <v>0</v>
      </c>
      <c r="D104" s="39">
        <f ca="1">((100/(H96))*C104)/100</f>
        <v>0</v>
      </c>
      <c r="E104" s="63"/>
      <c r="F104" s="63"/>
      <c r="G104" s="63"/>
      <c r="H104" s="63"/>
      <c r="I104" s="14" t="s">
        <v>153</v>
      </c>
      <c r="J104" s="42">
        <f>(IF(B96&gt;2,(H96/(B96+2)+J103),0))</f>
        <v>0</v>
      </c>
    </row>
    <row r="105" spans="1:11" ht="15.75" customHeight="1" x14ac:dyDescent="0.35">
      <c r="A105" s="62" t="s">
        <v>141</v>
      </c>
      <c r="B105" s="62" t="s">
        <v>141</v>
      </c>
      <c r="C105" s="38">
        <v>0</v>
      </c>
      <c r="D105" s="39">
        <f ca="1">((100/H96)*C105)/100</f>
        <v>0</v>
      </c>
      <c r="E105" s="63"/>
      <c r="F105" s="63"/>
      <c r="G105" s="63"/>
      <c r="H105" s="63"/>
      <c r="I105" s="14" t="s">
        <v>154</v>
      </c>
      <c r="J105" s="43">
        <f>(IF(B96&gt;3,(H96/(B96+2)+J104),0))</f>
        <v>0</v>
      </c>
    </row>
    <row r="106" spans="1:11" ht="15.75" customHeight="1" x14ac:dyDescent="0.35">
      <c r="A106" s="62" t="s">
        <v>148</v>
      </c>
      <c r="B106" s="62"/>
      <c r="C106" s="38">
        <v>0</v>
      </c>
      <c r="D106" s="39">
        <f ca="1">((100/H96)*C106)/100</f>
        <v>0</v>
      </c>
      <c r="E106" s="63"/>
      <c r="F106" s="63"/>
      <c r="G106" s="63"/>
      <c r="H106" s="63"/>
      <c r="I106" s="14" t="s">
        <v>155</v>
      </c>
      <c r="J106" s="42">
        <f>(IF(B96&gt;4,(H96/(B96+2)+J105),0))</f>
        <v>0</v>
      </c>
    </row>
    <row r="107" spans="1:11" ht="15.75" customHeight="1" x14ac:dyDescent="0.35">
      <c r="A107" s="62" t="s">
        <v>143</v>
      </c>
      <c r="B107" s="62" t="s">
        <v>143</v>
      </c>
      <c r="C107" s="38">
        <v>0</v>
      </c>
      <c r="D107" s="39">
        <f ca="1">((100/(H96))*C107)/100</f>
        <v>0</v>
      </c>
      <c r="E107" s="63"/>
      <c r="F107" s="63"/>
      <c r="G107" s="63"/>
      <c r="H107" s="63"/>
      <c r="I107" s="14" t="s">
        <v>157</v>
      </c>
      <c r="J107" s="42">
        <f ca="1">(IF(B96=1,(H96/(B96+3)+J102),IF(B96=0,(H96/4+J102),IF(B96&gt;1,0))))</f>
        <v>15.75</v>
      </c>
    </row>
    <row r="108" spans="1:11" ht="16" thickBot="1" x14ac:dyDescent="0.4">
      <c r="A108" s="62" t="s">
        <v>144</v>
      </c>
      <c r="B108" s="62"/>
      <c r="C108" s="38">
        <v>0</v>
      </c>
      <c r="D108" s="39">
        <f ca="1">((100/(H96))*C108)/100</f>
        <v>0</v>
      </c>
      <c r="E108" s="63"/>
      <c r="F108" s="63"/>
      <c r="G108" s="63"/>
      <c r="H108" s="63"/>
      <c r="I108" s="17" t="s">
        <v>113</v>
      </c>
      <c r="J108" s="46">
        <f ca="1">(IF(B96&gt;1.5,(H96/(B96+2)+J102+MAX(0,J103-J102)+MAX(0,J104-J103)+MAX(0,J105-J104)+MAX(0,J106-J105)+MAX(0,J107-J106)),IF(B96=1,(H96/(B96+3)+J107),IF(B96=0,H96/4+J107))))</f>
        <v>21</v>
      </c>
    </row>
    <row r="109" spans="1:11" ht="15.75" customHeight="1" x14ac:dyDescent="0.35">
      <c r="A109" s="70" t="s">
        <v>150</v>
      </c>
      <c r="B109" s="71"/>
      <c r="C109" s="72" t="str">
        <f>D58</f>
        <v>Building No. 2 (D Wing) - G/St + 1st to 21st Floor</v>
      </c>
      <c r="D109" s="73"/>
      <c r="E109" s="73"/>
      <c r="F109" s="73"/>
      <c r="G109" s="73"/>
      <c r="H109" s="74"/>
      <c r="I109" s="15" t="str">
        <f ca="1">(IF(E113&gt;99%,"All work completed. Please provide OC.",IF(E113&gt;89.8%,"Plinth, RCC, Brick, Plaster, Flooring, Painting work Completed. Finishing work is in process.",IF(E113&lt;94%,(IF(C113=0,"Work not yet Started.",IF(D113=25%,"Piling work in process",IF(D113=50%,"Excavation work in process",IF(D113=100%,"Excavation work Completed. ","0")))&amp;(IF(C114=0%,"",IF(C114=J115,"Footing work is process",IF(C114=J116,"Footing work Completed",IF(C114=J117,"1st Basement Completed",IF(C114=J118,"1st &amp; 2nd Basement Completed",IF(C114=J119,"1st to 3rd Basement Completed",IF(C114=J120,"1st to 4th Basement Completed",IF(C114=J121,"Plinth work is process",IF(C114=J122,"Plinth work completed","0")))))))))))&amp;(IF(C115=(D110+F110+H110),", RCC Slab Completed",IF(C115&gt;0,", RCC upto "&amp;C115&amp;" Slab Completed",""))&amp;(IF(C116=H110,", Brickwork Completed",IF(C116&gt;0,", Brickwork upto "&amp;C116&amp;" Floor Completed",""))&amp;(IF(C117=H110,", Internal Plaster Completed",IF(C117&gt;0,", Internal Plaster upto "&amp;C117&amp;" Floor Completed",""))&amp;(IF(C118=H110,", External Plaster Completed",IF(C118&gt;0,", External Plaster upto "&amp;C118&amp;" Floor Completed",""))&amp;(IF(C119=H110,", Flooring Completed",IF(C119&gt;0,", Flooring upto "&amp;C119&amp;" Floor Completed",""))&amp;(IF(C120=H110,", Painting Completed",IF(C120&gt;0,", Painting upto "&amp;C120&amp;" Floor Completed",""))&amp;(IF(C121&gt;0,", Finishing upto "&amp;C121&amp;" Floor Completed","")&amp;(IF(C115&gt;0.5,".",""))))))))))))))</f>
        <v>Excavation work Completed. Plinth work completed, RCC upto 1 Slab Completed.</v>
      </c>
      <c r="J109" s="35"/>
    </row>
    <row r="110" spans="1:11" x14ac:dyDescent="0.35">
      <c r="A110" s="18" t="s">
        <v>152</v>
      </c>
      <c r="B110" s="27">
        <v>0</v>
      </c>
      <c r="C110" s="27" t="s">
        <v>78</v>
      </c>
      <c r="D110" s="27">
        <v>1</v>
      </c>
      <c r="E110" s="27" t="s">
        <v>77</v>
      </c>
      <c r="F110" s="27">
        <v>0</v>
      </c>
      <c r="G110" s="27" t="s">
        <v>86</v>
      </c>
      <c r="H110" s="19">
        <f ca="1">--TRIM(RIGHT(SUBSTITUTE(LEFT(C109,_xlfn.AGGREGATE(16,6,FIND({0,1,2,3,4,5,6,7,8,9},C109,ROW(INDIRECT("1:"&amp;LEN(C109)))),1))," ",REPT(" ",LEN(C109))),LEN(C109)))</f>
        <v>21</v>
      </c>
      <c r="I110" s="16"/>
      <c r="J110" s="36"/>
    </row>
    <row r="111" spans="1:11" ht="36.65" customHeight="1" x14ac:dyDescent="0.35">
      <c r="A111" s="64" t="s">
        <v>96</v>
      </c>
      <c r="B111" s="61"/>
      <c r="C111" s="60" t="str">
        <f ca="1">(IF($G$50="NA",I109,"All work Completed. OC Received."))</f>
        <v>Excavation work Completed. Plinth work completed, RCC upto 1 Slab Completed.</v>
      </c>
      <c r="D111" s="60"/>
      <c r="E111" s="60"/>
      <c r="F111" s="60"/>
      <c r="G111" s="60"/>
      <c r="H111" s="65"/>
      <c r="I111" s="16" t="s">
        <v>114</v>
      </c>
      <c r="J111" s="36"/>
    </row>
    <row r="112" spans="1:11" ht="15.75" customHeight="1" x14ac:dyDescent="0.35">
      <c r="A112" s="66" t="s">
        <v>53</v>
      </c>
      <c r="B112" s="62"/>
      <c r="C112" s="22" t="s">
        <v>149</v>
      </c>
      <c r="D112" s="22" t="s">
        <v>89</v>
      </c>
      <c r="E112" s="62" t="s">
        <v>91</v>
      </c>
      <c r="F112" s="62"/>
      <c r="G112" s="62" t="s">
        <v>90</v>
      </c>
      <c r="H112" s="75"/>
      <c r="I112" s="14" t="s">
        <v>151</v>
      </c>
      <c r="J112" s="37">
        <f ca="1">H110*25%</f>
        <v>5.25</v>
      </c>
    </row>
    <row r="113" spans="1:17" x14ac:dyDescent="0.35">
      <c r="A113" s="66" t="s">
        <v>138</v>
      </c>
      <c r="B113" s="62"/>
      <c r="C113" s="38">
        <f ca="1">J114</f>
        <v>21</v>
      </c>
      <c r="D113" s="39">
        <f ca="1">((100/H110)*C113)/100</f>
        <v>1</v>
      </c>
      <c r="E113" s="63">
        <f ca="1">(((C114/H110*10)+(40/(D110+F110+H110)*C115)+(7.5/(H110)*C116)+(7.5/(H110)*C117)+(10/H110*C118)+(10/H110*C119)+(5/H110*C120)+(5/H110*C121)+(5/H110*C122))/100)</f>
        <v>0.11818181818181818</v>
      </c>
      <c r="F113" s="63"/>
      <c r="G113" s="63">
        <f ca="1">((((C113/H110)*20)+((C114/H110)*25)+(30/(H110+F110+D110)*C115)+(5/H110*C116)+(5/H110*C117)+(5/H110*C118)+(5/H110*C119)+(0/H110*C120)+(0/H110*C121)+(5/H110*C122))/100)</f>
        <v>0.46363636363636368</v>
      </c>
      <c r="H113" s="77"/>
      <c r="I113" s="14" t="s">
        <v>109</v>
      </c>
      <c r="J113" s="40">
        <f ca="1">H110*50%</f>
        <v>10.5</v>
      </c>
    </row>
    <row r="114" spans="1:17" x14ac:dyDescent="0.35">
      <c r="A114" s="66" t="s">
        <v>54</v>
      </c>
      <c r="B114" s="62"/>
      <c r="C114" s="41">
        <f ca="1">J122</f>
        <v>21</v>
      </c>
      <c r="D114" s="39">
        <f ca="1">((100/H110)*C114)/100</f>
        <v>1</v>
      </c>
      <c r="E114" s="63"/>
      <c r="F114" s="63"/>
      <c r="G114" s="63"/>
      <c r="H114" s="77"/>
      <c r="I114" s="14" t="s">
        <v>110</v>
      </c>
      <c r="J114" s="40">
        <f ca="1">H110</f>
        <v>21</v>
      </c>
    </row>
    <row r="115" spans="1:17" ht="15.75" customHeight="1" x14ac:dyDescent="0.35">
      <c r="A115" s="66" t="s">
        <v>139</v>
      </c>
      <c r="B115" s="62"/>
      <c r="C115" s="41">
        <v>1</v>
      </c>
      <c r="D115" s="39">
        <f ca="1">((100/(D110+F110+H110))*C115)/100</f>
        <v>4.5454545454545456E-2</v>
      </c>
      <c r="E115" s="63"/>
      <c r="F115" s="63"/>
      <c r="G115" s="63"/>
      <c r="H115" s="77"/>
      <c r="I115" s="14" t="s">
        <v>111</v>
      </c>
      <c r="J115" s="42">
        <f ca="1">(IF(B110&gt;1,(H110/(B110+2)),H110/4))</f>
        <v>5.25</v>
      </c>
    </row>
    <row r="116" spans="1:17" ht="15.75" customHeight="1" x14ac:dyDescent="0.35">
      <c r="A116" s="66" t="s">
        <v>146</v>
      </c>
      <c r="B116" s="62" t="s">
        <v>140</v>
      </c>
      <c r="C116" s="38">
        <v>0</v>
      </c>
      <c r="D116" s="39">
        <f ca="1">((100/H110)*C116)/100</f>
        <v>0</v>
      </c>
      <c r="E116" s="63"/>
      <c r="F116" s="63"/>
      <c r="G116" s="63"/>
      <c r="H116" s="77"/>
      <c r="I116" s="14" t="s">
        <v>112</v>
      </c>
      <c r="J116" s="42">
        <f ca="1">(IF(B110&gt;1,(H110/(B110+2)+J115),H110/4+J115))</f>
        <v>10.5</v>
      </c>
      <c r="L116" s="28" t="e">
        <f>#REF!/#REF!</f>
        <v>#REF!</v>
      </c>
    </row>
    <row r="117" spans="1:17" ht="15.75" customHeight="1" x14ac:dyDescent="0.35">
      <c r="A117" s="66" t="s">
        <v>147</v>
      </c>
      <c r="B117" s="62" t="s">
        <v>140</v>
      </c>
      <c r="C117" s="38">
        <v>0</v>
      </c>
      <c r="D117" s="39">
        <f ca="1">((100/H110)*C117)/100</f>
        <v>0</v>
      </c>
      <c r="E117" s="63"/>
      <c r="F117" s="63"/>
      <c r="G117" s="63"/>
      <c r="H117" s="77"/>
      <c r="I117" s="14" t="s">
        <v>156</v>
      </c>
      <c r="J117" s="42">
        <f>(IF(B110&gt;1,(H110/(B110+2)+J116),0))</f>
        <v>0</v>
      </c>
      <c r="L117" s="28" t="e">
        <f>#REF!/#REF!</f>
        <v>#REF!</v>
      </c>
    </row>
    <row r="118" spans="1:17" ht="15" customHeight="1" x14ac:dyDescent="0.35">
      <c r="A118" s="66" t="s">
        <v>145</v>
      </c>
      <c r="B118" s="62" t="s">
        <v>142</v>
      </c>
      <c r="C118" s="38">
        <v>0</v>
      </c>
      <c r="D118" s="39">
        <f ca="1">((100/(H110))*C118)/100</f>
        <v>0</v>
      </c>
      <c r="E118" s="63"/>
      <c r="F118" s="63"/>
      <c r="G118" s="63"/>
      <c r="H118" s="77"/>
      <c r="I118" s="14" t="s">
        <v>153</v>
      </c>
      <c r="J118" s="42">
        <f>(IF(B110&gt;2,(H110/(B110+2)+J117),0))</f>
        <v>0</v>
      </c>
      <c r="L118" s="28" t="e">
        <f>#REF!/#REF!</f>
        <v>#REF!</v>
      </c>
    </row>
    <row r="119" spans="1:17" ht="15.75" customHeight="1" x14ac:dyDescent="0.35">
      <c r="A119" s="66" t="s">
        <v>141</v>
      </c>
      <c r="B119" s="62" t="s">
        <v>141</v>
      </c>
      <c r="C119" s="38">
        <v>0</v>
      </c>
      <c r="D119" s="39">
        <f ca="1">((100/H110)*C119)/100</f>
        <v>0</v>
      </c>
      <c r="E119" s="63"/>
      <c r="F119" s="63"/>
      <c r="G119" s="63"/>
      <c r="H119" s="77"/>
      <c r="I119" s="14" t="s">
        <v>154</v>
      </c>
      <c r="J119" s="43">
        <f>(IF(B110&gt;3,(H110/(B110+2)+J118),0))</f>
        <v>0</v>
      </c>
      <c r="L119" s="47" t="e">
        <f>#REF!/#REF!</f>
        <v>#REF!</v>
      </c>
      <c r="M119" s="47"/>
      <c r="N119" s="47"/>
      <c r="O119" s="47"/>
      <c r="P119" s="47"/>
      <c r="Q119" s="47"/>
    </row>
    <row r="120" spans="1:17" ht="15.75" customHeight="1" x14ac:dyDescent="0.35">
      <c r="A120" s="66" t="s">
        <v>148</v>
      </c>
      <c r="B120" s="62"/>
      <c r="C120" s="38">
        <v>0</v>
      </c>
      <c r="D120" s="39">
        <f ca="1">((100/H110)*C120)/100</f>
        <v>0</v>
      </c>
      <c r="E120" s="63"/>
      <c r="F120" s="63"/>
      <c r="G120" s="63"/>
      <c r="H120" s="77"/>
      <c r="I120" s="14" t="s">
        <v>155</v>
      </c>
      <c r="J120" s="42">
        <f>(IF(B110&gt;4,(H110/(B110+2)+J119),0))</f>
        <v>0</v>
      </c>
      <c r="L120" s="47" t="e">
        <f>#REF!/#REF!</f>
        <v>#REF!</v>
      </c>
      <c r="M120" s="47"/>
      <c r="N120" s="47"/>
      <c r="O120" s="47"/>
      <c r="P120" s="47"/>
      <c r="Q120" s="47"/>
    </row>
    <row r="121" spans="1:17" ht="15.75" customHeight="1" x14ac:dyDescent="0.35">
      <c r="A121" s="66" t="s">
        <v>143</v>
      </c>
      <c r="B121" s="62" t="s">
        <v>143</v>
      </c>
      <c r="C121" s="38">
        <v>0</v>
      </c>
      <c r="D121" s="39">
        <f ca="1">((100/(H110))*C121)/100</f>
        <v>0</v>
      </c>
      <c r="E121" s="63"/>
      <c r="F121" s="63"/>
      <c r="G121" s="63"/>
      <c r="H121" s="77"/>
      <c r="I121" s="14" t="s">
        <v>157</v>
      </c>
      <c r="J121" s="42">
        <f ca="1">(IF(B110=1,(H110/(B110+3)+J116),IF(B110=0,(H110/4+J116),IF(B110&gt;1,0))))</f>
        <v>15.75</v>
      </c>
      <c r="L121" s="47" t="e">
        <f>#REF!/#REF!</f>
        <v>#REF!</v>
      </c>
      <c r="M121" s="47"/>
      <c r="N121" s="47"/>
      <c r="O121" s="47"/>
      <c r="P121" s="47"/>
      <c r="Q121" s="47"/>
    </row>
    <row r="122" spans="1:17" ht="16" thickBot="1" x14ac:dyDescent="0.4">
      <c r="A122" s="79" t="s">
        <v>144</v>
      </c>
      <c r="B122" s="80"/>
      <c r="C122" s="44">
        <v>0</v>
      </c>
      <c r="D122" s="45">
        <f ca="1">((100/(H110))*C122)/100</f>
        <v>0</v>
      </c>
      <c r="E122" s="76"/>
      <c r="F122" s="76"/>
      <c r="G122" s="76"/>
      <c r="H122" s="78"/>
      <c r="I122" s="17" t="s">
        <v>113</v>
      </c>
      <c r="J122" s="46">
        <f ca="1">(IF(B110&gt;1.5,(H110/(B110+2)+J116+MAX(0,J117-J116)+MAX(0,J118-J117)+MAX(0,J119-J118)+MAX(0,J120-J119)+MAX(0,J121-J120)),IF(B110=1,(H110/(B110+3)+J121),IF(B110=0,H110/4+J121))))</f>
        <v>21</v>
      </c>
      <c r="L122" s="47" t="e">
        <f>#REF!/#REF!</f>
        <v>#REF!</v>
      </c>
      <c r="M122" s="47"/>
      <c r="N122" s="47"/>
      <c r="O122" s="47"/>
      <c r="P122" s="47"/>
      <c r="Q122" s="47"/>
    </row>
    <row r="123" spans="1:17" ht="15.75" customHeight="1" x14ac:dyDescent="0.35">
      <c r="A123" s="166" t="s">
        <v>150</v>
      </c>
      <c r="B123" s="167"/>
      <c r="C123" s="168" t="s">
        <v>232</v>
      </c>
      <c r="D123" s="169"/>
      <c r="E123" s="169"/>
      <c r="F123" s="169"/>
      <c r="G123" s="169"/>
      <c r="H123" s="170"/>
      <c r="I123" s="15" t="str">
        <f ca="1">(IF(E127&gt;99%,"All work completed. Please provide OC.",IF(E127&gt;89.8%,"Plinth, RCC, Brick, Plaster, Flooring, Painting work Completed. Finishing work is in process.",IF(E127&lt;94%,(IF(C127=0,"Work not yet Started.",IF(D127=25%,"Piling work in process",IF(D127=50%,"Excavation work in process",IF(D127=100%,"Excavation work Completed. ","0")))&amp;(IF(C128=0%,"",IF(C128=J129,"Footing work is process",IF(C128=J130,"Footing work Completed",IF(C128=J131,"1st Basement Completed",IF(C128=J132,"1st &amp; 2nd Basement Completed",IF(C128=J133,"1st to 3rd Basement Completed",IF(C128=J134,"1st to 4th Basement Completed",IF(C128=J135,"Plinth work is process",IF(C128=J136,"Plinth work completed","0")))))))))))&amp;(IF(C129=(D124+F124+H124),", RCC Slab Completed",IF(C129&gt;0,", RCC upto "&amp;C129&amp;" Slab Completed",""))&amp;(IF(C130=H124,", Brickwork Completed",IF(C130&gt;0,", Brickwork upto "&amp;C130&amp;" Floor Completed",""))&amp;(IF(C131=H124,", Internal Plaster Completed",IF(C131&gt;0,", Internal Plaster upto "&amp;C131&amp;" Floor Completed",""))&amp;(IF(C132=H124,", External Plaster Completed",IF(C132&gt;0,", External Plaster upto "&amp;C132&amp;" Floor Completed",""))&amp;(IF(C133=H124,", Flooring Completed",IF(C133&gt;0,", Flooring upto "&amp;C133&amp;" Floor Completed",""))&amp;(IF(C134=H124,", Painting Completed",IF(C134&gt;0,", Painting upto "&amp;C134&amp;" Floor Completed",""))&amp;(IF(C135&gt;0,", Finishing upto "&amp;C135&amp;" Floor Completed","")&amp;(IF(C129&gt;0.5,".",""))))))))))))))</f>
        <v>Excavation work Completed. Plinth work completed, RCC upto 6 Slab Completed, Brickwork upto 5 Floor Completed, Internal Plaster upto 3.75 Floor Completed, External Plaster upto 3.5 Floor Completed.</v>
      </c>
      <c r="J123" s="35"/>
      <c r="L123" s="47" t="e">
        <f>#REF!/#REF!</f>
        <v>#REF!</v>
      </c>
      <c r="M123" s="47"/>
      <c r="N123" s="47"/>
      <c r="O123" s="47"/>
      <c r="P123" s="47"/>
      <c r="Q123" s="47"/>
    </row>
    <row r="124" spans="1:17" x14ac:dyDescent="0.35">
      <c r="A124" s="18" t="s">
        <v>152</v>
      </c>
      <c r="B124" s="27">
        <v>0</v>
      </c>
      <c r="C124" s="27" t="s">
        <v>78</v>
      </c>
      <c r="D124" s="27">
        <v>1</v>
      </c>
      <c r="E124" s="27" t="s">
        <v>77</v>
      </c>
      <c r="F124" s="27">
        <v>0</v>
      </c>
      <c r="G124" s="27" t="s">
        <v>86</v>
      </c>
      <c r="H124" s="19">
        <f ca="1">--TRIM(RIGHT(SUBSTITUTE(LEFT(C123,_xlfn.AGGREGATE(16,6,FIND({0,1,2,3,4,5,6,7,8,9},C123,ROW(INDIRECT("1:"&amp;LEN(C123)))),1))," ",REPT(" ",LEN(C123))),LEN(C123)))</f>
        <v>24</v>
      </c>
      <c r="I124" s="16"/>
      <c r="J124" s="36"/>
      <c r="L124" s="47"/>
      <c r="M124" s="47"/>
      <c r="N124" s="47"/>
      <c r="O124" s="47"/>
      <c r="P124" s="47"/>
      <c r="Q124" s="47"/>
    </row>
    <row r="125" spans="1:17" ht="51" customHeight="1" x14ac:dyDescent="0.35">
      <c r="A125" s="64" t="s">
        <v>96</v>
      </c>
      <c r="B125" s="61"/>
      <c r="C125" s="60" t="str">
        <f ca="1">(IF($G$50="NA",I123,"All work Completed. OC Received."))</f>
        <v>Excavation work Completed. Plinth work completed, RCC upto 6 Slab Completed, Brickwork upto 5 Floor Completed, Internal Plaster upto 3.75 Floor Completed, External Plaster upto 3.5 Floor Completed.</v>
      </c>
      <c r="D125" s="60"/>
      <c r="E125" s="60"/>
      <c r="F125" s="60"/>
      <c r="G125" s="60"/>
      <c r="H125" s="65"/>
      <c r="I125" s="16" t="s">
        <v>114</v>
      </c>
      <c r="J125" s="36"/>
      <c r="L125" s="47"/>
      <c r="M125" s="47"/>
      <c r="N125" s="47"/>
      <c r="O125" s="47"/>
      <c r="P125" s="47"/>
      <c r="Q125" s="47"/>
    </row>
    <row r="126" spans="1:17" ht="15.75" customHeight="1" x14ac:dyDescent="0.35">
      <c r="A126" s="66" t="s">
        <v>53</v>
      </c>
      <c r="B126" s="62"/>
      <c r="C126" s="22" t="s">
        <v>149</v>
      </c>
      <c r="D126" s="22" t="s">
        <v>89</v>
      </c>
      <c r="E126" s="62" t="s">
        <v>91</v>
      </c>
      <c r="F126" s="62"/>
      <c r="G126" s="62" t="s">
        <v>90</v>
      </c>
      <c r="H126" s="75"/>
      <c r="I126" s="14" t="s">
        <v>151</v>
      </c>
      <c r="J126" s="37">
        <f ca="1">H124*25%</f>
        <v>6</v>
      </c>
      <c r="L126" s="47"/>
      <c r="M126" s="47"/>
      <c r="N126" s="47"/>
      <c r="O126" s="47"/>
      <c r="P126" s="47"/>
      <c r="Q126" s="47"/>
    </row>
    <row r="127" spans="1:17" x14ac:dyDescent="0.35">
      <c r="A127" s="66" t="s">
        <v>138</v>
      </c>
      <c r="B127" s="62"/>
      <c r="C127" s="38">
        <f ca="1">J128</f>
        <v>24</v>
      </c>
      <c r="D127" s="39">
        <f ca="1">((100/H124)*C127)/100</f>
        <v>1</v>
      </c>
      <c r="E127" s="63">
        <f ca="1">(((C128/H124*10)+(40/(D124+F124+H124)*C129)+(7.5/(H124)*C130)+(7.5/(H124)*C131)+(10/H124*C132)+(10/H124*C133)+(5/H124*C134)+(5/H124*C135)+(5/H124*C136))/100)</f>
        <v>0.23792708333333334</v>
      </c>
      <c r="F127" s="63"/>
      <c r="G127" s="63">
        <f ca="1">((((C127/H124)*20)+((C128/H124)*25)+(30/(H124+F124+D124)*C129)+(5/H124*C130)+(5/H124*C131)+(5/H124*C132)+(5/H124*C133)+(0/H124*C134)+(0/H124*C135)+(5/H124*C136))/100)</f>
        <v>0.54752083333333335</v>
      </c>
      <c r="H127" s="77"/>
      <c r="I127" s="14" t="s">
        <v>109</v>
      </c>
      <c r="J127" s="40">
        <f ca="1">H124*50%</f>
        <v>12</v>
      </c>
    </row>
    <row r="128" spans="1:17" x14ac:dyDescent="0.35">
      <c r="A128" s="66" t="s">
        <v>54</v>
      </c>
      <c r="B128" s="62"/>
      <c r="C128" s="41">
        <f ca="1">J136</f>
        <v>24</v>
      </c>
      <c r="D128" s="39">
        <f ca="1">((100/H124)*C128)/100</f>
        <v>1</v>
      </c>
      <c r="E128" s="63"/>
      <c r="F128" s="63"/>
      <c r="G128" s="63"/>
      <c r="H128" s="77"/>
      <c r="I128" s="14" t="s">
        <v>110</v>
      </c>
      <c r="J128" s="40">
        <f ca="1">H124</f>
        <v>24</v>
      </c>
      <c r="L128" s="48"/>
      <c r="M128" s="48"/>
      <c r="N128" s="48"/>
      <c r="O128" s="48"/>
      <c r="P128" s="48"/>
      <c r="Q128" s="48"/>
    </row>
    <row r="129" spans="1:17" ht="15.75" customHeight="1" x14ac:dyDescent="0.35">
      <c r="A129" s="66" t="s">
        <v>139</v>
      </c>
      <c r="B129" s="62"/>
      <c r="C129" s="41">
        <v>6</v>
      </c>
      <c r="D129" s="39">
        <f ca="1">((100/(D124+F124+H124))*C129)/100</f>
        <v>0.24</v>
      </c>
      <c r="E129" s="63"/>
      <c r="F129" s="63"/>
      <c r="G129" s="63"/>
      <c r="H129" s="77"/>
      <c r="I129" s="14" t="s">
        <v>111</v>
      </c>
      <c r="J129" s="42">
        <f ca="1">(IF(B124&gt;1,(H124/(B124+2)),H124/4))</f>
        <v>6</v>
      </c>
      <c r="L129" s="49"/>
      <c r="M129" s="49"/>
      <c r="N129" s="49"/>
      <c r="O129" s="49"/>
      <c r="P129" s="49"/>
      <c r="Q129" s="49"/>
    </row>
    <row r="130" spans="1:17" ht="15.75" customHeight="1" x14ac:dyDescent="0.35">
      <c r="A130" s="66" t="s">
        <v>146</v>
      </c>
      <c r="B130" s="62" t="s">
        <v>140</v>
      </c>
      <c r="C130" s="41">
        <f>C129-1</f>
        <v>5</v>
      </c>
      <c r="D130" s="39">
        <f ca="1">((100/H124)*C130)/100</f>
        <v>0.20833333333333337</v>
      </c>
      <c r="E130" s="63"/>
      <c r="F130" s="63"/>
      <c r="G130" s="63"/>
      <c r="H130" s="77"/>
      <c r="I130" s="14" t="s">
        <v>112</v>
      </c>
      <c r="J130" s="42">
        <f ca="1">(IF(B124&gt;1,(H124/(B124+2)+J129),H124/4+J129))</f>
        <v>12</v>
      </c>
      <c r="L130" s="49"/>
      <c r="M130" s="49"/>
      <c r="N130" s="49"/>
      <c r="O130" s="49"/>
      <c r="P130" s="49"/>
      <c r="Q130" s="49"/>
    </row>
    <row r="131" spans="1:17" ht="15.75" customHeight="1" x14ac:dyDescent="0.35">
      <c r="A131" s="66" t="s">
        <v>147</v>
      </c>
      <c r="B131" s="62" t="s">
        <v>140</v>
      </c>
      <c r="C131" s="41">
        <f>C130*0.75</f>
        <v>3.75</v>
      </c>
      <c r="D131" s="39">
        <f ca="1">((100/H124)*C131)/100</f>
        <v>0.15625000000000003</v>
      </c>
      <c r="E131" s="63"/>
      <c r="F131" s="63"/>
      <c r="G131" s="63"/>
      <c r="H131" s="77"/>
      <c r="I131" s="14" t="s">
        <v>156</v>
      </c>
      <c r="J131" s="42">
        <f>(IF(B124&gt;1,(H124/(B124+2)+J130),0))</f>
        <v>0</v>
      </c>
      <c r="L131" s="49"/>
      <c r="M131" s="49"/>
      <c r="N131" s="49"/>
      <c r="O131" s="49"/>
      <c r="P131" s="49"/>
      <c r="Q131" s="49"/>
    </row>
    <row r="132" spans="1:17" ht="15" customHeight="1" x14ac:dyDescent="0.35">
      <c r="A132" s="66" t="s">
        <v>145</v>
      </c>
      <c r="B132" s="62" t="s">
        <v>142</v>
      </c>
      <c r="C132" s="41">
        <f>C130*0.7</f>
        <v>3.5</v>
      </c>
      <c r="D132" s="39">
        <f ca="1">((100/(H124))*C132)/100</f>
        <v>0.14583333333333334</v>
      </c>
      <c r="E132" s="63"/>
      <c r="F132" s="63"/>
      <c r="G132" s="63"/>
      <c r="H132" s="77"/>
      <c r="I132" s="14" t="s">
        <v>153</v>
      </c>
      <c r="J132" s="42">
        <f>(IF(B124&gt;2,(H124/(B124+2)+J131),0))</f>
        <v>0</v>
      </c>
      <c r="L132" s="49"/>
      <c r="M132" s="49"/>
      <c r="N132" s="49"/>
      <c r="O132" s="49"/>
      <c r="P132" s="49"/>
      <c r="Q132" s="49"/>
    </row>
    <row r="133" spans="1:17" ht="15.75" customHeight="1" x14ac:dyDescent="0.35">
      <c r="A133" s="66" t="s">
        <v>141</v>
      </c>
      <c r="B133" s="62" t="s">
        <v>141</v>
      </c>
      <c r="C133" s="38">
        <v>0</v>
      </c>
      <c r="D133" s="39">
        <f ca="1">((100/H124)*C133)/100</f>
        <v>0</v>
      </c>
      <c r="E133" s="63"/>
      <c r="F133" s="63"/>
      <c r="G133" s="63"/>
      <c r="H133" s="77"/>
      <c r="I133" s="14" t="s">
        <v>154</v>
      </c>
      <c r="J133" s="43">
        <f>(IF(B124&gt;3,(H124/(B124+2)+J132),0))</f>
        <v>0</v>
      </c>
      <c r="L133" s="49"/>
      <c r="M133" s="49"/>
      <c r="N133" s="49"/>
      <c r="O133" s="49"/>
      <c r="P133" s="49"/>
      <c r="Q133" s="49"/>
    </row>
    <row r="134" spans="1:17" ht="15.75" customHeight="1" x14ac:dyDescent="0.35">
      <c r="A134" s="66" t="s">
        <v>148</v>
      </c>
      <c r="B134" s="62"/>
      <c r="C134" s="38">
        <v>0</v>
      </c>
      <c r="D134" s="39">
        <f ca="1">((100/H124)*C134)/100</f>
        <v>0</v>
      </c>
      <c r="E134" s="63"/>
      <c r="F134" s="63"/>
      <c r="G134" s="63"/>
      <c r="H134" s="77"/>
      <c r="I134" s="14" t="s">
        <v>155</v>
      </c>
      <c r="J134" s="42">
        <f>(IF(B124&gt;4,(H124/(B124+2)+J133),0))</f>
        <v>0</v>
      </c>
      <c r="L134" s="49"/>
      <c r="M134" s="49"/>
      <c r="N134" s="49"/>
      <c r="O134" s="49"/>
      <c r="P134" s="49"/>
      <c r="Q134" s="49"/>
    </row>
    <row r="135" spans="1:17" ht="15.75" customHeight="1" x14ac:dyDescent="0.35">
      <c r="A135" s="66" t="s">
        <v>143</v>
      </c>
      <c r="B135" s="62" t="s">
        <v>143</v>
      </c>
      <c r="C135" s="38">
        <v>0</v>
      </c>
      <c r="D135" s="39">
        <f ca="1">((100/(H124))*C135)/100</f>
        <v>0</v>
      </c>
      <c r="E135" s="63"/>
      <c r="F135" s="63"/>
      <c r="G135" s="63"/>
      <c r="H135" s="77"/>
      <c r="I135" s="14" t="s">
        <v>157</v>
      </c>
      <c r="J135" s="42">
        <f ca="1">(IF(B124=1,(H124/(B124+3)+J130),IF(B124=0,(H124/4+J130),IF(B124&gt;1,0))))</f>
        <v>18</v>
      </c>
      <c r="L135" s="49"/>
      <c r="M135" s="49"/>
      <c r="N135" s="49"/>
      <c r="O135" s="49"/>
      <c r="P135" s="49"/>
      <c r="Q135" s="49"/>
    </row>
    <row r="136" spans="1:17" ht="16" thickBot="1" x14ac:dyDescent="0.4">
      <c r="A136" s="79" t="s">
        <v>144</v>
      </c>
      <c r="B136" s="80"/>
      <c r="C136" s="44">
        <v>0</v>
      </c>
      <c r="D136" s="45">
        <f ca="1">((100/(H124))*C136)/100</f>
        <v>0</v>
      </c>
      <c r="E136" s="76"/>
      <c r="F136" s="76"/>
      <c r="G136" s="76"/>
      <c r="H136" s="78"/>
      <c r="I136" s="17" t="s">
        <v>113</v>
      </c>
      <c r="J136" s="46">
        <f ca="1">(IF(B124&gt;1.5,(H124/(B124+2)+J130+MAX(0,J131-J130)+MAX(0,J132-J131)+MAX(0,J133-J132)+MAX(0,J134-J133)+MAX(0,J135-J134)),IF(B124=1,(H124/(B124+3)+J135),IF(B124=0,H124/4+J135))))</f>
        <v>24</v>
      </c>
      <c r="L136" s="49"/>
      <c r="M136" s="49"/>
      <c r="N136" s="49"/>
      <c r="O136" s="49"/>
      <c r="P136" s="49"/>
      <c r="Q136" s="49"/>
    </row>
    <row r="137" spans="1:17" ht="15.75" customHeight="1" x14ac:dyDescent="0.35">
      <c r="A137" s="166" t="s">
        <v>150</v>
      </c>
      <c r="B137" s="167"/>
      <c r="C137" s="168" t="s">
        <v>233</v>
      </c>
      <c r="D137" s="169"/>
      <c r="E137" s="169"/>
      <c r="F137" s="169"/>
      <c r="G137" s="169"/>
      <c r="H137" s="170"/>
      <c r="I137" s="15" t="str">
        <f ca="1">(IF(E141&gt;99%,"All work completed. Please provide OC.",IF(E141&gt;89.8%,"Plinth, RCC, Brick, Plaster, Flooring, Painting work Completed. Finishing work is in process.",IF(E141&lt;94%,(IF(C141=0,"Work not yet Started.",IF(D141=25%,"Piling work in process",IF(D141=50%,"Excavation work in process",IF(D141=100%,"Excavation work Completed. ","0")))&amp;(IF(C142=0%,"",IF(C142=J143,"Footing work is process",IF(C142=J144,"Footing work Completed",IF(C142=J145,"1st Basement Completed",IF(C142=J146,"1st &amp; 2nd Basement Completed",IF(C142=J147,"1st to 3rd Basement Completed",IF(C142=J148,"1st to 4th Basement Completed",IF(C142=J149,"Plinth work is process",IF(C142=J150,"Plinth work completed","0")))))))))))&amp;(IF(C143=(D138+F138+H138),", RCC Slab Completed",IF(C143&gt;0,", RCC upto "&amp;C143&amp;" Slab Completed",""))&amp;(IF(C144=H138,", Brickwork Completed",IF(C144&gt;0,", Brickwork upto "&amp;C144&amp;" Floor Completed",""))&amp;(IF(C145=H138,", Internal Plaster Completed",IF(C145&gt;0,", Internal Plaster upto "&amp;C145&amp;" Floor Completed",""))&amp;(IF(C146=H138,", External Plaster Completed",IF(C146&gt;0,", External Plaster upto "&amp;C146&amp;" Floor Completed",""))&amp;(IF(C147=H138,", Flooring Completed",IF(C147&gt;0,", Flooring upto "&amp;C147&amp;" Floor Completed",""))&amp;(IF(C148=H138,", Painting Completed",IF(C148&gt;0,", Painting upto "&amp;C148&amp;" Floor Completed",""))&amp;(IF(C149&gt;0,", Finishing upto "&amp;C149&amp;" Floor Completed","")&amp;(IF(C143&gt;0.5,".",""))))))))))))))</f>
        <v>Excavation work Completed. Plinth work completed, RCC upto 1 Slab Completed.</v>
      </c>
      <c r="J137" s="35"/>
      <c r="L137" s="47" t="e">
        <f>#REF!/#REF!</f>
        <v>#REF!</v>
      </c>
      <c r="M137" s="47"/>
      <c r="N137" s="47"/>
      <c r="O137" s="47"/>
      <c r="P137" s="47"/>
      <c r="Q137" s="47"/>
    </row>
    <row r="138" spans="1:17" x14ac:dyDescent="0.35">
      <c r="A138" s="18" t="s">
        <v>152</v>
      </c>
      <c r="B138" s="27">
        <v>0</v>
      </c>
      <c r="C138" s="27" t="s">
        <v>78</v>
      </c>
      <c r="D138" s="27">
        <v>1</v>
      </c>
      <c r="E138" s="27" t="s">
        <v>77</v>
      </c>
      <c r="F138" s="27">
        <v>0</v>
      </c>
      <c r="G138" s="27" t="s">
        <v>86</v>
      </c>
      <c r="H138" s="19">
        <f ca="1">--TRIM(RIGHT(SUBSTITUTE(LEFT(C137,_xlfn.AGGREGATE(16,6,FIND({0,1,2,3,4,5,6,7,8,9},C137,ROW(INDIRECT("1:"&amp;LEN(C137)))),1))," ",REPT(" ",LEN(C137))),LEN(C137)))</f>
        <v>24</v>
      </c>
      <c r="I138" s="16"/>
      <c r="J138" s="36"/>
      <c r="L138" s="47"/>
      <c r="M138" s="47"/>
      <c r="N138" s="47"/>
      <c r="O138" s="47"/>
      <c r="P138" s="47"/>
      <c r="Q138" s="47"/>
    </row>
    <row r="139" spans="1:17" ht="34.5" customHeight="1" x14ac:dyDescent="0.35">
      <c r="A139" s="64" t="s">
        <v>96</v>
      </c>
      <c r="B139" s="61"/>
      <c r="C139" s="60" t="str">
        <f ca="1">(IF($G$50="NA",I137,"All work Completed. OC Received."))</f>
        <v>Excavation work Completed. Plinth work completed, RCC upto 1 Slab Completed.</v>
      </c>
      <c r="D139" s="60"/>
      <c r="E139" s="60"/>
      <c r="F139" s="60"/>
      <c r="G139" s="60"/>
      <c r="H139" s="65"/>
      <c r="I139" s="16" t="s">
        <v>114</v>
      </c>
      <c r="J139" s="36"/>
      <c r="L139" s="47"/>
      <c r="M139" s="47"/>
      <c r="N139" s="47"/>
      <c r="O139" s="47"/>
      <c r="P139" s="47"/>
      <c r="Q139" s="47"/>
    </row>
    <row r="140" spans="1:17" ht="15.75" customHeight="1" x14ac:dyDescent="0.35">
      <c r="A140" s="66" t="s">
        <v>53</v>
      </c>
      <c r="B140" s="62"/>
      <c r="C140" s="22" t="s">
        <v>149</v>
      </c>
      <c r="D140" s="22" t="s">
        <v>89</v>
      </c>
      <c r="E140" s="62" t="s">
        <v>91</v>
      </c>
      <c r="F140" s="62"/>
      <c r="G140" s="62" t="s">
        <v>90</v>
      </c>
      <c r="H140" s="75"/>
      <c r="I140" s="14" t="s">
        <v>151</v>
      </c>
      <c r="J140" s="37">
        <f ca="1">H138*25%</f>
        <v>6</v>
      </c>
      <c r="L140" s="47"/>
      <c r="M140" s="47"/>
      <c r="N140" s="47"/>
      <c r="O140" s="47"/>
      <c r="P140" s="47"/>
      <c r="Q140" s="47"/>
    </row>
    <row r="141" spans="1:17" x14ac:dyDescent="0.35">
      <c r="A141" s="66" t="s">
        <v>138</v>
      </c>
      <c r="B141" s="62"/>
      <c r="C141" s="38">
        <f ca="1">J142</f>
        <v>24</v>
      </c>
      <c r="D141" s="39">
        <f ca="1">((100/H138)*C141)/100</f>
        <v>1</v>
      </c>
      <c r="E141" s="63">
        <f ca="1">(((C142/H138*10)+(40/(D138+F138+H138)*C143)+(7.5/(H138)*C144)+(7.5/(H138)*C145)+(10/H138*C146)+(10/H138*C147)+(5/H138*C148)+(5/H138*C149)+(5/H138*C150))/100)</f>
        <v>0.11599999999999999</v>
      </c>
      <c r="F141" s="63"/>
      <c r="G141" s="63">
        <f ca="1">((((C141/H138)*20)+((C142/H138)*25)+(30/(H138+F138+D138)*C143)+(5/H138*C144)+(5/H138*C145)+(5/H138*C146)+(5/H138*C147)+(0/H138*C148)+(0/H138*C149)+(5/H138*C150))/100)</f>
        <v>0.46200000000000002</v>
      </c>
      <c r="H141" s="77"/>
      <c r="I141" s="14" t="s">
        <v>109</v>
      </c>
      <c r="J141" s="40">
        <f ca="1">H138*50%</f>
        <v>12</v>
      </c>
    </row>
    <row r="142" spans="1:17" x14ac:dyDescent="0.35">
      <c r="A142" s="66" t="s">
        <v>54</v>
      </c>
      <c r="B142" s="62"/>
      <c r="C142" s="41">
        <f ca="1">J150</f>
        <v>24</v>
      </c>
      <c r="D142" s="39">
        <f ca="1">((100/H138)*C142)/100</f>
        <v>1</v>
      </c>
      <c r="E142" s="63"/>
      <c r="F142" s="63"/>
      <c r="G142" s="63"/>
      <c r="H142" s="77"/>
      <c r="I142" s="14" t="s">
        <v>110</v>
      </c>
      <c r="J142" s="40">
        <f ca="1">H138</f>
        <v>24</v>
      </c>
      <c r="L142" s="48"/>
      <c r="M142" s="48"/>
      <c r="N142" s="48"/>
      <c r="O142" s="48"/>
      <c r="P142" s="48"/>
      <c r="Q142" s="48"/>
    </row>
    <row r="143" spans="1:17" ht="15.75" customHeight="1" x14ac:dyDescent="0.35">
      <c r="A143" s="66" t="s">
        <v>139</v>
      </c>
      <c r="B143" s="62"/>
      <c r="C143" s="41">
        <v>1</v>
      </c>
      <c r="D143" s="39">
        <f ca="1">((100/(D138+F138+H138))*C143)/100</f>
        <v>0.04</v>
      </c>
      <c r="E143" s="63"/>
      <c r="F143" s="63"/>
      <c r="G143" s="63"/>
      <c r="H143" s="77"/>
      <c r="I143" s="14" t="s">
        <v>111</v>
      </c>
      <c r="J143" s="42">
        <f ca="1">(IF(B138&gt;1,(H138/(B138+2)),H138/4))</f>
        <v>6</v>
      </c>
      <c r="L143" s="49"/>
      <c r="M143" s="49"/>
      <c r="N143" s="49"/>
      <c r="O143" s="49"/>
      <c r="P143" s="49"/>
      <c r="Q143" s="49"/>
    </row>
    <row r="144" spans="1:17" ht="15.75" customHeight="1" x14ac:dyDescent="0.35">
      <c r="A144" s="66" t="s">
        <v>146</v>
      </c>
      <c r="B144" s="62" t="s">
        <v>140</v>
      </c>
      <c r="C144" s="38">
        <v>0</v>
      </c>
      <c r="D144" s="39">
        <f ca="1">((100/H138)*C144)/100</f>
        <v>0</v>
      </c>
      <c r="E144" s="63"/>
      <c r="F144" s="63"/>
      <c r="G144" s="63"/>
      <c r="H144" s="77"/>
      <c r="I144" s="14" t="s">
        <v>112</v>
      </c>
      <c r="J144" s="42">
        <f ca="1">(IF(B138&gt;1,(H138/(B138+2)+J143),H138/4+J143))</f>
        <v>12</v>
      </c>
      <c r="L144" s="49"/>
      <c r="M144" s="49"/>
      <c r="N144" s="49"/>
      <c r="O144" s="49"/>
      <c r="P144" s="49"/>
      <c r="Q144" s="49"/>
    </row>
    <row r="145" spans="1:17" ht="15.75" customHeight="1" x14ac:dyDescent="0.35">
      <c r="A145" s="66" t="s">
        <v>147</v>
      </c>
      <c r="B145" s="62" t="s">
        <v>140</v>
      </c>
      <c r="C145" s="38">
        <v>0</v>
      </c>
      <c r="D145" s="39">
        <f ca="1">((100/H138)*C145)/100</f>
        <v>0</v>
      </c>
      <c r="E145" s="63"/>
      <c r="F145" s="63"/>
      <c r="G145" s="63"/>
      <c r="H145" s="77"/>
      <c r="I145" s="14" t="s">
        <v>156</v>
      </c>
      <c r="J145" s="42">
        <f>(IF(B138&gt;1,(H138/(B138+2)+J144),0))</f>
        <v>0</v>
      </c>
      <c r="L145" s="49"/>
      <c r="M145" s="49"/>
      <c r="N145" s="49"/>
      <c r="O145" s="49"/>
      <c r="P145" s="49"/>
      <c r="Q145" s="49"/>
    </row>
    <row r="146" spans="1:17" ht="15" customHeight="1" x14ac:dyDescent="0.35">
      <c r="A146" s="66" t="s">
        <v>145</v>
      </c>
      <c r="B146" s="62" t="s">
        <v>142</v>
      </c>
      <c r="C146" s="38">
        <v>0</v>
      </c>
      <c r="D146" s="39">
        <f ca="1">((100/(H138))*C146)/100</f>
        <v>0</v>
      </c>
      <c r="E146" s="63"/>
      <c r="F146" s="63"/>
      <c r="G146" s="63"/>
      <c r="H146" s="77"/>
      <c r="I146" s="14" t="s">
        <v>153</v>
      </c>
      <c r="J146" s="42">
        <f>(IF(B138&gt;2,(H138/(B138+2)+J145),0))</f>
        <v>0</v>
      </c>
      <c r="L146" s="49"/>
      <c r="M146" s="49"/>
      <c r="N146" s="49"/>
      <c r="O146" s="49"/>
      <c r="P146" s="49"/>
      <c r="Q146" s="49"/>
    </row>
    <row r="147" spans="1:17" ht="15.75" customHeight="1" x14ac:dyDescent="0.35">
      <c r="A147" s="66" t="s">
        <v>141</v>
      </c>
      <c r="B147" s="62" t="s">
        <v>141</v>
      </c>
      <c r="C147" s="38">
        <v>0</v>
      </c>
      <c r="D147" s="39">
        <f ca="1">((100/H138)*C147)/100</f>
        <v>0</v>
      </c>
      <c r="E147" s="63"/>
      <c r="F147" s="63"/>
      <c r="G147" s="63"/>
      <c r="H147" s="77"/>
      <c r="I147" s="14" t="s">
        <v>154</v>
      </c>
      <c r="J147" s="43">
        <f>(IF(B138&gt;3,(H138/(B138+2)+J146),0))</f>
        <v>0</v>
      </c>
      <c r="L147" s="49"/>
      <c r="M147" s="49"/>
      <c r="N147" s="49"/>
      <c r="O147" s="49"/>
      <c r="P147" s="49"/>
      <c r="Q147" s="49"/>
    </row>
    <row r="148" spans="1:17" ht="15.75" customHeight="1" x14ac:dyDescent="0.35">
      <c r="A148" s="66" t="s">
        <v>148</v>
      </c>
      <c r="B148" s="62"/>
      <c r="C148" s="38">
        <v>0</v>
      </c>
      <c r="D148" s="39">
        <f ca="1">((100/H138)*C148)/100</f>
        <v>0</v>
      </c>
      <c r="E148" s="63"/>
      <c r="F148" s="63"/>
      <c r="G148" s="63"/>
      <c r="H148" s="77"/>
      <c r="I148" s="14" t="s">
        <v>155</v>
      </c>
      <c r="J148" s="42">
        <f>(IF(B138&gt;4,(H138/(B138+2)+J147),0))</f>
        <v>0</v>
      </c>
      <c r="L148" s="49"/>
      <c r="M148" s="49"/>
      <c r="N148" s="49"/>
      <c r="O148" s="49"/>
      <c r="P148" s="49"/>
      <c r="Q148" s="49"/>
    </row>
    <row r="149" spans="1:17" ht="15.75" customHeight="1" x14ac:dyDescent="0.35">
      <c r="A149" s="66" t="s">
        <v>143</v>
      </c>
      <c r="B149" s="62" t="s">
        <v>143</v>
      </c>
      <c r="C149" s="38">
        <v>0</v>
      </c>
      <c r="D149" s="39">
        <f ca="1">((100/(H138))*C149)/100</f>
        <v>0</v>
      </c>
      <c r="E149" s="63"/>
      <c r="F149" s="63"/>
      <c r="G149" s="63"/>
      <c r="H149" s="77"/>
      <c r="I149" s="14" t="s">
        <v>157</v>
      </c>
      <c r="J149" s="42">
        <f ca="1">(IF(B138=1,(H138/(B138+3)+J144),IF(B138=0,(H138/4+J144),IF(B138&gt;1,0))))</f>
        <v>18</v>
      </c>
      <c r="L149" s="49"/>
      <c r="M149" s="49"/>
      <c r="N149" s="49"/>
      <c r="O149" s="49"/>
      <c r="P149" s="49"/>
      <c r="Q149" s="49"/>
    </row>
    <row r="150" spans="1:17" ht="16" thickBot="1" x14ac:dyDescent="0.4">
      <c r="A150" s="79" t="s">
        <v>144</v>
      </c>
      <c r="B150" s="80"/>
      <c r="C150" s="44">
        <v>0</v>
      </c>
      <c r="D150" s="45">
        <f ca="1">((100/(H138))*C150)/100</f>
        <v>0</v>
      </c>
      <c r="E150" s="76"/>
      <c r="F150" s="76"/>
      <c r="G150" s="76"/>
      <c r="H150" s="78"/>
      <c r="I150" s="17" t="s">
        <v>113</v>
      </c>
      <c r="J150" s="46">
        <f ca="1">(IF(B138&gt;1.5,(H138/(B138+2)+J144+MAX(0,J145-J144)+MAX(0,J146-J145)+MAX(0,J147-J146)+MAX(0,J148-J147)+MAX(0,J149-J148)),IF(B138=1,(H138/(B138+3)+J149),IF(B138=0,H138/4+J149))))</f>
        <v>24</v>
      </c>
      <c r="L150" s="49"/>
      <c r="M150" s="49"/>
      <c r="N150" s="49"/>
      <c r="O150" s="49"/>
      <c r="P150" s="49"/>
      <c r="Q150" s="49"/>
    </row>
    <row r="151" spans="1:17" ht="15.75" customHeight="1" x14ac:dyDescent="0.35">
      <c r="A151" s="188" t="s">
        <v>230</v>
      </c>
      <c r="B151" s="114"/>
      <c r="C151" s="113">
        <f ca="1">AVERAGE(E127,E141)</f>
        <v>0.17696354166666667</v>
      </c>
      <c r="D151" s="114"/>
      <c r="E151" s="117" t="s">
        <v>231</v>
      </c>
      <c r="F151" s="118"/>
      <c r="G151" s="117">
        <f ca="1">AVERAGE(G127,G141)</f>
        <v>0.50476041666666671</v>
      </c>
      <c r="H151" s="186"/>
      <c r="I151" s="14" t="s">
        <v>157</v>
      </c>
      <c r="J151" s="42">
        <f>(IF(B140=1,(H140/(B140+3)+J146),IF(B140=0,(H140/4+J146),IF(B140&gt;1,0))))</f>
        <v>0</v>
      </c>
      <c r="L151" s="49"/>
      <c r="M151" s="49"/>
      <c r="N151" s="49"/>
      <c r="O151" s="49"/>
      <c r="P151" s="49"/>
      <c r="Q151" s="49"/>
    </row>
    <row r="152" spans="1:17" ht="54" customHeight="1" thickBot="1" x14ac:dyDescent="0.4">
      <c r="A152" s="189"/>
      <c r="B152" s="116"/>
      <c r="C152" s="115"/>
      <c r="D152" s="116"/>
      <c r="E152" s="119"/>
      <c r="F152" s="120"/>
      <c r="G152" s="119"/>
      <c r="H152" s="187"/>
      <c r="I152" s="17" t="s">
        <v>113</v>
      </c>
      <c r="J152" s="46">
        <f>(IF(B140&gt;1.5,(H140/(B140+2)+J146+MAX(0,J147-J146)+MAX(0,J148-J147)+MAX(0,J149-J148)+MAX(0,J150-J149)+MAX(0,J151-J150)),IF(B140=1,(H140/(B140+3)+J151),IF(B140=0,H140/4+J151))))</f>
        <v>0</v>
      </c>
      <c r="L152" s="49"/>
      <c r="M152" s="49"/>
      <c r="N152" s="49"/>
      <c r="O152" s="49"/>
      <c r="P152" s="49"/>
      <c r="Q152" s="49"/>
    </row>
    <row r="153" spans="1:17" x14ac:dyDescent="0.35">
      <c r="A153" s="180" t="s">
        <v>55</v>
      </c>
      <c r="B153" s="180"/>
      <c r="C153" s="180"/>
      <c r="D153" s="180"/>
      <c r="E153" s="180"/>
      <c r="F153" s="180"/>
      <c r="G153" s="180"/>
      <c r="H153" s="180"/>
      <c r="I153" s="49"/>
      <c r="J153" s="49"/>
      <c r="K153" s="49"/>
      <c r="L153" s="49"/>
      <c r="M153" s="49"/>
      <c r="N153" s="49"/>
      <c r="O153" s="49"/>
      <c r="P153" s="49"/>
      <c r="Q153" s="49"/>
    </row>
    <row r="154" spans="1:17" x14ac:dyDescent="0.35">
      <c r="A154" s="102" t="s">
        <v>165</v>
      </c>
      <c r="B154" s="102"/>
      <c r="C154" s="102"/>
      <c r="D154" s="102"/>
      <c r="E154" s="102"/>
      <c r="F154" s="179">
        <v>6000</v>
      </c>
      <c r="G154" s="179"/>
      <c r="H154" s="179"/>
      <c r="I154" s="48"/>
      <c r="J154" s="48"/>
      <c r="K154" s="48"/>
      <c r="L154" s="48"/>
      <c r="M154" s="48"/>
      <c r="N154" s="48"/>
      <c r="O154" s="48"/>
      <c r="P154" s="48"/>
      <c r="Q154" s="48"/>
    </row>
    <row r="155" spans="1:17" hidden="1" x14ac:dyDescent="0.35">
      <c r="A155" s="102" t="s">
        <v>166</v>
      </c>
      <c r="B155" s="102"/>
      <c r="C155" s="102"/>
      <c r="D155" s="102"/>
      <c r="E155" s="102"/>
      <c r="F155" s="101"/>
      <c r="G155" s="101"/>
      <c r="H155" s="101"/>
    </row>
    <row r="156" spans="1:17" hidden="1" x14ac:dyDescent="0.35">
      <c r="A156" s="102" t="s">
        <v>167</v>
      </c>
      <c r="B156" s="102"/>
      <c r="C156" s="102"/>
      <c r="D156" s="102"/>
      <c r="E156" s="102"/>
      <c r="F156" s="101"/>
      <c r="G156" s="101"/>
      <c r="H156" s="101"/>
      <c r="I156" s="50"/>
      <c r="J156" s="51"/>
      <c r="K156" s="51"/>
      <c r="L156" s="51"/>
      <c r="M156" s="51"/>
      <c r="N156" s="50"/>
      <c r="O156" s="51"/>
      <c r="P156" s="51"/>
      <c r="Q156" s="51"/>
    </row>
    <row r="157" spans="1:17" s="47" customFormat="1" hidden="1" x14ac:dyDescent="0.35">
      <c r="A157" s="102" t="s">
        <v>101</v>
      </c>
      <c r="B157" s="102"/>
      <c r="C157" s="102"/>
      <c r="D157" s="102"/>
      <c r="E157" s="102"/>
      <c r="F157" s="101"/>
      <c r="G157" s="101"/>
      <c r="H157" s="101"/>
      <c r="I157" s="50"/>
      <c r="J157" s="28"/>
      <c r="K157" s="28"/>
      <c r="L157" s="28"/>
      <c r="M157" s="28"/>
      <c r="N157" s="28"/>
      <c r="O157" s="28"/>
      <c r="P157" s="28"/>
      <c r="Q157" s="28"/>
    </row>
    <row r="158" spans="1:17" s="47" customFormat="1" hidden="1" x14ac:dyDescent="0.3">
      <c r="A158" s="102" t="s">
        <v>102</v>
      </c>
      <c r="B158" s="102"/>
      <c r="C158" s="102"/>
      <c r="D158" s="102"/>
      <c r="E158" s="102"/>
      <c r="F158" s="101"/>
      <c r="G158" s="101"/>
      <c r="H158" s="101"/>
      <c r="I158" s="50"/>
      <c r="J158" s="51"/>
      <c r="K158" s="51"/>
      <c r="L158" s="51"/>
      <c r="M158" s="51"/>
      <c r="N158" s="51"/>
      <c r="O158" s="51"/>
      <c r="P158" s="51"/>
      <c r="Q158" s="51"/>
    </row>
    <row r="159" spans="1:17" s="47" customFormat="1" hidden="1" x14ac:dyDescent="0.3">
      <c r="A159" s="102" t="s">
        <v>103</v>
      </c>
      <c r="B159" s="102"/>
      <c r="C159" s="102"/>
      <c r="D159" s="102"/>
      <c r="E159" s="102"/>
      <c r="F159" s="101"/>
      <c r="G159" s="101"/>
      <c r="H159" s="101"/>
      <c r="I159" s="50"/>
      <c r="J159" s="51"/>
      <c r="K159" s="51"/>
      <c r="L159" s="51"/>
      <c r="M159" s="51"/>
      <c r="N159" s="50"/>
      <c r="O159" s="51"/>
      <c r="P159" s="51"/>
      <c r="Q159" s="51"/>
    </row>
    <row r="160" spans="1:17" s="47" customFormat="1" hidden="1" x14ac:dyDescent="0.3">
      <c r="A160" s="102" t="s">
        <v>104</v>
      </c>
      <c r="B160" s="102"/>
      <c r="C160" s="102"/>
      <c r="D160" s="102"/>
      <c r="E160" s="102"/>
      <c r="F160" s="101"/>
      <c r="G160" s="101"/>
      <c r="H160" s="101"/>
      <c r="I160" s="50"/>
      <c r="J160" s="51"/>
      <c r="K160" s="51"/>
      <c r="L160" s="51"/>
      <c r="M160" s="51"/>
      <c r="N160" s="50"/>
      <c r="O160" s="51"/>
      <c r="P160" s="51"/>
      <c r="Q160" s="51"/>
    </row>
    <row r="161" spans="1:17" s="47" customFormat="1" hidden="1" x14ac:dyDescent="0.3">
      <c r="A161" s="102" t="s">
        <v>105</v>
      </c>
      <c r="B161" s="102"/>
      <c r="C161" s="102"/>
      <c r="D161" s="102"/>
      <c r="E161" s="102"/>
      <c r="F161" s="101"/>
      <c r="G161" s="101"/>
      <c r="H161" s="101"/>
      <c r="I161" s="50"/>
      <c r="J161" s="51"/>
      <c r="K161" s="51"/>
      <c r="L161" s="51"/>
      <c r="M161" s="51"/>
      <c r="N161" s="51"/>
      <c r="O161" s="51"/>
      <c r="P161" s="51"/>
      <c r="Q161" s="51"/>
    </row>
    <row r="162" spans="1:17" s="47" customFormat="1" hidden="1" x14ac:dyDescent="0.3">
      <c r="A162" s="102" t="s">
        <v>106</v>
      </c>
      <c r="B162" s="102"/>
      <c r="C162" s="102"/>
      <c r="D162" s="102"/>
      <c r="E162" s="102"/>
      <c r="F162" s="101"/>
      <c r="G162" s="101"/>
      <c r="H162" s="101"/>
      <c r="I162" s="50"/>
      <c r="J162" s="51"/>
      <c r="K162" s="51"/>
      <c r="L162" s="51"/>
      <c r="M162" s="51"/>
      <c r="N162" s="51"/>
      <c r="O162" s="51"/>
      <c r="P162" s="51"/>
      <c r="Q162" s="51"/>
    </row>
    <row r="163" spans="1:17" s="47" customFormat="1" hidden="1" x14ac:dyDescent="0.3">
      <c r="A163" s="102" t="s">
        <v>107</v>
      </c>
      <c r="B163" s="102"/>
      <c r="C163" s="102"/>
      <c r="D163" s="102"/>
      <c r="E163" s="102"/>
      <c r="F163" s="101"/>
      <c r="G163" s="101"/>
      <c r="H163" s="101"/>
      <c r="I163" s="50"/>
      <c r="J163" s="51"/>
      <c r="K163" s="51"/>
      <c r="L163" s="51"/>
      <c r="M163" s="51"/>
      <c r="N163" s="51"/>
      <c r="O163" s="51"/>
      <c r="P163" s="51"/>
      <c r="Q163" s="51"/>
    </row>
    <row r="164" spans="1:17" s="47" customFormat="1" hidden="1" x14ac:dyDescent="0.3">
      <c r="A164" s="102" t="s">
        <v>108</v>
      </c>
      <c r="B164" s="102"/>
      <c r="C164" s="102"/>
      <c r="D164" s="102"/>
      <c r="E164" s="102"/>
      <c r="F164" s="101"/>
      <c r="G164" s="101"/>
      <c r="H164" s="101"/>
      <c r="I164" s="50"/>
      <c r="J164" s="51"/>
      <c r="K164" s="51"/>
      <c r="L164" s="51"/>
      <c r="M164" s="51"/>
      <c r="N164" s="51"/>
      <c r="O164" s="51"/>
      <c r="P164" s="51"/>
      <c r="Q164" s="51"/>
    </row>
    <row r="165" spans="1:17" x14ac:dyDescent="0.35">
      <c r="A165" s="102" t="s">
        <v>56</v>
      </c>
      <c r="B165" s="102"/>
      <c r="C165" s="102"/>
      <c r="D165" s="102"/>
      <c r="E165" s="102"/>
      <c r="F165" s="156">
        <v>200000</v>
      </c>
      <c r="G165" s="156"/>
      <c r="H165" s="156"/>
      <c r="I165" s="50"/>
      <c r="J165" s="51"/>
      <c r="K165" s="51"/>
      <c r="L165" s="51"/>
      <c r="M165" s="51"/>
      <c r="N165" s="51"/>
      <c r="O165" s="51"/>
      <c r="P165" s="51"/>
      <c r="Q165" s="51"/>
    </row>
    <row r="166" spans="1:17" s="48" customFormat="1" x14ac:dyDescent="0.35">
      <c r="A166" s="129" t="s">
        <v>57</v>
      </c>
      <c r="B166" s="129"/>
      <c r="C166" s="129"/>
      <c r="D166" s="129"/>
      <c r="E166" s="129"/>
      <c r="F166" s="156">
        <f>F154*0.8</f>
        <v>4800</v>
      </c>
      <c r="G166" s="156"/>
      <c r="H166" s="156"/>
      <c r="I166" s="50"/>
      <c r="J166" s="51"/>
      <c r="K166" s="51"/>
      <c r="L166" s="51"/>
      <c r="M166" s="51"/>
      <c r="N166" s="51"/>
      <c r="O166" s="51"/>
      <c r="P166" s="51"/>
      <c r="Q166" s="51"/>
    </row>
    <row r="167" spans="1:17" s="49" customFormat="1" x14ac:dyDescent="0.35">
      <c r="A167" s="157" t="s">
        <v>76</v>
      </c>
      <c r="B167" s="157"/>
      <c r="C167" s="157"/>
      <c r="D167" s="157"/>
      <c r="E167" s="157"/>
      <c r="F167" s="157"/>
      <c r="G167" s="157"/>
      <c r="H167" s="157"/>
      <c r="I167" s="50"/>
      <c r="J167" s="51"/>
      <c r="K167" s="51"/>
      <c r="L167" s="51"/>
      <c r="M167" s="51"/>
      <c r="N167" s="51"/>
      <c r="O167" s="51"/>
      <c r="P167" s="51"/>
      <c r="Q167" s="51"/>
    </row>
    <row r="168" spans="1:17" s="49" customFormat="1" ht="15.75" customHeight="1" x14ac:dyDescent="0.35">
      <c r="A168" s="105" t="s">
        <v>58</v>
      </c>
      <c r="B168" s="105"/>
      <c r="C168" s="181" t="s">
        <v>84</v>
      </c>
      <c r="D168" s="181"/>
      <c r="E168" s="104" t="s">
        <v>59</v>
      </c>
      <c r="F168" s="104"/>
      <c r="G168" s="105" t="s">
        <v>60</v>
      </c>
      <c r="H168" s="105"/>
      <c r="I168" s="50"/>
      <c r="J168" s="51"/>
      <c r="K168" s="51"/>
      <c r="L168" s="51"/>
      <c r="M168" s="51"/>
      <c r="N168" s="50"/>
      <c r="O168" s="51"/>
      <c r="P168" s="51"/>
      <c r="Q168" s="51"/>
    </row>
    <row r="169" spans="1:17" s="49" customFormat="1" x14ac:dyDescent="0.35">
      <c r="A169" s="106" t="s">
        <v>191</v>
      </c>
      <c r="B169" s="106"/>
      <c r="C169" s="107">
        <f>COUNT(D184:D189)*21</f>
        <v>126</v>
      </c>
      <c r="D169" s="107"/>
      <c r="E169" s="108">
        <f>SUM(D184:D189)*21</f>
        <v>66163.643909999999</v>
      </c>
      <c r="F169" s="108"/>
      <c r="G169" s="108">
        <f>SUM(F184:F189)*21</f>
        <v>99245.465864999976</v>
      </c>
      <c r="H169" s="108"/>
      <c r="I169" s="50"/>
      <c r="J169" s="51"/>
      <c r="K169" s="51"/>
      <c r="L169" s="51"/>
      <c r="M169" s="51"/>
      <c r="N169" s="50"/>
      <c r="O169" s="51"/>
      <c r="P169" s="51"/>
      <c r="Q169" s="51"/>
    </row>
    <row r="170" spans="1:17" s="49" customFormat="1" x14ac:dyDescent="0.35">
      <c r="A170" s="106" t="s">
        <v>196</v>
      </c>
      <c r="B170" s="106"/>
      <c r="C170" s="107">
        <f>COUNT(D193:D198)*11</f>
        <v>66</v>
      </c>
      <c r="D170" s="107"/>
      <c r="E170" s="108">
        <f>SUM(D193:D198)*11</f>
        <v>34407.610379999998</v>
      </c>
      <c r="F170" s="108"/>
      <c r="G170" s="108">
        <f>SUM(F193:F198)*11</f>
        <v>51611.415569999997</v>
      </c>
      <c r="H170" s="108"/>
      <c r="I170" s="50"/>
      <c r="J170" s="51"/>
      <c r="K170" s="51"/>
      <c r="L170" s="51"/>
      <c r="M170" s="51"/>
      <c r="N170" s="51"/>
      <c r="O170" s="51"/>
      <c r="P170" s="51"/>
      <c r="Q170" s="51"/>
    </row>
    <row r="171" spans="1:17" s="49" customFormat="1" x14ac:dyDescent="0.35">
      <c r="A171" s="106" t="s">
        <v>197</v>
      </c>
      <c r="B171" s="106"/>
      <c r="C171" s="107">
        <f>COUNT(D202:D207)*11</f>
        <v>66</v>
      </c>
      <c r="D171" s="107"/>
      <c r="E171" s="108">
        <f>SUM(D202:D207)*11</f>
        <v>34679.347559999995</v>
      </c>
      <c r="F171" s="108"/>
      <c r="G171" s="108">
        <f>SUM(F202:F207)*11</f>
        <v>52019.021339999999</v>
      </c>
      <c r="H171" s="108"/>
      <c r="I171" s="50">
        <f t="shared" ref="I171:I172" si="0">3800000/F193</f>
        <v>5297.746972773276</v>
      </c>
      <c r="J171" s="51"/>
      <c r="K171" s="51"/>
      <c r="L171" s="51"/>
      <c r="M171" s="51"/>
      <c r="N171" s="51"/>
      <c r="O171" s="51"/>
      <c r="P171" s="51"/>
      <c r="Q171" s="51"/>
    </row>
    <row r="172" spans="1:17" s="49" customFormat="1" x14ac:dyDescent="0.35">
      <c r="A172" s="106" t="s">
        <v>199</v>
      </c>
      <c r="B172" s="106"/>
      <c r="C172" s="107">
        <f>COUNT(D211:D216)*21</f>
        <v>126</v>
      </c>
      <c r="D172" s="107"/>
      <c r="E172" s="108">
        <f>SUM(D211:D216)*21</f>
        <v>65802.538620000007</v>
      </c>
      <c r="F172" s="108"/>
      <c r="G172" s="108">
        <f>SUM(F211:F216)*21</f>
        <v>98703.807929999981</v>
      </c>
      <c r="H172" s="108"/>
      <c r="I172" s="50">
        <f t="shared" si="0"/>
        <v>5198.8603769704605</v>
      </c>
      <c r="J172" s="51"/>
      <c r="K172" s="51"/>
      <c r="L172" s="51"/>
      <c r="M172" s="51"/>
      <c r="N172" s="51"/>
      <c r="O172" s="51"/>
      <c r="P172" s="51"/>
      <c r="Q172" s="51"/>
    </row>
    <row r="173" spans="1:17" s="49" customFormat="1" x14ac:dyDescent="0.35">
      <c r="A173" s="106" t="s">
        <v>200</v>
      </c>
      <c r="B173" s="25" t="s">
        <v>207</v>
      </c>
      <c r="C173" s="107">
        <f>COUNT(D239:D244)+COUNT(D246:D257)*17+COUNT(D259:D266,D268:D270)*3</f>
        <v>243</v>
      </c>
      <c r="D173" s="107"/>
      <c r="E173" s="108">
        <f>SUM(D239:D244)+SUM(D246:D257)*17+SUM(D259:D266,D268:D270)*3</f>
        <v>95670.001439999993</v>
      </c>
      <c r="F173" s="108"/>
      <c r="G173" s="108">
        <f>SUM(F239:F244)+SUM(F246:F257)*17+SUM(F259:F266,F268:F270)*3</f>
        <v>143505.00215999995</v>
      </c>
      <c r="H173" s="108"/>
      <c r="I173" s="50">
        <f>4800000/F195</f>
        <v>5332.5067947801426</v>
      </c>
      <c r="J173" s="51"/>
      <c r="K173" s="51"/>
      <c r="L173" s="51">
        <f>C169+C170+C171+C172+C173</f>
        <v>627</v>
      </c>
      <c r="M173" s="51"/>
      <c r="N173" s="51"/>
      <c r="O173" s="51"/>
      <c r="P173" s="51"/>
      <c r="Q173" s="51"/>
    </row>
    <row r="174" spans="1:17" s="49" customFormat="1" x14ac:dyDescent="0.35">
      <c r="A174" s="106"/>
      <c r="B174" s="25" t="s">
        <v>208</v>
      </c>
      <c r="C174" s="109">
        <f>COUNT(D220:D231)*3+COUNT(D233:D238)</f>
        <v>42</v>
      </c>
      <c r="D174" s="107"/>
      <c r="E174" s="108">
        <f>SUM(D220:D231)*3+SUM(D233:D238)</f>
        <v>16516.862856</v>
      </c>
      <c r="F174" s="108"/>
      <c r="G174" s="108">
        <f>SUM(F220:F231)*3+SUM(F233:F238)</f>
        <v>24775.294283999996</v>
      </c>
      <c r="H174" s="108"/>
      <c r="I174" s="50">
        <f>4800000/F196</f>
        <v>5332.5067947801426</v>
      </c>
      <c r="J174" s="51"/>
      <c r="K174" s="51"/>
      <c r="L174" s="51"/>
      <c r="M174" s="51">
        <f>243+42</f>
        <v>285</v>
      </c>
      <c r="N174" s="51"/>
      <c r="O174" s="51"/>
      <c r="P174" s="51"/>
      <c r="Q174" s="51"/>
    </row>
    <row r="175" spans="1:17" s="49" customFormat="1" x14ac:dyDescent="0.35">
      <c r="A175" s="157" t="s">
        <v>161</v>
      </c>
      <c r="B175" s="157"/>
      <c r="C175" s="181">
        <f>SUM(C169:C174)</f>
        <v>669</v>
      </c>
      <c r="D175" s="181"/>
      <c r="E175" s="103">
        <f>SUM(E169:E174)</f>
        <v>313240.00476600003</v>
      </c>
      <c r="F175" s="104"/>
      <c r="G175" s="105">
        <f>SUM(G169:G174)</f>
        <v>469860.0071489999</v>
      </c>
      <c r="H175" s="105"/>
      <c r="I175" s="50">
        <f>3800000/F197</f>
        <v>5187.4015707615763</v>
      </c>
      <c r="J175" s="51"/>
      <c r="K175" s="51"/>
      <c r="L175" s="51"/>
      <c r="M175" s="51"/>
      <c r="N175" s="51"/>
      <c r="O175" s="51"/>
      <c r="P175" s="51"/>
      <c r="Q175" s="51"/>
    </row>
    <row r="176" spans="1:17" s="48" customFormat="1" x14ac:dyDescent="0.35">
      <c r="A176" s="124" t="s">
        <v>61</v>
      </c>
      <c r="B176" s="124"/>
      <c r="C176" s="124"/>
      <c r="D176" s="124"/>
      <c r="E176" s="124"/>
      <c r="F176" s="124"/>
      <c r="G176" s="124"/>
      <c r="H176" s="124"/>
      <c r="I176" s="50">
        <f>3800000/F198</f>
        <v>5345.2738874733759</v>
      </c>
      <c r="J176" s="51"/>
      <c r="K176" s="51"/>
      <c r="L176" s="51"/>
      <c r="M176" s="51"/>
      <c r="N176" s="51"/>
      <c r="O176" s="51"/>
      <c r="P176" s="51"/>
      <c r="Q176" s="51"/>
    </row>
    <row r="177" spans="1:17" x14ac:dyDescent="0.35">
      <c r="A177" s="124" t="s">
        <v>62</v>
      </c>
      <c r="B177" s="124"/>
      <c r="C177" s="124"/>
      <c r="D177" s="124"/>
      <c r="E177" s="124"/>
      <c r="F177" s="124"/>
      <c r="G177" s="124"/>
      <c r="H177" s="124"/>
      <c r="I177" s="50"/>
      <c r="J177" s="51"/>
      <c r="K177" s="51"/>
      <c r="L177" s="51"/>
      <c r="M177" s="51"/>
      <c r="N177" s="50"/>
      <c r="O177" s="51"/>
      <c r="P177" s="51"/>
      <c r="Q177" s="51"/>
    </row>
    <row r="178" spans="1:17" s="51" customFormat="1" x14ac:dyDescent="0.35">
      <c r="A178" s="81"/>
      <c r="B178" s="92"/>
      <c r="C178" s="92"/>
      <c r="D178" s="92"/>
      <c r="E178" s="92"/>
      <c r="F178" s="92"/>
      <c r="G178" s="92"/>
      <c r="H178" s="82"/>
      <c r="I178" s="50"/>
      <c r="N178" s="50"/>
    </row>
    <row r="179" spans="1:17" ht="47.25" customHeight="1" x14ac:dyDescent="0.35">
      <c r="A179" s="159" t="s">
        <v>129</v>
      </c>
      <c r="B179" s="159" t="s">
        <v>130</v>
      </c>
      <c r="C179" s="162" t="s">
        <v>63</v>
      </c>
      <c r="D179" s="162" t="s">
        <v>64</v>
      </c>
      <c r="E179" s="175" t="s">
        <v>65</v>
      </c>
      <c r="F179" s="23" t="s">
        <v>160</v>
      </c>
      <c r="G179" s="159" t="s">
        <v>66</v>
      </c>
      <c r="H179" s="177"/>
      <c r="I179" s="50"/>
      <c r="J179" s="51"/>
      <c r="K179" s="51"/>
      <c r="L179" s="51"/>
      <c r="M179" s="51"/>
      <c r="N179" s="51"/>
      <c r="O179" s="51"/>
      <c r="P179" s="51"/>
      <c r="Q179" s="51"/>
    </row>
    <row r="180" spans="1:17" s="51" customFormat="1" x14ac:dyDescent="0.35">
      <c r="A180" s="160"/>
      <c r="B180" s="160"/>
      <c r="C180" s="163"/>
      <c r="D180" s="163"/>
      <c r="E180" s="176"/>
      <c r="F180" s="13">
        <v>0.5</v>
      </c>
      <c r="G180" s="160"/>
      <c r="H180" s="178"/>
      <c r="I180" s="50"/>
    </row>
    <row r="181" spans="1:17" s="51" customFormat="1" x14ac:dyDescent="0.35">
      <c r="A181" s="185" t="s">
        <v>191</v>
      </c>
      <c r="B181" s="185"/>
      <c r="C181" s="185"/>
      <c r="D181" s="185"/>
      <c r="E181" s="185"/>
      <c r="F181" s="185"/>
      <c r="G181" s="185"/>
      <c r="H181" s="185"/>
      <c r="I181" s="50"/>
    </row>
    <row r="182" spans="1:17" s="51" customFormat="1" x14ac:dyDescent="0.35">
      <c r="A182" s="185" t="s">
        <v>192</v>
      </c>
      <c r="B182" s="185"/>
      <c r="C182" s="185"/>
      <c r="D182" s="185"/>
      <c r="E182" s="185"/>
      <c r="F182" s="185"/>
      <c r="G182" s="185"/>
      <c r="H182" s="185"/>
      <c r="I182" s="50"/>
    </row>
    <row r="183" spans="1:17" s="51" customFormat="1" x14ac:dyDescent="0.35">
      <c r="A183" s="185" t="s">
        <v>193</v>
      </c>
      <c r="B183" s="185"/>
      <c r="C183" s="185"/>
      <c r="D183" s="185"/>
      <c r="E183" s="185"/>
      <c r="F183" s="185"/>
      <c r="G183" s="185"/>
      <c r="H183" s="185"/>
      <c r="I183" s="50"/>
    </row>
    <row r="184" spans="1:17" s="51" customFormat="1" ht="15.75" customHeight="1" x14ac:dyDescent="0.35">
      <c r="A184" s="184">
        <v>1</v>
      </c>
      <c r="B184" s="184"/>
      <c r="C184" s="21" t="s">
        <v>194</v>
      </c>
      <c r="D184" s="21">
        <f>(48.05+1.45*2.75+2.9*0.75*2)*10.764</f>
        <v>606.95504999999991</v>
      </c>
      <c r="E184" s="21">
        <v>0</v>
      </c>
      <c r="F184" s="21">
        <f t="shared" ref="F184:F189" si="1">D184*(($F$180)+1)+(IF(E184&lt;101,E184,IF(E184&lt;201,E184/2,IF(E184&lt;=301,E184/3,E184/4))))</f>
        <v>910.43257499999982</v>
      </c>
      <c r="G184" s="184" t="str">
        <f>A183</f>
        <v>1st to 21st Floor for Residential</v>
      </c>
      <c r="H184" s="184"/>
      <c r="I184" s="50"/>
    </row>
    <row r="185" spans="1:17" s="51" customFormat="1" ht="15.75" customHeight="1" x14ac:dyDescent="0.35">
      <c r="A185" s="184">
        <v>2</v>
      </c>
      <c r="B185" s="184"/>
      <c r="C185" s="21" t="s">
        <v>195</v>
      </c>
      <c r="D185" s="21">
        <f>(38.97+1.45*2.75+3.5*0.75)*10.764</f>
        <v>490.6500299999999</v>
      </c>
      <c r="E185" s="21">
        <v>0</v>
      </c>
      <c r="F185" s="21">
        <f t="shared" si="1"/>
        <v>735.97504499999991</v>
      </c>
      <c r="G185" s="184"/>
      <c r="H185" s="184"/>
      <c r="I185" s="50"/>
    </row>
    <row r="186" spans="1:17" s="51" customFormat="1" ht="15.75" customHeight="1" x14ac:dyDescent="0.35">
      <c r="A186" s="184">
        <v>3</v>
      </c>
      <c r="B186" s="184"/>
      <c r="C186" s="21" t="s">
        <v>195</v>
      </c>
      <c r="D186" s="21">
        <f>(38.97+1.45*2.75+3.5*0.75)*10.764</f>
        <v>490.6500299999999</v>
      </c>
      <c r="E186" s="21">
        <v>0</v>
      </c>
      <c r="F186" s="21">
        <f t="shared" si="1"/>
        <v>735.97504499999991</v>
      </c>
      <c r="G186" s="184"/>
      <c r="H186" s="184"/>
      <c r="I186" s="50"/>
      <c r="N186" s="50"/>
    </row>
    <row r="187" spans="1:17" s="51" customFormat="1" ht="15.75" customHeight="1" x14ac:dyDescent="0.35">
      <c r="A187" s="184">
        <v>4</v>
      </c>
      <c r="B187" s="184"/>
      <c r="C187" s="21" t="s">
        <v>195</v>
      </c>
      <c r="D187" s="21">
        <f>(38.5+1.4*2.75+2.4*0.7)*10.764</f>
        <v>473.93892</v>
      </c>
      <c r="E187" s="21">
        <v>0</v>
      </c>
      <c r="F187" s="21">
        <f t="shared" si="1"/>
        <v>710.90837999999997</v>
      </c>
      <c r="G187" s="184"/>
      <c r="H187" s="184"/>
      <c r="I187" s="50"/>
      <c r="N187" s="50"/>
    </row>
    <row r="188" spans="1:17" s="51" customFormat="1" ht="15.75" customHeight="1" x14ac:dyDescent="0.35">
      <c r="A188" s="184">
        <v>5</v>
      </c>
      <c r="B188" s="184"/>
      <c r="C188" s="21" t="s">
        <v>195</v>
      </c>
      <c r="D188" s="21">
        <f>(39.07+1.4*2.75+3.5*0.7)*10.764</f>
        <v>488.36268000000001</v>
      </c>
      <c r="E188" s="21">
        <v>0</v>
      </c>
      <c r="F188" s="21">
        <f t="shared" si="1"/>
        <v>732.54402000000005</v>
      </c>
      <c r="G188" s="184"/>
      <c r="H188" s="184"/>
      <c r="I188" s="50"/>
    </row>
    <row r="189" spans="1:17" s="51" customFormat="1" ht="15.75" customHeight="1" x14ac:dyDescent="0.35">
      <c r="A189" s="184">
        <v>6</v>
      </c>
      <c r="B189" s="184"/>
      <c r="C189" s="21" t="s">
        <v>194</v>
      </c>
      <c r="D189" s="21">
        <f>(48.05+1.4*2.75+2.75*0.7+2.75*0.7)*10.764</f>
        <v>600.09299999999985</v>
      </c>
      <c r="E189" s="21">
        <v>0</v>
      </c>
      <c r="F189" s="21">
        <f t="shared" si="1"/>
        <v>900.13949999999977</v>
      </c>
      <c r="G189" s="184"/>
      <c r="H189" s="184"/>
      <c r="I189" s="50"/>
    </row>
    <row r="190" spans="1:17" s="51" customFormat="1" x14ac:dyDescent="0.35">
      <c r="A190" s="185" t="s">
        <v>196</v>
      </c>
      <c r="B190" s="185"/>
      <c r="C190" s="185"/>
      <c r="D190" s="185"/>
      <c r="E190" s="185"/>
      <c r="F190" s="185"/>
      <c r="G190" s="185"/>
      <c r="H190" s="185"/>
      <c r="I190" s="50"/>
    </row>
    <row r="191" spans="1:17" s="51" customFormat="1" x14ac:dyDescent="0.35">
      <c r="A191" s="83" t="s">
        <v>192</v>
      </c>
      <c r="B191" s="84"/>
      <c r="C191" s="84"/>
      <c r="D191" s="84"/>
      <c r="E191" s="84"/>
      <c r="F191" s="84"/>
      <c r="G191" s="84"/>
      <c r="H191" s="85"/>
      <c r="I191" s="50"/>
    </row>
    <row r="192" spans="1:17" s="51" customFormat="1" x14ac:dyDescent="0.35">
      <c r="A192" s="83" t="s">
        <v>214</v>
      </c>
      <c r="B192" s="84"/>
      <c r="C192" s="84"/>
      <c r="D192" s="84"/>
      <c r="E192" s="84"/>
      <c r="F192" s="84"/>
      <c r="G192" s="84"/>
      <c r="H192" s="85"/>
      <c r="I192" s="50"/>
    </row>
    <row r="193" spans="1:14" s="51" customFormat="1" ht="15.75" customHeight="1" x14ac:dyDescent="0.35">
      <c r="A193" s="81">
        <v>1</v>
      </c>
      <c r="B193" s="82"/>
      <c r="C193" s="21" t="s">
        <v>195</v>
      </c>
      <c r="D193" s="21">
        <f>(38.65+1.4*2.75+2.75*0.7)*10.764</f>
        <v>478.19069999999994</v>
      </c>
      <c r="E193" s="21">
        <v>0</v>
      </c>
      <c r="F193" s="21">
        <f t="shared" ref="F193:F198" si="2">D193*(($F$180)+1)+(IF(E193&lt;101,E193,IF(E193&lt;201,E193/2,IF(E193&lt;=301,E193/3,E193/4))))</f>
        <v>717.28604999999993</v>
      </c>
      <c r="G193" s="86" t="str">
        <f>A192</f>
        <v>1st to 11th &amp; 12th to 21st Floor for Residential</v>
      </c>
      <c r="H193" s="87"/>
      <c r="I193" s="50"/>
    </row>
    <row r="194" spans="1:14" s="51" customFormat="1" ht="15.75" customHeight="1" x14ac:dyDescent="0.35">
      <c r="A194" s="81">
        <v>2</v>
      </c>
      <c r="B194" s="82"/>
      <c r="C194" s="21" t="s">
        <v>195</v>
      </c>
      <c r="D194" s="21">
        <f>(38.97+1.4*2.75+3.5*0.7)*10.764</f>
        <v>487.28627999999998</v>
      </c>
      <c r="E194" s="21">
        <v>0</v>
      </c>
      <c r="F194" s="21">
        <f t="shared" si="2"/>
        <v>730.92941999999994</v>
      </c>
      <c r="G194" s="88"/>
      <c r="H194" s="89"/>
      <c r="I194" s="50"/>
    </row>
    <row r="195" spans="1:14" s="51" customFormat="1" ht="15.75" customHeight="1" x14ac:dyDescent="0.35">
      <c r="A195" s="81">
        <v>3</v>
      </c>
      <c r="B195" s="82"/>
      <c r="C195" s="21" t="s">
        <v>194</v>
      </c>
      <c r="D195" s="21">
        <f>(48.05+1.4*2.75+0.7*(2.75+2.75))*10.764</f>
        <v>600.09299999999996</v>
      </c>
      <c r="E195" s="21">
        <v>0</v>
      </c>
      <c r="F195" s="21">
        <f t="shared" si="2"/>
        <v>900.1395</v>
      </c>
      <c r="G195" s="88"/>
      <c r="H195" s="89"/>
      <c r="I195" s="50"/>
      <c r="N195" s="50"/>
    </row>
    <row r="196" spans="1:14" s="51" customFormat="1" ht="15.75" customHeight="1" x14ac:dyDescent="0.35">
      <c r="A196" s="81">
        <v>4</v>
      </c>
      <c r="B196" s="82"/>
      <c r="C196" s="21" t="s">
        <v>194</v>
      </c>
      <c r="D196" s="21">
        <f>(48.05+1.4*2.75+0.7*(2.75+2.75))*10.764</f>
        <v>600.09299999999996</v>
      </c>
      <c r="E196" s="21">
        <v>0</v>
      </c>
      <c r="F196" s="21">
        <f t="shared" si="2"/>
        <v>900.1395</v>
      </c>
      <c r="G196" s="88"/>
      <c r="H196" s="89"/>
      <c r="I196" s="50"/>
      <c r="N196" s="50"/>
    </row>
    <row r="197" spans="1:14" s="51" customFormat="1" ht="15.75" customHeight="1" x14ac:dyDescent="0.35">
      <c r="A197" s="81">
        <v>5</v>
      </c>
      <c r="B197" s="82"/>
      <c r="C197" s="21" t="s">
        <v>195</v>
      </c>
      <c r="D197" s="21">
        <f>(39.07+1.4*2.75+0.7*3.5)*10.764</f>
        <v>488.36268000000001</v>
      </c>
      <c r="E197" s="21">
        <v>0</v>
      </c>
      <c r="F197" s="21">
        <f t="shared" si="2"/>
        <v>732.54402000000005</v>
      </c>
      <c r="G197" s="88"/>
      <c r="H197" s="89"/>
      <c r="I197" s="50"/>
    </row>
    <row r="198" spans="1:14" s="51" customFormat="1" ht="15.75" customHeight="1" x14ac:dyDescent="0.35">
      <c r="A198" s="81">
        <v>6</v>
      </c>
      <c r="B198" s="82"/>
      <c r="C198" s="21" t="s">
        <v>195</v>
      </c>
      <c r="D198" s="21">
        <f>(38.5+1.4*2.75+0.7*2.4)*10.764</f>
        <v>473.93892</v>
      </c>
      <c r="E198" s="21">
        <v>0</v>
      </c>
      <c r="F198" s="21">
        <f t="shared" si="2"/>
        <v>710.90837999999997</v>
      </c>
      <c r="G198" s="90"/>
      <c r="H198" s="91"/>
      <c r="I198" s="50"/>
    </row>
    <row r="199" spans="1:14" s="51" customFormat="1" x14ac:dyDescent="0.35">
      <c r="A199" s="83" t="s">
        <v>197</v>
      </c>
      <c r="B199" s="84"/>
      <c r="C199" s="84"/>
      <c r="D199" s="84"/>
      <c r="E199" s="84"/>
      <c r="F199" s="84"/>
      <c r="G199" s="84"/>
      <c r="H199" s="85"/>
      <c r="I199" s="50"/>
    </row>
    <row r="200" spans="1:14" s="51" customFormat="1" x14ac:dyDescent="0.35">
      <c r="A200" s="83" t="s">
        <v>192</v>
      </c>
      <c r="B200" s="84"/>
      <c r="C200" s="84"/>
      <c r="D200" s="84"/>
      <c r="E200" s="84"/>
      <c r="F200" s="84"/>
      <c r="G200" s="84"/>
      <c r="H200" s="85"/>
      <c r="I200" s="50"/>
    </row>
    <row r="201" spans="1:14" s="51" customFormat="1" x14ac:dyDescent="0.35">
      <c r="A201" s="83" t="s">
        <v>198</v>
      </c>
      <c r="B201" s="84"/>
      <c r="C201" s="84"/>
      <c r="D201" s="84"/>
      <c r="E201" s="84"/>
      <c r="F201" s="84"/>
      <c r="G201" s="84"/>
      <c r="H201" s="85"/>
      <c r="I201" s="50"/>
    </row>
    <row r="202" spans="1:14" s="51" customFormat="1" ht="15.75" customHeight="1" x14ac:dyDescent="0.35">
      <c r="A202" s="81">
        <v>1</v>
      </c>
      <c r="B202" s="82"/>
      <c r="C202" s="21" t="s">
        <v>195</v>
      </c>
      <c r="D202" s="21">
        <f>(38.5+1.45*2.75+3.5*0.7)*10.764</f>
        <v>483.70724999999999</v>
      </c>
      <c r="E202" s="21">
        <v>0</v>
      </c>
      <c r="F202" s="21">
        <f t="shared" ref="F202:F207" si="3">D202*(($F$180)+1)+(IF(E202&lt;101,E202,IF(E202&lt;201,E202/2,IF(E202&lt;=301,E202/3,E202/4))))</f>
        <v>725.56087500000001</v>
      </c>
      <c r="G202" s="86" t="str">
        <f>A201</f>
        <v>1st to 11th Floor for Residential</v>
      </c>
      <c r="H202" s="87"/>
      <c r="I202" s="50"/>
    </row>
    <row r="203" spans="1:14" s="51" customFormat="1" ht="15.75" customHeight="1" x14ac:dyDescent="0.35">
      <c r="A203" s="81">
        <v>2</v>
      </c>
      <c r="B203" s="82"/>
      <c r="C203" s="21" t="s">
        <v>195</v>
      </c>
      <c r="D203" s="21">
        <f>(38.97+1.45*2.75+0.7*3.5)*10.764</f>
        <v>488.76632999999998</v>
      </c>
      <c r="E203" s="21">
        <v>0</v>
      </c>
      <c r="F203" s="21">
        <f t="shared" si="3"/>
        <v>733.149495</v>
      </c>
      <c r="G203" s="88"/>
      <c r="H203" s="89"/>
      <c r="I203" s="50">
        <f>3100000/F225</f>
        <v>6235.7264723928101</v>
      </c>
    </row>
    <row r="204" spans="1:14" s="51" customFormat="1" ht="15.75" customHeight="1" x14ac:dyDescent="0.35">
      <c r="A204" s="81">
        <v>3</v>
      </c>
      <c r="B204" s="82"/>
      <c r="C204" s="21" t="s">
        <v>194</v>
      </c>
      <c r="D204" s="21">
        <f>(48.05+1.45*2.75+0.75*(2.75+2.75))*10.764</f>
        <v>604.53314999999986</v>
      </c>
      <c r="E204" s="21">
        <v>0</v>
      </c>
      <c r="F204" s="21">
        <f t="shared" si="3"/>
        <v>906.79972499999985</v>
      </c>
      <c r="G204" s="88"/>
      <c r="H204" s="89"/>
      <c r="I204" s="50"/>
    </row>
    <row r="205" spans="1:14" s="51" customFormat="1" ht="15.75" customHeight="1" x14ac:dyDescent="0.35">
      <c r="A205" s="81">
        <v>4</v>
      </c>
      <c r="B205" s="82"/>
      <c r="C205" s="21" t="s">
        <v>194</v>
      </c>
      <c r="D205" s="21">
        <f>(48.05+2.75*1.45+0.7*(2.75+2.75))*10.764</f>
        <v>601.57304999999997</v>
      </c>
      <c r="E205" s="21">
        <v>0</v>
      </c>
      <c r="F205" s="21">
        <f t="shared" si="3"/>
        <v>902.35957499999995</v>
      </c>
      <c r="G205" s="88"/>
      <c r="H205" s="89"/>
      <c r="I205" s="50"/>
    </row>
    <row r="206" spans="1:14" s="51" customFormat="1" ht="15.75" customHeight="1" x14ac:dyDescent="0.35">
      <c r="A206" s="81">
        <v>5</v>
      </c>
      <c r="B206" s="82"/>
      <c r="C206" s="21" t="s">
        <v>195</v>
      </c>
      <c r="D206" s="21">
        <f>(38.97+1.45*2.75+0.7*3.5)*10.764</f>
        <v>488.76632999999998</v>
      </c>
      <c r="E206" s="21">
        <v>0</v>
      </c>
      <c r="F206" s="21">
        <f t="shared" si="3"/>
        <v>733.149495</v>
      </c>
      <c r="G206" s="88"/>
      <c r="H206" s="89"/>
      <c r="I206" s="50"/>
    </row>
    <row r="207" spans="1:14" s="51" customFormat="1" ht="15.75" customHeight="1" x14ac:dyDescent="0.35">
      <c r="A207" s="81">
        <v>6</v>
      </c>
      <c r="B207" s="82"/>
      <c r="C207" s="21" t="s">
        <v>195</v>
      </c>
      <c r="D207" s="21">
        <f>(38.65+1.45*2.75+0.7*3.5)*10.764</f>
        <v>485.32184999999998</v>
      </c>
      <c r="E207" s="21">
        <v>0</v>
      </c>
      <c r="F207" s="21">
        <f t="shared" si="3"/>
        <v>727.98277499999995</v>
      </c>
      <c r="G207" s="90"/>
      <c r="H207" s="91"/>
      <c r="I207" s="50"/>
    </row>
    <row r="208" spans="1:14" s="51" customFormat="1" x14ac:dyDescent="0.35">
      <c r="A208" s="83" t="s">
        <v>199</v>
      </c>
      <c r="B208" s="84"/>
      <c r="C208" s="84"/>
      <c r="D208" s="84"/>
      <c r="E208" s="84"/>
      <c r="F208" s="84"/>
      <c r="G208" s="84"/>
      <c r="H208" s="85"/>
      <c r="I208" s="50"/>
    </row>
    <row r="209" spans="1:10" s="51" customFormat="1" x14ac:dyDescent="0.35">
      <c r="A209" s="83" t="s">
        <v>192</v>
      </c>
      <c r="B209" s="84"/>
      <c r="C209" s="84"/>
      <c r="D209" s="84"/>
      <c r="E209" s="84"/>
      <c r="F209" s="84"/>
      <c r="G209" s="84"/>
      <c r="H209" s="85"/>
      <c r="I209" s="50"/>
    </row>
    <row r="210" spans="1:10" s="51" customFormat="1" x14ac:dyDescent="0.35">
      <c r="A210" s="83" t="s">
        <v>193</v>
      </c>
      <c r="B210" s="84"/>
      <c r="C210" s="84"/>
      <c r="D210" s="84"/>
      <c r="E210" s="84"/>
      <c r="F210" s="84"/>
      <c r="G210" s="84"/>
      <c r="H210" s="85"/>
      <c r="I210" s="50"/>
    </row>
    <row r="211" spans="1:10" s="51" customFormat="1" ht="15.75" customHeight="1" x14ac:dyDescent="0.35">
      <c r="A211" s="81">
        <v>1</v>
      </c>
      <c r="B211" s="82"/>
      <c r="C211" s="21" t="s">
        <v>194</v>
      </c>
      <c r="D211" s="21">
        <f>(48.05+1.4*2.75+0.7*(2.75+2.75))*10.764</f>
        <v>600.09299999999996</v>
      </c>
      <c r="E211" s="21">
        <v>0</v>
      </c>
      <c r="F211" s="21">
        <f t="shared" ref="F211:F216" si="4">D211*(($F$180)+1)+(IF(E211&lt;101,E211,IF(E211&lt;201,E211/2,IF(E211&lt;=301,E211/3,E211/4))))</f>
        <v>900.1395</v>
      </c>
      <c r="G211" s="86" t="str">
        <f>A210</f>
        <v>1st to 21st Floor for Residential</v>
      </c>
      <c r="H211" s="87"/>
      <c r="I211" s="50"/>
    </row>
    <row r="212" spans="1:10" s="51" customFormat="1" ht="15.75" customHeight="1" x14ac:dyDescent="0.35">
      <c r="A212" s="81">
        <v>2</v>
      </c>
      <c r="B212" s="82"/>
      <c r="C212" s="21" t="s">
        <v>195</v>
      </c>
      <c r="D212" s="21">
        <f>(39.07+1.4*2.75+0.7*3.5)*10.764</f>
        <v>488.36268000000001</v>
      </c>
      <c r="E212" s="21">
        <v>0</v>
      </c>
      <c r="F212" s="21">
        <f t="shared" si="4"/>
        <v>732.54402000000005</v>
      </c>
      <c r="G212" s="88"/>
      <c r="H212" s="89"/>
      <c r="I212" s="50"/>
    </row>
    <row r="213" spans="1:10" s="51" customFormat="1" ht="15.75" customHeight="1" x14ac:dyDescent="0.35">
      <c r="A213" s="81">
        <v>3</v>
      </c>
      <c r="B213" s="82"/>
      <c r="C213" s="21" t="s">
        <v>195</v>
      </c>
      <c r="D213" s="21">
        <f>(38.5+1.4*2.75+0.7*2.4)*10.764</f>
        <v>473.93892</v>
      </c>
      <c r="E213" s="21">
        <v>0</v>
      </c>
      <c r="F213" s="21">
        <f t="shared" si="4"/>
        <v>710.90837999999997</v>
      </c>
      <c r="G213" s="88"/>
      <c r="H213" s="89"/>
      <c r="I213" s="50"/>
    </row>
    <row r="214" spans="1:10" s="51" customFormat="1" ht="15.75" customHeight="1" x14ac:dyDescent="0.35">
      <c r="A214" s="81">
        <v>4</v>
      </c>
      <c r="B214" s="82"/>
      <c r="C214" s="21" t="s">
        <v>195</v>
      </c>
      <c r="D214" s="21">
        <f>(38.65+1.4*2.75+0.7*2.75)*10.764</f>
        <v>478.19069999999994</v>
      </c>
      <c r="E214" s="21">
        <v>0</v>
      </c>
      <c r="F214" s="21">
        <f t="shared" si="4"/>
        <v>717.28604999999993</v>
      </c>
      <c r="G214" s="88"/>
      <c r="H214" s="89"/>
      <c r="I214" s="50"/>
    </row>
    <row r="215" spans="1:10" s="51" customFormat="1" ht="15.75" customHeight="1" x14ac:dyDescent="0.35">
      <c r="A215" s="81">
        <v>5</v>
      </c>
      <c r="B215" s="82"/>
      <c r="C215" s="21" t="s">
        <v>195</v>
      </c>
      <c r="D215" s="21">
        <f>(38.97+1.4*2.75+3.5*0.7)*10.764</f>
        <v>487.28627999999998</v>
      </c>
      <c r="E215" s="21">
        <v>0</v>
      </c>
      <c r="F215" s="21">
        <f t="shared" si="4"/>
        <v>730.92941999999994</v>
      </c>
      <c r="G215" s="88"/>
      <c r="H215" s="89"/>
      <c r="I215" s="50"/>
    </row>
    <row r="216" spans="1:10" s="51" customFormat="1" ht="15.75" customHeight="1" x14ac:dyDescent="0.35">
      <c r="A216" s="81">
        <v>6</v>
      </c>
      <c r="B216" s="82"/>
      <c r="C216" s="21" t="s">
        <v>194</v>
      </c>
      <c r="D216" s="21">
        <f>(48.06+1.4*2.75+0.75*(2.75+3.05))*10.764</f>
        <v>605.58263999999997</v>
      </c>
      <c r="E216" s="21">
        <v>0</v>
      </c>
      <c r="F216" s="21">
        <f t="shared" si="4"/>
        <v>908.3739599999999</v>
      </c>
      <c r="G216" s="90"/>
      <c r="H216" s="91"/>
      <c r="I216" s="50"/>
    </row>
    <row r="217" spans="1:10" s="51" customFormat="1" x14ac:dyDescent="0.35">
      <c r="A217" s="83" t="s">
        <v>200</v>
      </c>
      <c r="B217" s="84"/>
      <c r="C217" s="84"/>
      <c r="D217" s="84"/>
      <c r="E217" s="84"/>
      <c r="F217" s="84"/>
      <c r="G217" s="84"/>
      <c r="H217" s="85"/>
      <c r="I217" s="50"/>
    </row>
    <row r="218" spans="1:10" s="51" customFormat="1" x14ac:dyDescent="0.35">
      <c r="A218" s="83" t="s">
        <v>192</v>
      </c>
      <c r="B218" s="84"/>
      <c r="C218" s="84"/>
      <c r="D218" s="84"/>
      <c r="E218" s="84"/>
      <c r="F218" s="84"/>
      <c r="G218" s="84"/>
      <c r="H218" s="85"/>
      <c r="I218" s="50"/>
    </row>
    <row r="219" spans="1:10" s="51" customFormat="1" ht="15.75" customHeight="1" x14ac:dyDescent="0.35">
      <c r="A219" s="83" t="s">
        <v>201</v>
      </c>
      <c r="B219" s="84"/>
      <c r="C219" s="84"/>
      <c r="D219" s="84"/>
      <c r="E219" s="84"/>
      <c r="F219" s="84"/>
      <c r="G219" s="84"/>
      <c r="H219" s="85"/>
      <c r="I219" s="50"/>
    </row>
    <row r="220" spans="1:10" s="51" customFormat="1" ht="15.75" customHeight="1" x14ac:dyDescent="0.35">
      <c r="A220" s="21">
        <v>1</v>
      </c>
      <c r="B220" s="21" t="s">
        <v>204</v>
      </c>
      <c r="C220" s="21" t="s">
        <v>202</v>
      </c>
      <c r="D220" s="21">
        <f>(26.94+0.7*(2.75+2.75))*10.764</f>
        <v>331.42355999999995</v>
      </c>
      <c r="E220" s="21">
        <v>0</v>
      </c>
      <c r="F220" s="21">
        <f t="shared" ref="F220:F225" si="5">D220*(($F$180)+1)+(IF(E220&lt;101,E220,IF(E220&lt;201,E220/2,IF(E220&lt;=301,E220/3,E220/4))))</f>
        <v>497.13533999999993</v>
      </c>
      <c r="G220" s="86" t="str">
        <f>A219</f>
        <v>1st to 3rd Floor for Residential</v>
      </c>
      <c r="H220" s="87"/>
      <c r="I220" s="50"/>
    </row>
    <row r="221" spans="1:10" s="51" customFormat="1" ht="15.75" customHeight="1" x14ac:dyDescent="0.35">
      <c r="A221" s="21">
        <v>2</v>
      </c>
      <c r="B221" s="21" t="s">
        <v>204</v>
      </c>
      <c r="C221" s="21" t="s">
        <v>195</v>
      </c>
      <c r="D221" s="21">
        <f>(35.23+1.5*2.75+1.2*2.33+0.7*3.4)*10.764</f>
        <v>479.33168399999994</v>
      </c>
      <c r="E221" s="21">
        <v>0</v>
      </c>
      <c r="F221" s="21">
        <f t="shared" si="5"/>
        <v>718.99752599999988</v>
      </c>
      <c r="G221" s="88"/>
      <c r="H221" s="89"/>
      <c r="I221" s="50"/>
    </row>
    <row r="222" spans="1:10" s="51" customFormat="1" ht="15.75" customHeight="1" x14ac:dyDescent="0.35">
      <c r="A222" s="21">
        <v>3</v>
      </c>
      <c r="B222" s="21" t="s">
        <v>204</v>
      </c>
      <c r="C222" s="21" t="s">
        <v>202</v>
      </c>
      <c r="D222" s="21">
        <f>(26.37+1.9*2.75+2.75*0.7)*10.764</f>
        <v>360.80927999999994</v>
      </c>
      <c r="E222" s="21">
        <v>0</v>
      </c>
      <c r="F222" s="21">
        <f t="shared" si="5"/>
        <v>541.21391999999992</v>
      </c>
      <c r="G222" s="88"/>
      <c r="H222" s="89"/>
      <c r="I222" s="50"/>
    </row>
    <row r="223" spans="1:10" s="51" customFormat="1" ht="15.75" customHeight="1" x14ac:dyDescent="0.35">
      <c r="A223" s="21">
        <v>4</v>
      </c>
      <c r="B223" s="21" t="s">
        <v>204</v>
      </c>
      <c r="C223" s="21" t="s">
        <v>202</v>
      </c>
      <c r="D223" s="21">
        <f>(29.37+1.9*2.75+2.75*0.7)*10.764</f>
        <v>393.10127999999992</v>
      </c>
      <c r="E223" s="21">
        <v>0</v>
      </c>
      <c r="F223" s="21">
        <f t="shared" si="5"/>
        <v>589.6519199999999</v>
      </c>
      <c r="G223" s="88"/>
      <c r="H223" s="89"/>
      <c r="I223" s="50"/>
    </row>
    <row r="224" spans="1:10" s="51" customFormat="1" ht="15.75" customHeight="1" x14ac:dyDescent="0.35">
      <c r="A224" s="21">
        <v>5</v>
      </c>
      <c r="B224" s="21" t="s">
        <v>204</v>
      </c>
      <c r="C224" s="21" t="s">
        <v>195</v>
      </c>
      <c r="D224" s="21">
        <f>(35.23+1.5*2.75+0.7*3.4)*10.764</f>
        <v>449.23553999999996</v>
      </c>
      <c r="E224" s="21">
        <v>0</v>
      </c>
      <c r="F224" s="21">
        <f t="shared" si="5"/>
        <v>673.85330999999996</v>
      </c>
      <c r="G224" s="88"/>
      <c r="H224" s="89"/>
      <c r="I224" s="50"/>
      <c r="J224" s="51">
        <f>2.75*4.25+2.33*4.35+3.5*2.75+2.2*1.2+1.2*2.25+0.55*2.75+1.5*2.75+1.2*2.33+1.2*1.3</f>
        <v>46.781500000000008</v>
      </c>
    </row>
    <row r="225" spans="1:10" s="51" customFormat="1" ht="15.75" customHeight="1" x14ac:dyDescent="0.35">
      <c r="A225" s="21">
        <v>6</v>
      </c>
      <c r="B225" s="21" t="s">
        <v>204</v>
      </c>
      <c r="C225" s="21" t="s">
        <v>202</v>
      </c>
      <c r="D225" s="21">
        <f>(26.94+0.7*(2.75+2.75))*10.764</f>
        <v>331.42355999999995</v>
      </c>
      <c r="E225" s="21">
        <v>0</v>
      </c>
      <c r="F225" s="21">
        <f t="shared" si="5"/>
        <v>497.13533999999993</v>
      </c>
      <c r="G225" s="88"/>
      <c r="H225" s="89"/>
      <c r="I225" s="50"/>
    </row>
    <row r="226" spans="1:10" s="51" customFormat="1" ht="15.75" customHeight="1" x14ac:dyDescent="0.35">
      <c r="A226" s="21">
        <v>7</v>
      </c>
      <c r="B226" s="21" t="s">
        <v>204</v>
      </c>
      <c r="C226" s="21" t="s">
        <v>202</v>
      </c>
      <c r="D226" s="21">
        <f>(26.94+0.7*(2.75+2.75))*10.764</f>
        <v>331.42355999999995</v>
      </c>
      <c r="E226" s="21">
        <v>0</v>
      </c>
      <c r="F226" s="21">
        <f t="shared" ref="F226:F228" si="6">D226*(($F$180)+1)+(IF(E226&lt;101,E226,IF(E226&lt;201,E226/2,IF(E226&lt;=301,E226/3,E226/4))))</f>
        <v>497.13533999999993</v>
      </c>
      <c r="G226" s="88"/>
      <c r="H226" s="89"/>
      <c r="I226" s="50"/>
    </row>
    <row r="227" spans="1:10" s="51" customFormat="1" ht="15.75" customHeight="1" x14ac:dyDescent="0.35">
      <c r="A227" s="21">
        <v>8</v>
      </c>
      <c r="B227" s="21" t="s">
        <v>204</v>
      </c>
      <c r="C227" s="21" t="s">
        <v>195</v>
      </c>
      <c r="D227" s="21">
        <f>(35.23+1.5*2.75+1*2.33+0.75*3.4)*10.764</f>
        <v>476.14553999999987</v>
      </c>
      <c r="E227" s="21">
        <v>0</v>
      </c>
      <c r="F227" s="21">
        <f t="shared" si="6"/>
        <v>714.21830999999975</v>
      </c>
      <c r="G227" s="88"/>
      <c r="H227" s="89"/>
      <c r="I227" s="50"/>
    </row>
    <row r="228" spans="1:10" s="51" customFormat="1" ht="15.75" customHeight="1" x14ac:dyDescent="0.35">
      <c r="A228" s="21">
        <v>9</v>
      </c>
      <c r="B228" s="21" t="s">
        <v>204</v>
      </c>
      <c r="C228" s="21" t="s">
        <v>202</v>
      </c>
      <c r="D228" s="21">
        <f>(26.37+1.9*2.75+1.1*2.75+2.75*0.76)*10.764</f>
        <v>395.14643999999993</v>
      </c>
      <c r="E228" s="21">
        <v>0</v>
      </c>
      <c r="F228" s="21">
        <f t="shared" si="6"/>
        <v>592.71965999999986</v>
      </c>
      <c r="G228" s="88"/>
      <c r="H228" s="89"/>
      <c r="I228" s="50"/>
    </row>
    <row r="229" spans="1:10" s="51" customFormat="1" ht="15.75" customHeight="1" x14ac:dyDescent="0.35">
      <c r="A229" s="21">
        <v>10</v>
      </c>
      <c r="B229" s="21" t="s">
        <v>204</v>
      </c>
      <c r="C229" s="21" t="s">
        <v>202</v>
      </c>
      <c r="D229" s="21">
        <f>(26.37+1.9*2.75+1.1*2.75+2.75*0.76)*10.764</f>
        <v>395.14643999999993</v>
      </c>
      <c r="E229" s="21">
        <v>0</v>
      </c>
      <c r="F229" s="21">
        <f t="shared" ref="F229:F230" si="7">D229*(($F$180)+1)+(IF(E229&lt;101,E229,IF(E229&lt;201,E229/2,IF(E229&lt;=301,E229/3,E229/4))))</f>
        <v>592.71965999999986</v>
      </c>
      <c r="G229" s="88"/>
      <c r="H229" s="89"/>
      <c r="I229" s="50"/>
      <c r="J229" s="51">
        <f>2.75*3.75+2.75*2.35+1.7*1.2+1.5*1.2+1.2*0.9+1.2*1.4</f>
        <v>23.375</v>
      </c>
    </row>
    <row r="230" spans="1:10" s="51" customFormat="1" ht="15.75" customHeight="1" x14ac:dyDescent="0.35">
      <c r="A230" s="21">
        <v>11</v>
      </c>
      <c r="B230" s="21" t="s">
        <v>204</v>
      </c>
      <c r="C230" s="21" t="s">
        <v>195</v>
      </c>
      <c r="D230" s="21">
        <f>(35.23+1.5*2.75+0.7*3.4)*10.764</f>
        <v>449.23553999999996</v>
      </c>
      <c r="E230" s="21">
        <v>0</v>
      </c>
      <c r="F230" s="21">
        <f t="shared" si="7"/>
        <v>673.85330999999996</v>
      </c>
      <c r="G230" s="88"/>
      <c r="H230" s="89"/>
      <c r="I230" s="50"/>
    </row>
    <row r="231" spans="1:10" s="51" customFormat="1" ht="15.75" customHeight="1" x14ac:dyDescent="0.35">
      <c r="A231" s="21">
        <v>12</v>
      </c>
      <c r="B231" s="21" t="s">
        <v>204</v>
      </c>
      <c r="C231" s="21" t="s">
        <v>202</v>
      </c>
      <c r="D231" s="21">
        <f>(26.94+0.7*(2.75+2.75))*10.764</f>
        <v>331.42355999999995</v>
      </c>
      <c r="E231" s="21">
        <v>0</v>
      </c>
      <c r="F231" s="21">
        <f t="shared" ref="F231" si="8">D231*(($F$180)+1)+(IF(E231&lt;101,E231,IF(E231&lt;201,E231/2,IF(E231&lt;=301,E231/3,E231/4))))</f>
        <v>497.13533999999993</v>
      </c>
      <c r="G231" s="90"/>
      <c r="H231" s="91"/>
      <c r="I231" s="50"/>
    </row>
    <row r="232" spans="1:10" s="51" customFormat="1" ht="15.75" customHeight="1" x14ac:dyDescent="0.35">
      <c r="A232" s="83" t="s">
        <v>203</v>
      </c>
      <c r="B232" s="84"/>
      <c r="C232" s="84"/>
      <c r="D232" s="84"/>
      <c r="E232" s="84"/>
      <c r="F232" s="84"/>
      <c r="G232" s="84"/>
      <c r="H232" s="85"/>
      <c r="I232" s="50"/>
    </row>
    <row r="233" spans="1:10" s="51" customFormat="1" ht="15.75" customHeight="1" x14ac:dyDescent="0.35">
      <c r="A233" s="21">
        <v>1</v>
      </c>
      <c r="B233" s="21" t="s">
        <v>204</v>
      </c>
      <c r="C233" s="21" t="s">
        <v>202</v>
      </c>
      <c r="D233" s="21">
        <f>(26.94+0.7*(2.75+2.75))*10.764</f>
        <v>331.42355999999995</v>
      </c>
      <c r="E233" s="21">
        <v>0</v>
      </c>
      <c r="F233" s="21">
        <f t="shared" ref="F233:F244" si="9">D233*(($F$180)+1)+(IF(E233&lt;101,E233,IF(E233&lt;201,E233/2,IF(E233&lt;=301,E233/3,E233/4))))</f>
        <v>497.13533999999993</v>
      </c>
      <c r="G233" s="86" t="str">
        <f>A232</f>
        <v>4th Floor (Partly alloted to Mhada)</v>
      </c>
      <c r="H233" s="87"/>
      <c r="I233" s="50"/>
    </row>
    <row r="234" spans="1:10" s="51" customFormat="1" ht="15.75" customHeight="1" x14ac:dyDescent="0.35">
      <c r="A234" s="21">
        <v>2</v>
      </c>
      <c r="B234" s="21" t="s">
        <v>204</v>
      </c>
      <c r="C234" s="21" t="s">
        <v>195</v>
      </c>
      <c r="D234" s="21">
        <f>(35.23+1.5*2.75+1.2*2.33+0.7*3.4)*10.764</f>
        <v>479.33168399999994</v>
      </c>
      <c r="E234" s="21">
        <v>0</v>
      </c>
      <c r="F234" s="21">
        <f t="shared" si="9"/>
        <v>718.99752599999988</v>
      </c>
      <c r="G234" s="88"/>
      <c r="H234" s="89"/>
      <c r="I234" s="50"/>
    </row>
    <row r="235" spans="1:10" s="51" customFormat="1" ht="15.75" customHeight="1" x14ac:dyDescent="0.35">
      <c r="A235" s="21">
        <v>3</v>
      </c>
      <c r="B235" s="21" t="s">
        <v>204</v>
      </c>
      <c r="C235" s="21" t="s">
        <v>202</v>
      </c>
      <c r="D235" s="21">
        <f>(26.37+1.9*2.75+2.75*0.7)*10.764</f>
        <v>360.80927999999994</v>
      </c>
      <c r="E235" s="21">
        <v>0</v>
      </c>
      <c r="F235" s="21">
        <f t="shared" si="9"/>
        <v>541.21391999999992</v>
      </c>
      <c r="G235" s="88"/>
      <c r="H235" s="89"/>
      <c r="I235" s="50"/>
    </row>
    <row r="236" spans="1:10" s="51" customFormat="1" ht="15.75" customHeight="1" x14ac:dyDescent="0.35">
      <c r="A236" s="21">
        <v>4</v>
      </c>
      <c r="B236" s="21" t="s">
        <v>204</v>
      </c>
      <c r="C236" s="21" t="s">
        <v>202</v>
      </c>
      <c r="D236" s="21">
        <f>(29.37+1.9*2.75+2.75*0.7)*10.764</f>
        <v>393.10127999999992</v>
      </c>
      <c r="E236" s="21">
        <v>0</v>
      </c>
      <c r="F236" s="21">
        <f t="shared" si="9"/>
        <v>589.6519199999999</v>
      </c>
      <c r="G236" s="88"/>
      <c r="H236" s="89"/>
      <c r="I236" s="50"/>
    </row>
    <row r="237" spans="1:10" s="51" customFormat="1" ht="15.75" customHeight="1" x14ac:dyDescent="0.35">
      <c r="A237" s="21">
        <v>5</v>
      </c>
      <c r="B237" s="21" t="s">
        <v>204</v>
      </c>
      <c r="C237" s="21" t="s">
        <v>195</v>
      </c>
      <c r="D237" s="21">
        <f>(35.23+1.5*2.75+0.7*3.4)*10.764</f>
        <v>449.23553999999996</v>
      </c>
      <c r="E237" s="21">
        <v>0</v>
      </c>
      <c r="F237" s="21">
        <f t="shared" si="9"/>
        <v>673.85330999999996</v>
      </c>
      <c r="G237" s="88"/>
      <c r="H237" s="89"/>
      <c r="I237" s="50"/>
    </row>
    <row r="238" spans="1:10" s="51" customFormat="1" ht="15.75" customHeight="1" x14ac:dyDescent="0.35">
      <c r="A238" s="21">
        <v>6</v>
      </c>
      <c r="B238" s="21" t="s">
        <v>204</v>
      </c>
      <c r="C238" s="21" t="s">
        <v>202</v>
      </c>
      <c r="D238" s="21">
        <f>(26.94+0.7*(2.75+2.75))*10.764</f>
        <v>331.42355999999995</v>
      </c>
      <c r="E238" s="21">
        <v>0</v>
      </c>
      <c r="F238" s="21">
        <f t="shared" si="9"/>
        <v>497.13533999999993</v>
      </c>
      <c r="G238" s="88"/>
      <c r="H238" s="89"/>
      <c r="I238" s="50"/>
    </row>
    <row r="239" spans="1:10" s="51" customFormat="1" ht="15.75" customHeight="1" x14ac:dyDescent="0.35">
      <c r="A239" s="21">
        <v>7</v>
      </c>
      <c r="B239" s="21" t="s">
        <v>205</v>
      </c>
      <c r="C239" s="21" t="s">
        <v>202</v>
      </c>
      <c r="D239" s="21">
        <f>(26.94+0.7*(2.75+2.75))*10.764</f>
        <v>331.42355999999995</v>
      </c>
      <c r="E239" s="21">
        <v>0</v>
      </c>
      <c r="F239" s="21">
        <f t="shared" si="9"/>
        <v>497.13533999999993</v>
      </c>
      <c r="G239" s="88"/>
      <c r="H239" s="89"/>
      <c r="I239" s="50"/>
    </row>
    <row r="240" spans="1:10" s="51" customFormat="1" ht="15.75" customHeight="1" x14ac:dyDescent="0.35">
      <c r="A240" s="21">
        <v>8</v>
      </c>
      <c r="B240" s="21" t="s">
        <v>205</v>
      </c>
      <c r="C240" s="21" t="s">
        <v>195</v>
      </c>
      <c r="D240" s="21">
        <f>(35.23+1.5*2.75+1*2.33+0.75*3.4)*10.764</f>
        <v>476.14553999999987</v>
      </c>
      <c r="E240" s="21">
        <v>0</v>
      </c>
      <c r="F240" s="21">
        <f t="shared" si="9"/>
        <v>714.21830999999975</v>
      </c>
      <c r="G240" s="88"/>
      <c r="H240" s="89"/>
      <c r="I240" s="50"/>
    </row>
    <row r="241" spans="1:17" s="51" customFormat="1" ht="15.75" customHeight="1" x14ac:dyDescent="0.35">
      <c r="A241" s="21">
        <v>9</v>
      </c>
      <c r="B241" s="21" t="s">
        <v>205</v>
      </c>
      <c r="C241" s="21" t="s">
        <v>202</v>
      </c>
      <c r="D241" s="21">
        <f>(26.37+1.9*2.75+1.1*2.75+2.75*0.76)*10.764</f>
        <v>395.14643999999993</v>
      </c>
      <c r="E241" s="21">
        <v>0</v>
      </c>
      <c r="F241" s="21">
        <f t="shared" si="9"/>
        <v>592.71965999999986</v>
      </c>
      <c r="G241" s="88"/>
      <c r="H241" s="89"/>
      <c r="I241" s="50"/>
    </row>
    <row r="242" spans="1:17" s="51" customFormat="1" ht="15.75" customHeight="1" x14ac:dyDescent="0.35">
      <c r="A242" s="21">
        <v>10</v>
      </c>
      <c r="B242" s="21" t="s">
        <v>205</v>
      </c>
      <c r="C242" s="21" t="s">
        <v>202</v>
      </c>
      <c r="D242" s="21">
        <f>(26.37+1.9*2.75+1.1*2.75+2.75*0.76)*10.764</f>
        <v>395.14643999999993</v>
      </c>
      <c r="E242" s="21">
        <v>0</v>
      </c>
      <c r="F242" s="21">
        <f t="shared" si="9"/>
        <v>592.71965999999986</v>
      </c>
      <c r="G242" s="88"/>
      <c r="H242" s="89"/>
      <c r="I242" s="50"/>
    </row>
    <row r="243" spans="1:17" s="51" customFormat="1" ht="15.75" customHeight="1" x14ac:dyDescent="0.35">
      <c r="A243" s="21">
        <v>11</v>
      </c>
      <c r="B243" s="21" t="s">
        <v>205</v>
      </c>
      <c r="C243" s="21" t="s">
        <v>195</v>
      </c>
      <c r="D243" s="21">
        <f>(35.23+1.5*2.75+0.7*3.4)*10.764</f>
        <v>449.23553999999996</v>
      </c>
      <c r="E243" s="21">
        <v>0</v>
      </c>
      <c r="F243" s="21">
        <f t="shared" si="9"/>
        <v>673.85330999999996</v>
      </c>
      <c r="G243" s="88"/>
      <c r="H243" s="89"/>
      <c r="I243" s="50"/>
    </row>
    <row r="244" spans="1:17" s="51" customFormat="1" ht="15.75" customHeight="1" x14ac:dyDescent="0.35">
      <c r="A244" s="21">
        <v>12</v>
      </c>
      <c r="B244" s="21" t="s">
        <v>205</v>
      </c>
      <c r="C244" s="21" t="s">
        <v>202</v>
      </c>
      <c r="D244" s="21">
        <f>(26.94+0.7*(2.75+2.75))*10.764</f>
        <v>331.42355999999995</v>
      </c>
      <c r="E244" s="21">
        <v>0</v>
      </c>
      <c r="F244" s="21">
        <f t="shared" si="9"/>
        <v>497.13533999999993</v>
      </c>
      <c r="G244" s="90"/>
      <c r="H244" s="91"/>
      <c r="I244" s="50"/>
    </row>
    <row r="245" spans="1:17" s="51" customFormat="1" ht="32.25" customHeight="1" x14ac:dyDescent="0.35">
      <c r="A245" s="83" t="s">
        <v>216</v>
      </c>
      <c r="B245" s="84"/>
      <c r="C245" s="84"/>
      <c r="D245" s="84"/>
      <c r="E245" s="84"/>
      <c r="F245" s="84"/>
      <c r="G245" s="84"/>
      <c r="H245" s="85"/>
      <c r="I245" s="50"/>
    </row>
    <row r="246" spans="1:17" s="51" customFormat="1" ht="15.75" customHeight="1" x14ac:dyDescent="0.35">
      <c r="A246" s="81">
        <v>1</v>
      </c>
      <c r="B246" s="82"/>
      <c r="C246" s="21" t="s">
        <v>202</v>
      </c>
      <c r="D246" s="21">
        <f>(26.94+0.7*(2.75+2.75))*10.764</f>
        <v>331.42355999999995</v>
      </c>
      <c r="E246" s="21">
        <v>0</v>
      </c>
      <c r="F246" s="21">
        <f t="shared" ref="F246:F257" si="10">D246*(($F$180)+1)+(IF(E246&lt;101,E246,IF(E246&lt;201,E246/2,IF(E246&lt;=301,E246/3,E246/4))))</f>
        <v>497.13533999999993</v>
      </c>
      <c r="G246" s="86" t="str">
        <f>A245</f>
        <v>5th, 6th, 7th, 9th, 10th, 11th, 12th, 14th, 15th, 16th, 17th, 18th, 20th, 21st, 22nd, 23rd &amp; 24th Floor</v>
      </c>
      <c r="H246" s="87"/>
      <c r="I246" s="50"/>
    </row>
    <row r="247" spans="1:17" s="51" customFormat="1" ht="15.75" customHeight="1" x14ac:dyDescent="0.35">
      <c r="A247" s="81">
        <v>2</v>
      </c>
      <c r="B247" s="82"/>
      <c r="C247" s="21" t="s">
        <v>195</v>
      </c>
      <c r="D247" s="21">
        <f>(35.23+1.5*2.75+1.2*2.33+0.7*3.4)*10.764</f>
        <v>479.33168399999994</v>
      </c>
      <c r="E247" s="21">
        <v>0</v>
      </c>
      <c r="F247" s="21">
        <f t="shared" si="10"/>
        <v>718.99752599999988</v>
      </c>
      <c r="G247" s="88"/>
      <c r="H247" s="89"/>
      <c r="I247" s="50"/>
    </row>
    <row r="248" spans="1:17" s="51" customFormat="1" ht="15.75" customHeight="1" x14ac:dyDescent="0.35">
      <c r="A248" s="81">
        <v>3</v>
      </c>
      <c r="B248" s="82"/>
      <c r="C248" s="21" t="s">
        <v>202</v>
      </c>
      <c r="D248" s="21">
        <f>(26.37+1.9*2.75+2.75*0.7)*10.764</f>
        <v>360.80927999999994</v>
      </c>
      <c r="E248" s="21">
        <v>0</v>
      </c>
      <c r="F248" s="21">
        <f t="shared" si="10"/>
        <v>541.21391999999992</v>
      </c>
      <c r="G248" s="88"/>
      <c r="H248" s="89"/>
      <c r="I248" s="50"/>
    </row>
    <row r="249" spans="1:17" s="51" customFormat="1" ht="15.75" customHeight="1" x14ac:dyDescent="0.35">
      <c r="A249" s="81">
        <v>4</v>
      </c>
      <c r="B249" s="82"/>
      <c r="C249" s="21" t="s">
        <v>202</v>
      </c>
      <c r="D249" s="21">
        <f>(29.37+1.9*2.75+2.75*0.7)*10.764</f>
        <v>393.10127999999992</v>
      </c>
      <c r="E249" s="21">
        <v>0</v>
      </c>
      <c r="F249" s="21">
        <f t="shared" si="10"/>
        <v>589.6519199999999</v>
      </c>
      <c r="G249" s="88"/>
      <c r="H249" s="89"/>
      <c r="I249" s="49"/>
      <c r="J249" s="49"/>
      <c r="K249" s="49"/>
      <c r="L249" s="49"/>
      <c r="M249" s="49"/>
      <c r="N249" s="49"/>
      <c r="O249" s="49"/>
      <c r="P249" s="49"/>
      <c r="Q249" s="49"/>
    </row>
    <row r="250" spans="1:17" s="51" customFormat="1" ht="15.75" customHeight="1" x14ac:dyDescent="0.35">
      <c r="A250" s="81">
        <v>5</v>
      </c>
      <c r="B250" s="82"/>
      <c r="C250" s="21" t="s">
        <v>195</v>
      </c>
      <c r="D250" s="21">
        <f>(35.23+1.5*2.75+0.7*3.4)*10.764</f>
        <v>449.23553999999996</v>
      </c>
      <c r="E250" s="21">
        <v>0</v>
      </c>
      <c r="F250" s="21">
        <f t="shared" si="10"/>
        <v>673.85330999999996</v>
      </c>
      <c r="G250" s="88"/>
      <c r="H250" s="89"/>
      <c r="I250" s="49"/>
      <c r="J250" s="49"/>
      <c r="K250" s="49"/>
      <c r="L250" s="49"/>
      <c r="M250" s="49"/>
      <c r="N250" s="49"/>
      <c r="O250" s="49"/>
      <c r="P250" s="49"/>
      <c r="Q250" s="49"/>
    </row>
    <row r="251" spans="1:17" s="51" customFormat="1" ht="15.75" customHeight="1" x14ac:dyDescent="0.35">
      <c r="A251" s="81">
        <v>6</v>
      </c>
      <c r="B251" s="82"/>
      <c r="C251" s="21" t="s">
        <v>202</v>
      </c>
      <c r="D251" s="21">
        <f>(26.94+0.7*(2.75+2.75))*10.764</f>
        <v>331.42355999999995</v>
      </c>
      <c r="E251" s="21">
        <v>0</v>
      </c>
      <c r="F251" s="21">
        <f t="shared" si="10"/>
        <v>497.13533999999993</v>
      </c>
      <c r="G251" s="88"/>
      <c r="H251" s="89"/>
      <c r="I251" s="49"/>
      <c r="J251" s="49"/>
      <c r="K251" s="49"/>
      <c r="L251" s="49"/>
      <c r="M251" s="49"/>
      <c r="N251" s="49"/>
      <c r="O251" s="49"/>
      <c r="P251" s="49"/>
      <c r="Q251" s="49"/>
    </row>
    <row r="252" spans="1:17" s="51" customFormat="1" ht="15.75" customHeight="1" x14ac:dyDescent="0.35">
      <c r="A252" s="81">
        <v>7</v>
      </c>
      <c r="B252" s="82"/>
      <c r="C252" s="21" t="s">
        <v>202</v>
      </c>
      <c r="D252" s="21">
        <f>(26.94+0.7*(2.75+2.75))*10.764</f>
        <v>331.42355999999995</v>
      </c>
      <c r="E252" s="21">
        <v>0</v>
      </c>
      <c r="F252" s="21">
        <f t="shared" si="10"/>
        <v>497.13533999999993</v>
      </c>
      <c r="G252" s="88"/>
      <c r="H252" s="89"/>
      <c r="I252" s="49"/>
      <c r="J252" s="49"/>
      <c r="K252" s="49"/>
      <c r="L252" s="49"/>
      <c r="M252" s="49"/>
      <c r="N252" s="49"/>
      <c r="O252" s="49"/>
      <c r="P252" s="49"/>
      <c r="Q252" s="49"/>
    </row>
    <row r="253" spans="1:17" s="51" customFormat="1" ht="15.75" customHeight="1" x14ac:dyDescent="0.35">
      <c r="A253" s="81">
        <v>8</v>
      </c>
      <c r="B253" s="82"/>
      <c r="C253" s="21" t="s">
        <v>195</v>
      </c>
      <c r="D253" s="21">
        <f>(35.23+1.5*2.75+1*2.33+0.75*3.4)*10.764</f>
        <v>476.14553999999987</v>
      </c>
      <c r="E253" s="21">
        <v>0</v>
      </c>
      <c r="F253" s="21">
        <f t="shared" si="10"/>
        <v>714.21830999999975</v>
      </c>
      <c r="G253" s="88"/>
      <c r="H253" s="89"/>
      <c r="I253" s="49"/>
      <c r="J253" s="49"/>
      <c r="K253" s="49"/>
      <c r="L253" s="49"/>
      <c r="M253" s="49"/>
      <c r="N253" s="49"/>
      <c r="O253" s="49"/>
      <c r="P253" s="49"/>
      <c r="Q253" s="49"/>
    </row>
    <row r="254" spans="1:17" s="51" customFormat="1" ht="15.75" customHeight="1" x14ac:dyDescent="0.35">
      <c r="A254" s="81">
        <v>9</v>
      </c>
      <c r="B254" s="82"/>
      <c r="C254" s="21" t="s">
        <v>202</v>
      </c>
      <c r="D254" s="21">
        <f>(26.37+1.9*2.75+1.1*2.75+2.75*0.76)*10.764</f>
        <v>395.14643999999993</v>
      </c>
      <c r="E254" s="21">
        <v>0</v>
      </c>
      <c r="F254" s="21">
        <f t="shared" si="10"/>
        <v>592.71965999999986</v>
      </c>
      <c r="G254" s="88"/>
      <c r="H254" s="89"/>
      <c r="I254" s="49"/>
      <c r="J254" s="49"/>
      <c r="K254" s="49"/>
      <c r="L254" s="49"/>
      <c r="M254" s="49"/>
      <c r="N254" s="49"/>
      <c r="O254" s="49"/>
      <c r="P254" s="49"/>
      <c r="Q254" s="49"/>
    </row>
    <row r="255" spans="1:17" s="51" customFormat="1" ht="15.75" customHeight="1" x14ac:dyDescent="0.35">
      <c r="A255" s="81">
        <v>10</v>
      </c>
      <c r="B255" s="82"/>
      <c r="C255" s="21" t="s">
        <v>202</v>
      </c>
      <c r="D255" s="21">
        <f>(26.37+1.9*2.75+1.1*2.75+2.75*0.76)*10.764</f>
        <v>395.14643999999993</v>
      </c>
      <c r="E255" s="21">
        <v>0</v>
      </c>
      <c r="F255" s="21">
        <f t="shared" si="10"/>
        <v>592.71965999999986</v>
      </c>
      <c r="G255" s="88"/>
      <c r="H255" s="89"/>
      <c r="I255" s="49"/>
      <c r="J255" s="49"/>
      <c r="K255" s="49"/>
      <c r="L255" s="49"/>
      <c r="M255" s="49"/>
      <c r="N255" s="49"/>
      <c r="O255" s="49"/>
      <c r="P255" s="49"/>
      <c r="Q255" s="49"/>
    </row>
    <row r="256" spans="1:17" s="51" customFormat="1" ht="15.75" customHeight="1" x14ac:dyDescent="0.35">
      <c r="A256" s="81">
        <v>11</v>
      </c>
      <c r="B256" s="82"/>
      <c r="C256" s="21" t="s">
        <v>195</v>
      </c>
      <c r="D256" s="21">
        <f>(35.23+1.5*2.75+0.7*3.4)*10.764</f>
        <v>449.23553999999996</v>
      </c>
      <c r="E256" s="21">
        <v>0</v>
      </c>
      <c r="F256" s="21">
        <f t="shared" si="10"/>
        <v>673.85330999999996</v>
      </c>
      <c r="G256" s="88"/>
      <c r="H256" s="89"/>
      <c r="I256" s="49"/>
      <c r="J256" s="49"/>
      <c r="K256" s="49"/>
      <c r="L256" s="49"/>
      <c r="M256" s="49"/>
      <c r="N256" s="49"/>
      <c r="O256" s="49"/>
      <c r="P256" s="49"/>
      <c r="Q256" s="49"/>
    </row>
    <row r="257" spans="1:17" s="51" customFormat="1" ht="15.75" customHeight="1" x14ac:dyDescent="0.35">
      <c r="A257" s="81">
        <v>12</v>
      </c>
      <c r="B257" s="82"/>
      <c r="C257" s="21" t="s">
        <v>202</v>
      </c>
      <c r="D257" s="21">
        <f>(26.94+0.7*(2.75+2.75))*10.764</f>
        <v>331.42355999999995</v>
      </c>
      <c r="E257" s="21">
        <v>0</v>
      </c>
      <c r="F257" s="21">
        <f t="shared" si="10"/>
        <v>497.13533999999993</v>
      </c>
      <c r="G257" s="90"/>
      <c r="H257" s="91"/>
      <c r="I257" s="49"/>
      <c r="J257" s="49"/>
      <c r="K257" s="49"/>
      <c r="L257" s="49"/>
      <c r="M257" s="49"/>
      <c r="N257" s="49"/>
      <c r="O257" s="49"/>
      <c r="P257" s="49"/>
      <c r="Q257" s="49"/>
    </row>
    <row r="258" spans="1:17" s="51" customFormat="1" ht="15.75" customHeight="1" x14ac:dyDescent="0.35">
      <c r="A258" s="83" t="s">
        <v>215</v>
      </c>
      <c r="B258" s="84"/>
      <c r="C258" s="84"/>
      <c r="D258" s="84"/>
      <c r="E258" s="84"/>
      <c r="F258" s="84"/>
      <c r="G258" s="84"/>
      <c r="H258" s="85"/>
      <c r="I258" s="49"/>
      <c r="J258" s="49"/>
      <c r="K258" s="49"/>
      <c r="L258" s="49"/>
      <c r="M258" s="49"/>
      <c r="N258" s="49"/>
      <c r="O258" s="49"/>
      <c r="P258" s="49"/>
      <c r="Q258" s="49"/>
    </row>
    <row r="259" spans="1:17" s="51" customFormat="1" ht="15.75" customHeight="1" x14ac:dyDescent="0.35">
      <c r="A259" s="81">
        <v>1</v>
      </c>
      <c r="B259" s="82"/>
      <c r="C259" s="21" t="s">
        <v>202</v>
      </c>
      <c r="D259" s="21">
        <f>(26.94+0.7*(2.75+2.75))*10.764</f>
        <v>331.42355999999995</v>
      </c>
      <c r="E259" s="21">
        <v>0</v>
      </c>
      <c r="F259" s="21">
        <f t="shared" ref="F259:F266" si="11">D259*(($F$180)+1)+(IF(E259&lt;101,E259,IF(E259&lt;201,E259/2,IF(E259&lt;=301,E259/3,E259/4))))</f>
        <v>497.13533999999993</v>
      </c>
      <c r="G259" s="86" t="str">
        <f>A258</f>
        <v>8th, 13th &amp; 19th Floor (Part Refuge Area)</v>
      </c>
      <c r="H259" s="87"/>
      <c r="I259" s="28"/>
      <c r="J259" s="28"/>
      <c r="K259" s="28"/>
      <c r="L259" s="28"/>
      <c r="M259" s="28"/>
      <c r="N259" s="28"/>
      <c r="O259" s="28"/>
      <c r="P259" s="28"/>
      <c r="Q259" s="28"/>
    </row>
    <row r="260" spans="1:17" s="51" customFormat="1" ht="15.75" customHeight="1" x14ac:dyDescent="0.35">
      <c r="A260" s="81">
        <v>2</v>
      </c>
      <c r="B260" s="82"/>
      <c r="C260" s="21" t="s">
        <v>195</v>
      </c>
      <c r="D260" s="21">
        <f>(35.23+1.5*2.75+1.2*2.33+0.7*3.4)*10.764</f>
        <v>479.33168399999994</v>
      </c>
      <c r="E260" s="21">
        <v>0</v>
      </c>
      <c r="F260" s="21">
        <f t="shared" si="11"/>
        <v>718.99752599999988</v>
      </c>
      <c r="G260" s="88"/>
      <c r="H260" s="89"/>
      <c r="I260" s="28"/>
      <c r="J260" s="28"/>
      <c r="K260" s="28"/>
      <c r="L260" s="28"/>
      <c r="M260" s="28"/>
      <c r="N260" s="28"/>
      <c r="O260" s="28"/>
      <c r="P260" s="28"/>
      <c r="Q260" s="28"/>
    </row>
    <row r="261" spans="1:17" s="51" customFormat="1" ht="15.75" customHeight="1" x14ac:dyDescent="0.35">
      <c r="A261" s="81">
        <v>3</v>
      </c>
      <c r="B261" s="82"/>
      <c r="C261" s="21" t="s">
        <v>202</v>
      </c>
      <c r="D261" s="21">
        <f>(26.37+1.9*2.75+2.75*0.7)*10.764</f>
        <v>360.80927999999994</v>
      </c>
      <c r="E261" s="21">
        <v>0</v>
      </c>
      <c r="F261" s="21">
        <f t="shared" si="11"/>
        <v>541.21391999999992</v>
      </c>
      <c r="G261" s="88"/>
      <c r="H261" s="89"/>
      <c r="I261" s="28"/>
      <c r="J261" s="28"/>
      <c r="K261" s="28"/>
      <c r="L261" s="28"/>
      <c r="M261" s="28"/>
      <c r="N261" s="28"/>
      <c r="O261" s="28"/>
      <c r="P261" s="28"/>
      <c r="Q261" s="28"/>
    </row>
    <row r="262" spans="1:17" s="51" customFormat="1" ht="15.75" customHeight="1" x14ac:dyDescent="0.35">
      <c r="A262" s="81">
        <v>4</v>
      </c>
      <c r="B262" s="82"/>
      <c r="C262" s="21" t="s">
        <v>202</v>
      </c>
      <c r="D262" s="21">
        <f>(29.37+1.9*2.75+2.75*0.7)*10.764</f>
        <v>393.10127999999992</v>
      </c>
      <c r="E262" s="21">
        <v>0</v>
      </c>
      <c r="F262" s="21">
        <f t="shared" si="11"/>
        <v>589.6519199999999</v>
      </c>
      <c r="G262" s="88"/>
      <c r="H262" s="89"/>
      <c r="I262" s="28"/>
      <c r="J262" s="28"/>
      <c r="K262" s="28"/>
      <c r="L262" s="28"/>
      <c r="M262" s="28"/>
      <c r="N262" s="28"/>
      <c r="O262" s="28"/>
      <c r="P262" s="28"/>
      <c r="Q262" s="28"/>
    </row>
    <row r="263" spans="1:17" s="51" customFormat="1" ht="15.75" customHeight="1" x14ac:dyDescent="0.35">
      <c r="A263" s="81">
        <v>5</v>
      </c>
      <c r="B263" s="82"/>
      <c r="C263" s="21" t="s">
        <v>195</v>
      </c>
      <c r="D263" s="21">
        <f>(35.23+1.5*2.75+0.7*3.4)*10.764</f>
        <v>449.23553999999996</v>
      </c>
      <c r="E263" s="21">
        <v>0</v>
      </c>
      <c r="F263" s="21">
        <f t="shared" si="11"/>
        <v>673.85330999999996</v>
      </c>
      <c r="G263" s="88"/>
      <c r="H263" s="89"/>
      <c r="I263" s="28"/>
      <c r="J263" s="28"/>
      <c r="K263" s="28"/>
      <c r="L263" s="28"/>
      <c r="M263" s="28"/>
      <c r="N263" s="28"/>
      <c r="O263" s="28"/>
      <c r="P263" s="28"/>
      <c r="Q263" s="28"/>
    </row>
    <row r="264" spans="1:17" s="51" customFormat="1" ht="15.75" customHeight="1" x14ac:dyDescent="0.35">
      <c r="A264" s="81">
        <v>6</v>
      </c>
      <c r="B264" s="82"/>
      <c r="C264" s="21" t="s">
        <v>202</v>
      </c>
      <c r="D264" s="21">
        <f>(26.94+0.7*(2.75+2.75))*10.764</f>
        <v>331.42355999999995</v>
      </c>
      <c r="E264" s="21">
        <v>0</v>
      </c>
      <c r="F264" s="21">
        <f t="shared" si="11"/>
        <v>497.13533999999993</v>
      </c>
      <c r="G264" s="88"/>
      <c r="H264" s="89"/>
      <c r="I264" s="28"/>
      <c r="J264" s="28"/>
      <c r="K264" s="28"/>
      <c r="L264" s="28"/>
      <c r="M264" s="28"/>
      <c r="N264" s="28"/>
      <c r="O264" s="28"/>
      <c r="P264" s="28"/>
      <c r="Q264" s="28"/>
    </row>
    <row r="265" spans="1:17" s="51" customFormat="1" ht="15.75" customHeight="1" x14ac:dyDescent="0.35">
      <c r="A265" s="81">
        <v>7</v>
      </c>
      <c r="B265" s="82"/>
      <c r="C265" s="21" t="s">
        <v>202</v>
      </c>
      <c r="D265" s="21">
        <f>(26.94+0.7*(2.75+2.75))*10.764</f>
        <v>331.42355999999995</v>
      </c>
      <c r="E265" s="21">
        <v>0</v>
      </c>
      <c r="F265" s="21">
        <f t="shared" si="11"/>
        <v>497.13533999999993</v>
      </c>
      <c r="G265" s="88"/>
      <c r="H265" s="89"/>
      <c r="I265" s="28"/>
      <c r="J265" s="28"/>
      <c r="K265" s="28"/>
      <c r="L265" s="28"/>
      <c r="M265" s="28"/>
      <c r="N265" s="28"/>
      <c r="O265" s="28"/>
      <c r="P265" s="28"/>
      <c r="Q265" s="28"/>
    </row>
    <row r="266" spans="1:17" s="51" customFormat="1" ht="15.75" customHeight="1" x14ac:dyDescent="0.35">
      <c r="A266" s="81">
        <v>8</v>
      </c>
      <c r="B266" s="82"/>
      <c r="C266" s="21" t="s">
        <v>195</v>
      </c>
      <c r="D266" s="21">
        <f>(35.23+1.5*2.75+1*2.33+0.75*3.4)*10.764</f>
        <v>476.14553999999987</v>
      </c>
      <c r="E266" s="21">
        <v>0</v>
      </c>
      <c r="F266" s="21">
        <f t="shared" si="11"/>
        <v>714.21830999999975</v>
      </c>
      <c r="G266" s="88"/>
      <c r="H266" s="89"/>
      <c r="I266" s="28"/>
      <c r="J266" s="28"/>
      <c r="K266" s="28"/>
      <c r="L266" s="28"/>
      <c r="M266" s="28"/>
      <c r="N266" s="28"/>
      <c r="O266" s="28"/>
      <c r="P266" s="28"/>
      <c r="Q266" s="28"/>
    </row>
    <row r="267" spans="1:17" s="51" customFormat="1" ht="15.75" customHeight="1" x14ac:dyDescent="0.35">
      <c r="A267" s="81">
        <v>9</v>
      </c>
      <c r="B267" s="82"/>
      <c r="C267" s="81" t="s">
        <v>206</v>
      </c>
      <c r="D267" s="92"/>
      <c r="E267" s="92"/>
      <c r="F267" s="82"/>
      <c r="G267" s="88"/>
      <c r="H267" s="89"/>
      <c r="I267" s="28"/>
      <c r="J267" s="28"/>
      <c r="K267" s="28"/>
      <c r="L267" s="28"/>
      <c r="M267" s="28"/>
      <c r="N267" s="28"/>
      <c r="O267" s="28"/>
      <c r="P267" s="28"/>
      <c r="Q267" s="28"/>
    </row>
    <row r="268" spans="1:17" s="51" customFormat="1" ht="15.75" customHeight="1" x14ac:dyDescent="0.35">
      <c r="A268" s="81">
        <v>10</v>
      </c>
      <c r="B268" s="82"/>
      <c r="C268" s="21" t="s">
        <v>202</v>
      </c>
      <c r="D268" s="21">
        <f>(26.37+1.9*2.75+1.1*2.75+2.75*0.76)*10.764</f>
        <v>395.14643999999993</v>
      </c>
      <c r="E268" s="21">
        <v>0</v>
      </c>
      <c r="F268" s="21">
        <f>D268*(($F$180)+1)+(IF(E268&lt;101,E268,IF(E268&lt;201,E268/2,IF(E268&lt;=301,E268/3,E268/4))))</f>
        <v>592.71965999999986</v>
      </c>
      <c r="G268" s="88"/>
      <c r="H268" s="89"/>
      <c r="I268" s="28"/>
      <c r="J268" s="28"/>
      <c r="K268" s="28"/>
      <c r="L268" s="28"/>
      <c r="M268" s="28"/>
      <c r="N268" s="28"/>
      <c r="O268" s="28"/>
      <c r="P268" s="28"/>
      <c r="Q268" s="28"/>
    </row>
    <row r="269" spans="1:17" s="51" customFormat="1" ht="15.75" customHeight="1" x14ac:dyDescent="0.35">
      <c r="A269" s="81">
        <v>11</v>
      </c>
      <c r="B269" s="82"/>
      <c r="C269" s="21" t="s">
        <v>195</v>
      </c>
      <c r="D269" s="21">
        <f>(35.23+1.5*2.75+0.7*3.4)*10.764</f>
        <v>449.23553999999996</v>
      </c>
      <c r="E269" s="21">
        <v>0</v>
      </c>
      <c r="F269" s="21">
        <f>D269*(($F$180)+1)+(IF(E269&lt;101,E269,IF(E269&lt;201,E269/2,IF(E269&lt;=301,E269/3,E269/4))))</f>
        <v>673.85330999999996</v>
      </c>
      <c r="G269" s="88"/>
      <c r="H269" s="89"/>
      <c r="I269" s="28"/>
      <c r="J269" s="28"/>
      <c r="K269" s="28"/>
      <c r="L269" s="28"/>
      <c r="M269" s="28"/>
      <c r="N269" s="28"/>
      <c r="O269" s="28"/>
      <c r="P269" s="28"/>
      <c r="Q269" s="28"/>
    </row>
    <row r="270" spans="1:17" s="51" customFormat="1" ht="15.75" customHeight="1" x14ac:dyDescent="0.35">
      <c r="A270" s="81">
        <v>12</v>
      </c>
      <c r="B270" s="82"/>
      <c r="C270" s="21" t="s">
        <v>202</v>
      </c>
      <c r="D270" s="21">
        <f>(26.94+0.7*(2.75+2.75))*10.764</f>
        <v>331.42355999999995</v>
      </c>
      <c r="E270" s="21">
        <v>0</v>
      </c>
      <c r="F270" s="21">
        <f>D270*(($F$180)+1)+(IF(E270&lt;101,E270,IF(E270&lt;201,E270/2,IF(E270&lt;=301,E270/3,E270/4))))</f>
        <v>497.13533999999993</v>
      </c>
      <c r="G270" s="90"/>
      <c r="H270" s="91"/>
      <c r="I270" s="28"/>
      <c r="J270" s="28"/>
      <c r="K270" s="28"/>
      <c r="L270" s="28"/>
      <c r="M270" s="28"/>
      <c r="N270" s="28"/>
      <c r="O270" s="28"/>
      <c r="P270" s="28"/>
      <c r="Q270" s="28"/>
    </row>
    <row r="271" spans="1:17" s="49" customFormat="1" x14ac:dyDescent="0.35">
      <c r="A271" s="158" t="s">
        <v>74</v>
      </c>
      <c r="B271" s="158"/>
      <c r="C271" s="158"/>
      <c r="D271" s="158"/>
      <c r="E271" s="158"/>
      <c r="F271" s="158"/>
      <c r="G271" s="158"/>
      <c r="H271" s="158"/>
      <c r="I271" s="28"/>
      <c r="J271" s="28"/>
      <c r="K271" s="28"/>
      <c r="L271" s="28"/>
      <c r="M271" s="28"/>
      <c r="N271" s="28"/>
      <c r="O271" s="28"/>
      <c r="P271" s="28"/>
      <c r="Q271" s="28"/>
    </row>
    <row r="272" spans="1:17" s="49" customFormat="1" ht="77.5" customHeight="1" x14ac:dyDescent="0.35">
      <c r="A272" s="20" t="s">
        <v>164</v>
      </c>
      <c r="B272" s="67" t="s">
        <v>236</v>
      </c>
      <c r="C272" s="68"/>
      <c r="D272" s="68"/>
      <c r="E272" s="68"/>
      <c r="F272" s="68"/>
      <c r="G272" s="68"/>
      <c r="H272" s="69"/>
      <c r="I272" s="28" t="s">
        <v>235</v>
      </c>
      <c r="J272" s="28"/>
      <c r="K272" s="28"/>
      <c r="L272" s="28"/>
      <c r="M272" s="28"/>
      <c r="N272" s="28"/>
      <c r="O272" s="28"/>
      <c r="P272" s="28"/>
      <c r="Q272" s="28"/>
    </row>
    <row r="273" spans="1:17" s="49" customFormat="1" x14ac:dyDescent="0.35">
      <c r="A273" s="20" t="s">
        <v>164</v>
      </c>
      <c r="B273" s="67" t="str">
        <f>(IF(F179="Saleable area Loading :","We have considered Saleable area of Flats as per our Calculation.","We considered Saleable area of Flat as per Builder area Sheet."))</f>
        <v>We have considered Saleable area of Flats as per our Calculation.</v>
      </c>
      <c r="C273" s="68"/>
      <c r="D273" s="68"/>
      <c r="E273" s="68"/>
      <c r="F273" s="68"/>
      <c r="G273" s="68"/>
      <c r="H273" s="69"/>
      <c r="I273" s="28"/>
      <c r="J273" s="28"/>
      <c r="K273" s="28"/>
      <c r="L273" s="28"/>
      <c r="M273" s="28"/>
      <c r="N273" s="28"/>
      <c r="O273" s="28"/>
      <c r="P273" s="28"/>
      <c r="Q273" s="28"/>
    </row>
    <row r="274" spans="1:17" s="49" customFormat="1" x14ac:dyDescent="0.35">
      <c r="A274" s="25" t="s">
        <v>164</v>
      </c>
      <c r="B274" s="93" t="s">
        <v>133</v>
      </c>
      <c r="C274" s="94"/>
      <c r="D274" s="94"/>
      <c r="E274" s="94"/>
      <c r="F274" s="94"/>
      <c r="G274" s="94"/>
      <c r="H274" s="95"/>
      <c r="I274" s="28"/>
      <c r="J274" s="28"/>
      <c r="K274" s="28"/>
      <c r="L274" s="28"/>
      <c r="M274" s="28"/>
      <c r="N274" s="28"/>
      <c r="O274" s="28"/>
      <c r="P274" s="28"/>
      <c r="Q274" s="28"/>
    </row>
    <row r="275" spans="1:17" s="49" customFormat="1" x14ac:dyDescent="0.35">
      <c r="A275" s="25" t="s">
        <v>164</v>
      </c>
      <c r="B275" s="93" t="s">
        <v>210</v>
      </c>
      <c r="C275" s="94"/>
      <c r="D275" s="94"/>
      <c r="E275" s="94"/>
      <c r="F275" s="94"/>
      <c r="G275" s="94"/>
      <c r="H275" s="95"/>
      <c r="I275" s="28"/>
      <c r="J275" s="28"/>
      <c r="K275" s="28"/>
      <c r="L275" s="28"/>
      <c r="M275" s="28"/>
      <c r="N275" s="28"/>
      <c r="O275" s="28"/>
      <c r="P275" s="28"/>
      <c r="Q275" s="28"/>
    </row>
    <row r="276" spans="1:17" s="49" customFormat="1" x14ac:dyDescent="0.35">
      <c r="A276" s="25" t="s">
        <v>164</v>
      </c>
      <c r="B276" s="93" t="s">
        <v>163</v>
      </c>
      <c r="C276" s="94"/>
      <c r="D276" s="94"/>
      <c r="E276" s="94"/>
      <c r="F276" s="94"/>
      <c r="G276" s="94"/>
      <c r="H276" s="95"/>
      <c r="I276" s="28"/>
      <c r="J276" s="28"/>
      <c r="K276" s="28"/>
      <c r="L276" s="28"/>
      <c r="M276" s="28"/>
      <c r="N276" s="28"/>
      <c r="O276" s="28"/>
      <c r="P276" s="28"/>
      <c r="Q276" s="28"/>
    </row>
    <row r="277" spans="1:17" s="49" customFormat="1" x14ac:dyDescent="0.35">
      <c r="A277" s="25" t="s">
        <v>164</v>
      </c>
      <c r="B277" s="93" t="s">
        <v>134</v>
      </c>
      <c r="C277" s="94"/>
      <c r="D277" s="94"/>
      <c r="E277" s="94"/>
      <c r="F277" s="94"/>
      <c r="G277" s="94"/>
      <c r="H277" s="95"/>
      <c r="I277" s="28"/>
      <c r="J277" s="28"/>
      <c r="K277" s="28"/>
      <c r="L277" s="28"/>
      <c r="M277" s="28"/>
      <c r="N277" s="28"/>
      <c r="O277" s="28"/>
      <c r="P277" s="28"/>
      <c r="Q277" s="28"/>
    </row>
    <row r="278" spans="1:17" s="49" customFormat="1" ht="34.5" customHeight="1" x14ac:dyDescent="0.35">
      <c r="A278" s="25" t="s">
        <v>164</v>
      </c>
      <c r="B278" s="93" t="s">
        <v>168</v>
      </c>
      <c r="C278" s="94"/>
      <c r="D278" s="94"/>
      <c r="E278" s="94"/>
      <c r="F278" s="94"/>
      <c r="G278" s="94"/>
      <c r="H278" s="95"/>
      <c r="I278" s="28"/>
      <c r="J278" s="28"/>
      <c r="K278" s="28"/>
      <c r="L278" s="28"/>
      <c r="M278" s="28"/>
      <c r="N278" s="28"/>
      <c r="O278" s="28"/>
      <c r="P278" s="28"/>
      <c r="Q278" s="28"/>
    </row>
    <row r="279" spans="1:17" s="49" customFormat="1" x14ac:dyDescent="0.35">
      <c r="A279" s="25" t="s">
        <v>164</v>
      </c>
      <c r="B279" s="67" t="s">
        <v>135</v>
      </c>
      <c r="C279" s="68"/>
      <c r="D279" s="68"/>
      <c r="E279" s="68"/>
      <c r="F279" s="68"/>
      <c r="G279" s="68"/>
      <c r="H279" s="69"/>
      <c r="I279" s="28"/>
      <c r="J279" s="28"/>
      <c r="K279" s="28"/>
      <c r="L279" s="28"/>
      <c r="M279" s="28"/>
      <c r="N279" s="28"/>
      <c r="O279" s="28"/>
      <c r="P279" s="28"/>
      <c r="Q279" s="28"/>
    </row>
    <row r="280" spans="1:17" s="49" customFormat="1" x14ac:dyDescent="0.35">
      <c r="A280" s="25" t="s">
        <v>164</v>
      </c>
      <c r="B280" s="67" t="s">
        <v>222</v>
      </c>
      <c r="C280" s="68"/>
      <c r="D280" s="68"/>
      <c r="E280" s="68"/>
      <c r="F280" s="68"/>
      <c r="G280" s="68"/>
      <c r="H280" s="69"/>
      <c r="I280" s="28"/>
      <c r="J280" s="28"/>
      <c r="K280" s="28"/>
      <c r="L280" s="28"/>
      <c r="M280" s="28"/>
      <c r="N280" s="28"/>
      <c r="O280" s="28"/>
      <c r="P280" s="28"/>
      <c r="Q280" s="28"/>
    </row>
    <row r="281" spans="1:17" s="49" customFormat="1" x14ac:dyDescent="0.35">
      <c r="A281" s="25" t="s">
        <v>164</v>
      </c>
      <c r="B281" s="67" t="s">
        <v>220</v>
      </c>
      <c r="C281" s="68"/>
      <c r="D281" s="68"/>
      <c r="E281" s="68"/>
      <c r="F281" s="68"/>
      <c r="G281" s="68"/>
      <c r="H281" s="69"/>
      <c r="I281" s="28"/>
      <c r="J281" s="28"/>
      <c r="K281" s="28"/>
      <c r="L281" s="28"/>
      <c r="M281" s="28"/>
      <c r="N281" s="28"/>
      <c r="O281" s="28"/>
      <c r="P281" s="28"/>
      <c r="Q281" s="28"/>
    </row>
    <row r="282" spans="1:17" s="49" customFormat="1" x14ac:dyDescent="0.35">
      <c r="A282" s="25" t="s">
        <v>164</v>
      </c>
      <c r="B282" s="67" t="s">
        <v>221</v>
      </c>
      <c r="C282" s="68"/>
      <c r="D282" s="68"/>
      <c r="E282" s="68"/>
      <c r="F282" s="68"/>
      <c r="G282" s="68"/>
      <c r="H282" s="69"/>
      <c r="I282" s="28"/>
      <c r="J282" s="28"/>
      <c r="K282" s="28"/>
      <c r="L282" s="28"/>
      <c r="M282" s="28"/>
      <c r="N282" s="28"/>
      <c r="O282" s="28"/>
      <c r="P282" s="28"/>
      <c r="Q282" s="28"/>
    </row>
    <row r="283" spans="1:17" x14ac:dyDescent="0.35">
      <c r="A283" s="161" t="s">
        <v>67</v>
      </c>
      <c r="B283" s="161"/>
      <c r="C283" s="161"/>
      <c r="D283" s="161"/>
      <c r="E283" s="161"/>
      <c r="F283" s="161"/>
      <c r="G283" s="161"/>
      <c r="H283" s="161"/>
    </row>
    <row r="284" spans="1:17" x14ac:dyDescent="0.35">
      <c r="A284" s="102" t="s">
        <v>68</v>
      </c>
      <c r="B284" s="102"/>
      <c r="C284" s="102"/>
      <c r="D284" s="102"/>
      <c r="E284" s="102"/>
      <c r="F284" s="102"/>
      <c r="G284" s="102"/>
      <c r="H284" s="102"/>
    </row>
    <row r="285" spans="1:17" ht="15.75" customHeight="1" x14ac:dyDescent="0.35">
      <c r="A285" s="174" t="s">
        <v>69</v>
      </c>
      <c r="B285" s="174"/>
      <c r="C285" s="174"/>
      <c r="D285" s="174"/>
      <c r="E285" s="174"/>
      <c r="F285" s="174"/>
      <c r="G285" s="174"/>
      <c r="H285" s="174"/>
    </row>
    <row r="286" spans="1:17" x14ac:dyDescent="0.35">
      <c r="A286" s="102" t="s">
        <v>70</v>
      </c>
      <c r="B286" s="102"/>
      <c r="C286" s="102"/>
      <c r="D286" s="102"/>
      <c r="E286" s="102"/>
      <c r="F286" s="102"/>
      <c r="G286" s="102"/>
      <c r="H286" s="102"/>
    </row>
    <row r="287" spans="1:17" x14ac:dyDescent="0.35">
      <c r="A287" s="102" t="s">
        <v>71</v>
      </c>
      <c r="B287" s="102"/>
      <c r="C287" s="102"/>
      <c r="D287" s="102"/>
      <c r="E287" s="102"/>
      <c r="F287" s="102"/>
      <c r="G287" s="102"/>
      <c r="H287" s="102"/>
    </row>
    <row r="288" spans="1:17" x14ac:dyDescent="0.35">
      <c r="A288" s="102" t="s">
        <v>136</v>
      </c>
      <c r="B288" s="102"/>
      <c r="C288" s="102"/>
      <c r="D288" s="102"/>
      <c r="E288" s="102"/>
      <c r="F288" s="102"/>
      <c r="G288" s="102"/>
      <c r="H288" s="102"/>
    </row>
    <row r="289" spans="1:10" ht="35.25" hidden="1" customHeight="1" x14ac:dyDescent="0.35">
      <c r="A289" s="133" t="s">
        <v>137</v>
      </c>
      <c r="B289" s="133"/>
      <c r="C289" s="133"/>
      <c r="D289" s="133"/>
      <c r="E289" s="133"/>
      <c r="F289" s="133"/>
      <c r="G289" s="133"/>
      <c r="H289" s="133"/>
      <c r="J289" s="28">
        <v>1</v>
      </c>
    </row>
    <row r="290" spans="1:10" x14ac:dyDescent="0.35">
      <c r="A290" s="153" t="s">
        <v>83</v>
      </c>
      <c r="B290" s="153"/>
      <c r="C290" s="153" t="s">
        <v>234</v>
      </c>
      <c r="D290" s="153"/>
      <c r="E290" s="153" t="s">
        <v>116</v>
      </c>
      <c r="F290" s="153"/>
      <c r="G290" s="154" t="s">
        <v>226</v>
      </c>
      <c r="H290" s="155"/>
    </row>
    <row r="291" spans="1:10" x14ac:dyDescent="0.35">
      <c r="A291" s="152" t="s">
        <v>85</v>
      </c>
      <c r="B291" s="152"/>
      <c r="C291" s="152"/>
      <c r="D291" s="152"/>
      <c r="E291" s="152"/>
      <c r="F291" s="152"/>
      <c r="G291" s="152"/>
      <c r="H291" s="152"/>
    </row>
    <row r="292" spans="1:10" x14ac:dyDescent="0.35">
      <c r="A292" s="152"/>
      <c r="B292" s="152"/>
      <c r="C292" s="152"/>
      <c r="D292" s="152"/>
      <c r="E292" s="152"/>
      <c r="F292" s="152"/>
      <c r="G292" s="152"/>
      <c r="H292" s="152"/>
    </row>
    <row r="293" spans="1:10" x14ac:dyDescent="0.35">
      <c r="A293" s="152"/>
      <c r="B293" s="152"/>
      <c r="C293" s="152"/>
      <c r="D293" s="152"/>
      <c r="E293" s="152"/>
      <c r="F293" s="152"/>
      <c r="G293" s="152"/>
      <c r="H293" s="152"/>
    </row>
    <row r="294" spans="1:10" x14ac:dyDescent="0.35">
      <c r="A294" s="152"/>
      <c r="B294" s="152"/>
      <c r="C294" s="152"/>
      <c r="D294" s="152"/>
      <c r="E294" s="152"/>
      <c r="F294" s="152"/>
      <c r="G294" s="152"/>
      <c r="H294" s="152"/>
    </row>
    <row r="295" spans="1:10" x14ac:dyDescent="0.35">
      <c r="A295" s="52" t="s">
        <v>72</v>
      </c>
      <c r="B295" s="53"/>
      <c r="C295" s="53"/>
      <c r="D295" s="52" t="str">
        <f>E8</f>
        <v>Balaji Estate Phase - 2</v>
      </c>
      <c r="F295" s="53"/>
      <c r="G295" s="53"/>
      <c r="H295" s="53"/>
    </row>
    <row r="296" spans="1:10" x14ac:dyDescent="0.35">
      <c r="A296" s="53"/>
      <c r="B296" s="53"/>
      <c r="C296" s="53"/>
      <c r="D296" s="53"/>
      <c r="E296" s="53"/>
      <c r="F296" s="53"/>
      <c r="G296" s="53"/>
      <c r="H296" s="53"/>
    </row>
    <row r="297" spans="1:10" x14ac:dyDescent="0.35">
      <c r="A297" s="53"/>
      <c r="B297" s="53"/>
      <c r="C297" s="53"/>
      <c r="D297" s="53"/>
      <c r="E297" s="53"/>
      <c r="F297" s="53"/>
      <c r="G297" s="53"/>
      <c r="H297" s="53"/>
    </row>
    <row r="298" spans="1:10" ht="15" customHeight="1" x14ac:dyDescent="0.35"/>
    <row r="338" spans="1:1" x14ac:dyDescent="0.35">
      <c r="A338" s="55" t="s">
        <v>227</v>
      </c>
    </row>
    <row r="381" spans="1:1" x14ac:dyDescent="0.35">
      <c r="A381" s="55" t="s">
        <v>73</v>
      </c>
    </row>
  </sheetData>
  <mergeCells count="423">
    <mergeCell ref="G151:H152"/>
    <mergeCell ref="A151:B152"/>
    <mergeCell ref="A137:B137"/>
    <mergeCell ref="C137:H137"/>
    <mergeCell ref="A139:B139"/>
    <mergeCell ref="C139:H139"/>
    <mergeCell ref="A140:B140"/>
    <mergeCell ref="E140:F140"/>
    <mergeCell ref="G140:H140"/>
    <mergeCell ref="A141:B141"/>
    <mergeCell ref="E141:F150"/>
    <mergeCell ref="G141:H150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B277:H277"/>
    <mergeCell ref="A187:B187"/>
    <mergeCell ref="A188:B188"/>
    <mergeCell ref="A189:B189"/>
    <mergeCell ref="F164:H164"/>
    <mergeCell ref="F162:H162"/>
    <mergeCell ref="A163:E163"/>
    <mergeCell ref="F163:H163"/>
    <mergeCell ref="A183:H183"/>
    <mergeCell ref="A184:B184"/>
    <mergeCell ref="A185:B185"/>
    <mergeCell ref="A186:B186"/>
    <mergeCell ref="A190:H190"/>
    <mergeCell ref="A192:H192"/>
    <mergeCell ref="A193:B193"/>
    <mergeCell ref="A191:H191"/>
    <mergeCell ref="G184:H189"/>
    <mergeCell ref="A175:B175"/>
    <mergeCell ref="C175:D175"/>
    <mergeCell ref="A181:H181"/>
    <mergeCell ref="A182:H182"/>
    <mergeCell ref="A178:H178"/>
    <mergeCell ref="A179:A180"/>
    <mergeCell ref="A170:B170"/>
    <mergeCell ref="E39:H39"/>
    <mergeCell ref="A39:D39"/>
    <mergeCell ref="A123:B123"/>
    <mergeCell ref="C123:H123"/>
    <mergeCell ref="A76:B76"/>
    <mergeCell ref="A46:B46"/>
    <mergeCell ref="C46:E46"/>
    <mergeCell ref="G46:H46"/>
    <mergeCell ref="G48:H48"/>
    <mergeCell ref="D52:H52"/>
    <mergeCell ref="C48:E48"/>
    <mergeCell ref="A55:C59"/>
    <mergeCell ref="D55:H55"/>
    <mergeCell ref="D59:H59"/>
    <mergeCell ref="C47:E47"/>
    <mergeCell ref="A50:B50"/>
    <mergeCell ref="G85:H94"/>
    <mergeCell ref="A86:B86"/>
    <mergeCell ref="A87:B87"/>
    <mergeCell ref="A88:B88"/>
    <mergeCell ref="C50:E50"/>
    <mergeCell ref="A47:B47"/>
    <mergeCell ref="A51:H51"/>
    <mergeCell ref="A52:C52"/>
    <mergeCell ref="A288:H288"/>
    <mergeCell ref="A285:H285"/>
    <mergeCell ref="A168:B168"/>
    <mergeCell ref="D179:D180"/>
    <mergeCell ref="E179:E180"/>
    <mergeCell ref="G179:H180"/>
    <mergeCell ref="A131:B131"/>
    <mergeCell ref="A132:B132"/>
    <mergeCell ref="A133:B133"/>
    <mergeCell ref="F154:H154"/>
    <mergeCell ref="A153:H153"/>
    <mergeCell ref="C171:D171"/>
    <mergeCell ref="E171:F171"/>
    <mergeCell ref="G171:H171"/>
    <mergeCell ref="C170:D170"/>
    <mergeCell ref="E170:F170"/>
    <mergeCell ref="G170:H170"/>
    <mergeCell ref="C168:D168"/>
    <mergeCell ref="B272:H272"/>
    <mergeCell ref="A173:A174"/>
    <mergeCell ref="C169:D169"/>
    <mergeCell ref="E169:F169"/>
    <mergeCell ref="G169:H169"/>
    <mergeCell ref="F160:H160"/>
    <mergeCell ref="A53:C53"/>
    <mergeCell ref="D53:H53"/>
    <mergeCell ref="G50:H50"/>
    <mergeCell ref="C49:H49"/>
    <mergeCell ref="G168:H168"/>
    <mergeCell ref="D56:H56"/>
    <mergeCell ref="A81:B81"/>
    <mergeCell ref="C81:H81"/>
    <mergeCell ref="A65:C65"/>
    <mergeCell ref="D65:H65"/>
    <mergeCell ref="A71:B71"/>
    <mergeCell ref="G70:H70"/>
    <mergeCell ref="A69:B69"/>
    <mergeCell ref="A67:B67"/>
    <mergeCell ref="C67:H67"/>
    <mergeCell ref="A75:B75"/>
    <mergeCell ref="A62:C62"/>
    <mergeCell ref="D62:H62"/>
    <mergeCell ref="C69:H69"/>
    <mergeCell ref="A72:B72"/>
    <mergeCell ref="A66:C66"/>
    <mergeCell ref="D66:H66"/>
    <mergeCell ref="A64:C64"/>
    <mergeCell ref="D64:H64"/>
    <mergeCell ref="A291:H294"/>
    <mergeCell ref="A290:B290"/>
    <mergeCell ref="E290:F290"/>
    <mergeCell ref="C290:D290"/>
    <mergeCell ref="G290:H290"/>
    <mergeCell ref="A165:E165"/>
    <mergeCell ref="F165:H165"/>
    <mergeCell ref="A166:E166"/>
    <mergeCell ref="F166:H166"/>
    <mergeCell ref="A169:B169"/>
    <mergeCell ref="A286:H286"/>
    <mergeCell ref="A167:H167"/>
    <mergeCell ref="A289:H289"/>
    <mergeCell ref="A287:H287"/>
    <mergeCell ref="A271:H271"/>
    <mergeCell ref="B179:B180"/>
    <mergeCell ref="A283:H283"/>
    <mergeCell ref="A284:H284"/>
    <mergeCell ref="E168:F168"/>
    <mergeCell ref="A176:H176"/>
    <mergeCell ref="A177:H177"/>
    <mergeCell ref="C179:C180"/>
    <mergeCell ref="B279:H279"/>
    <mergeCell ref="B280:H280"/>
    <mergeCell ref="A60:C60"/>
    <mergeCell ref="A61:C61"/>
    <mergeCell ref="D60:H60"/>
    <mergeCell ref="E71:F80"/>
    <mergeCell ref="G71:H80"/>
    <mergeCell ref="A79:B79"/>
    <mergeCell ref="A80:B80"/>
    <mergeCell ref="D61:H61"/>
    <mergeCell ref="A78:B78"/>
    <mergeCell ref="E70:F70"/>
    <mergeCell ref="A63:C63"/>
    <mergeCell ref="D63:H63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4:H54"/>
    <mergeCell ref="A54:C54"/>
    <mergeCell ref="G47:H47"/>
    <mergeCell ref="A48:B49"/>
    <mergeCell ref="A77:B77"/>
    <mergeCell ref="A70:B70"/>
    <mergeCell ref="A73:B7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38:D38"/>
    <mergeCell ref="E38:H38"/>
    <mergeCell ref="F30:H30"/>
    <mergeCell ref="F31:H31"/>
    <mergeCell ref="C29:E29"/>
    <mergeCell ref="F32:H32"/>
    <mergeCell ref="F33:H33"/>
    <mergeCell ref="A35:B35"/>
    <mergeCell ref="E35:F35"/>
    <mergeCell ref="C35:D35"/>
    <mergeCell ref="G35:H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G84:H84"/>
    <mergeCell ref="A85:B85"/>
    <mergeCell ref="A162:E162"/>
    <mergeCell ref="F156:H156"/>
    <mergeCell ref="A161:E161"/>
    <mergeCell ref="A156:E156"/>
    <mergeCell ref="A154:E154"/>
    <mergeCell ref="A127:B127"/>
    <mergeCell ref="E127:F136"/>
    <mergeCell ref="A134:B134"/>
    <mergeCell ref="A135:B135"/>
    <mergeCell ref="A136:B136"/>
    <mergeCell ref="F158:H158"/>
    <mergeCell ref="F157:H157"/>
    <mergeCell ref="F161:H161"/>
    <mergeCell ref="E85:F94"/>
    <mergeCell ref="A89:B89"/>
    <mergeCell ref="A90:B90"/>
    <mergeCell ref="A91:B91"/>
    <mergeCell ref="A92:B92"/>
    <mergeCell ref="A93:B93"/>
    <mergeCell ref="A94:B94"/>
    <mergeCell ref="C151:D152"/>
    <mergeCell ref="E151:F152"/>
    <mergeCell ref="E175:F175"/>
    <mergeCell ref="G175:H175"/>
    <mergeCell ref="A171:B171"/>
    <mergeCell ref="A172:B172"/>
    <mergeCell ref="C172:D172"/>
    <mergeCell ref="E172:F172"/>
    <mergeCell ref="G172:H172"/>
    <mergeCell ref="C173:D173"/>
    <mergeCell ref="E173:F173"/>
    <mergeCell ref="G173:H173"/>
    <mergeCell ref="C174:D174"/>
    <mergeCell ref="E174:F174"/>
    <mergeCell ref="G174:H174"/>
    <mergeCell ref="B278:H278"/>
    <mergeCell ref="A45:B45"/>
    <mergeCell ref="C45:H45"/>
    <mergeCell ref="B276:H276"/>
    <mergeCell ref="G127:H136"/>
    <mergeCell ref="A128:B128"/>
    <mergeCell ref="A129:B129"/>
    <mergeCell ref="A130:B130"/>
    <mergeCell ref="F155:H155"/>
    <mergeCell ref="A155:E155"/>
    <mergeCell ref="A157:E157"/>
    <mergeCell ref="A158:E158"/>
    <mergeCell ref="B273:H273"/>
    <mergeCell ref="B274:H274"/>
    <mergeCell ref="B275:H275"/>
    <mergeCell ref="A164:E164"/>
    <mergeCell ref="A125:B125"/>
    <mergeCell ref="C125:H125"/>
    <mergeCell ref="A126:B126"/>
    <mergeCell ref="E126:F126"/>
    <mergeCell ref="G126:H126"/>
    <mergeCell ref="A159:E159"/>
    <mergeCell ref="F159:H159"/>
    <mergeCell ref="A160:E160"/>
    <mergeCell ref="A194:B194"/>
    <mergeCell ref="A195:B195"/>
    <mergeCell ref="G193:H198"/>
    <mergeCell ref="A199:H199"/>
    <mergeCell ref="A200:H200"/>
    <mergeCell ref="A201:H201"/>
    <mergeCell ref="A202:B202"/>
    <mergeCell ref="A203:B203"/>
    <mergeCell ref="A204:B204"/>
    <mergeCell ref="A205:B205"/>
    <mergeCell ref="A206:B206"/>
    <mergeCell ref="A207:B207"/>
    <mergeCell ref="A208:H208"/>
    <mergeCell ref="A209:H209"/>
    <mergeCell ref="A210:H210"/>
    <mergeCell ref="G202:H207"/>
    <mergeCell ref="A196:B196"/>
    <mergeCell ref="A197:B197"/>
    <mergeCell ref="A198:B198"/>
    <mergeCell ref="A245:H245"/>
    <mergeCell ref="A246:B246"/>
    <mergeCell ref="G233:H244"/>
    <mergeCell ref="A232:H232"/>
    <mergeCell ref="G220:H231"/>
    <mergeCell ref="A216:B216"/>
    <mergeCell ref="A217:H217"/>
    <mergeCell ref="A218:H218"/>
    <mergeCell ref="A219:H219"/>
    <mergeCell ref="G211:H216"/>
    <mergeCell ref="A211:B211"/>
    <mergeCell ref="A212:B212"/>
    <mergeCell ref="A213:B213"/>
    <mergeCell ref="A214:B214"/>
    <mergeCell ref="A215:B215"/>
    <mergeCell ref="A267:B267"/>
    <mergeCell ref="A268:B268"/>
    <mergeCell ref="A269:B269"/>
    <mergeCell ref="A270:B270"/>
    <mergeCell ref="C267:F267"/>
    <mergeCell ref="G259:H270"/>
    <mergeCell ref="A262:B262"/>
    <mergeCell ref="A263:B263"/>
    <mergeCell ref="A264:B264"/>
    <mergeCell ref="A265:B265"/>
    <mergeCell ref="A266:B266"/>
    <mergeCell ref="A258:H258"/>
    <mergeCell ref="A259:B259"/>
    <mergeCell ref="A260:B260"/>
    <mergeCell ref="A261:B261"/>
    <mergeCell ref="G246:H257"/>
    <mergeCell ref="A252:B252"/>
    <mergeCell ref="A253:B253"/>
    <mergeCell ref="A254:B254"/>
    <mergeCell ref="A255:B255"/>
    <mergeCell ref="A256:B256"/>
    <mergeCell ref="A247:B247"/>
    <mergeCell ref="A248:B248"/>
    <mergeCell ref="A249:B249"/>
    <mergeCell ref="A250:B250"/>
    <mergeCell ref="A251:B251"/>
    <mergeCell ref="B281:H281"/>
    <mergeCell ref="B282:H282"/>
    <mergeCell ref="D58:H58"/>
    <mergeCell ref="A109:B109"/>
    <mergeCell ref="C109:H109"/>
    <mergeCell ref="A111:B111"/>
    <mergeCell ref="C111:H111"/>
    <mergeCell ref="A112:B112"/>
    <mergeCell ref="E112:F112"/>
    <mergeCell ref="G112:H112"/>
    <mergeCell ref="A113:B113"/>
    <mergeCell ref="E113:F122"/>
    <mergeCell ref="G113:H122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74:B74"/>
    <mergeCell ref="A257:B257"/>
    <mergeCell ref="D57:H57"/>
    <mergeCell ref="A95:B95"/>
    <mergeCell ref="C95:H95"/>
    <mergeCell ref="A97:B97"/>
    <mergeCell ref="C97:H97"/>
    <mergeCell ref="A98:B98"/>
    <mergeCell ref="E98:F98"/>
    <mergeCell ref="G98:H98"/>
    <mergeCell ref="A99:B99"/>
    <mergeCell ref="E99:F108"/>
    <mergeCell ref="G99:H108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83:B83"/>
    <mergeCell ref="C83:H83"/>
    <mergeCell ref="A84:B84"/>
    <mergeCell ref="E84:F84"/>
  </mergeCells>
  <hyperlinks>
    <hyperlink ref="C36" r:id="rId1"/>
  </hyperlinks>
  <printOptions horizontalCentered="1"/>
  <pageMargins left="0.39370078740157499" right="0.39370078740157499" top="0.78740157480314998" bottom="0.78740157480314998" header="0.196850393700787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6" max="16383" man="1"/>
    <brk id="136" max="16383" man="1"/>
    <brk id="294" max="16383" man="1"/>
    <brk id="337" max="16383" man="1"/>
    <brk id="38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0" zoomScale="85" zoomScaleNormal="85" workbookViewId="0">
      <selection activeCell="B15" sqref="B15"/>
    </sheetView>
  </sheetViews>
  <sheetFormatPr defaultColWidth="8.54296875" defaultRowHeight="14.5" x14ac:dyDescent="0.35"/>
  <cols>
    <col min="1" max="1" width="8.5429687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5429687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90" t="s">
        <v>117</v>
      </c>
      <c r="C3" s="190"/>
      <c r="D3" s="190"/>
      <c r="E3" s="190"/>
      <c r="F3" s="190"/>
      <c r="G3" s="190"/>
      <c r="H3" s="190"/>
    </row>
    <row r="4" spans="1:9" x14ac:dyDescent="0.35">
      <c r="A4" s="2"/>
      <c r="B4" s="3" t="s">
        <v>118</v>
      </c>
      <c r="C4" s="3" t="s">
        <v>119</v>
      </c>
      <c r="D4" s="3" t="s">
        <v>75</v>
      </c>
      <c r="E4" s="3" t="s">
        <v>120</v>
      </c>
      <c r="F4" s="3" t="s">
        <v>126</v>
      </c>
      <c r="G4" s="3" t="s">
        <v>127</v>
      </c>
      <c r="H4" s="3" t="s">
        <v>121</v>
      </c>
    </row>
    <row r="5" spans="1:9" ht="15" customHeight="1" x14ac:dyDescent="0.35">
      <c r="A5" s="2"/>
      <c r="B5" s="5" t="s">
        <v>122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122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122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122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122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123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123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124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125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2025-08-07T08:01:10Z</cp:lastPrinted>
  <dcterms:created xsi:type="dcterms:W3CDTF">2019-07-16T09:29:46Z</dcterms:created>
  <dcterms:modified xsi:type="dcterms:W3CDTF">2025-08-07T08:02:05Z</dcterms:modified>
</cp:coreProperties>
</file>