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defaultThemeVersion="124226"/>
  <mc:AlternateContent xmlns:mc="http://schemas.openxmlformats.org/markup-compatibility/2006">
    <mc:Choice Requires="x15">
      <x15ac:absPath xmlns:x15ac="http://schemas.microsoft.com/office/spreadsheetml/2010/11/ac" url="Z:\APF\25-26\August 2025\MHF\NEW\Saurav\16735 - Sai Amber Residency\"/>
    </mc:Choice>
  </mc:AlternateContent>
  <xr:revisionPtr revIDLastSave="0" documentId="13_ncr:1_{15971A65-A8E0-4C67-B93B-034A7C601D47}" xr6:coauthVersionLast="47" xr6:coauthVersionMax="47" xr10:uidLastSave="{00000000-0000-0000-0000-000000000000}"/>
  <bookViews>
    <workbookView xWindow="-120" yWindow="-120" windowWidth="20730" windowHeight="11160" xr2:uid="{00000000-000D-0000-FFFF-FFFF00000000}"/>
  </bookViews>
  <sheets>
    <sheet name="Report" sheetId="1" r:id="rId1"/>
    <sheet name="C%" sheetId="4" r:id="rId2"/>
  </sheets>
  <definedNames>
    <definedName name="_xlnm.Print_Area" localSheetId="0">Report!$A$1:$H$362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35" i="1" l="1"/>
  <c r="G134" i="1"/>
  <c r="I28" i="1" l="1"/>
  <c r="E160" i="1"/>
  <c r="E159" i="1"/>
  <c r="E158" i="1"/>
  <c r="E157" i="1"/>
  <c r="E155" i="1"/>
  <c r="E154" i="1"/>
  <c r="E153" i="1"/>
  <c r="E152" i="1"/>
  <c r="E151" i="1"/>
  <c r="D157" i="1"/>
  <c r="D146" i="1"/>
  <c r="D145" i="1"/>
  <c r="D134" i="1"/>
  <c r="E143" i="1"/>
  <c r="E149" i="1"/>
  <c r="D149" i="1"/>
  <c r="E148" i="1"/>
  <c r="D148" i="1"/>
  <c r="E147" i="1"/>
  <c r="D147" i="1"/>
  <c r="E146" i="1"/>
  <c r="E145" i="1"/>
  <c r="E144" i="1"/>
  <c r="D144" i="1"/>
  <c r="D143" i="1"/>
  <c r="E142" i="1"/>
  <c r="D142" i="1"/>
  <c r="E141" i="1"/>
  <c r="D141" i="1"/>
  <c r="E140" i="1"/>
  <c r="D140" i="1"/>
  <c r="E138" i="1"/>
  <c r="E137" i="1"/>
  <c r="E136" i="1"/>
  <c r="E135" i="1"/>
  <c r="J131" i="1"/>
  <c r="I131" i="1"/>
  <c r="J134" i="1"/>
  <c r="I134" i="1"/>
  <c r="E134" i="1"/>
  <c r="E133" i="1"/>
  <c r="E132" i="1"/>
  <c r="E131" i="1"/>
  <c r="E130" i="1"/>
  <c r="E129" i="1"/>
  <c r="I44" i="1" l="1"/>
  <c r="G28" i="1" l="1"/>
  <c r="I170" i="1"/>
  <c r="I179" i="1"/>
  <c r="I161" i="1"/>
  <c r="E188" i="1"/>
  <c r="D188" i="1"/>
  <c r="E187" i="1"/>
  <c r="D187" i="1"/>
  <c r="E185" i="1"/>
  <c r="D185" i="1"/>
  <c r="E184" i="1"/>
  <c r="D184" i="1"/>
  <c r="E183" i="1"/>
  <c r="D183" i="1"/>
  <c r="E182" i="1"/>
  <c r="D182" i="1"/>
  <c r="E181" i="1"/>
  <c r="D181" i="1"/>
  <c r="E179" i="1"/>
  <c r="D179" i="1"/>
  <c r="E178" i="1"/>
  <c r="D178" i="1"/>
  <c r="E177" i="1"/>
  <c r="D177" i="1"/>
  <c r="E176" i="1"/>
  <c r="D176" i="1"/>
  <c r="E175" i="1"/>
  <c r="D175" i="1"/>
  <c r="E174" i="1"/>
  <c r="D174" i="1"/>
  <c r="E173" i="1"/>
  <c r="D173" i="1"/>
  <c r="E172" i="1"/>
  <c r="D172" i="1"/>
  <c r="E164" i="1"/>
  <c r="E165" i="1"/>
  <c r="E166" i="1"/>
  <c r="E167" i="1"/>
  <c r="E168" i="1"/>
  <c r="E169" i="1"/>
  <c r="E170" i="1"/>
  <c r="E163" i="1"/>
  <c r="D170" i="1"/>
  <c r="D169" i="1"/>
  <c r="D168" i="1"/>
  <c r="D167" i="1"/>
  <c r="D166" i="1"/>
  <c r="D165" i="1"/>
  <c r="D164" i="1"/>
  <c r="D163" i="1"/>
  <c r="I127" i="1"/>
  <c r="I138" i="1"/>
  <c r="I149" i="1"/>
  <c r="D160" i="1"/>
  <c r="D159" i="1"/>
  <c r="D158" i="1"/>
  <c r="F158" i="1" s="1"/>
  <c r="H158" i="1" s="1"/>
  <c r="F157" i="1"/>
  <c r="H157" i="1" s="1"/>
  <c r="D155" i="1"/>
  <c r="F155" i="1" s="1"/>
  <c r="H155" i="1" s="1"/>
  <c r="D154" i="1"/>
  <c r="D153" i="1"/>
  <c r="D152" i="1"/>
  <c r="F152" i="1" s="1"/>
  <c r="H152" i="1" s="1"/>
  <c r="A152" i="1"/>
  <c r="A153" i="1" s="1"/>
  <c r="A154" i="1" s="1"/>
  <c r="A155" i="1" s="1"/>
  <c r="D151" i="1"/>
  <c r="F147" i="1"/>
  <c r="H147" i="1" s="1"/>
  <c r="K147" i="1" s="1"/>
  <c r="F146" i="1"/>
  <c r="H146" i="1" s="1"/>
  <c r="K146" i="1" s="1"/>
  <c r="A141" i="1"/>
  <c r="A142" i="1" s="1"/>
  <c r="A143" i="1" s="1"/>
  <c r="A144" i="1" s="1"/>
  <c r="A145" i="1" s="1"/>
  <c r="A146" i="1" s="1"/>
  <c r="A147" i="1" s="1"/>
  <c r="A148" i="1" s="1"/>
  <c r="A149" i="1" s="1"/>
  <c r="D138" i="1"/>
  <c r="D137" i="1"/>
  <c r="D136" i="1"/>
  <c r="D135" i="1"/>
  <c r="D133" i="1"/>
  <c r="D132" i="1"/>
  <c r="D131" i="1"/>
  <c r="D130" i="1"/>
  <c r="D129" i="1"/>
  <c r="D123" i="1"/>
  <c r="D122" i="1"/>
  <c r="D121" i="1"/>
  <c r="D120" i="1"/>
  <c r="D119" i="1"/>
  <c r="D118" i="1"/>
  <c r="J87" i="1"/>
  <c r="J86" i="1"/>
  <c r="J85" i="1"/>
  <c r="J84" i="1"/>
  <c r="G45" i="1"/>
  <c r="G40" i="1"/>
  <c r="G41" i="1" s="1"/>
  <c r="C36" i="1"/>
  <c r="H78" i="1"/>
  <c r="C109" i="1" l="1"/>
  <c r="F151" i="1"/>
  <c r="H151" i="1" s="1"/>
  <c r="F142" i="1"/>
  <c r="H142" i="1" s="1"/>
  <c r="K142" i="1" s="1"/>
  <c r="C108" i="1"/>
  <c r="F141" i="1"/>
  <c r="H141" i="1" s="1"/>
  <c r="K141" i="1" s="1"/>
  <c r="F143" i="1"/>
  <c r="H143" i="1" s="1"/>
  <c r="K143" i="1" s="1"/>
  <c r="F145" i="1"/>
  <c r="H145" i="1" s="1"/>
  <c r="K145" i="1" s="1"/>
  <c r="C104" i="1"/>
  <c r="F140" i="1"/>
  <c r="H140" i="1" s="1"/>
  <c r="K140" i="1" s="1"/>
  <c r="F148" i="1"/>
  <c r="H148" i="1" s="1"/>
  <c r="K148" i="1" s="1"/>
  <c r="F154" i="1"/>
  <c r="H154" i="1" s="1"/>
  <c r="F159" i="1"/>
  <c r="H159" i="1" s="1"/>
  <c r="F144" i="1"/>
  <c r="H144" i="1" s="1"/>
  <c r="K144" i="1" s="1"/>
  <c r="F149" i="1"/>
  <c r="H149" i="1" s="1"/>
  <c r="K149" i="1" s="1"/>
  <c r="F160" i="1"/>
  <c r="H160" i="1" s="1"/>
  <c r="F153" i="1"/>
  <c r="H153" i="1" s="1"/>
  <c r="K153" i="1" s="1"/>
  <c r="A157" i="1"/>
  <c r="A158" i="1" s="1"/>
  <c r="A159" i="1" s="1"/>
  <c r="A160" i="1" s="1"/>
  <c r="J81" i="1"/>
  <c r="E81" i="1" s="1"/>
  <c r="F81" i="1" s="1"/>
  <c r="F90" i="1"/>
  <c r="F88" i="1"/>
  <c r="F86" i="1"/>
  <c r="F84" i="1"/>
  <c r="J79" i="1"/>
  <c r="J82" i="1"/>
  <c r="J83" i="1" s="1"/>
  <c r="J88" i="1" s="1"/>
  <c r="J89" i="1" s="1"/>
  <c r="E82" i="1" s="1"/>
  <c r="F82" i="1" s="1"/>
  <c r="J80" i="1"/>
  <c r="F89" i="1"/>
  <c r="F87" i="1"/>
  <c r="F85" i="1"/>
  <c r="F83" i="1"/>
  <c r="F198" i="1"/>
  <c r="A194" i="1"/>
  <c r="A195" i="1" s="1"/>
  <c r="A196" i="1" s="1"/>
  <c r="A197" i="1" s="1"/>
  <c r="A198" i="1" s="1"/>
  <c r="A199" i="1" s="1"/>
  <c r="A200" i="1" s="1"/>
  <c r="A201" i="1" s="1"/>
  <c r="A182" i="1"/>
  <c r="A183" i="1" s="1"/>
  <c r="A184" i="1" s="1"/>
  <c r="A185" i="1" s="1"/>
  <c r="A173" i="1"/>
  <c r="A174" i="1" s="1"/>
  <c r="A175" i="1" s="1"/>
  <c r="A176" i="1" s="1"/>
  <c r="A177" i="1" s="1"/>
  <c r="A178" i="1" s="1"/>
  <c r="A179" i="1" s="1"/>
  <c r="A164" i="1"/>
  <c r="A165" i="1" s="1"/>
  <c r="A166" i="1" s="1"/>
  <c r="A167" i="1" s="1"/>
  <c r="A168" i="1" s="1"/>
  <c r="A169" i="1" s="1"/>
  <c r="A170" i="1" s="1"/>
  <c r="A130" i="1"/>
  <c r="A131" i="1" s="1"/>
  <c r="A132" i="1" s="1"/>
  <c r="A133" i="1" s="1"/>
  <c r="A134" i="1" s="1"/>
  <c r="A135" i="1" s="1"/>
  <c r="A136" i="1" s="1"/>
  <c r="A137" i="1" s="1"/>
  <c r="A138" i="1" s="1"/>
  <c r="A119" i="1"/>
  <c r="A120" i="1" s="1"/>
  <c r="A121" i="1" s="1"/>
  <c r="A122" i="1" s="1"/>
  <c r="A123" i="1" s="1"/>
  <c r="F188" i="1"/>
  <c r="H188" i="1" s="1"/>
  <c r="F187" i="1"/>
  <c r="H187" i="1" s="1"/>
  <c r="F185" i="1"/>
  <c r="H185" i="1" s="1"/>
  <c r="F184" i="1"/>
  <c r="H184" i="1" s="1"/>
  <c r="F183" i="1"/>
  <c r="H183" i="1" s="1"/>
  <c r="F182" i="1"/>
  <c r="H182" i="1" s="1"/>
  <c r="F181" i="1"/>
  <c r="H181" i="1" s="1"/>
  <c r="F179" i="1"/>
  <c r="H179" i="1" s="1"/>
  <c r="F178" i="1"/>
  <c r="H178" i="1" s="1"/>
  <c r="F177" i="1"/>
  <c r="H177" i="1" s="1"/>
  <c r="F176" i="1"/>
  <c r="H176" i="1" s="1"/>
  <c r="F175" i="1"/>
  <c r="H175" i="1" s="1"/>
  <c r="F174" i="1"/>
  <c r="H174" i="1" s="1"/>
  <c r="F173" i="1"/>
  <c r="H173" i="1" s="1"/>
  <c r="F172" i="1"/>
  <c r="H172" i="1" s="1"/>
  <c r="F170" i="1"/>
  <c r="H170" i="1" s="1"/>
  <c r="F169" i="1"/>
  <c r="H169" i="1" s="1"/>
  <c r="F168" i="1"/>
  <c r="H168" i="1" s="1"/>
  <c r="F167" i="1"/>
  <c r="H167" i="1" s="1"/>
  <c r="F166" i="1"/>
  <c r="H166" i="1" s="1"/>
  <c r="F165" i="1"/>
  <c r="H165" i="1" s="1"/>
  <c r="F164" i="1"/>
  <c r="F163" i="1"/>
  <c r="H163" i="1" s="1"/>
  <c r="F119" i="1"/>
  <c r="F120" i="1"/>
  <c r="F121" i="1"/>
  <c r="H121" i="1" s="1"/>
  <c r="F122" i="1"/>
  <c r="F123" i="1"/>
  <c r="F118" i="1"/>
  <c r="H118" i="1" s="1"/>
  <c r="F138" i="1"/>
  <c r="H138" i="1" s="1"/>
  <c r="F137" i="1"/>
  <c r="H137" i="1" s="1"/>
  <c r="F136" i="1"/>
  <c r="H136" i="1" s="1"/>
  <c r="F135" i="1"/>
  <c r="H135" i="1" s="1"/>
  <c r="F134" i="1"/>
  <c r="H134" i="1" s="1"/>
  <c r="F133" i="1"/>
  <c r="H133" i="1" s="1"/>
  <c r="F132" i="1"/>
  <c r="H132" i="1" s="1"/>
  <c r="F131" i="1"/>
  <c r="H131" i="1" s="1"/>
  <c r="F130" i="1"/>
  <c r="F129" i="1"/>
  <c r="H129" i="1" s="1"/>
  <c r="C110" i="1" l="1"/>
  <c r="A187" i="1"/>
  <c r="A188" i="1" s="1"/>
  <c r="A202" i="1"/>
  <c r="H164" i="1"/>
  <c r="G109" i="1" s="1"/>
  <c r="E109" i="1"/>
  <c r="G81" i="1"/>
  <c r="I76" i="1" s="1"/>
  <c r="C79" i="1" s="1"/>
  <c r="H119" i="1"/>
  <c r="E104" i="1"/>
  <c r="E105" i="1" s="1"/>
  <c r="H130" i="1"/>
  <c r="G108" i="1" s="1"/>
  <c r="E108" i="1"/>
  <c r="E110" i="1" s="1"/>
  <c r="C105" i="1"/>
  <c r="A203" i="1" l="1"/>
  <c r="A204" i="1" s="1"/>
  <c r="G110" i="1"/>
  <c r="C111" i="1"/>
  <c r="E111" i="1"/>
  <c r="C8" i="1"/>
  <c r="J73" i="1" l="1"/>
  <c r="J72" i="1"/>
  <c r="J71" i="1"/>
  <c r="J70" i="1"/>
  <c r="H64" i="1"/>
  <c r="J67" i="1" l="1"/>
  <c r="J65" i="1"/>
  <c r="F71" i="1"/>
  <c r="F76" i="1"/>
  <c r="F70" i="1"/>
  <c r="J68" i="1"/>
  <c r="J69" i="1" s="1"/>
  <c r="J74" i="1" s="1"/>
  <c r="J75" i="1" s="1"/>
  <c r="F72" i="1"/>
  <c r="F75" i="1"/>
  <c r="F69" i="1"/>
  <c r="F73" i="1"/>
  <c r="F74" i="1"/>
  <c r="J66" i="1"/>
  <c r="E67" i="1" l="1"/>
  <c r="F67" i="1" s="1"/>
  <c r="E68" i="1"/>
  <c r="F68" i="1" l="1"/>
  <c r="G67" i="1"/>
  <c r="I62" i="1" s="1"/>
  <c r="C65" i="1" s="1"/>
  <c r="H120" i="1"/>
  <c r="H122" i="1"/>
  <c r="H123" i="1"/>
  <c r="G104" i="1" l="1"/>
  <c r="G105" i="1" s="1"/>
  <c r="G42" i="1"/>
  <c r="G111" i="1" l="1"/>
  <c r="G5" i="1"/>
  <c r="G43" i="1" l="1"/>
  <c r="H11" i="4" l="1"/>
  <c r="H10" i="4"/>
  <c r="H9" i="4"/>
  <c r="H8" i="4"/>
  <c r="F2" i="4"/>
  <c r="C12" i="4" l="1"/>
  <c r="C8" i="4"/>
  <c r="C11" i="4"/>
  <c r="C7" i="4"/>
  <c r="H6" i="4"/>
  <c r="H7" i="4" s="1"/>
  <c r="H12" i="4" s="1"/>
  <c r="H13" i="4" s="1"/>
  <c r="B5" i="4" s="1"/>
  <c r="C13" i="4"/>
  <c r="H3" i="4"/>
  <c r="H4" i="4"/>
  <c r="C10" i="4"/>
  <c r="D12" i="4"/>
  <c r="C9" i="4"/>
  <c r="H5" i="4"/>
  <c r="B4" i="4" s="1"/>
  <c r="C4" i="4" l="1"/>
  <c r="D9" i="4" s="1"/>
  <c r="C6" i="4"/>
  <c r="D13" i="4"/>
  <c r="D8" i="4"/>
  <c r="C5" i="4"/>
  <c r="D10" i="4" l="1"/>
  <c r="D11" i="4" l="1"/>
  <c r="D4" i="4" s="1"/>
  <c r="E4" i="4" s="1"/>
  <c r="C205"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SACHIN</author>
    <author>Windows User</author>
  </authors>
  <commentList>
    <comment ref="A9" authorId="0" shapeId="0" xr:uid="{00000000-0006-0000-0000-000001000000}">
      <text>
        <r>
          <rPr>
            <b/>
            <sz val="9"/>
            <color indexed="81"/>
            <rFont val="Tahoma"/>
            <family val="2"/>
          </rPr>
          <t>SACHIN:</t>
        </r>
        <r>
          <rPr>
            <sz val="9"/>
            <color indexed="81"/>
            <rFont val="Tahoma"/>
            <family val="2"/>
          </rPr>
          <t xml:space="preserve">
As per CC</t>
        </r>
      </text>
    </comment>
    <comment ref="C9" authorId="0" shapeId="0" xr:uid="{00000000-0006-0000-0000-000002000000}">
      <text>
        <r>
          <rPr>
            <b/>
            <sz val="9"/>
            <color indexed="81"/>
            <rFont val="Tahoma"/>
            <family val="2"/>
          </rPr>
          <t>Take address from CC</t>
        </r>
      </text>
    </comment>
    <comment ref="C21" authorId="0" shapeId="0" xr:uid="{00000000-0006-0000-0000-000003000000}">
      <text>
        <r>
          <rPr>
            <b/>
            <sz val="9"/>
            <color indexed="81"/>
            <rFont val="Tahoma"/>
            <family val="2"/>
          </rPr>
          <t>Builder's office address from RERA</t>
        </r>
        <r>
          <rPr>
            <sz val="9"/>
            <color indexed="81"/>
            <rFont val="Tahoma"/>
            <family val="2"/>
          </rPr>
          <t xml:space="preserve">
</t>
        </r>
      </text>
    </comment>
    <comment ref="C24" authorId="0" shapeId="0" xr:uid="{00000000-0006-0000-0000-000004000000}">
      <text>
        <r>
          <rPr>
            <b/>
            <sz val="9"/>
            <color indexed="81"/>
            <rFont val="Tahoma"/>
            <family val="2"/>
          </rPr>
          <t>Provided during initiation</t>
        </r>
        <r>
          <rPr>
            <sz val="9"/>
            <color indexed="81"/>
            <rFont val="Tahoma"/>
            <family val="2"/>
          </rPr>
          <t xml:space="preserve">
</t>
        </r>
      </text>
    </comment>
    <comment ref="C25" authorId="1" shapeId="0" xr:uid="{00000000-0006-0000-0000-000005000000}">
      <text>
        <r>
          <rPr>
            <b/>
            <sz val="11"/>
            <color indexed="81"/>
            <rFont val="Tahoma"/>
            <family val="2"/>
          </rPr>
          <t xml:space="preserve">Authority
</t>
        </r>
      </text>
    </comment>
    <comment ref="C26" authorId="0" shapeId="0" xr:uid="{00000000-0006-0000-0000-000006000000}">
      <text>
        <r>
          <rPr>
            <b/>
            <sz val="9"/>
            <color indexed="81"/>
            <rFont val="Tahoma"/>
            <family val="2"/>
          </rPr>
          <t>Apartments or 
Apartments + Shops</t>
        </r>
      </text>
    </comment>
    <comment ref="G28" authorId="0" shapeId="0" xr:uid="{00000000-0006-0000-0000-000007000000}">
      <text>
        <r>
          <rPr>
            <b/>
            <sz val="9"/>
            <color indexed="81"/>
            <rFont val="Tahoma"/>
            <family val="2"/>
          </rPr>
          <t>15% of Total No of Flats</t>
        </r>
        <r>
          <rPr>
            <sz val="9"/>
            <color indexed="81"/>
            <rFont val="Tahoma"/>
            <family val="2"/>
          </rPr>
          <t xml:space="preserve">
</t>
        </r>
      </text>
    </comment>
    <comment ref="E32" authorId="0" shapeId="0" xr:uid="{00000000-0006-0000-0000-000008000000}">
      <text>
        <r>
          <rPr>
            <b/>
            <sz val="9"/>
            <color indexed="81"/>
            <rFont val="Tahoma"/>
            <family val="2"/>
          </rPr>
          <t>If Sale deed is provided</t>
        </r>
        <r>
          <rPr>
            <sz val="9"/>
            <color indexed="81"/>
            <rFont val="Tahoma"/>
            <family val="2"/>
          </rPr>
          <t xml:space="preserve">
</t>
        </r>
      </text>
    </comment>
    <comment ref="F32" authorId="0" shapeId="0" xr:uid="{00000000-0006-0000-0000-000009000000}">
      <text>
        <r>
          <rPr>
            <b/>
            <sz val="9"/>
            <color indexed="81"/>
            <rFont val="Tahoma"/>
            <family val="2"/>
          </rPr>
          <t>If Sale deed is provided</t>
        </r>
        <r>
          <rPr>
            <sz val="9"/>
            <color indexed="81"/>
            <rFont val="Tahoma"/>
            <family val="2"/>
          </rPr>
          <t xml:space="preserve">
</t>
        </r>
      </text>
    </comment>
    <comment ref="G32" authorId="0" shapeId="0" xr:uid="{00000000-0006-0000-0000-00000A000000}">
      <text>
        <r>
          <rPr>
            <b/>
            <sz val="9"/>
            <color indexed="81"/>
            <rFont val="Tahoma"/>
            <family val="2"/>
          </rPr>
          <t>If Sale deed is provided</t>
        </r>
        <r>
          <rPr>
            <sz val="9"/>
            <color indexed="81"/>
            <rFont val="Tahoma"/>
            <family val="2"/>
          </rPr>
          <t xml:space="preserve">
</t>
        </r>
      </text>
    </comment>
    <comment ref="H32" authorId="0" shapeId="0" xr:uid="{00000000-0006-0000-0000-00000B000000}">
      <text>
        <r>
          <rPr>
            <b/>
            <sz val="9"/>
            <color indexed="81"/>
            <rFont val="Tahoma"/>
            <family val="2"/>
          </rPr>
          <t>If Sale deed is provided</t>
        </r>
        <r>
          <rPr>
            <sz val="9"/>
            <color indexed="81"/>
            <rFont val="Tahoma"/>
            <family val="2"/>
          </rPr>
          <t xml:space="preserve">
</t>
        </r>
      </text>
    </comment>
    <comment ref="C47" authorId="0" shapeId="0" xr:uid="{00000000-0006-0000-0000-00000C000000}">
      <text>
        <r>
          <rPr>
            <b/>
            <sz val="9"/>
            <color indexed="81"/>
            <rFont val="Tahoma"/>
            <family val="2"/>
          </rPr>
          <t>height should also be mentioned</t>
        </r>
      </text>
    </comment>
    <comment ref="C61" authorId="0" shapeId="0" xr:uid="{00000000-0006-0000-0000-00000D000000}">
      <text>
        <r>
          <rPr>
            <b/>
            <sz val="9"/>
            <color indexed="81"/>
            <rFont val="Tahoma"/>
            <family val="2"/>
          </rPr>
          <t>RERA Start date</t>
        </r>
      </text>
    </comment>
    <comment ref="H93" authorId="0" shapeId="0" xr:uid="{00000000-0006-0000-0000-00000E000000}">
      <text>
        <r>
          <rPr>
            <b/>
            <sz val="9"/>
            <color indexed="81"/>
            <rFont val="Tahoma"/>
            <family val="2"/>
          </rPr>
          <t>if multiple buildings are in project and are connected internally</t>
        </r>
      </text>
    </comment>
    <comment ref="H94" authorId="0" shapeId="0" xr:uid="{00000000-0006-0000-0000-00000F000000}">
      <text>
        <r>
          <rPr>
            <b/>
            <sz val="9"/>
            <color indexed="81"/>
            <rFont val="Tahoma"/>
            <family val="2"/>
          </rPr>
          <t>If present on slopy area</t>
        </r>
        <r>
          <rPr>
            <sz val="9"/>
            <color indexed="81"/>
            <rFont val="Tahoma"/>
            <family val="2"/>
          </rPr>
          <t xml:space="preserve">
</t>
        </r>
      </text>
    </comment>
    <comment ref="C95" authorId="0" shapeId="0" xr:uid="{00000000-0006-0000-0000-000010000000}">
      <text>
        <r>
          <rPr>
            <b/>
            <sz val="9"/>
            <color indexed="81"/>
            <rFont val="Tahoma"/>
            <family val="2"/>
          </rPr>
          <t>AAC Block or Brick</t>
        </r>
      </text>
    </comment>
    <comment ref="H97" authorId="0" shapeId="0" xr:uid="{00000000-0006-0000-0000-000011000000}">
      <text>
        <r>
          <rPr>
            <b/>
            <sz val="9"/>
            <color indexed="81"/>
            <rFont val="Tahoma"/>
            <family val="2"/>
          </rPr>
          <t>If present on slopy area</t>
        </r>
        <r>
          <rPr>
            <sz val="9"/>
            <color indexed="81"/>
            <rFont val="Tahoma"/>
            <family val="2"/>
          </rPr>
          <t xml:space="preserve">
</t>
        </r>
      </text>
    </comment>
  </commentList>
</comments>
</file>

<file path=xl/sharedStrings.xml><?xml version="1.0" encoding="utf-8"?>
<sst xmlns="http://schemas.openxmlformats.org/spreadsheetml/2006/main" count="460" uniqueCount="297">
  <si>
    <t>Name of the project</t>
  </si>
  <si>
    <t xml:space="preserve">Address </t>
  </si>
  <si>
    <t>Name of the builder / developer</t>
  </si>
  <si>
    <t xml:space="preserve">Office address (agreement) </t>
  </si>
  <si>
    <t>Builder Bank Details</t>
  </si>
  <si>
    <t>Contact No.</t>
  </si>
  <si>
    <t>Village</t>
  </si>
  <si>
    <t>Other HFC's Approval / Funding</t>
  </si>
  <si>
    <t>No. of Tenements / Units in Project</t>
  </si>
  <si>
    <t>Verification of the schedule of the property</t>
  </si>
  <si>
    <t>Sale deed</t>
  </si>
  <si>
    <t>Physical on site</t>
  </si>
  <si>
    <t>North</t>
  </si>
  <si>
    <t>South</t>
  </si>
  <si>
    <t>East</t>
  </si>
  <si>
    <t>West</t>
  </si>
  <si>
    <t>Verification of survey No. (Title document)</t>
  </si>
  <si>
    <t xml:space="preserve">Approach road </t>
  </si>
  <si>
    <t>Yes/No</t>
  </si>
  <si>
    <t>Layout approval if applicable</t>
  </si>
  <si>
    <t>Building height / No. of Floors</t>
  </si>
  <si>
    <t>NA / Land conversion</t>
  </si>
  <si>
    <t>CONSTRUCTION PROGRESS</t>
  </si>
  <si>
    <t>Baseline start date</t>
  </si>
  <si>
    <t>Baseline finish date</t>
  </si>
  <si>
    <t>General comment on progress</t>
  </si>
  <si>
    <t>QUALITY/NDMC Parameters</t>
  </si>
  <si>
    <t>Type of Structure</t>
  </si>
  <si>
    <t>Expansion Joint Available</t>
  </si>
  <si>
    <t>Mortar Type</t>
  </si>
  <si>
    <t>Flood Prone Area</t>
  </si>
  <si>
    <t>Masonry Type</t>
  </si>
  <si>
    <t>Projected Parts Available</t>
  </si>
  <si>
    <t>Footing Type</t>
  </si>
  <si>
    <t>Fire Exit Available</t>
  </si>
  <si>
    <t>Soil Type</t>
  </si>
  <si>
    <t>Ground Slope &gt;20%</t>
  </si>
  <si>
    <t>Concrete Grade</t>
  </si>
  <si>
    <t>Ground Slope Vulnerable to land slide</t>
  </si>
  <si>
    <t>Steel Grade</t>
  </si>
  <si>
    <t>Soil liquefiable</t>
  </si>
  <si>
    <t>Cyclone Zone-Wind speed (m/s)</t>
  </si>
  <si>
    <t>Coastal regulatory Zone</t>
  </si>
  <si>
    <t>Seismic Zone</t>
  </si>
  <si>
    <t>Environment exposure condition</t>
  </si>
  <si>
    <t>BUILDING / BLOCK - Configuration Details</t>
  </si>
  <si>
    <t>Floors</t>
  </si>
  <si>
    <t>REMARKS ON RECOMMENDATION</t>
  </si>
  <si>
    <t>RERA No.-</t>
  </si>
  <si>
    <t>Cement &amp; Sand</t>
  </si>
  <si>
    <t>RCC</t>
  </si>
  <si>
    <t>Yes</t>
  </si>
  <si>
    <t>No</t>
  </si>
  <si>
    <t>Moderate</t>
  </si>
  <si>
    <t>III</t>
  </si>
  <si>
    <t>1BHK</t>
  </si>
  <si>
    <t>Progress %</t>
  </si>
  <si>
    <t>Construction details:</t>
  </si>
  <si>
    <t>Basement</t>
  </si>
  <si>
    <t>Ground</t>
  </si>
  <si>
    <t>Podium</t>
  </si>
  <si>
    <t>Type of Work</t>
  </si>
  <si>
    <t>Slab/Floor</t>
  </si>
  <si>
    <t>Complition %</t>
  </si>
  <si>
    <t>Piling Work in process</t>
  </si>
  <si>
    <t>Excavation</t>
  </si>
  <si>
    <t>Excavation in process</t>
  </si>
  <si>
    <t>Plinth</t>
  </si>
  <si>
    <t>Excavation Completed</t>
  </si>
  <si>
    <t>RCC (Including podiums)</t>
  </si>
  <si>
    <t>Footing in Process</t>
  </si>
  <si>
    <t>Brickwork</t>
  </si>
  <si>
    <t>Footing Completed</t>
  </si>
  <si>
    <t>Internal Plaster</t>
  </si>
  <si>
    <t>Basement 1</t>
  </si>
  <si>
    <t>Ext. Plaster &amp; Plumbing</t>
  </si>
  <si>
    <t>Basement 2</t>
  </si>
  <si>
    <t>Flooring &amp; Fitting</t>
  </si>
  <si>
    <t>Basement 3</t>
  </si>
  <si>
    <t>Painting &amp; Wooden</t>
  </si>
  <si>
    <t>Basement 4</t>
  </si>
  <si>
    <t>Building Common Amenities</t>
  </si>
  <si>
    <t>Plinth in process</t>
  </si>
  <si>
    <t>Possession</t>
  </si>
  <si>
    <t>Plinth completed</t>
  </si>
  <si>
    <t xml:space="preserve">APF Valuation Report </t>
  </si>
  <si>
    <t>Approved Plan</t>
  </si>
  <si>
    <t>Location of the project 
Municipal Limit :</t>
  </si>
  <si>
    <t>Project Type
(Apartments/Plot/ Combined)</t>
  </si>
  <si>
    <t>Geo Coordinates</t>
  </si>
  <si>
    <t>Landmark</t>
  </si>
  <si>
    <t>None</t>
  </si>
  <si>
    <t>No of Wings / Buildings</t>
  </si>
  <si>
    <t>Description</t>
  </si>
  <si>
    <t xml:space="preserve">Approval Detail : Plan approval </t>
  </si>
  <si>
    <t>Total land area of the project in Sq. Mt.</t>
  </si>
  <si>
    <t>Permissible FSI</t>
  </si>
  <si>
    <t>Permissible TDR/Paid FSI</t>
  </si>
  <si>
    <t>Total FSI availaible for the project</t>
  </si>
  <si>
    <t>Total Approved Builtup area of the project (Sq.Mt)</t>
  </si>
  <si>
    <t>Building plan approvals - Approval No :</t>
  </si>
  <si>
    <t>Project Details</t>
  </si>
  <si>
    <t xml:space="preserve">Name of Valuation Agency </t>
  </si>
  <si>
    <t>Date of
Initiation</t>
  </si>
  <si>
    <t>Date &amp; Time of Site Visit</t>
  </si>
  <si>
    <t>Date of Report
Release</t>
  </si>
  <si>
    <t xml:space="preserve">Branch Name/ID </t>
  </si>
  <si>
    <t>Name of the person met at site &amp; Contact No</t>
  </si>
  <si>
    <t>V.S.JADON &amp; CO VALUERS LLP</t>
  </si>
  <si>
    <t>Builder Office Verified</t>
  </si>
  <si>
    <t>Name of the authority :</t>
  </si>
  <si>
    <t>Reference No :</t>
  </si>
  <si>
    <t xml:space="preserve"> Building No.4 = G + 3rd Floor</t>
  </si>
  <si>
    <t xml:space="preserve">Speed of Construction is Average. </t>
  </si>
  <si>
    <t>Recommended Rates of the Property :</t>
  </si>
  <si>
    <t>Recommended rate of the flat Per Sq. Ft. ( on Saleable area)</t>
  </si>
  <si>
    <t>Recommended of Parking ( If Available)</t>
  </si>
  <si>
    <t>Name of Engineer Visited the property</t>
  </si>
  <si>
    <t xml:space="preserve">Authorized Signatory
Name &amp; Seal of the agency
                                               </t>
  </si>
  <si>
    <t>Photographs Of Property :</t>
  </si>
  <si>
    <t xml:space="preserve">Google Map : </t>
  </si>
  <si>
    <t>Isolated Footing</t>
  </si>
  <si>
    <t>FE415</t>
  </si>
  <si>
    <t>Connectivity</t>
  </si>
  <si>
    <t>Exposure Limit
(Proposed)</t>
  </si>
  <si>
    <t>44 meter per sec</t>
  </si>
  <si>
    <t>Alluvial Soil</t>
  </si>
  <si>
    <t>Total Permissible Builtup area of the project (Sq.Mt)</t>
  </si>
  <si>
    <t>Plot area mentioned in the sale deed (As per 7/12)</t>
  </si>
  <si>
    <t>Plot area mentioned in the approved drg. on which FSI/FAR calculations computed (Net Plot Area)</t>
  </si>
  <si>
    <t>Stage of construction</t>
  </si>
  <si>
    <t>Taluka</t>
  </si>
  <si>
    <t>District</t>
  </si>
  <si>
    <t>Pincode</t>
  </si>
  <si>
    <t>Geo Link</t>
  </si>
  <si>
    <t xml:space="preserve">Stage of construction: </t>
  </si>
  <si>
    <t>All work Completed. OC Received.</t>
  </si>
  <si>
    <t>Project Progress %</t>
  </si>
  <si>
    <t>M20</t>
  </si>
  <si>
    <t>Saleable Area Sq.Ft.
Loading:</t>
  </si>
  <si>
    <t>Layout Of Property :</t>
  </si>
  <si>
    <t>Office No. 1031, Wing J, Akshar Business Park, Plot No. 03 Sector 25, Near APMC Market, Vashi, Navi Mumbai, Maharashtra 400703 TEL: 022-46090378/79/80                                                                       
E mail : vsjcapf@gmail.com. Web site : www.vsjadon.com</t>
  </si>
  <si>
    <t xml:space="preserve">Latitude, Longitude   </t>
  </si>
  <si>
    <t>Road</t>
  </si>
  <si>
    <t>City</t>
  </si>
  <si>
    <t xml:space="preserve">Thane </t>
  </si>
  <si>
    <t>Palghar</t>
  </si>
  <si>
    <t>Mumbai</t>
  </si>
  <si>
    <t>Raigad</t>
  </si>
  <si>
    <t>Pune</t>
  </si>
  <si>
    <t>Thane</t>
  </si>
  <si>
    <t>Mokhada</t>
  </si>
  <si>
    <t>Andheri</t>
  </si>
  <si>
    <t>Alibag</t>
  </si>
  <si>
    <t>Pune City</t>
  </si>
  <si>
    <t>Shahpur</t>
  </si>
  <si>
    <t>Talasari</t>
  </si>
  <si>
    <t>Borivali</t>
  </si>
  <si>
    <t>Panvel</t>
  </si>
  <si>
    <t>Haveli</t>
  </si>
  <si>
    <t>Kalyan</t>
  </si>
  <si>
    <t>Vasai</t>
  </si>
  <si>
    <t>Kurla</t>
  </si>
  <si>
    <t>Uran</t>
  </si>
  <si>
    <t>Khed</t>
  </si>
  <si>
    <t>Bhiwandi</t>
  </si>
  <si>
    <t>Vikramgad</t>
  </si>
  <si>
    <t>Karjat</t>
  </si>
  <si>
    <t>Baramati</t>
  </si>
  <si>
    <t>Ulhasnagar</t>
  </si>
  <si>
    <t>Khalapur</t>
  </si>
  <si>
    <t>Junnar</t>
  </si>
  <si>
    <t>Ambernath</t>
  </si>
  <si>
    <t>Dahanu</t>
  </si>
  <si>
    <t>Pen</t>
  </si>
  <si>
    <t>Shirur</t>
  </si>
  <si>
    <t>Murbad</t>
  </si>
  <si>
    <t>Wada</t>
  </si>
  <si>
    <t>Sudhagad</t>
  </si>
  <si>
    <t>Indapur</t>
  </si>
  <si>
    <t>Mahad</t>
  </si>
  <si>
    <t>Daund</t>
  </si>
  <si>
    <t>Roha</t>
  </si>
  <si>
    <t>Mawal</t>
  </si>
  <si>
    <t>Mangaon</t>
  </si>
  <si>
    <t>Ambegaon</t>
  </si>
  <si>
    <t>Poladpur</t>
  </si>
  <si>
    <t>Purandhar</t>
  </si>
  <si>
    <t>Mahasala</t>
  </si>
  <si>
    <t>Bhor</t>
  </si>
  <si>
    <t>Shriwardhan</t>
  </si>
  <si>
    <t>Mulshi</t>
  </si>
  <si>
    <t>Murud</t>
  </si>
  <si>
    <t>Velhe</t>
  </si>
  <si>
    <t>Building &amp; Wing</t>
  </si>
  <si>
    <t>No. of Units</t>
  </si>
  <si>
    <t>Total Carpet Area</t>
  </si>
  <si>
    <t>Total Saleable Area</t>
  </si>
  <si>
    <t>Wing A</t>
  </si>
  <si>
    <t>Total</t>
  </si>
  <si>
    <t>Wing B</t>
  </si>
  <si>
    <t>Grand Total</t>
  </si>
  <si>
    <t>Approved No. of Floor</t>
  </si>
  <si>
    <t>Proposed No. of Floor</t>
  </si>
  <si>
    <t>Flat No.
(Approved
Plan)</t>
  </si>
  <si>
    <t>Flat No. (Sale Plan)</t>
  </si>
  <si>
    <t>Carpet area</t>
  </si>
  <si>
    <t>Gross Carpet area</t>
  </si>
  <si>
    <t>Attached Terrace area</t>
  </si>
  <si>
    <t>Attached Loft area</t>
  </si>
  <si>
    <t>Shop</t>
  </si>
  <si>
    <t xml:space="preserve">Details of Residential &amp; Commercials in Building   </t>
  </si>
  <si>
    <t>Shop No.
(Approved
Plan)</t>
  </si>
  <si>
    <t>Shop No. (Sale Plan)</t>
  </si>
  <si>
    <t>AAC block or Bricks, Cement bags, aggregate, Sand, etc found on site in average quantity.</t>
  </si>
  <si>
    <t xml:space="preserve">Labours found on site at the time of visit. </t>
  </si>
  <si>
    <t>We considered Carpet area as per Approved Plan.</t>
  </si>
  <si>
    <t>We have considered rate by verifying it from market inquire.</t>
  </si>
  <si>
    <t>Car parking is subjected to authentic documentation.</t>
  </si>
  <si>
    <t xml:space="preserve">Date </t>
  </si>
  <si>
    <t>Other statutory permissions</t>
  </si>
  <si>
    <t>NA</t>
  </si>
  <si>
    <t xml:space="preserve">Fire Noc No
Valid Up to: </t>
  </si>
  <si>
    <t xml:space="preserve">Environmental Clearance Certificate (EC) No
Valid Up for: </t>
  </si>
  <si>
    <t xml:space="preserve">Airport Noc No
Valid Up for: </t>
  </si>
  <si>
    <t xml:space="preserve">Valid upto Dated </t>
  </si>
  <si>
    <t xml:space="preserve">Site Elevation (AMSL) = 
Permissible Top Elevation (AMSL) = </t>
  </si>
  <si>
    <t xml:space="preserve">Date - - Valid For one Year
Area - </t>
  </si>
  <si>
    <t>``</t>
  </si>
  <si>
    <t>Validity &amp; Area mentioned:</t>
  </si>
  <si>
    <t>Mahindra Rural Housing Finance - Panvel</t>
  </si>
  <si>
    <t>Sai Amber Residency</t>
  </si>
  <si>
    <t>Survey No</t>
  </si>
  <si>
    <t>2/2, 2/3</t>
  </si>
  <si>
    <t>Ghot</t>
  </si>
  <si>
    <t>Ghot Road</t>
  </si>
  <si>
    <t>P52000035096</t>
  </si>
  <si>
    <t>Mahaavir Majesty</t>
  </si>
  <si>
    <t>19.083082,73.111654</t>
  </si>
  <si>
    <t>https://goo.gl/maps/nKEZACsBJ8cD5mvj8</t>
  </si>
  <si>
    <t>507, Hilton Centre, Plot No. 66, Sector 11, CBD Belapur, Tal. Thane, Dist. Thane 400614.</t>
  </si>
  <si>
    <t>Bank Name - Axis Bank
IFSC Code - UTIB0000861</t>
  </si>
  <si>
    <t>Mr. Walmik Raghunath Khairnar  9820190480</t>
  </si>
  <si>
    <t>Panvel Municipal Corporation</t>
  </si>
  <si>
    <t>Apartments + Shops</t>
  </si>
  <si>
    <t>Wing A &amp; B</t>
  </si>
  <si>
    <t>Wing A &amp; B = G + 1st to 10th Floor</t>
  </si>
  <si>
    <t>River</t>
  </si>
  <si>
    <t>Taloje River</t>
  </si>
  <si>
    <t>Arihant Amber</t>
  </si>
  <si>
    <t>Other Plot</t>
  </si>
  <si>
    <t>Open Plot</t>
  </si>
  <si>
    <t>PMP/NRV/16335/J.K.946-1/2022</t>
  </si>
  <si>
    <t>Wing A &amp; B = G + 1st to 10th Floor (Height = 33.30 Mtrs)</t>
  </si>
  <si>
    <t>Ground Floor For Commercial &amp; Parking</t>
  </si>
  <si>
    <t>1st Floor For Residential</t>
  </si>
  <si>
    <t>Balcony Area</t>
  </si>
  <si>
    <t>2nd to 7th, 9th &amp; 10th Floor</t>
  </si>
  <si>
    <t>8th Floor For Residential (Part Refuge Area)</t>
  </si>
  <si>
    <t xml:space="preserve"> - </t>
  </si>
  <si>
    <t>Refuge Area</t>
  </si>
  <si>
    <t>1RK</t>
  </si>
  <si>
    <r>
      <t>Remark (</t>
    </r>
    <r>
      <rPr>
        <sz val="10"/>
        <rFont val="Times New Roman"/>
        <family val="1"/>
      </rPr>
      <t>Flat configuration /Bungalows, etc.)</t>
    </r>
  </si>
  <si>
    <t>OK</t>
  </si>
  <si>
    <t xml:space="preserve">Count OK. But Doubt in Area. </t>
  </si>
  <si>
    <t>12.19 M Wide Road</t>
  </si>
  <si>
    <t>We considered Gross carpet area = Net carpet + Balcony Area.</t>
  </si>
  <si>
    <t>We considered Saleable area as per our calculation. Loading</t>
  </si>
  <si>
    <t>Adj. S. No. 2/2 &amp; 2/5</t>
  </si>
  <si>
    <t>Mr. Sunil Peravi</t>
  </si>
  <si>
    <t>On Site, we meet Ms. Monika 865541768.</t>
  </si>
  <si>
    <t>Construction work is in process at the time of Visit (labour found).</t>
  </si>
  <si>
    <t>Ms. Monika 865541768</t>
  </si>
  <si>
    <t>07/08/2025 at 14:19</t>
  </si>
  <si>
    <t>AAC Block</t>
  </si>
  <si>
    <t>1. 0.35 km from RZP School Ghotagon
2. 0.55 km from Sadguru Vamanbaba High School
3. 4.60 km from Ayesha Hospital
4. 5.0 km from Caladrius Multispeciality Hospital
5. 0.35 km from Purabji Super Market
6. 0.60 km from Neelkanth Super Market
7. 0.30 km from Gavdevi Mandir
8. 0.60 km from Anaika Ganpati Mandir
9. 0.70 km from Koynavele Ghot Bus stop
10. 4.50 km from Taloja Panchanand Railway Station</t>
  </si>
  <si>
    <t>Survey No.2 Hissa No. 2
Survey No 2 Hissa No. 3</t>
  </si>
  <si>
    <t>PMC/TP/Ghot/2/2, 2/3/21-22/16335/946/1/2022</t>
  </si>
  <si>
    <t xml:space="preserve">Construction/Building Permission
Valid Upto
</t>
  </si>
  <si>
    <t>Wing A &amp; B = G + 1st to 10th Floor
No. of Residential Unit = 178 Nos.
No. of Commercial Unit = 6 Nos.</t>
  </si>
  <si>
    <t>Wing A = G + 1st to 10th Floor</t>
  </si>
  <si>
    <t>Wing B = G + 1st to 10th Floor</t>
  </si>
  <si>
    <t>Mr. Walmik Raghunath Khairnar (M/s. Om Sai Associate)</t>
  </si>
  <si>
    <t>Commercial Area Details : (Shop)</t>
  </si>
  <si>
    <t>Residential Area Details : (Flat)</t>
  </si>
  <si>
    <t>2,00,000/-</t>
  </si>
  <si>
    <t xml:space="preserve">13/01/2021
</t>
  </si>
  <si>
    <t>Site Location is adjoining to the Taloje River at 15m as per approved layout plan.</t>
  </si>
  <si>
    <t>Recommended rate should be considered as all inclusive rate if other charges are not mentioned. (Excluding GST &amp; other government Taxes)</t>
  </si>
  <si>
    <t xml:space="preserve">Recommended Rates of the Property have been revised as per market inquiry on 11/08/2025
</t>
  </si>
  <si>
    <t>PMC/Fire/151/2021
Wing A &amp; B = Gr + 1st to 7th Floor (Height = 23.90Mtr)</t>
  </si>
  <si>
    <t>Yes, Approx 35ft</t>
  </si>
  <si>
    <t>Taloja Panchnand East</t>
  </si>
  <si>
    <t>Flat = 178
Shop = 6</t>
  </si>
  <si>
    <t>Tahsildar &amp; Karykari Dandadhikari Panvel</t>
  </si>
  <si>
    <t>Jminbab/Kat-1/42-B/Nagzari/2024/206/16</t>
  </si>
  <si>
    <t>Survey No.2/2 = 0-10-60 ha. ac
Survey No.2/3 = 0-25-10 ha. ac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</si>
</sst>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yy"/>
    <numFmt numFmtId="165" formatCode="0.0"/>
  </numFmts>
  <fonts count="18" x14ac:knownFonts="1">
    <font>
      <sz val="11"/>
      <color theme="1"/>
      <name val="Calibri"/>
      <family val="2"/>
      <scheme val="minor"/>
    </font>
    <font>
      <b/>
      <sz val="10"/>
      <color theme="1"/>
      <name val="Times New Roman"/>
      <family val="1"/>
    </font>
    <font>
      <sz val="11"/>
      <color theme="1"/>
      <name val="Calibri"/>
      <family val="2"/>
      <scheme val="minor"/>
    </font>
    <font>
      <b/>
      <sz val="11"/>
      <color theme="1"/>
      <name val="Times New Roman"/>
      <family val="1"/>
    </font>
    <font>
      <sz val="10"/>
      <color theme="1"/>
      <name val="Calibri"/>
      <family val="2"/>
      <scheme val="minor"/>
    </font>
    <font>
      <sz val="10"/>
      <color rgb="FF000000"/>
      <name val="Times New Roman"/>
      <family val="1"/>
    </font>
    <font>
      <sz val="10"/>
      <color theme="1"/>
      <name val="Times New Roman"/>
      <family val="1"/>
    </font>
    <font>
      <b/>
      <sz val="10"/>
      <name val="Times New Roman"/>
      <family val="1"/>
    </font>
    <font>
      <sz val="10"/>
      <name val="Times New Roman"/>
      <family val="1"/>
    </font>
    <font>
      <b/>
      <sz val="10"/>
      <color rgb="FF000000"/>
      <name val="Times New Roman"/>
      <family val="1"/>
    </font>
    <font>
      <b/>
      <sz val="11"/>
      <color rgb="FF000000"/>
      <name val="Times New Roman"/>
      <family val="1"/>
    </font>
    <font>
      <sz val="10"/>
      <color rgb="FFFF0000"/>
      <name val="Times New Roman"/>
      <family val="1"/>
    </font>
    <font>
      <b/>
      <sz val="10"/>
      <color rgb="FFFF0000"/>
      <name val="Times New Roman"/>
      <family val="1"/>
    </font>
    <font>
      <sz val="10"/>
      <color rgb="FFE3F2F3"/>
      <name val="Times New Roman"/>
      <family val="1"/>
    </font>
    <font>
      <sz val="9"/>
      <color indexed="81"/>
      <name val="Tahoma"/>
      <family val="2"/>
    </font>
    <font>
      <b/>
      <sz val="9"/>
      <color indexed="81"/>
      <name val="Tahoma"/>
      <family val="2"/>
    </font>
    <font>
      <b/>
      <sz val="11"/>
      <color indexed="81"/>
      <name val="Tahoma"/>
      <family val="2"/>
    </font>
    <font>
      <u/>
      <sz val="11"/>
      <color theme="10"/>
      <name val="Calibri"/>
      <family val="2"/>
      <scheme val="minor"/>
    </font>
  </fonts>
  <fills count="6">
    <fill>
      <patternFill patternType="none"/>
    </fill>
    <fill>
      <patternFill patternType="gray125"/>
    </fill>
    <fill>
      <patternFill patternType="solid">
        <fgColor theme="8" tint="0.59999389629810485"/>
        <bgColor indexed="64"/>
      </patternFill>
    </fill>
    <fill>
      <patternFill patternType="solid">
        <fgColor rgb="FFE3F2F3"/>
        <bgColor indexed="64"/>
      </patternFill>
    </fill>
    <fill>
      <patternFill patternType="solid">
        <fgColor rgb="FFE5EEF1"/>
        <bgColor indexed="64"/>
      </patternFill>
    </fill>
    <fill>
      <patternFill patternType="solid">
        <fgColor theme="8" tint="0.79998168889431442"/>
        <bgColor indexed="64"/>
      </patternFill>
    </fill>
  </fills>
  <borders count="36">
    <border>
      <left/>
      <right/>
      <top/>
      <bottom/>
      <diagonal/>
    </border>
    <border>
      <left/>
      <right style="medium">
        <color indexed="64"/>
      </right>
      <top/>
      <bottom style="medium">
        <color indexed="64"/>
      </bottom>
      <diagonal/>
    </border>
    <border>
      <left/>
      <right/>
      <top/>
      <bottom style="medium">
        <color indexed="64"/>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style="thin">
        <color indexed="64"/>
      </bottom>
      <diagonal/>
    </border>
  </borders>
  <cellStyleXfs count="4">
    <xf numFmtId="0" fontId="0" fillId="0" borderId="0"/>
    <xf numFmtId="0" fontId="2" fillId="0" borderId="0"/>
    <xf numFmtId="9" fontId="2" fillId="0" borderId="0" applyFont="0" applyFill="0" applyBorder="0" applyAlignment="0" applyProtection="0"/>
    <xf numFmtId="0" fontId="17" fillId="0" borderId="0" applyNumberFormat="0" applyFill="0" applyBorder="0" applyAlignment="0" applyProtection="0"/>
  </cellStyleXfs>
  <cellXfs count="262">
    <xf numFmtId="0" fontId="0" fillId="0" borderId="0" xfId="0"/>
    <xf numFmtId="0" fontId="5" fillId="0" borderId="0" xfId="0" applyFont="1" applyProtection="1">
      <protection hidden="1"/>
    </xf>
    <xf numFmtId="0" fontId="8" fillId="4" borderId="5" xfId="1" applyFont="1" applyFill="1" applyBorder="1" applyAlignment="1" applyProtection="1">
      <alignment horizontal="center" vertical="top" wrapText="1"/>
      <protection locked="0"/>
    </xf>
    <xf numFmtId="0" fontId="8" fillId="4" borderId="4" xfId="1" applyFont="1" applyFill="1" applyBorder="1" applyAlignment="1" applyProtection="1">
      <alignment horizontal="center" vertical="top" wrapText="1"/>
      <protection locked="0"/>
    </xf>
    <xf numFmtId="0" fontId="8" fillId="4" borderId="4" xfId="1" applyFont="1" applyFill="1" applyBorder="1" applyAlignment="1" applyProtection="1">
      <alignment horizontal="center" wrapText="1"/>
      <protection locked="0"/>
    </xf>
    <xf numFmtId="1" fontId="8" fillId="4" borderId="4" xfId="1" applyNumberFormat="1" applyFont="1" applyFill="1" applyBorder="1" applyAlignment="1" applyProtection="1">
      <alignment horizontal="center" wrapText="1"/>
      <protection locked="0"/>
    </xf>
    <xf numFmtId="0" fontId="6" fillId="0" borderId="0" xfId="0" applyFont="1"/>
    <xf numFmtId="0" fontId="8" fillId="2" borderId="4" xfId="1" applyFont="1" applyFill="1" applyBorder="1" applyAlignment="1" applyProtection="1">
      <alignment horizontal="center" vertical="center"/>
      <protection locked="0"/>
    </xf>
    <xf numFmtId="0" fontId="8" fillId="2" borderId="6" xfId="1" applyFont="1" applyFill="1" applyBorder="1" applyAlignment="1" applyProtection="1">
      <alignment horizontal="center" vertical="center"/>
      <protection locked="0"/>
    </xf>
    <xf numFmtId="0" fontId="8" fillId="2" borderId="16" xfId="1" applyFont="1" applyFill="1" applyBorder="1" applyAlignment="1" applyProtection="1">
      <alignment horizontal="center" vertical="center"/>
      <protection locked="0"/>
    </xf>
    <xf numFmtId="0" fontId="8" fillId="2" borderId="17" xfId="1" applyFont="1" applyFill="1" applyBorder="1" applyAlignment="1" applyProtection="1">
      <alignment horizontal="center" vertical="center"/>
      <protection locked="0"/>
    </xf>
    <xf numFmtId="0" fontId="1" fillId="2" borderId="4" xfId="0" applyFont="1" applyFill="1" applyBorder="1" applyAlignment="1">
      <alignment horizontal="left" vertical="center" wrapText="1"/>
    </xf>
    <xf numFmtId="0" fontId="1" fillId="2" borderId="4" xfId="0" applyFont="1" applyFill="1" applyBorder="1" applyAlignment="1">
      <alignment horizontal="left" vertical="center"/>
    </xf>
    <xf numFmtId="0" fontId="9" fillId="3" borderId="4" xfId="0" applyFont="1" applyFill="1" applyBorder="1" applyAlignment="1">
      <alignment horizontal="left" vertical="top" wrapText="1"/>
    </xf>
    <xf numFmtId="0" fontId="9" fillId="2" borderId="4" xfId="0" applyFont="1" applyFill="1" applyBorder="1" applyAlignment="1">
      <alignment horizontal="center" vertical="top" wrapText="1"/>
    </xf>
    <xf numFmtId="0" fontId="5" fillId="3" borderId="4" xfId="0" applyFont="1" applyFill="1" applyBorder="1" applyAlignment="1">
      <alignment horizontal="center" vertical="center" wrapText="1"/>
    </xf>
    <xf numFmtId="1" fontId="5" fillId="3" borderId="4" xfId="0" applyNumberFormat="1" applyFont="1" applyFill="1" applyBorder="1" applyAlignment="1">
      <alignment horizontal="center" vertical="center"/>
    </xf>
    <xf numFmtId="0" fontId="5" fillId="3" borderId="4" xfId="0" applyFont="1" applyFill="1" applyBorder="1" applyAlignment="1">
      <alignment horizontal="center" vertical="center"/>
    </xf>
    <xf numFmtId="0" fontId="7" fillId="3" borderId="4" xfId="0" applyFont="1" applyFill="1" applyBorder="1" applyAlignment="1">
      <alignment horizontal="center" vertical="center" wrapText="1"/>
    </xf>
    <xf numFmtId="0" fontId="8" fillId="4" borderId="7" xfId="1" applyFont="1" applyFill="1" applyBorder="1" applyAlignment="1" applyProtection="1">
      <alignment horizontal="center" vertical="top" wrapText="1"/>
      <protection locked="0"/>
    </xf>
    <xf numFmtId="9" fontId="8" fillId="4" borderId="7" xfId="1" applyNumberFormat="1" applyFont="1" applyFill="1" applyBorder="1" applyAlignment="1" applyProtection="1">
      <alignment horizontal="center" vertical="center" wrapText="1"/>
      <protection hidden="1"/>
    </xf>
    <xf numFmtId="0" fontId="8" fillId="2" borderId="14" xfId="1" applyFont="1" applyFill="1" applyBorder="1" applyAlignment="1" applyProtection="1">
      <alignment horizontal="center" vertical="center"/>
      <protection locked="0"/>
    </xf>
    <xf numFmtId="0" fontId="8" fillId="4" borderId="14" xfId="1" applyFont="1" applyFill="1" applyBorder="1" applyAlignment="1" applyProtection="1">
      <alignment horizontal="center" vertical="top" wrapText="1"/>
      <protection locked="0"/>
    </xf>
    <xf numFmtId="9" fontId="8" fillId="4" borderId="26" xfId="1" applyNumberFormat="1" applyFont="1" applyFill="1" applyBorder="1" applyAlignment="1" applyProtection="1">
      <alignment horizontal="center" vertical="center"/>
      <protection hidden="1"/>
    </xf>
    <xf numFmtId="9" fontId="13" fillId="4" borderId="14" xfId="1" applyNumberFormat="1" applyFont="1" applyFill="1" applyBorder="1" applyAlignment="1" applyProtection="1">
      <alignment horizontal="left" vertical="center"/>
      <protection hidden="1"/>
    </xf>
    <xf numFmtId="9" fontId="13" fillId="4" borderId="26" xfId="1" applyNumberFormat="1" applyFont="1" applyFill="1" applyBorder="1" applyAlignment="1" applyProtection="1">
      <alignment horizontal="left" vertical="center"/>
      <protection hidden="1"/>
    </xf>
    <xf numFmtId="0" fontId="6" fillId="0" borderId="24" xfId="1" applyFont="1" applyBorder="1"/>
    <xf numFmtId="0" fontId="5" fillId="0" borderId="19" xfId="0" applyFont="1" applyBorder="1" applyProtection="1">
      <protection hidden="1"/>
    </xf>
    <xf numFmtId="1" fontId="4" fillId="0" borderId="19" xfId="0" applyNumberFormat="1" applyFont="1" applyBorder="1"/>
    <xf numFmtId="1" fontId="4" fillId="0" borderId="19" xfId="0" applyNumberFormat="1" applyFont="1" applyBorder="1" applyAlignment="1">
      <alignment horizontal="right"/>
    </xf>
    <xf numFmtId="1" fontId="4" fillId="0" borderId="22" xfId="0" applyNumberFormat="1" applyFont="1" applyBorder="1"/>
    <xf numFmtId="0" fontId="5" fillId="0" borderId="25" xfId="0" applyFont="1" applyBorder="1" applyProtection="1">
      <protection hidden="1"/>
    </xf>
    <xf numFmtId="0" fontId="5" fillId="0" borderId="21" xfId="0" applyFont="1" applyBorder="1" applyProtection="1">
      <protection hidden="1"/>
    </xf>
    <xf numFmtId="0" fontId="8" fillId="4" borderId="11" xfId="1" applyFont="1" applyFill="1" applyBorder="1" applyAlignment="1" applyProtection="1">
      <alignment horizontal="center" vertical="top" wrapText="1"/>
      <protection locked="0"/>
    </xf>
    <xf numFmtId="0" fontId="8" fillId="4" borderId="12" xfId="1" applyFont="1" applyFill="1" applyBorder="1" applyAlignment="1" applyProtection="1">
      <alignment horizontal="center" wrapText="1"/>
      <protection locked="0"/>
    </xf>
    <xf numFmtId="9" fontId="8" fillId="4" borderId="27" xfId="1" applyNumberFormat="1" applyFont="1" applyFill="1" applyBorder="1" applyAlignment="1" applyProtection="1">
      <alignment horizontal="center" vertical="center" wrapText="1"/>
      <protection hidden="1"/>
    </xf>
    <xf numFmtId="9" fontId="13" fillId="4" borderId="28" xfId="1" applyNumberFormat="1" applyFont="1" applyFill="1" applyBorder="1" applyAlignment="1" applyProtection="1">
      <alignment horizontal="left" vertical="center"/>
      <protection hidden="1"/>
    </xf>
    <xf numFmtId="0" fontId="6" fillId="2" borderId="16" xfId="1" applyFont="1" applyFill="1" applyBorder="1" applyAlignment="1" applyProtection="1">
      <alignment horizontal="center" vertical="center"/>
      <protection locked="0"/>
    </xf>
    <xf numFmtId="0" fontId="6" fillId="2" borderId="17" xfId="1" applyFont="1" applyFill="1" applyBorder="1" applyAlignment="1" applyProtection="1">
      <alignment horizontal="center" vertical="center"/>
      <protection locked="0"/>
    </xf>
    <xf numFmtId="0" fontId="6" fillId="0" borderId="30" xfId="1" applyFont="1" applyBorder="1" applyProtection="1">
      <protection hidden="1"/>
    </xf>
    <xf numFmtId="0" fontId="6" fillId="0" borderId="31" xfId="1" applyFont="1" applyBorder="1" applyProtection="1">
      <protection hidden="1"/>
    </xf>
    <xf numFmtId="0" fontId="6" fillId="2" borderId="4" xfId="1" applyFont="1" applyFill="1" applyBorder="1" applyAlignment="1" applyProtection="1">
      <alignment horizontal="center" vertical="center"/>
      <protection locked="0"/>
    </xf>
    <xf numFmtId="0" fontId="6" fillId="2" borderId="6" xfId="1" applyFont="1" applyFill="1" applyBorder="1" applyAlignment="1" applyProtection="1">
      <alignment horizontal="center" vertical="center"/>
      <protection locked="0"/>
    </xf>
    <xf numFmtId="0" fontId="6" fillId="0" borderId="0" xfId="1" applyFont="1" applyProtection="1">
      <protection hidden="1"/>
    </xf>
    <xf numFmtId="0" fontId="6" fillId="0" borderId="3" xfId="1" applyFont="1" applyBorder="1" applyProtection="1">
      <protection hidden="1"/>
    </xf>
    <xf numFmtId="0" fontId="6" fillId="3" borderId="4" xfId="1" applyFont="1" applyFill="1" applyBorder="1" applyAlignment="1" applyProtection="1">
      <alignment horizontal="center" vertical="top" wrapText="1"/>
      <protection locked="0"/>
    </xf>
    <xf numFmtId="0" fontId="6" fillId="0" borderId="3" xfId="1" applyFont="1" applyBorder="1"/>
    <xf numFmtId="9" fontId="6" fillId="3" borderId="4" xfId="1" applyNumberFormat="1" applyFont="1" applyFill="1" applyBorder="1" applyAlignment="1" applyProtection="1">
      <alignment horizontal="center" vertical="center" wrapText="1"/>
      <protection hidden="1"/>
    </xf>
    <xf numFmtId="0" fontId="5" fillId="0" borderId="3" xfId="0" applyFont="1" applyBorder="1" applyProtection="1">
      <protection hidden="1"/>
    </xf>
    <xf numFmtId="1" fontId="6" fillId="0" borderId="3" xfId="0" applyNumberFormat="1" applyFont="1" applyBorder="1"/>
    <xf numFmtId="1" fontId="6" fillId="0" borderId="3" xfId="0" applyNumberFormat="1" applyFont="1" applyBorder="1" applyAlignment="1">
      <alignment horizontal="right"/>
    </xf>
    <xf numFmtId="9" fontId="6" fillId="3" borderId="12" xfId="1" applyNumberFormat="1" applyFont="1" applyFill="1" applyBorder="1" applyAlignment="1" applyProtection="1">
      <alignment horizontal="center" vertical="center" wrapText="1"/>
      <protection hidden="1"/>
    </xf>
    <xf numFmtId="0" fontId="5" fillId="0" borderId="2" xfId="0" applyFont="1" applyBorder="1" applyProtection="1">
      <protection hidden="1"/>
    </xf>
    <xf numFmtId="1" fontId="6" fillId="0" borderId="1" xfId="0" applyNumberFormat="1" applyFont="1" applyBorder="1"/>
    <xf numFmtId="0" fontId="0" fillId="0" borderId="4" xfId="0" applyBorder="1" applyAlignment="1">
      <alignment horizontal="center" vertical="center"/>
    </xf>
    <xf numFmtId="0" fontId="1" fillId="3" borderId="4" xfId="0" applyFont="1" applyFill="1" applyBorder="1" applyAlignment="1">
      <alignment horizontal="left" vertical="top"/>
    </xf>
    <xf numFmtId="0" fontId="1" fillId="3" borderId="5" xfId="0" applyFont="1" applyFill="1" applyBorder="1" applyAlignment="1">
      <alignment horizontal="left" vertical="top"/>
    </xf>
    <xf numFmtId="0" fontId="7" fillId="3" borderId="8" xfId="0" applyFont="1" applyFill="1" applyBorder="1" applyAlignment="1">
      <alignment vertical="top" wrapText="1"/>
    </xf>
    <xf numFmtId="0" fontId="7" fillId="3" borderId="10" xfId="0" applyFont="1" applyFill="1" applyBorder="1" applyAlignment="1">
      <alignment vertical="top" wrapText="1"/>
    </xf>
    <xf numFmtId="0" fontId="9" fillId="2" borderId="4" xfId="0" applyFont="1" applyFill="1" applyBorder="1" applyAlignment="1">
      <alignment vertical="top" wrapText="1"/>
    </xf>
    <xf numFmtId="14" fontId="5" fillId="3" borderId="4" xfId="0" applyNumberFormat="1" applyFont="1" applyFill="1" applyBorder="1" applyAlignment="1">
      <alignment horizontal="left" vertical="top" wrapText="1"/>
    </xf>
    <xf numFmtId="0" fontId="6" fillId="0" borderId="0" xfId="0" applyFont="1" applyAlignment="1">
      <alignment wrapText="1"/>
    </xf>
    <xf numFmtId="0" fontId="8" fillId="3" borderId="4" xfId="0" applyFont="1" applyFill="1" applyBorder="1" applyAlignment="1">
      <alignment horizontal="center" vertical="center" wrapText="1"/>
    </xf>
    <xf numFmtId="0" fontId="11" fillId="0" borderId="0" xfId="0" applyFont="1"/>
    <xf numFmtId="0" fontId="7" fillId="2" borderId="29" xfId="0" applyFont="1" applyFill="1" applyBorder="1" applyAlignment="1">
      <alignment horizontal="center" vertical="top" wrapText="1"/>
    </xf>
    <xf numFmtId="0" fontId="7" fillId="2" borderId="14" xfId="0" applyFont="1" applyFill="1" applyBorder="1" applyAlignment="1">
      <alignment horizontal="center" vertical="top" wrapText="1"/>
    </xf>
    <xf numFmtId="9" fontId="7" fillId="2" borderId="20" xfId="0" applyNumberFormat="1" applyFont="1" applyFill="1" applyBorder="1" applyAlignment="1">
      <alignment horizontal="center" vertical="top" wrapText="1"/>
    </xf>
    <xf numFmtId="9" fontId="7" fillId="2" borderId="13" xfId="2" applyFont="1" applyFill="1" applyBorder="1" applyAlignment="1" applyProtection="1">
      <alignment horizontal="center" vertical="top" wrapText="1"/>
      <protection locked="0"/>
    </xf>
    <xf numFmtId="9" fontId="7" fillId="2" borderId="13" xfId="0" applyNumberFormat="1" applyFont="1" applyFill="1" applyBorder="1" applyAlignment="1">
      <alignment horizontal="center" vertical="top" wrapText="1"/>
    </xf>
    <xf numFmtId="9" fontId="7" fillId="3" borderId="8" xfId="0" applyNumberFormat="1" applyFont="1" applyFill="1" applyBorder="1" applyAlignment="1">
      <alignment horizontal="left" vertical="top" wrapText="1"/>
    </xf>
    <xf numFmtId="0" fontId="8" fillId="3" borderId="4" xfId="1" applyFont="1" applyFill="1" applyBorder="1" applyAlignment="1" applyProtection="1">
      <alignment horizontal="center" wrapText="1"/>
      <protection locked="0"/>
    </xf>
    <xf numFmtId="1" fontId="8" fillId="3" borderId="4" xfId="1" applyNumberFormat="1" applyFont="1" applyFill="1" applyBorder="1" applyAlignment="1" applyProtection="1">
      <alignment horizontal="center" wrapText="1"/>
      <protection locked="0"/>
    </xf>
    <xf numFmtId="0" fontId="8" fillId="3" borderId="12" xfId="1" applyFont="1" applyFill="1" applyBorder="1" applyAlignment="1" applyProtection="1">
      <alignment horizontal="center" wrapText="1"/>
      <protection locked="0"/>
    </xf>
    <xf numFmtId="1" fontId="8" fillId="3" borderId="4" xfId="0" applyNumberFormat="1" applyFont="1" applyFill="1" applyBorder="1" applyAlignment="1">
      <alignment horizontal="center" vertical="center"/>
    </xf>
    <xf numFmtId="1" fontId="6" fillId="0" borderId="0" xfId="0" applyNumberFormat="1" applyFont="1"/>
    <xf numFmtId="1" fontId="1" fillId="0" borderId="0" xfId="0" applyNumberFormat="1" applyFont="1"/>
    <xf numFmtId="14" fontId="8" fillId="3" borderId="4" xfId="0" applyNumberFormat="1" applyFont="1" applyFill="1" applyBorder="1" applyAlignment="1">
      <alignment horizontal="left" vertical="center"/>
    </xf>
    <xf numFmtId="1" fontId="5" fillId="3" borderId="7" xfId="0" applyNumberFormat="1" applyFont="1" applyFill="1" applyBorder="1" applyAlignment="1">
      <alignment horizontal="center" vertical="center"/>
    </xf>
    <xf numFmtId="1" fontId="5" fillId="3" borderId="8" xfId="0" applyNumberFormat="1" applyFont="1" applyFill="1" applyBorder="1" applyAlignment="1">
      <alignment horizontal="center" vertical="center"/>
    </xf>
    <xf numFmtId="1" fontId="5" fillId="3" borderId="10" xfId="0" applyNumberFormat="1" applyFont="1" applyFill="1" applyBorder="1" applyAlignment="1">
      <alignment horizontal="center" vertical="center"/>
    </xf>
    <xf numFmtId="0" fontId="5" fillId="3" borderId="7" xfId="0" applyFont="1" applyFill="1" applyBorder="1" applyAlignment="1">
      <alignment horizontal="center" vertical="center"/>
    </xf>
    <xf numFmtId="0" fontId="5" fillId="3" borderId="10" xfId="0" applyFont="1" applyFill="1" applyBorder="1" applyAlignment="1">
      <alignment horizontal="center" vertical="center"/>
    </xf>
    <xf numFmtId="0" fontId="7" fillId="3" borderId="7" xfId="0" applyFont="1" applyFill="1" applyBorder="1" applyAlignment="1">
      <alignment horizontal="left" vertical="top" wrapText="1"/>
    </xf>
    <xf numFmtId="0" fontId="7" fillId="3" borderId="8" xfId="0" applyFont="1" applyFill="1" applyBorder="1" applyAlignment="1">
      <alignment horizontal="left" vertical="top" wrapText="1"/>
    </xf>
    <xf numFmtId="0" fontId="7" fillId="3" borderId="10" xfId="0" applyFont="1" applyFill="1" applyBorder="1" applyAlignment="1">
      <alignment horizontal="left" vertical="top" wrapText="1"/>
    </xf>
    <xf numFmtId="0" fontId="9" fillId="2" borderId="4" xfId="0" applyFont="1" applyFill="1" applyBorder="1" applyAlignment="1">
      <alignment horizontal="center" vertical="center" wrapText="1"/>
    </xf>
    <xf numFmtId="0" fontId="9" fillId="2" borderId="13" xfId="0" applyFont="1" applyFill="1" applyBorder="1" applyAlignment="1">
      <alignment horizontal="center" vertical="center" wrapText="1"/>
    </xf>
    <xf numFmtId="0" fontId="7" fillId="3" borderId="4" xfId="0" applyFont="1" applyFill="1" applyBorder="1" applyAlignment="1">
      <alignment horizontal="center" vertical="center" wrapText="1"/>
    </xf>
    <xf numFmtId="0" fontId="9" fillId="3" borderId="4" xfId="0" applyFont="1" applyFill="1" applyBorder="1" applyAlignment="1">
      <alignment horizontal="center" vertical="center" wrapText="1"/>
    </xf>
    <xf numFmtId="0" fontId="7" fillId="3" borderId="7" xfId="0" applyFont="1" applyFill="1" applyBorder="1" applyAlignment="1">
      <alignment horizontal="center" vertical="center" wrapText="1"/>
    </xf>
    <xf numFmtId="0" fontId="7" fillId="3" borderId="10" xfId="0" applyFont="1" applyFill="1" applyBorder="1" applyAlignment="1">
      <alignment horizontal="center" vertical="center" wrapText="1"/>
    </xf>
    <xf numFmtId="0" fontId="9" fillId="3" borderId="7" xfId="0" applyFont="1" applyFill="1" applyBorder="1" applyAlignment="1">
      <alignment horizontal="center" vertical="center" wrapText="1"/>
    </xf>
    <xf numFmtId="0" fontId="9" fillId="3" borderId="10" xfId="0" applyFont="1" applyFill="1" applyBorder="1" applyAlignment="1">
      <alignment horizontal="center" vertical="center" wrapText="1"/>
    </xf>
    <xf numFmtId="0" fontId="7" fillId="2" borderId="14" xfId="0" applyFont="1" applyFill="1" applyBorder="1" applyAlignment="1">
      <alignment horizontal="center" vertical="top" wrapText="1"/>
    </xf>
    <xf numFmtId="0" fontId="7" fillId="2" borderId="13" xfId="0" applyFont="1" applyFill="1" applyBorder="1" applyAlignment="1">
      <alignment horizontal="center" vertical="top" wrapText="1"/>
    </xf>
    <xf numFmtId="0" fontId="9" fillId="2" borderId="7" xfId="0" applyFont="1" applyFill="1" applyBorder="1" applyAlignment="1">
      <alignment horizontal="center" vertical="center" wrapText="1"/>
    </xf>
    <xf numFmtId="0" fontId="9" fillId="2" borderId="10" xfId="0" applyFont="1" applyFill="1" applyBorder="1" applyAlignment="1">
      <alignment horizontal="center" vertical="center" wrapText="1"/>
    </xf>
    <xf numFmtId="1" fontId="5" fillId="5" borderId="4" xfId="0" applyNumberFormat="1" applyFont="1" applyFill="1" applyBorder="1" applyAlignment="1">
      <alignment horizontal="center" vertical="center" wrapText="1"/>
    </xf>
    <xf numFmtId="0" fontId="7" fillId="3" borderId="18" xfId="0" applyFont="1" applyFill="1" applyBorder="1" applyAlignment="1">
      <alignment horizontal="left" vertical="top" wrapText="1"/>
    </xf>
    <xf numFmtId="0" fontId="7" fillId="3" borderId="0" xfId="0" applyFont="1" applyFill="1" applyAlignment="1">
      <alignment horizontal="left" vertical="top" wrapText="1"/>
    </xf>
    <xf numFmtId="0" fontId="7" fillId="3" borderId="19" xfId="0" applyFont="1" applyFill="1" applyBorder="1" applyAlignment="1">
      <alignment horizontal="left" vertical="top" wrapText="1"/>
    </xf>
    <xf numFmtId="9" fontId="6" fillId="3" borderId="4" xfId="0" applyNumberFormat="1" applyFont="1" applyFill="1" applyBorder="1" applyAlignment="1">
      <alignment horizontal="center"/>
    </xf>
    <xf numFmtId="0" fontId="6" fillId="3" borderId="5" xfId="1" applyFont="1" applyFill="1" applyBorder="1" applyAlignment="1" applyProtection="1">
      <alignment horizontal="center" vertical="top" wrapText="1"/>
      <protection locked="0"/>
    </xf>
    <xf numFmtId="0" fontId="6" fillId="3" borderId="4" xfId="1" applyFont="1" applyFill="1" applyBorder="1" applyAlignment="1" applyProtection="1">
      <alignment horizontal="center" vertical="top" wrapText="1"/>
      <protection locked="0"/>
    </xf>
    <xf numFmtId="0" fontId="6" fillId="3" borderId="11" xfId="1" applyFont="1" applyFill="1" applyBorder="1" applyAlignment="1" applyProtection="1">
      <alignment horizontal="center" vertical="top" wrapText="1"/>
      <protection locked="0"/>
    </xf>
    <xf numFmtId="0" fontId="6" fillId="3" borderId="12" xfId="1" applyFont="1" applyFill="1" applyBorder="1" applyAlignment="1" applyProtection="1">
      <alignment horizontal="center" vertical="top" wrapText="1"/>
      <protection locked="0"/>
    </xf>
    <xf numFmtId="9" fontId="6" fillId="3" borderId="12" xfId="0" applyNumberFormat="1" applyFont="1" applyFill="1" applyBorder="1" applyAlignment="1">
      <alignment horizontal="center"/>
    </xf>
    <xf numFmtId="0" fontId="9" fillId="2" borderId="7" xfId="0" applyFont="1" applyFill="1" applyBorder="1" applyAlignment="1">
      <alignment horizontal="left" vertical="center" wrapText="1"/>
    </xf>
    <xf numFmtId="0" fontId="9" fillId="2" borderId="10" xfId="0" applyFont="1" applyFill="1" applyBorder="1" applyAlignment="1">
      <alignment horizontal="left" vertical="center" wrapText="1"/>
    </xf>
    <xf numFmtId="0" fontId="9" fillId="2" borderId="8" xfId="0" applyFont="1" applyFill="1" applyBorder="1" applyAlignment="1">
      <alignment horizontal="center" vertical="center" wrapText="1"/>
    </xf>
    <xf numFmtId="0" fontId="5" fillId="3" borderId="4" xfId="0" applyFont="1" applyFill="1" applyBorder="1" applyAlignment="1">
      <alignment horizontal="left" vertical="center"/>
    </xf>
    <xf numFmtId="0" fontId="9" fillId="2" borderId="8" xfId="0" applyFont="1" applyFill="1" applyBorder="1" applyAlignment="1">
      <alignment horizontal="left" vertical="center" wrapText="1"/>
    </xf>
    <xf numFmtId="0" fontId="5" fillId="3" borderId="4" xfId="0" applyFont="1" applyFill="1" applyBorder="1" applyAlignment="1">
      <alignment horizontal="center" vertical="center" wrapText="1"/>
    </xf>
    <xf numFmtId="0" fontId="8" fillId="3" borderId="4"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9" fillId="3" borderId="7" xfId="0" applyFont="1" applyFill="1" applyBorder="1" applyAlignment="1">
      <alignment horizontal="center" vertical="center"/>
    </xf>
    <xf numFmtId="0" fontId="9" fillId="3" borderId="10" xfId="0" applyFont="1" applyFill="1" applyBorder="1" applyAlignment="1">
      <alignment horizontal="center" vertical="center"/>
    </xf>
    <xf numFmtId="0" fontId="1" fillId="2" borderId="7" xfId="0" applyFont="1" applyFill="1" applyBorder="1" applyAlignment="1">
      <alignment horizontal="left" vertical="center" wrapText="1"/>
    </xf>
    <xf numFmtId="0" fontId="1" fillId="2" borderId="10" xfId="0" applyFont="1" applyFill="1" applyBorder="1" applyAlignment="1">
      <alignment horizontal="left" vertical="center" wrapText="1"/>
    </xf>
    <xf numFmtId="0" fontId="5" fillId="3" borderId="4" xfId="0" applyFont="1" applyFill="1" applyBorder="1" applyAlignment="1">
      <alignment horizontal="left" vertical="top" wrapText="1"/>
    </xf>
    <xf numFmtId="0" fontId="5" fillId="3" borderId="4" xfId="0" applyFont="1" applyFill="1" applyBorder="1" applyAlignment="1">
      <alignment horizontal="left" vertical="top"/>
    </xf>
    <xf numFmtId="0" fontId="8" fillId="3" borderId="4" xfId="0" applyFont="1" applyFill="1" applyBorder="1" applyAlignment="1">
      <alignment horizontal="left" vertical="center"/>
    </xf>
    <xf numFmtId="165" fontId="8" fillId="3" borderId="4" xfId="0" applyNumberFormat="1" applyFont="1" applyFill="1" applyBorder="1" applyAlignment="1">
      <alignment horizontal="center" vertical="center"/>
    </xf>
    <xf numFmtId="0" fontId="8" fillId="3" borderId="4" xfId="0" applyFont="1" applyFill="1" applyBorder="1" applyAlignment="1">
      <alignment horizontal="left" vertical="top" wrapText="1"/>
    </xf>
    <xf numFmtId="0" fontId="8" fillId="3" borderId="4" xfId="0" applyFont="1" applyFill="1" applyBorder="1" applyAlignment="1">
      <alignment horizontal="left" vertical="top"/>
    </xf>
    <xf numFmtId="0" fontId="9" fillId="2" borderId="4" xfId="0" applyFont="1" applyFill="1" applyBorder="1" applyAlignment="1">
      <alignment horizontal="left" vertical="top" wrapText="1"/>
    </xf>
    <xf numFmtId="0" fontId="5" fillId="3" borderId="4" xfId="0" applyFont="1" applyFill="1" applyBorder="1" applyAlignment="1">
      <alignment horizontal="left" vertical="center" wrapText="1"/>
    </xf>
    <xf numFmtId="1" fontId="8" fillId="3" borderId="7" xfId="0" applyNumberFormat="1" applyFont="1" applyFill="1" applyBorder="1" applyAlignment="1">
      <alignment horizontal="center" vertical="center" wrapText="1"/>
    </xf>
    <xf numFmtId="1" fontId="8" fillId="3" borderId="10" xfId="0" applyNumberFormat="1" applyFont="1" applyFill="1" applyBorder="1" applyAlignment="1">
      <alignment horizontal="center" vertical="center" wrapText="1"/>
    </xf>
    <xf numFmtId="0" fontId="9" fillId="2" borderId="4" xfId="0" applyFont="1" applyFill="1" applyBorder="1" applyAlignment="1">
      <alignment horizontal="center" vertical="top" wrapText="1"/>
    </xf>
    <xf numFmtId="1" fontId="8" fillId="3" borderId="4" xfId="0" applyNumberFormat="1" applyFont="1" applyFill="1" applyBorder="1" applyAlignment="1">
      <alignment horizontal="center" vertical="center"/>
    </xf>
    <xf numFmtId="0" fontId="9" fillId="3" borderId="7" xfId="0" applyFont="1" applyFill="1" applyBorder="1" applyAlignment="1">
      <alignment horizontal="center" vertical="top" wrapText="1"/>
    </xf>
    <xf numFmtId="0" fontId="9" fillId="3" borderId="10" xfId="0" applyFont="1" applyFill="1" applyBorder="1" applyAlignment="1">
      <alignment horizontal="center" vertical="top" wrapText="1"/>
    </xf>
    <xf numFmtId="0" fontId="1" fillId="2" borderId="4" xfId="0" applyFont="1" applyFill="1" applyBorder="1" applyAlignment="1">
      <alignment horizontal="center" vertical="top" wrapText="1"/>
    </xf>
    <xf numFmtId="0" fontId="1" fillId="2" borderId="4" xfId="0" applyFont="1" applyFill="1" applyBorder="1" applyAlignment="1">
      <alignment horizontal="center" vertical="top"/>
    </xf>
    <xf numFmtId="0" fontId="5" fillId="3" borderId="4" xfId="0" applyFont="1" applyFill="1" applyBorder="1" applyAlignment="1">
      <alignment vertical="top" wrapText="1"/>
    </xf>
    <xf numFmtId="0" fontId="5" fillId="3" borderId="4" xfId="0" applyFont="1" applyFill="1" applyBorder="1" applyAlignment="1">
      <alignment vertical="top"/>
    </xf>
    <xf numFmtId="0" fontId="3" fillId="2" borderId="4" xfId="0" applyFont="1" applyFill="1" applyBorder="1" applyAlignment="1">
      <alignment horizontal="center" vertical="center"/>
    </xf>
    <xf numFmtId="0" fontId="8" fillId="3" borderId="4" xfId="0" applyFont="1" applyFill="1" applyBorder="1" applyAlignment="1">
      <alignment vertical="top" wrapText="1"/>
    </xf>
    <xf numFmtId="0" fontId="10" fillId="3" borderId="4" xfId="0" applyFont="1" applyFill="1" applyBorder="1" applyAlignment="1">
      <alignment vertical="top" wrapText="1"/>
    </xf>
    <xf numFmtId="0" fontId="17" fillId="3" borderId="7" xfId="3" applyFill="1" applyBorder="1" applyAlignment="1">
      <alignment horizontal="left" vertical="top" wrapText="1"/>
    </xf>
    <xf numFmtId="0" fontId="5" fillId="3" borderId="8" xfId="0" applyFont="1" applyFill="1" applyBorder="1" applyAlignment="1">
      <alignment horizontal="left" vertical="top" wrapText="1"/>
    </xf>
    <xf numFmtId="0" fontId="5" fillId="3" borderId="10" xfId="0" applyFont="1" applyFill="1" applyBorder="1" applyAlignment="1">
      <alignment horizontal="left" vertical="top" wrapText="1"/>
    </xf>
    <xf numFmtId="0" fontId="5" fillId="3" borderId="7" xfId="0" applyFont="1" applyFill="1" applyBorder="1" applyAlignment="1">
      <alignment horizontal="center" vertical="top" wrapText="1"/>
    </xf>
    <xf numFmtId="0" fontId="5" fillId="3" borderId="8" xfId="0" applyFont="1" applyFill="1" applyBorder="1" applyAlignment="1">
      <alignment horizontal="center" vertical="top" wrapText="1"/>
    </xf>
    <xf numFmtId="0" fontId="5" fillId="3" borderId="10" xfId="0" applyFont="1" applyFill="1" applyBorder="1" applyAlignment="1">
      <alignment horizontal="center" vertical="top" wrapText="1"/>
    </xf>
    <xf numFmtId="0" fontId="6" fillId="3" borderId="4" xfId="0" applyFont="1" applyFill="1" applyBorder="1" applyAlignment="1">
      <alignment horizontal="center"/>
    </xf>
    <xf numFmtId="0" fontId="6" fillId="3" borderId="4" xfId="1" applyFont="1" applyFill="1" applyBorder="1" applyAlignment="1" applyProtection="1">
      <alignment horizontal="center" vertical="center" wrapText="1"/>
      <protection locked="0"/>
    </xf>
    <xf numFmtId="0" fontId="6" fillId="3" borderId="6" xfId="1" applyFont="1" applyFill="1" applyBorder="1" applyAlignment="1" applyProtection="1">
      <alignment horizontal="center" vertical="center" wrapText="1"/>
      <protection locked="0"/>
    </xf>
    <xf numFmtId="9" fontId="6" fillId="3" borderId="4" xfId="1" applyNumberFormat="1" applyFont="1" applyFill="1" applyBorder="1" applyAlignment="1" applyProtection="1">
      <alignment horizontal="center" vertical="center" wrapText="1"/>
      <protection hidden="1"/>
    </xf>
    <xf numFmtId="9" fontId="6" fillId="3" borderId="6" xfId="1" applyNumberFormat="1" applyFont="1" applyFill="1" applyBorder="1" applyAlignment="1" applyProtection="1">
      <alignment horizontal="center" vertical="center" wrapText="1"/>
      <protection hidden="1"/>
    </xf>
    <xf numFmtId="9" fontId="6" fillId="3" borderId="12" xfId="1" applyNumberFormat="1" applyFont="1" applyFill="1" applyBorder="1" applyAlignment="1" applyProtection="1">
      <alignment horizontal="center" vertical="center" wrapText="1"/>
      <protection hidden="1"/>
    </xf>
    <xf numFmtId="9" fontId="6" fillId="3" borderId="32" xfId="1" applyNumberFormat="1" applyFont="1" applyFill="1" applyBorder="1" applyAlignment="1" applyProtection="1">
      <alignment horizontal="center" vertical="center" wrapText="1"/>
      <protection hidden="1"/>
    </xf>
    <xf numFmtId="0" fontId="8" fillId="3" borderId="13" xfId="0" applyFont="1" applyFill="1" applyBorder="1" applyAlignment="1">
      <alignment horizontal="left" vertical="center"/>
    </xf>
    <xf numFmtId="0" fontId="7" fillId="2" borderId="4" xfId="0" applyFont="1" applyFill="1" applyBorder="1" applyAlignment="1">
      <alignment horizontal="center" vertical="center" wrapText="1"/>
    </xf>
    <xf numFmtId="0" fontId="9" fillId="2" borderId="7" xfId="0" applyFont="1" applyFill="1" applyBorder="1" applyAlignment="1">
      <alignment horizontal="left" vertical="top" wrapText="1"/>
    </xf>
    <xf numFmtId="0" fontId="9" fillId="2" borderId="10" xfId="0" applyFont="1" applyFill="1" applyBorder="1" applyAlignment="1">
      <alignment horizontal="left" vertical="top" wrapText="1"/>
    </xf>
    <xf numFmtId="1" fontId="9" fillId="5" borderId="4" xfId="0" applyNumberFormat="1" applyFont="1" applyFill="1" applyBorder="1" applyAlignment="1">
      <alignment horizontal="center" vertical="center" wrapText="1"/>
    </xf>
    <xf numFmtId="0" fontId="9" fillId="5" borderId="4" xfId="0" applyFont="1" applyFill="1" applyBorder="1" applyAlignment="1">
      <alignment horizontal="center" vertical="center" wrapText="1"/>
    </xf>
    <xf numFmtId="1" fontId="9" fillId="2" borderId="4" xfId="0" applyNumberFormat="1" applyFont="1" applyFill="1" applyBorder="1" applyAlignment="1">
      <alignment horizontal="center" vertical="center" wrapText="1"/>
    </xf>
    <xf numFmtId="0" fontId="5" fillId="3" borderId="7" xfId="0" applyFont="1" applyFill="1" applyBorder="1" applyAlignment="1">
      <alignment horizontal="left" vertical="top" wrapText="1"/>
    </xf>
    <xf numFmtId="0" fontId="5" fillId="3" borderId="8" xfId="0" applyFont="1" applyFill="1" applyBorder="1" applyAlignment="1">
      <alignment horizontal="left" vertical="top"/>
    </xf>
    <xf numFmtId="0" fontId="5" fillId="3" borderId="10" xfId="0" applyFont="1" applyFill="1" applyBorder="1" applyAlignment="1">
      <alignment horizontal="left" vertical="top"/>
    </xf>
    <xf numFmtId="0" fontId="9" fillId="2" borderId="29" xfId="0" applyFont="1" applyFill="1" applyBorder="1" applyAlignment="1">
      <alignment horizontal="center" vertical="center" wrapText="1"/>
    </xf>
    <xf numFmtId="0" fontId="9" fillId="2" borderId="24" xfId="0" applyFont="1" applyFill="1" applyBorder="1" applyAlignment="1">
      <alignment horizontal="center" vertical="center" wrapText="1"/>
    </xf>
    <xf numFmtId="0" fontId="9" fillId="2" borderId="18" xfId="0" applyFont="1" applyFill="1" applyBorder="1" applyAlignment="1">
      <alignment horizontal="center" vertical="center" wrapText="1"/>
    </xf>
    <xf numFmtId="0" fontId="9" fillId="2" borderId="19" xfId="0" applyFont="1" applyFill="1" applyBorder="1" applyAlignment="1">
      <alignment horizontal="center" vertical="center" wrapText="1"/>
    </xf>
    <xf numFmtId="0" fontId="9" fillId="2" borderId="20" xfId="0" applyFont="1" applyFill="1" applyBorder="1" applyAlignment="1">
      <alignment horizontal="center" vertical="center" wrapText="1"/>
    </xf>
    <xf numFmtId="0" fontId="9" fillId="2" borderId="22" xfId="0" applyFont="1" applyFill="1" applyBorder="1" applyAlignment="1">
      <alignment horizontal="center" vertical="center" wrapText="1"/>
    </xf>
    <xf numFmtId="0" fontId="9" fillId="2" borderId="29" xfId="0" applyFont="1" applyFill="1" applyBorder="1" applyAlignment="1">
      <alignment horizontal="left" vertical="top" wrapText="1"/>
    </xf>
    <xf numFmtId="0" fontId="9" fillId="2" borderId="24" xfId="0" applyFont="1" applyFill="1" applyBorder="1" applyAlignment="1">
      <alignment horizontal="left" vertical="top" wrapText="1"/>
    </xf>
    <xf numFmtId="0" fontId="9" fillId="2" borderId="18" xfId="0" applyFont="1" applyFill="1" applyBorder="1" applyAlignment="1">
      <alignment horizontal="left" vertical="center" wrapText="1"/>
    </xf>
    <xf numFmtId="0" fontId="9" fillId="2" borderId="19" xfId="0" applyFont="1" applyFill="1" applyBorder="1" applyAlignment="1">
      <alignment horizontal="left" vertical="center" wrapText="1"/>
    </xf>
    <xf numFmtId="0" fontId="9" fillId="2" borderId="20" xfId="0" applyFont="1" applyFill="1" applyBorder="1" applyAlignment="1">
      <alignment horizontal="left" vertical="center" wrapText="1"/>
    </xf>
    <xf numFmtId="0" fontId="9" fillId="2" borderId="22" xfId="0" applyFont="1" applyFill="1" applyBorder="1" applyAlignment="1">
      <alignment horizontal="left" vertical="center" wrapText="1"/>
    </xf>
    <xf numFmtId="0" fontId="7" fillId="2" borderId="7" xfId="0" applyFont="1" applyFill="1" applyBorder="1" applyAlignment="1">
      <alignment vertical="top" wrapText="1"/>
    </xf>
    <xf numFmtId="0" fontId="7" fillId="2" borderId="10" xfId="0" applyFont="1" applyFill="1" applyBorder="1" applyAlignment="1">
      <alignment vertical="top" wrapText="1"/>
    </xf>
    <xf numFmtId="0" fontId="7" fillId="2" borderId="7"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7" fillId="2" borderId="10" xfId="0" applyFont="1" applyFill="1" applyBorder="1" applyAlignment="1">
      <alignment horizontal="center" vertical="center" wrapText="1"/>
    </xf>
    <xf numFmtId="0" fontId="6" fillId="3" borderId="7" xfId="0" applyFont="1" applyFill="1" applyBorder="1" applyAlignment="1">
      <alignment horizontal="left" vertical="center"/>
    </xf>
    <xf numFmtId="0" fontId="6" fillId="3" borderId="8" xfId="0" applyFont="1" applyFill="1" applyBorder="1" applyAlignment="1">
      <alignment horizontal="left" vertical="center"/>
    </xf>
    <xf numFmtId="0" fontId="6" fillId="3" borderId="10" xfId="0" applyFont="1" applyFill="1" applyBorder="1" applyAlignment="1">
      <alignment horizontal="left" vertical="center"/>
    </xf>
    <xf numFmtId="0" fontId="8" fillId="3" borderId="7" xfId="0" applyFont="1" applyFill="1" applyBorder="1" applyAlignment="1">
      <alignment horizontal="left" vertical="center"/>
    </xf>
    <xf numFmtId="0" fontId="8" fillId="3" borderId="8" xfId="0" applyFont="1" applyFill="1" applyBorder="1" applyAlignment="1">
      <alignment horizontal="left" vertical="center"/>
    </xf>
    <xf numFmtId="0" fontId="8" fillId="3" borderId="10" xfId="0" applyFont="1" applyFill="1" applyBorder="1" applyAlignment="1">
      <alignment horizontal="left" vertical="center"/>
    </xf>
    <xf numFmtId="164" fontId="8" fillId="3" borderId="4" xfId="1" applyNumberFormat="1" applyFont="1" applyFill="1" applyBorder="1" applyAlignment="1" applyProtection="1">
      <alignment horizontal="left" vertical="center" wrapText="1"/>
      <protection locked="0"/>
    </xf>
    <xf numFmtId="22" fontId="8" fillId="3" borderId="4" xfId="0" applyNumberFormat="1" applyFont="1" applyFill="1" applyBorder="1" applyAlignment="1">
      <alignment horizontal="left" vertical="center" wrapText="1"/>
    </xf>
    <xf numFmtId="0" fontId="9" fillId="2" borderId="7" xfId="0" applyFont="1" applyFill="1" applyBorder="1" applyAlignment="1">
      <alignment horizontal="center" vertical="top" wrapText="1"/>
    </xf>
    <xf numFmtId="0" fontId="9" fillId="2" borderId="10" xfId="0" applyFont="1" applyFill="1" applyBorder="1" applyAlignment="1">
      <alignment horizontal="center" vertical="top" wrapText="1"/>
    </xf>
    <xf numFmtId="0" fontId="7" fillId="2" borderId="7" xfId="0" applyFont="1" applyFill="1" applyBorder="1" applyAlignment="1">
      <alignment horizontal="left" vertical="top" wrapText="1"/>
    </xf>
    <xf numFmtId="0" fontId="7" fillId="2" borderId="10" xfId="0" applyFont="1" applyFill="1" applyBorder="1" applyAlignment="1">
      <alignment horizontal="left" vertical="top" wrapText="1"/>
    </xf>
    <xf numFmtId="0" fontId="9" fillId="2" borderId="18" xfId="0" applyFont="1" applyFill="1" applyBorder="1" applyAlignment="1">
      <alignment horizontal="left" vertical="top" wrapText="1"/>
    </xf>
    <xf numFmtId="0" fontId="9" fillId="2" borderId="19" xfId="0" applyFont="1" applyFill="1" applyBorder="1" applyAlignment="1">
      <alignment horizontal="left" vertical="top" wrapText="1"/>
    </xf>
    <xf numFmtId="0" fontId="9" fillId="2" borderId="20" xfId="0" applyFont="1" applyFill="1" applyBorder="1" applyAlignment="1">
      <alignment horizontal="left" vertical="top" wrapText="1"/>
    </xf>
    <xf numFmtId="0" fontId="9" fillId="2" borderId="22" xfId="0" applyFont="1" applyFill="1" applyBorder="1" applyAlignment="1">
      <alignment horizontal="left" vertical="top" wrapText="1"/>
    </xf>
    <xf numFmtId="0" fontId="7" fillId="2" borderId="14" xfId="1" applyFont="1" applyFill="1" applyBorder="1" applyAlignment="1" applyProtection="1">
      <alignment horizontal="center" vertical="top" wrapText="1"/>
      <protection locked="0"/>
    </xf>
    <xf numFmtId="14" fontId="8" fillId="3" borderId="7" xfId="0" applyNumberFormat="1" applyFont="1" applyFill="1" applyBorder="1" applyAlignment="1">
      <alignment horizontal="center" vertical="center"/>
    </xf>
    <xf numFmtId="14" fontId="8" fillId="3" borderId="10" xfId="0" applyNumberFormat="1" applyFont="1" applyFill="1" applyBorder="1" applyAlignment="1">
      <alignment horizontal="center" vertical="center"/>
    </xf>
    <xf numFmtId="0" fontId="8" fillId="3" borderId="10" xfId="0" applyFont="1" applyFill="1" applyBorder="1" applyAlignment="1">
      <alignment horizontal="center" vertical="center"/>
    </xf>
    <xf numFmtId="0" fontId="8" fillId="3" borderId="7" xfId="0" applyFont="1" applyFill="1" applyBorder="1" applyAlignment="1">
      <alignment horizontal="left" vertical="center" wrapText="1"/>
    </xf>
    <xf numFmtId="0" fontId="8" fillId="3" borderId="8" xfId="0" applyFont="1" applyFill="1" applyBorder="1" applyAlignment="1">
      <alignment horizontal="left" vertical="center" wrapText="1"/>
    </xf>
    <xf numFmtId="0" fontId="8" fillId="3" borderId="10" xfId="0" applyFont="1" applyFill="1" applyBorder="1" applyAlignment="1">
      <alignment horizontal="left" vertical="center" wrapText="1"/>
    </xf>
    <xf numFmtId="0" fontId="1" fillId="2" borderId="33" xfId="1" applyFont="1" applyFill="1" applyBorder="1" applyAlignment="1" applyProtection="1">
      <alignment horizontal="left" vertical="top" wrapText="1"/>
      <protection locked="0"/>
    </xf>
    <xf numFmtId="0" fontId="1" fillId="2" borderId="30" xfId="1" applyFont="1" applyFill="1" applyBorder="1" applyAlignment="1" applyProtection="1">
      <alignment horizontal="left" vertical="top" wrapText="1"/>
      <protection locked="0"/>
    </xf>
    <xf numFmtId="0" fontId="1" fillId="2" borderId="34" xfId="1" applyFont="1" applyFill="1" applyBorder="1" applyAlignment="1" applyProtection="1">
      <alignment horizontal="left" vertical="top" wrapText="1"/>
      <protection locked="0"/>
    </xf>
    <xf numFmtId="0" fontId="1" fillId="2" borderId="35" xfId="1" applyFont="1" applyFill="1" applyBorder="1" applyAlignment="1" applyProtection="1">
      <alignment horizontal="left" vertical="top" wrapText="1"/>
      <protection locked="0"/>
    </xf>
    <xf numFmtId="0" fontId="1" fillId="2" borderId="21" xfId="1" applyFont="1" applyFill="1" applyBorder="1" applyAlignment="1" applyProtection="1">
      <alignment horizontal="left" vertical="top" wrapText="1"/>
      <protection locked="0"/>
    </xf>
    <xf numFmtId="0" fontId="1" fillId="2" borderId="22" xfId="1" applyFont="1" applyFill="1" applyBorder="1" applyAlignment="1" applyProtection="1">
      <alignment horizontal="left" vertical="top" wrapText="1"/>
      <protection locked="0"/>
    </xf>
    <xf numFmtId="0" fontId="5" fillId="3" borderId="7" xfId="0" applyFont="1" applyFill="1" applyBorder="1" applyAlignment="1">
      <alignment horizontal="center" vertical="center" wrapText="1"/>
    </xf>
    <xf numFmtId="0" fontId="5" fillId="3" borderId="8" xfId="0" applyFont="1" applyFill="1" applyBorder="1" applyAlignment="1">
      <alignment horizontal="center" vertical="center" wrapText="1"/>
    </xf>
    <xf numFmtId="0" fontId="5" fillId="3" borderId="10" xfId="0" applyFont="1" applyFill="1" applyBorder="1" applyAlignment="1">
      <alignment horizontal="center" vertical="center" wrapText="1"/>
    </xf>
    <xf numFmtId="0" fontId="5" fillId="3" borderId="7" xfId="0" applyFont="1" applyFill="1" applyBorder="1" applyAlignment="1">
      <alignment horizontal="left" vertical="center" wrapText="1"/>
    </xf>
    <xf numFmtId="0" fontId="5" fillId="3" borderId="8" xfId="0" applyFont="1" applyFill="1" applyBorder="1" applyAlignment="1">
      <alignment horizontal="left" vertical="center" wrapText="1"/>
    </xf>
    <xf numFmtId="0" fontId="5" fillId="3" borderId="10" xfId="0" applyFont="1" applyFill="1" applyBorder="1" applyAlignment="1">
      <alignment horizontal="left" vertical="center" wrapText="1"/>
    </xf>
    <xf numFmtId="0" fontId="12" fillId="2" borderId="29" xfId="0" applyFont="1" applyFill="1" applyBorder="1" applyAlignment="1">
      <alignment horizontal="left" vertical="top" wrapText="1"/>
    </xf>
    <xf numFmtId="0" fontId="12" fillId="2" borderId="24" xfId="0" applyFont="1" applyFill="1" applyBorder="1" applyAlignment="1">
      <alignment horizontal="left" vertical="top" wrapText="1"/>
    </xf>
    <xf numFmtId="0" fontId="12" fillId="2" borderId="20" xfId="0" applyFont="1" applyFill="1" applyBorder="1" applyAlignment="1">
      <alignment horizontal="left" vertical="top" wrapText="1"/>
    </xf>
    <xf numFmtId="0" fontId="12" fillId="2" borderId="22" xfId="0" applyFont="1" applyFill="1" applyBorder="1" applyAlignment="1">
      <alignment horizontal="left" vertical="top" wrapText="1"/>
    </xf>
    <xf numFmtId="0" fontId="12" fillId="2" borderId="18" xfId="0" applyFont="1" applyFill="1" applyBorder="1" applyAlignment="1">
      <alignment horizontal="left" vertical="top" wrapText="1"/>
    </xf>
    <xf numFmtId="0" fontId="12" fillId="2" borderId="19" xfId="0" applyFont="1" applyFill="1" applyBorder="1" applyAlignment="1">
      <alignment horizontal="left" vertical="top" wrapText="1"/>
    </xf>
    <xf numFmtId="0" fontId="5" fillId="3" borderId="29" xfId="0" applyFont="1" applyFill="1" applyBorder="1" applyAlignment="1">
      <alignment horizontal="center" vertical="center" wrapText="1"/>
    </xf>
    <xf numFmtId="0" fontId="5" fillId="3" borderId="25" xfId="0" applyFont="1" applyFill="1" applyBorder="1" applyAlignment="1">
      <alignment horizontal="center" vertical="center" wrapText="1"/>
    </xf>
    <xf numFmtId="0" fontId="5" fillId="3" borderId="24" xfId="0" applyFont="1" applyFill="1" applyBorder="1" applyAlignment="1">
      <alignment horizontal="center" vertical="center" wrapText="1"/>
    </xf>
    <xf numFmtId="0" fontId="5" fillId="3" borderId="20" xfId="0" applyFont="1" applyFill="1" applyBorder="1" applyAlignment="1">
      <alignment horizontal="center" vertical="center" wrapText="1"/>
    </xf>
    <xf numFmtId="0" fontId="5" fillId="3" borderId="21" xfId="0" applyFont="1" applyFill="1" applyBorder="1" applyAlignment="1">
      <alignment horizontal="center" vertical="center" wrapText="1"/>
    </xf>
    <xf numFmtId="0" fontId="5" fillId="3" borderId="22" xfId="0" applyFont="1" applyFill="1" applyBorder="1" applyAlignment="1">
      <alignment horizontal="center" vertical="center" wrapText="1"/>
    </xf>
    <xf numFmtId="0" fontId="7" fillId="2" borderId="29" xfId="0" applyFont="1" applyFill="1" applyBorder="1" applyAlignment="1">
      <alignment horizontal="left" vertical="top" wrapText="1"/>
    </xf>
    <xf numFmtId="0" fontId="7" fillId="2" borderId="24" xfId="0" applyFont="1" applyFill="1" applyBorder="1" applyAlignment="1">
      <alignment horizontal="left" vertical="top" wrapText="1"/>
    </xf>
    <xf numFmtId="0" fontId="7" fillId="2" borderId="20" xfId="0" applyFont="1" applyFill="1" applyBorder="1" applyAlignment="1">
      <alignment horizontal="left" vertical="top" wrapText="1"/>
    </xf>
    <xf numFmtId="0" fontId="7" fillId="2" borderId="22" xfId="0" applyFont="1" applyFill="1" applyBorder="1" applyAlignment="1">
      <alignment horizontal="left" vertical="top" wrapText="1"/>
    </xf>
    <xf numFmtId="0" fontId="1" fillId="3" borderId="4" xfId="1" applyFont="1" applyFill="1" applyBorder="1" applyAlignment="1" applyProtection="1">
      <alignment horizontal="left" vertical="top" wrapText="1"/>
      <protection locked="0"/>
    </xf>
    <xf numFmtId="0" fontId="1" fillId="3" borderId="6" xfId="1" applyFont="1" applyFill="1" applyBorder="1" applyAlignment="1" applyProtection="1">
      <alignment horizontal="left" vertical="top" wrapText="1"/>
      <protection locked="0"/>
    </xf>
    <xf numFmtId="0" fontId="5" fillId="5" borderId="4" xfId="0" applyFont="1" applyFill="1" applyBorder="1" applyAlignment="1">
      <alignment horizontal="center" vertical="center" wrapText="1"/>
    </xf>
    <xf numFmtId="0" fontId="9" fillId="5" borderId="7" xfId="0" applyFont="1" applyFill="1" applyBorder="1" applyAlignment="1">
      <alignment horizontal="center" vertical="center" wrapText="1"/>
    </xf>
    <xf numFmtId="0" fontId="9" fillId="5" borderId="10" xfId="0" applyFont="1" applyFill="1" applyBorder="1" applyAlignment="1">
      <alignment horizontal="center" vertical="center" wrapText="1"/>
    </xf>
    <xf numFmtId="1" fontId="9" fillId="5" borderId="7" xfId="0" applyNumberFormat="1" applyFont="1" applyFill="1" applyBorder="1" applyAlignment="1">
      <alignment horizontal="center" vertical="center" wrapText="1"/>
    </xf>
    <xf numFmtId="0" fontId="5" fillId="3" borderId="8" xfId="0" applyFont="1" applyFill="1" applyBorder="1" applyAlignment="1">
      <alignment horizontal="center" vertical="center"/>
    </xf>
    <xf numFmtId="0" fontId="7" fillId="3" borderId="7" xfId="0" applyFont="1" applyFill="1" applyBorder="1" applyAlignment="1">
      <alignment horizontal="left" vertical="center" wrapText="1"/>
    </xf>
    <xf numFmtId="0" fontId="7" fillId="3" borderId="8" xfId="0" applyFont="1" applyFill="1" applyBorder="1" applyAlignment="1">
      <alignment horizontal="left" vertical="center" wrapText="1"/>
    </xf>
    <xf numFmtId="0" fontId="7" fillId="3" borderId="10" xfId="0" applyFont="1" applyFill="1" applyBorder="1" applyAlignment="1">
      <alignment horizontal="left" vertical="center" wrapText="1"/>
    </xf>
    <xf numFmtId="0" fontId="7" fillId="3" borderId="29" xfId="0" applyFont="1" applyFill="1" applyBorder="1" applyAlignment="1">
      <alignment horizontal="left" vertical="top" wrapText="1"/>
    </xf>
    <xf numFmtId="0" fontId="7" fillId="3" borderId="25" xfId="0" applyFont="1" applyFill="1" applyBorder="1" applyAlignment="1">
      <alignment horizontal="left" vertical="top" wrapText="1"/>
    </xf>
    <xf numFmtId="0" fontId="7" fillId="3" borderId="24" xfId="0" applyFont="1" applyFill="1" applyBorder="1" applyAlignment="1">
      <alignment horizontal="left" vertical="top" wrapText="1"/>
    </xf>
    <xf numFmtId="0" fontId="8" fillId="3" borderId="4" xfId="0" applyFont="1" applyFill="1" applyBorder="1" applyAlignment="1">
      <alignment horizontal="left" vertical="center" wrapText="1"/>
    </xf>
    <xf numFmtId="0" fontId="8" fillId="3" borderId="7" xfId="0" applyFont="1" applyFill="1" applyBorder="1" applyAlignment="1">
      <alignment horizontal="center" vertical="center" wrapText="1"/>
    </xf>
    <xf numFmtId="0" fontId="8" fillId="3" borderId="10" xfId="0" applyFont="1" applyFill="1" applyBorder="1" applyAlignment="1">
      <alignment horizontal="center" vertical="center" wrapText="1"/>
    </xf>
    <xf numFmtId="0" fontId="7" fillId="3" borderId="20" xfId="0" applyFont="1" applyFill="1" applyBorder="1" applyAlignment="1">
      <alignment horizontal="left" vertical="top" wrapText="1"/>
    </xf>
    <xf numFmtId="0" fontId="7" fillId="3" borderId="21" xfId="0" applyFont="1" applyFill="1" applyBorder="1" applyAlignment="1">
      <alignment horizontal="left" vertical="top" wrapText="1"/>
    </xf>
    <xf numFmtId="0" fontId="7" fillId="3" borderId="22" xfId="0" applyFont="1" applyFill="1" applyBorder="1" applyAlignment="1">
      <alignment horizontal="left" vertical="top" wrapText="1"/>
    </xf>
    <xf numFmtId="0" fontId="7" fillId="2" borderId="15" xfId="1" applyFont="1" applyFill="1" applyBorder="1" applyAlignment="1" applyProtection="1">
      <alignment horizontal="left" vertical="top" wrapText="1"/>
      <protection locked="0"/>
    </xf>
    <xf numFmtId="0" fontId="7" fillId="2" borderId="16" xfId="1" applyFont="1" applyFill="1" applyBorder="1" applyAlignment="1" applyProtection="1">
      <alignment horizontal="left" vertical="top" wrapText="1"/>
      <protection locked="0"/>
    </xf>
    <xf numFmtId="0" fontId="7" fillId="2" borderId="5" xfId="1" applyFont="1" applyFill="1" applyBorder="1" applyAlignment="1" applyProtection="1">
      <alignment horizontal="left" vertical="top" wrapText="1"/>
      <protection locked="0"/>
    </xf>
    <xf numFmtId="0" fontId="7" fillId="2" borderId="4" xfId="1" applyFont="1" applyFill="1" applyBorder="1" applyAlignment="1" applyProtection="1">
      <alignment horizontal="left" vertical="top" wrapText="1"/>
      <protection locked="0"/>
    </xf>
    <xf numFmtId="0" fontId="8" fillId="4" borderId="8" xfId="1" applyFont="1" applyFill="1" applyBorder="1" applyAlignment="1" applyProtection="1">
      <alignment horizontal="center" vertical="center" wrapText="1"/>
      <protection locked="0"/>
    </xf>
    <xf numFmtId="0" fontId="8" fillId="4" borderId="9" xfId="1" applyFont="1" applyFill="1" applyBorder="1" applyAlignment="1" applyProtection="1">
      <alignment horizontal="center" vertical="center" wrapText="1"/>
      <protection locked="0"/>
    </xf>
    <xf numFmtId="9" fontId="8" fillId="4" borderId="25" xfId="1" applyNumberFormat="1" applyFont="1" applyFill="1" applyBorder="1" applyAlignment="1" applyProtection="1">
      <alignment horizontal="center" vertical="center" wrapText="1"/>
      <protection hidden="1"/>
    </xf>
    <xf numFmtId="9" fontId="8" fillId="4" borderId="23" xfId="1" applyNumberFormat="1" applyFont="1" applyFill="1" applyBorder="1" applyAlignment="1" applyProtection="1">
      <alignment horizontal="center" vertical="center" wrapText="1"/>
      <protection hidden="1"/>
    </xf>
    <xf numFmtId="9" fontId="8" fillId="4" borderId="0" xfId="1" applyNumberFormat="1" applyFont="1" applyFill="1" applyAlignment="1" applyProtection="1">
      <alignment horizontal="center" vertical="center" wrapText="1"/>
      <protection hidden="1"/>
    </xf>
    <xf numFmtId="9" fontId="8" fillId="4" borderId="3" xfId="1" applyNumberFormat="1" applyFont="1" applyFill="1" applyBorder="1" applyAlignment="1" applyProtection="1">
      <alignment horizontal="center" vertical="center" wrapText="1"/>
      <protection hidden="1"/>
    </xf>
    <xf numFmtId="9" fontId="8" fillId="4" borderId="2" xfId="1" applyNumberFormat="1" applyFont="1" applyFill="1" applyBorder="1" applyAlignment="1" applyProtection="1">
      <alignment horizontal="center" vertical="center" wrapText="1"/>
      <protection hidden="1"/>
    </xf>
    <xf numFmtId="9" fontId="8" fillId="4" borderId="1" xfId="1" applyNumberFormat="1" applyFont="1" applyFill="1" applyBorder="1" applyAlignment="1" applyProtection="1">
      <alignment horizontal="center" vertical="center" wrapText="1"/>
      <protection hidden="1"/>
    </xf>
  </cellXfs>
  <cellStyles count="4">
    <cellStyle name="Hyperlink" xfId="3" builtinId="8"/>
    <cellStyle name="Normal" xfId="0" builtinId="0"/>
    <cellStyle name="Normal 3" xfId="1" xr:uid="{00000000-0005-0000-0000-000002000000}"/>
    <cellStyle name="Percent" xfId="2" builtinId="5"/>
  </cellStyles>
  <dxfs count="0"/>
  <tableStyles count="0" defaultTableStyle="TableStyleMedium2" defaultPivotStyle="PivotStyleLight16"/>
  <colors>
    <mruColors>
      <color rgb="FFE3F2F3"/>
      <color rgb="FFE5EEF1"/>
      <color rgb="FFBBDDBD"/>
      <color rgb="FFE1F5E7"/>
      <color rgb="FFF2FCDA"/>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jpeg"/><Relationship Id="rId18" Type="http://schemas.openxmlformats.org/officeDocument/2006/relationships/image" Target="../media/image18.png"/><Relationship Id="rId3" Type="http://schemas.openxmlformats.org/officeDocument/2006/relationships/image" Target="../media/image3.png"/><Relationship Id="rId21" Type="http://schemas.openxmlformats.org/officeDocument/2006/relationships/image" Target="../media/image21.png"/><Relationship Id="rId7" Type="http://schemas.openxmlformats.org/officeDocument/2006/relationships/image" Target="../media/image7.jpeg"/><Relationship Id="rId12" Type="http://schemas.openxmlformats.org/officeDocument/2006/relationships/image" Target="../media/image12.jpeg"/><Relationship Id="rId17" Type="http://schemas.openxmlformats.org/officeDocument/2006/relationships/image" Target="../media/image17.png"/><Relationship Id="rId2" Type="http://schemas.openxmlformats.org/officeDocument/2006/relationships/image" Target="../media/image2.png"/><Relationship Id="rId16" Type="http://schemas.openxmlformats.org/officeDocument/2006/relationships/image" Target="../media/image16.png"/><Relationship Id="rId20" Type="http://schemas.openxmlformats.org/officeDocument/2006/relationships/image" Target="../media/image20.png"/><Relationship Id="rId1" Type="http://schemas.openxmlformats.org/officeDocument/2006/relationships/image" Target="../media/image1.jpeg"/><Relationship Id="rId6" Type="http://schemas.openxmlformats.org/officeDocument/2006/relationships/image" Target="../media/image6.jpeg"/><Relationship Id="rId11" Type="http://schemas.openxmlformats.org/officeDocument/2006/relationships/image" Target="../media/image11.jpeg"/><Relationship Id="rId24" Type="http://schemas.openxmlformats.org/officeDocument/2006/relationships/image" Target="../media/image24.png"/><Relationship Id="rId5" Type="http://schemas.openxmlformats.org/officeDocument/2006/relationships/image" Target="../media/image5.jpeg"/><Relationship Id="rId15" Type="http://schemas.openxmlformats.org/officeDocument/2006/relationships/image" Target="../media/image15.jpeg"/><Relationship Id="rId23" Type="http://schemas.openxmlformats.org/officeDocument/2006/relationships/image" Target="../media/image23.png"/><Relationship Id="rId10" Type="http://schemas.openxmlformats.org/officeDocument/2006/relationships/image" Target="../media/image10.jpeg"/><Relationship Id="rId19" Type="http://schemas.openxmlformats.org/officeDocument/2006/relationships/image" Target="../media/image19.png"/><Relationship Id="rId4" Type="http://schemas.openxmlformats.org/officeDocument/2006/relationships/image" Target="../media/image4.jpeg"/><Relationship Id="rId9" Type="http://schemas.openxmlformats.org/officeDocument/2006/relationships/image" Target="../media/image9.jpeg"/><Relationship Id="rId14" Type="http://schemas.openxmlformats.org/officeDocument/2006/relationships/image" Target="../media/image14.jpeg"/><Relationship Id="rId22" Type="http://schemas.openxmlformats.org/officeDocument/2006/relationships/image" Target="../media/image2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5.png"/></Relationships>
</file>

<file path=xl/drawings/drawing1.xml><?xml version="1.0" encoding="utf-8"?>
<xdr:wsDr xmlns:xdr="http://schemas.openxmlformats.org/drawingml/2006/spreadsheetDrawing" xmlns:a="http://schemas.openxmlformats.org/drawingml/2006/main">
  <xdr:twoCellAnchor>
    <xdr:from>
      <xdr:col>1</xdr:col>
      <xdr:colOff>191328</xdr:colOff>
      <xdr:row>258</xdr:row>
      <xdr:rowOff>141222</xdr:rowOff>
    </xdr:from>
    <xdr:to>
      <xdr:col>6</xdr:col>
      <xdr:colOff>609599</xdr:colOff>
      <xdr:row>309</xdr:row>
      <xdr:rowOff>157784</xdr:rowOff>
    </xdr:to>
    <xdr:grpSp>
      <xdr:nvGrpSpPr>
        <xdr:cNvPr id="12" name="Group 11">
          <a:extLst>
            <a:ext uri="{FF2B5EF4-FFF2-40B4-BE49-F238E27FC236}">
              <a16:creationId xmlns:a16="http://schemas.microsoft.com/office/drawing/2014/main" id="{00000000-0008-0000-0000-00000C000000}"/>
            </a:ext>
          </a:extLst>
        </xdr:cNvPr>
        <xdr:cNvGrpSpPr/>
      </xdr:nvGrpSpPr>
      <xdr:grpSpPr>
        <a:xfrm>
          <a:off x="994741" y="50449787"/>
          <a:ext cx="4667249" cy="8464823"/>
          <a:chOff x="1269000" y="175847"/>
          <a:chExt cx="4320000" cy="8019803"/>
        </a:xfrm>
      </xdr:grpSpPr>
      <xdr:grpSp>
        <xdr:nvGrpSpPr>
          <xdr:cNvPr id="13" name="Group 12">
            <a:extLst>
              <a:ext uri="{FF2B5EF4-FFF2-40B4-BE49-F238E27FC236}">
                <a16:creationId xmlns:a16="http://schemas.microsoft.com/office/drawing/2014/main" id="{00000000-0008-0000-0000-00000D000000}"/>
              </a:ext>
            </a:extLst>
          </xdr:cNvPr>
          <xdr:cNvGrpSpPr/>
        </xdr:nvGrpSpPr>
        <xdr:grpSpPr>
          <a:xfrm>
            <a:off x="1269000" y="175847"/>
            <a:ext cx="4320000" cy="6120900"/>
            <a:chOff x="1019907" y="0"/>
            <a:chExt cx="4320000" cy="6120900"/>
          </a:xfrm>
        </xdr:grpSpPr>
        <xdr:pic>
          <xdr:nvPicPr>
            <xdr:cNvPr id="15" name="Picture 14">
              <a:extLst>
                <a:ext uri="{FF2B5EF4-FFF2-40B4-BE49-F238E27FC236}">
                  <a16:creationId xmlns:a16="http://schemas.microsoft.com/office/drawing/2014/main" id="{00000000-0008-0000-0000-00000F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19907" y="0"/>
              <a:ext cx="4320000" cy="6120900"/>
            </a:xfrm>
            <a:prstGeom prst="rect">
              <a:avLst/>
            </a:prstGeom>
            <a:ln>
              <a:solidFill>
                <a:schemeClr val="tx1"/>
              </a:solidFill>
            </a:ln>
          </xdr:spPr>
        </xdr:pic>
        <xdr:sp macro="" textlink="">
          <xdr:nvSpPr>
            <xdr:cNvPr id="16" name="Freeform 15">
              <a:extLst>
                <a:ext uri="{FF2B5EF4-FFF2-40B4-BE49-F238E27FC236}">
                  <a16:creationId xmlns:a16="http://schemas.microsoft.com/office/drawing/2014/main" id="{00000000-0008-0000-0000-000010000000}"/>
                </a:ext>
              </a:extLst>
            </xdr:cNvPr>
            <xdr:cNvSpPr/>
          </xdr:nvSpPr>
          <xdr:spPr>
            <a:xfrm>
              <a:off x="1866900" y="1450181"/>
              <a:ext cx="1288256" cy="1007269"/>
            </a:xfrm>
            <a:custGeom>
              <a:avLst/>
              <a:gdLst>
                <a:gd name="connsiteX0" fmla="*/ 500063 w 1288256"/>
                <a:gd name="connsiteY0" fmla="*/ 109538 h 1007269"/>
                <a:gd name="connsiteX1" fmla="*/ 497681 w 1288256"/>
                <a:gd name="connsiteY1" fmla="*/ 2382 h 1007269"/>
                <a:gd name="connsiteX2" fmla="*/ 795338 w 1288256"/>
                <a:gd name="connsiteY2" fmla="*/ 0 h 1007269"/>
                <a:gd name="connsiteX3" fmla="*/ 802481 w 1288256"/>
                <a:gd name="connsiteY3" fmla="*/ 116682 h 1007269"/>
                <a:gd name="connsiteX4" fmla="*/ 1088231 w 1288256"/>
                <a:gd name="connsiteY4" fmla="*/ 128588 h 1007269"/>
                <a:gd name="connsiteX5" fmla="*/ 1085850 w 1288256"/>
                <a:gd name="connsiteY5" fmla="*/ 97632 h 1007269"/>
                <a:gd name="connsiteX6" fmla="*/ 1238250 w 1288256"/>
                <a:gd name="connsiteY6" fmla="*/ 102394 h 1007269"/>
                <a:gd name="connsiteX7" fmla="*/ 1231106 w 1288256"/>
                <a:gd name="connsiteY7" fmla="*/ 330994 h 1007269"/>
                <a:gd name="connsiteX8" fmla="*/ 1150144 w 1288256"/>
                <a:gd name="connsiteY8" fmla="*/ 340519 h 1007269"/>
                <a:gd name="connsiteX9" fmla="*/ 1152525 w 1288256"/>
                <a:gd name="connsiteY9" fmla="*/ 411957 h 1007269"/>
                <a:gd name="connsiteX10" fmla="*/ 1283494 w 1288256"/>
                <a:gd name="connsiteY10" fmla="*/ 414338 h 1007269"/>
                <a:gd name="connsiteX11" fmla="*/ 1288256 w 1288256"/>
                <a:gd name="connsiteY11" fmla="*/ 581025 h 1007269"/>
                <a:gd name="connsiteX12" fmla="*/ 1147763 w 1288256"/>
                <a:gd name="connsiteY12" fmla="*/ 576263 h 1007269"/>
                <a:gd name="connsiteX13" fmla="*/ 1152525 w 1288256"/>
                <a:gd name="connsiteY13" fmla="*/ 642938 h 1007269"/>
                <a:gd name="connsiteX14" fmla="*/ 1214438 w 1288256"/>
                <a:gd name="connsiteY14" fmla="*/ 645319 h 1007269"/>
                <a:gd name="connsiteX15" fmla="*/ 1214438 w 1288256"/>
                <a:gd name="connsiteY15" fmla="*/ 881063 h 1007269"/>
                <a:gd name="connsiteX16" fmla="*/ 1057275 w 1288256"/>
                <a:gd name="connsiteY16" fmla="*/ 873919 h 1007269"/>
                <a:gd name="connsiteX17" fmla="*/ 1059656 w 1288256"/>
                <a:gd name="connsiteY17" fmla="*/ 842963 h 1007269"/>
                <a:gd name="connsiteX18" fmla="*/ 916781 w 1288256"/>
                <a:gd name="connsiteY18" fmla="*/ 847725 h 1007269"/>
                <a:gd name="connsiteX19" fmla="*/ 919163 w 1288256"/>
                <a:gd name="connsiteY19" fmla="*/ 900113 h 1007269"/>
                <a:gd name="connsiteX20" fmla="*/ 766763 w 1288256"/>
                <a:gd name="connsiteY20" fmla="*/ 897732 h 1007269"/>
                <a:gd name="connsiteX21" fmla="*/ 764381 w 1288256"/>
                <a:gd name="connsiteY21" fmla="*/ 1007269 h 1007269"/>
                <a:gd name="connsiteX22" fmla="*/ 469106 w 1288256"/>
                <a:gd name="connsiteY22" fmla="*/ 1000125 h 1007269"/>
                <a:gd name="connsiteX23" fmla="*/ 469106 w 1288256"/>
                <a:gd name="connsiteY23" fmla="*/ 895350 h 1007269"/>
                <a:gd name="connsiteX24" fmla="*/ 321469 w 1288256"/>
                <a:gd name="connsiteY24" fmla="*/ 885825 h 1007269"/>
                <a:gd name="connsiteX25" fmla="*/ 319088 w 1288256"/>
                <a:gd name="connsiteY25" fmla="*/ 823913 h 1007269"/>
                <a:gd name="connsiteX26" fmla="*/ 180975 w 1288256"/>
                <a:gd name="connsiteY26" fmla="*/ 819150 h 1007269"/>
                <a:gd name="connsiteX27" fmla="*/ 183356 w 1288256"/>
                <a:gd name="connsiteY27" fmla="*/ 852488 h 1007269"/>
                <a:gd name="connsiteX28" fmla="*/ 26194 w 1288256"/>
                <a:gd name="connsiteY28" fmla="*/ 850107 h 1007269"/>
                <a:gd name="connsiteX29" fmla="*/ 30956 w 1288256"/>
                <a:gd name="connsiteY29" fmla="*/ 614363 h 1007269"/>
                <a:gd name="connsiteX30" fmla="*/ 114300 w 1288256"/>
                <a:gd name="connsiteY30" fmla="*/ 607219 h 1007269"/>
                <a:gd name="connsiteX31" fmla="*/ 111919 w 1288256"/>
                <a:gd name="connsiteY31" fmla="*/ 545307 h 1007269"/>
                <a:gd name="connsiteX32" fmla="*/ 0 w 1288256"/>
                <a:gd name="connsiteY32" fmla="*/ 545307 h 1007269"/>
                <a:gd name="connsiteX33" fmla="*/ 4763 w 1288256"/>
                <a:gd name="connsiteY33" fmla="*/ 378619 h 1007269"/>
                <a:gd name="connsiteX34" fmla="*/ 123825 w 1288256"/>
                <a:gd name="connsiteY34" fmla="*/ 381000 h 1007269"/>
                <a:gd name="connsiteX35" fmla="*/ 114300 w 1288256"/>
                <a:gd name="connsiteY35" fmla="*/ 311944 h 1007269"/>
                <a:gd name="connsiteX36" fmla="*/ 45244 w 1288256"/>
                <a:gd name="connsiteY36" fmla="*/ 309563 h 1007269"/>
                <a:gd name="connsiteX37" fmla="*/ 52388 w 1288256"/>
                <a:gd name="connsiteY37" fmla="*/ 76200 h 1007269"/>
                <a:gd name="connsiteX38" fmla="*/ 207169 w 1288256"/>
                <a:gd name="connsiteY38" fmla="*/ 73819 h 1007269"/>
                <a:gd name="connsiteX39" fmla="*/ 207169 w 1288256"/>
                <a:gd name="connsiteY39" fmla="*/ 109538 h 1007269"/>
                <a:gd name="connsiteX40" fmla="*/ 500063 w 1288256"/>
                <a:gd name="connsiteY40" fmla="*/ 109538 h 100726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Lst>
              <a:rect l="l" t="t" r="r" b="b"/>
              <a:pathLst>
                <a:path w="1288256" h="1007269">
                  <a:moveTo>
                    <a:pt x="500063" y="109538"/>
                  </a:moveTo>
                  <a:lnTo>
                    <a:pt x="497681" y="2382"/>
                  </a:lnTo>
                  <a:lnTo>
                    <a:pt x="795338" y="0"/>
                  </a:lnTo>
                  <a:lnTo>
                    <a:pt x="802481" y="116682"/>
                  </a:lnTo>
                  <a:lnTo>
                    <a:pt x="1088231" y="128588"/>
                  </a:lnTo>
                  <a:lnTo>
                    <a:pt x="1085850" y="97632"/>
                  </a:lnTo>
                  <a:lnTo>
                    <a:pt x="1238250" y="102394"/>
                  </a:lnTo>
                  <a:lnTo>
                    <a:pt x="1231106" y="330994"/>
                  </a:lnTo>
                  <a:lnTo>
                    <a:pt x="1150144" y="340519"/>
                  </a:lnTo>
                  <a:cubicBezTo>
                    <a:pt x="1150938" y="364332"/>
                    <a:pt x="1151731" y="388144"/>
                    <a:pt x="1152525" y="411957"/>
                  </a:cubicBezTo>
                  <a:lnTo>
                    <a:pt x="1283494" y="414338"/>
                  </a:lnTo>
                  <a:lnTo>
                    <a:pt x="1288256" y="581025"/>
                  </a:lnTo>
                  <a:lnTo>
                    <a:pt x="1147763" y="576263"/>
                  </a:lnTo>
                  <a:lnTo>
                    <a:pt x="1152525" y="642938"/>
                  </a:lnTo>
                  <a:lnTo>
                    <a:pt x="1214438" y="645319"/>
                  </a:lnTo>
                  <a:lnTo>
                    <a:pt x="1214438" y="881063"/>
                  </a:lnTo>
                  <a:lnTo>
                    <a:pt x="1057275" y="873919"/>
                  </a:lnTo>
                  <a:lnTo>
                    <a:pt x="1059656" y="842963"/>
                  </a:lnTo>
                  <a:lnTo>
                    <a:pt x="916781" y="847725"/>
                  </a:lnTo>
                  <a:lnTo>
                    <a:pt x="919163" y="900113"/>
                  </a:lnTo>
                  <a:lnTo>
                    <a:pt x="766763" y="897732"/>
                  </a:lnTo>
                  <a:lnTo>
                    <a:pt x="764381" y="1007269"/>
                  </a:lnTo>
                  <a:lnTo>
                    <a:pt x="469106" y="1000125"/>
                  </a:lnTo>
                  <a:lnTo>
                    <a:pt x="469106" y="895350"/>
                  </a:lnTo>
                  <a:lnTo>
                    <a:pt x="321469" y="885825"/>
                  </a:lnTo>
                  <a:cubicBezTo>
                    <a:pt x="320675" y="865188"/>
                    <a:pt x="319882" y="844550"/>
                    <a:pt x="319088" y="823913"/>
                  </a:cubicBezTo>
                  <a:lnTo>
                    <a:pt x="180975" y="819150"/>
                  </a:lnTo>
                  <a:lnTo>
                    <a:pt x="183356" y="852488"/>
                  </a:lnTo>
                  <a:lnTo>
                    <a:pt x="26194" y="850107"/>
                  </a:lnTo>
                  <a:cubicBezTo>
                    <a:pt x="27781" y="771526"/>
                    <a:pt x="29369" y="692944"/>
                    <a:pt x="30956" y="614363"/>
                  </a:cubicBezTo>
                  <a:lnTo>
                    <a:pt x="114300" y="607219"/>
                  </a:lnTo>
                  <a:cubicBezTo>
                    <a:pt x="113506" y="586582"/>
                    <a:pt x="112713" y="565944"/>
                    <a:pt x="111919" y="545307"/>
                  </a:cubicBezTo>
                  <a:lnTo>
                    <a:pt x="0" y="545307"/>
                  </a:lnTo>
                  <a:lnTo>
                    <a:pt x="4763" y="378619"/>
                  </a:lnTo>
                  <a:lnTo>
                    <a:pt x="123825" y="381000"/>
                  </a:lnTo>
                  <a:lnTo>
                    <a:pt x="114300" y="311944"/>
                  </a:lnTo>
                  <a:lnTo>
                    <a:pt x="45244" y="309563"/>
                  </a:lnTo>
                  <a:lnTo>
                    <a:pt x="52388" y="76200"/>
                  </a:lnTo>
                  <a:lnTo>
                    <a:pt x="207169" y="73819"/>
                  </a:lnTo>
                  <a:lnTo>
                    <a:pt x="207169" y="109538"/>
                  </a:lnTo>
                  <a:lnTo>
                    <a:pt x="500063" y="109538"/>
                  </a:lnTo>
                  <a:close/>
                </a:path>
              </a:pathLst>
            </a:cu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grpSp>
          <xdr:nvGrpSpPr>
            <xdr:cNvPr id="17" name="Group 16">
              <a:extLst>
                <a:ext uri="{FF2B5EF4-FFF2-40B4-BE49-F238E27FC236}">
                  <a16:creationId xmlns:a16="http://schemas.microsoft.com/office/drawing/2014/main" id="{00000000-0008-0000-0000-000011000000}"/>
                </a:ext>
              </a:extLst>
            </xdr:cNvPr>
            <xdr:cNvGrpSpPr/>
          </xdr:nvGrpSpPr>
          <xdr:grpSpPr>
            <a:xfrm>
              <a:off x="2962275" y="1784350"/>
              <a:ext cx="952500" cy="2432844"/>
              <a:chOff x="2962275" y="1784350"/>
              <a:chExt cx="952500" cy="2432844"/>
            </a:xfrm>
          </xdr:grpSpPr>
          <xdr:sp macro="" textlink="">
            <xdr:nvSpPr>
              <xdr:cNvPr id="21" name="Freeform 20">
                <a:extLst>
                  <a:ext uri="{FF2B5EF4-FFF2-40B4-BE49-F238E27FC236}">
                    <a16:creationId xmlns:a16="http://schemas.microsoft.com/office/drawing/2014/main" id="{00000000-0008-0000-0000-000015000000}"/>
                  </a:ext>
                </a:extLst>
              </xdr:cNvPr>
              <xdr:cNvSpPr/>
            </xdr:nvSpPr>
            <xdr:spPr>
              <a:xfrm>
                <a:off x="2962275" y="2959100"/>
                <a:ext cx="933450" cy="1257300"/>
              </a:xfrm>
              <a:custGeom>
                <a:avLst/>
                <a:gdLst>
                  <a:gd name="connsiteX0" fmla="*/ 0 w 933450"/>
                  <a:gd name="connsiteY0" fmla="*/ 1257300 h 1257300"/>
                  <a:gd name="connsiteX1" fmla="*/ 854075 w 933450"/>
                  <a:gd name="connsiteY1" fmla="*/ 1133475 h 1257300"/>
                  <a:gd name="connsiteX2" fmla="*/ 863600 w 933450"/>
                  <a:gd name="connsiteY2" fmla="*/ 822325 h 1257300"/>
                  <a:gd name="connsiteX3" fmla="*/ 800100 w 933450"/>
                  <a:gd name="connsiteY3" fmla="*/ 815975 h 1257300"/>
                  <a:gd name="connsiteX4" fmla="*/ 796925 w 933450"/>
                  <a:gd name="connsiteY4" fmla="*/ 727075 h 1257300"/>
                  <a:gd name="connsiteX5" fmla="*/ 914400 w 933450"/>
                  <a:gd name="connsiteY5" fmla="*/ 723900 h 1257300"/>
                  <a:gd name="connsiteX6" fmla="*/ 914400 w 933450"/>
                  <a:gd name="connsiteY6" fmla="*/ 593725 h 1257300"/>
                  <a:gd name="connsiteX7" fmla="*/ 869950 w 933450"/>
                  <a:gd name="connsiteY7" fmla="*/ 596900 h 1257300"/>
                  <a:gd name="connsiteX8" fmla="*/ 876300 w 933450"/>
                  <a:gd name="connsiteY8" fmla="*/ 317500 h 1257300"/>
                  <a:gd name="connsiteX9" fmla="*/ 930275 w 933450"/>
                  <a:gd name="connsiteY9" fmla="*/ 320675 h 1257300"/>
                  <a:gd name="connsiteX10" fmla="*/ 933450 w 933450"/>
                  <a:gd name="connsiteY10" fmla="*/ 196850 h 1257300"/>
                  <a:gd name="connsiteX11" fmla="*/ 831850 w 933450"/>
                  <a:gd name="connsiteY11" fmla="*/ 196850 h 1257300"/>
                  <a:gd name="connsiteX12" fmla="*/ 822325 w 933450"/>
                  <a:gd name="connsiteY12" fmla="*/ 0 h 12573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Lst>
                <a:rect l="l" t="t" r="r" b="b"/>
                <a:pathLst>
                  <a:path w="933450" h="1257300">
                    <a:moveTo>
                      <a:pt x="0" y="1257300"/>
                    </a:moveTo>
                    <a:lnTo>
                      <a:pt x="854075" y="1133475"/>
                    </a:lnTo>
                    <a:lnTo>
                      <a:pt x="863600" y="822325"/>
                    </a:lnTo>
                    <a:lnTo>
                      <a:pt x="800100" y="815975"/>
                    </a:lnTo>
                    <a:lnTo>
                      <a:pt x="796925" y="727075"/>
                    </a:lnTo>
                    <a:lnTo>
                      <a:pt x="914400" y="723900"/>
                    </a:lnTo>
                    <a:lnTo>
                      <a:pt x="914400" y="593725"/>
                    </a:lnTo>
                    <a:lnTo>
                      <a:pt x="869950" y="596900"/>
                    </a:lnTo>
                    <a:lnTo>
                      <a:pt x="876300" y="317500"/>
                    </a:lnTo>
                    <a:lnTo>
                      <a:pt x="930275" y="320675"/>
                    </a:lnTo>
                    <a:cubicBezTo>
                      <a:pt x="931333" y="279400"/>
                      <a:pt x="932392" y="238125"/>
                      <a:pt x="933450" y="196850"/>
                    </a:cubicBezTo>
                    <a:lnTo>
                      <a:pt x="831850" y="196850"/>
                    </a:lnTo>
                    <a:lnTo>
                      <a:pt x="822325" y="0"/>
                    </a:lnTo>
                  </a:path>
                </a:pathLst>
              </a:custGeom>
              <a:noFill/>
              <a:ln w="381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22" name="Freeform 21">
                <a:extLst>
                  <a:ext uri="{FF2B5EF4-FFF2-40B4-BE49-F238E27FC236}">
                    <a16:creationId xmlns:a16="http://schemas.microsoft.com/office/drawing/2014/main" id="{00000000-0008-0000-0000-000016000000}"/>
                  </a:ext>
                </a:extLst>
              </xdr:cNvPr>
              <xdr:cNvSpPr/>
            </xdr:nvSpPr>
            <xdr:spPr>
              <a:xfrm>
                <a:off x="2994025" y="1784350"/>
                <a:ext cx="920750" cy="1317625"/>
              </a:xfrm>
              <a:custGeom>
                <a:avLst/>
                <a:gdLst>
                  <a:gd name="connsiteX0" fmla="*/ 793750 w 920750"/>
                  <a:gd name="connsiteY0" fmla="*/ 1171575 h 1317625"/>
                  <a:gd name="connsiteX1" fmla="*/ 904875 w 920750"/>
                  <a:gd name="connsiteY1" fmla="*/ 1171575 h 1317625"/>
                  <a:gd name="connsiteX2" fmla="*/ 911225 w 920750"/>
                  <a:gd name="connsiteY2" fmla="*/ 1063625 h 1317625"/>
                  <a:gd name="connsiteX3" fmla="*/ 857250 w 920750"/>
                  <a:gd name="connsiteY3" fmla="*/ 1050925 h 1317625"/>
                  <a:gd name="connsiteX4" fmla="*/ 863600 w 920750"/>
                  <a:gd name="connsiteY4" fmla="*/ 768350 h 1317625"/>
                  <a:gd name="connsiteX5" fmla="*/ 920750 w 920750"/>
                  <a:gd name="connsiteY5" fmla="*/ 777875 h 1317625"/>
                  <a:gd name="connsiteX6" fmla="*/ 920750 w 920750"/>
                  <a:gd name="connsiteY6" fmla="*/ 647700 h 1317625"/>
                  <a:gd name="connsiteX7" fmla="*/ 812800 w 920750"/>
                  <a:gd name="connsiteY7" fmla="*/ 647700 h 1317625"/>
                  <a:gd name="connsiteX8" fmla="*/ 803275 w 920750"/>
                  <a:gd name="connsiteY8" fmla="*/ 539750 h 1317625"/>
                  <a:gd name="connsiteX9" fmla="*/ 520700 w 920750"/>
                  <a:gd name="connsiteY9" fmla="*/ 536575 h 1317625"/>
                  <a:gd name="connsiteX10" fmla="*/ 523875 w 920750"/>
                  <a:gd name="connsiteY10" fmla="*/ 120650 h 1317625"/>
                  <a:gd name="connsiteX11" fmla="*/ 422275 w 920750"/>
                  <a:gd name="connsiteY11" fmla="*/ 120650 h 1317625"/>
                  <a:gd name="connsiteX12" fmla="*/ 422275 w 920750"/>
                  <a:gd name="connsiteY12" fmla="*/ 3175 h 1317625"/>
                  <a:gd name="connsiteX13" fmla="*/ 301625 w 920750"/>
                  <a:gd name="connsiteY13" fmla="*/ 0 h 1317625"/>
                  <a:gd name="connsiteX14" fmla="*/ 301625 w 920750"/>
                  <a:gd name="connsiteY14" fmla="*/ 47625 h 1317625"/>
                  <a:gd name="connsiteX15" fmla="*/ 155575 w 920750"/>
                  <a:gd name="connsiteY15" fmla="*/ 44450 h 1317625"/>
                  <a:gd name="connsiteX16" fmla="*/ 161925 w 920750"/>
                  <a:gd name="connsiteY16" fmla="*/ 257175 h 1317625"/>
                  <a:gd name="connsiteX17" fmla="*/ 228600 w 920750"/>
                  <a:gd name="connsiteY17" fmla="*/ 250825 h 1317625"/>
                  <a:gd name="connsiteX18" fmla="*/ 241300 w 920750"/>
                  <a:gd name="connsiteY18" fmla="*/ 355600 h 1317625"/>
                  <a:gd name="connsiteX19" fmla="*/ 355600 w 920750"/>
                  <a:gd name="connsiteY19" fmla="*/ 352425 h 1317625"/>
                  <a:gd name="connsiteX20" fmla="*/ 352425 w 920750"/>
                  <a:gd name="connsiteY20" fmla="*/ 412750 h 1317625"/>
                  <a:gd name="connsiteX21" fmla="*/ 155575 w 920750"/>
                  <a:gd name="connsiteY21" fmla="*/ 412750 h 1317625"/>
                  <a:gd name="connsiteX22" fmla="*/ 149225 w 920750"/>
                  <a:gd name="connsiteY22" fmla="*/ 571500 h 1317625"/>
                  <a:gd name="connsiteX23" fmla="*/ 250825 w 920750"/>
                  <a:gd name="connsiteY23" fmla="*/ 574675 h 1317625"/>
                  <a:gd name="connsiteX24" fmla="*/ 260350 w 920750"/>
                  <a:gd name="connsiteY24" fmla="*/ 695325 h 1317625"/>
                  <a:gd name="connsiteX25" fmla="*/ 412750 w 920750"/>
                  <a:gd name="connsiteY25" fmla="*/ 698500 h 1317625"/>
                  <a:gd name="connsiteX26" fmla="*/ 419100 w 920750"/>
                  <a:gd name="connsiteY26" fmla="*/ 939800 h 1317625"/>
                  <a:gd name="connsiteX27" fmla="*/ 349250 w 920750"/>
                  <a:gd name="connsiteY27" fmla="*/ 942975 h 1317625"/>
                  <a:gd name="connsiteX28" fmla="*/ 352425 w 920750"/>
                  <a:gd name="connsiteY28" fmla="*/ 809625 h 1317625"/>
                  <a:gd name="connsiteX29" fmla="*/ 263525 w 920750"/>
                  <a:gd name="connsiteY29" fmla="*/ 812800 h 1317625"/>
                  <a:gd name="connsiteX30" fmla="*/ 263525 w 920750"/>
                  <a:gd name="connsiteY30" fmla="*/ 736600 h 1317625"/>
                  <a:gd name="connsiteX31" fmla="*/ 66675 w 920750"/>
                  <a:gd name="connsiteY31" fmla="*/ 730250 h 1317625"/>
                  <a:gd name="connsiteX32" fmla="*/ 66675 w 920750"/>
                  <a:gd name="connsiteY32" fmla="*/ 869950 h 1317625"/>
                  <a:gd name="connsiteX33" fmla="*/ 0 w 920750"/>
                  <a:gd name="connsiteY33" fmla="*/ 866775 h 1317625"/>
                  <a:gd name="connsiteX34" fmla="*/ 12700 w 920750"/>
                  <a:gd name="connsiteY34" fmla="*/ 993775 h 1317625"/>
                  <a:gd name="connsiteX35" fmla="*/ 117475 w 920750"/>
                  <a:gd name="connsiteY35" fmla="*/ 993775 h 1317625"/>
                  <a:gd name="connsiteX36" fmla="*/ 111125 w 920750"/>
                  <a:gd name="connsiteY36" fmla="*/ 1203325 h 1317625"/>
                  <a:gd name="connsiteX37" fmla="*/ 6350 w 920750"/>
                  <a:gd name="connsiteY37" fmla="*/ 1193800 h 1317625"/>
                  <a:gd name="connsiteX38" fmla="*/ 0 w 920750"/>
                  <a:gd name="connsiteY38" fmla="*/ 1314450 h 1317625"/>
                  <a:gd name="connsiteX39" fmla="*/ 57150 w 920750"/>
                  <a:gd name="connsiteY39" fmla="*/ 1317625 h 131762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Lst>
                <a:rect l="l" t="t" r="r" b="b"/>
                <a:pathLst>
                  <a:path w="920750" h="1317625">
                    <a:moveTo>
                      <a:pt x="793750" y="1171575"/>
                    </a:moveTo>
                    <a:lnTo>
                      <a:pt x="904875" y="1171575"/>
                    </a:lnTo>
                    <a:lnTo>
                      <a:pt x="911225" y="1063625"/>
                    </a:lnTo>
                    <a:lnTo>
                      <a:pt x="857250" y="1050925"/>
                    </a:lnTo>
                    <a:lnTo>
                      <a:pt x="863600" y="768350"/>
                    </a:lnTo>
                    <a:lnTo>
                      <a:pt x="920750" y="777875"/>
                    </a:lnTo>
                    <a:lnTo>
                      <a:pt x="920750" y="647700"/>
                    </a:lnTo>
                    <a:lnTo>
                      <a:pt x="812800" y="647700"/>
                    </a:lnTo>
                    <a:lnTo>
                      <a:pt x="803275" y="539750"/>
                    </a:lnTo>
                    <a:lnTo>
                      <a:pt x="520700" y="536575"/>
                    </a:lnTo>
                    <a:cubicBezTo>
                      <a:pt x="521758" y="397933"/>
                      <a:pt x="522817" y="259292"/>
                      <a:pt x="523875" y="120650"/>
                    </a:cubicBezTo>
                    <a:lnTo>
                      <a:pt x="422275" y="120650"/>
                    </a:lnTo>
                    <a:lnTo>
                      <a:pt x="422275" y="3175"/>
                    </a:lnTo>
                    <a:lnTo>
                      <a:pt x="301625" y="0"/>
                    </a:lnTo>
                    <a:lnTo>
                      <a:pt x="301625" y="47625"/>
                    </a:lnTo>
                    <a:lnTo>
                      <a:pt x="155575" y="44450"/>
                    </a:lnTo>
                    <a:lnTo>
                      <a:pt x="161925" y="257175"/>
                    </a:lnTo>
                    <a:lnTo>
                      <a:pt x="228600" y="250825"/>
                    </a:lnTo>
                    <a:lnTo>
                      <a:pt x="241300" y="355600"/>
                    </a:lnTo>
                    <a:lnTo>
                      <a:pt x="355600" y="352425"/>
                    </a:lnTo>
                    <a:lnTo>
                      <a:pt x="352425" y="412750"/>
                    </a:lnTo>
                    <a:lnTo>
                      <a:pt x="155575" y="412750"/>
                    </a:lnTo>
                    <a:lnTo>
                      <a:pt x="149225" y="571500"/>
                    </a:lnTo>
                    <a:lnTo>
                      <a:pt x="250825" y="574675"/>
                    </a:lnTo>
                    <a:lnTo>
                      <a:pt x="260350" y="695325"/>
                    </a:lnTo>
                    <a:lnTo>
                      <a:pt x="412750" y="698500"/>
                    </a:lnTo>
                    <a:lnTo>
                      <a:pt x="419100" y="939800"/>
                    </a:lnTo>
                    <a:lnTo>
                      <a:pt x="349250" y="942975"/>
                    </a:lnTo>
                    <a:cubicBezTo>
                      <a:pt x="350308" y="898525"/>
                      <a:pt x="351367" y="854075"/>
                      <a:pt x="352425" y="809625"/>
                    </a:cubicBezTo>
                    <a:lnTo>
                      <a:pt x="263525" y="812800"/>
                    </a:lnTo>
                    <a:lnTo>
                      <a:pt x="263525" y="736600"/>
                    </a:lnTo>
                    <a:lnTo>
                      <a:pt x="66675" y="730250"/>
                    </a:lnTo>
                    <a:lnTo>
                      <a:pt x="66675" y="869950"/>
                    </a:lnTo>
                    <a:lnTo>
                      <a:pt x="0" y="866775"/>
                    </a:lnTo>
                    <a:lnTo>
                      <a:pt x="12700" y="993775"/>
                    </a:lnTo>
                    <a:lnTo>
                      <a:pt x="117475" y="993775"/>
                    </a:lnTo>
                    <a:lnTo>
                      <a:pt x="111125" y="1203325"/>
                    </a:lnTo>
                    <a:lnTo>
                      <a:pt x="6350" y="1193800"/>
                    </a:lnTo>
                    <a:lnTo>
                      <a:pt x="0" y="1314450"/>
                    </a:lnTo>
                    <a:lnTo>
                      <a:pt x="57150" y="1317625"/>
                    </a:lnTo>
                  </a:path>
                </a:pathLst>
              </a:custGeom>
              <a:noFill/>
              <a:ln w="381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23" name="Freeform 22">
                <a:extLst>
                  <a:ext uri="{FF2B5EF4-FFF2-40B4-BE49-F238E27FC236}">
                    <a16:creationId xmlns:a16="http://schemas.microsoft.com/office/drawing/2014/main" id="{00000000-0008-0000-0000-000017000000}"/>
                  </a:ext>
                </a:extLst>
              </xdr:cNvPr>
              <xdr:cNvSpPr/>
            </xdr:nvSpPr>
            <xdr:spPr>
              <a:xfrm>
                <a:off x="2962275" y="3112294"/>
                <a:ext cx="121444" cy="1104900"/>
              </a:xfrm>
              <a:custGeom>
                <a:avLst/>
                <a:gdLst>
                  <a:gd name="connsiteX0" fmla="*/ 73819 w 121444"/>
                  <a:gd name="connsiteY0" fmla="*/ 0 h 1104900"/>
                  <a:gd name="connsiteX1" fmla="*/ 71438 w 121444"/>
                  <a:gd name="connsiteY1" fmla="*/ 259556 h 1104900"/>
                  <a:gd name="connsiteX2" fmla="*/ 16669 w 121444"/>
                  <a:gd name="connsiteY2" fmla="*/ 261937 h 1104900"/>
                  <a:gd name="connsiteX3" fmla="*/ 9525 w 121444"/>
                  <a:gd name="connsiteY3" fmla="*/ 376237 h 1104900"/>
                  <a:gd name="connsiteX4" fmla="*/ 119063 w 121444"/>
                  <a:gd name="connsiteY4" fmla="*/ 390525 h 1104900"/>
                  <a:gd name="connsiteX5" fmla="*/ 121444 w 121444"/>
                  <a:gd name="connsiteY5" fmla="*/ 476250 h 1104900"/>
                  <a:gd name="connsiteX6" fmla="*/ 76200 w 121444"/>
                  <a:gd name="connsiteY6" fmla="*/ 483394 h 1104900"/>
                  <a:gd name="connsiteX7" fmla="*/ 64294 w 121444"/>
                  <a:gd name="connsiteY7" fmla="*/ 640556 h 1104900"/>
                  <a:gd name="connsiteX8" fmla="*/ 11906 w 121444"/>
                  <a:gd name="connsiteY8" fmla="*/ 638175 h 1104900"/>
                  <a:gd name="connsiteX9" fmla="*/ 0 w 121444"/>
                  <a:gd name="connsiteY9" fmla="*/ 1104900 h 11049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Lst>
                <a:rect l="l" t="t" r="r" b="b"/>
                <a:pathLst>
                  <a:path w="121444" h="1104900">
                    <a:moveTo>
                      <a:pt x="73819" y="0"/>
                    </a:moveTo>
                    <a:cubicBezTo>
                      <a:pt x="73025" y="86519"/>
                      <a:pt x="72232" y="173037"/>
                      <a:pt x="71438" y="259556"/>
                    </a:cubicBezTo>
                    <a:lnTo>
                      <a:pt x="16669" y="261937"/>
                    </a:lnTo>
                    <a:lnTo>
                      <a:pt x="9525" y="376237"/>
                    </a:lnTo>
                    <a:lnTo>
                      <a:pt x="119063" y="390525"/>
                    </a:lnTo>
                    <a:cubicBezTo>
                      <a:pt x="119857" y="419100"/>
                      <a:pt x="120650" y="447675"/>
                      <a:pt x="121444" y="476250"/>
                    </a:cubicBezTo>
                    <a:lnTo>
                      <a:pt x="76200" y="483394"/>
                    </a:lnTo>
                    <a:lnTo>
                      <a:pt x="64294" y="640556"/>
                    </a:lnTo>
                    <a:lnTo>
                      <a:pt x="11906" y="638175"/>
                    </a:lnTo>
                    <a:lnTo>
                      <a:pt x="0" y="1104900"/>
                    </a:lnTo>
                  </a:path>
                </a:pathLst>
              </a:custGeom>
              <a:noFill/>
              <a:ln w="381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grpSp>
        <xdr:sp macro="" textlink="">
          <xdr:nvSpPr>
            <xdr:cNvPr id="18" name="TextBox 15">
              <a:extLst>
                <a:ext uri="{FF2B5EF4-FFF2-40B4-BE49-F238E27FC236}">
                  <a16:creationId xmlns:a16="http://schemas.microsoft.com/office/drawing/2014/main" id="{00000000-0008-0000-0000-000012000000}"/>
                </a:ext>
              </a:extLst>
            </xdr:cNvPr>
            <xdr:cNvSpPr txBox="1"/>
          </xdr:nvSpPr>
          <xdr:spPr>
            <a:xfrm>
              <a:off x="2086714" y="1769149"/>
              <a:ext cx="875561"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Wing B</a:t>
              </a:r>
              <a:endParaRPr lang="en-IN" b="1">
                <a:solidFill>
                  <a:srgbClr val="FF0000"/>
                </a:solidFill>
              </a:endParaRPr>
            </a:p>
          </xdr:txBody>
        </xdr:sp>
        <xdr:sp macro="" textlink="">
          <xdr:nvSpPr>
            <xdr:cNvPr id="19" name="TextBox 16">
              <a:extLst>
                <a:ext uri="{FF2B5EF4-FFF2-40B4-BE49-F238E27FC236}">
                  <a16:creationId xmlns:a16="http://schemas.microsoft.com/office/drawing/2014/main" id="{00000000-0008-0000-0000-000013000000}"/>
                </a:ext>
              </a:extLst>
            </xdr:cNvPr>
            <xdr:cNvSpPr txBox="1"/>
          </xdr:nvSpPr>
          <xdr:spPr>
            <a:xfrm>
              <a:off x="3016619" y="3060450"/>
              <a:ext cx="875561"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0070C0"/>
                  </a:solidFill>
                </a:rPr>
                <a:t>Wing A</a:t>
              </a:r>
              <a:endParaRPr lang="en-IN" b="1">
                <a:solidFill>
                  <a:srgbClr val="0070C0"/>
                </a:solidFill>
              </a:endParaRPr>
            </a:p>
          </xdr:txBody>
        </xdr:sp>
        <xdr:pic>
          <xdr:nvPicPr>
            <xdr:cNvPr id="20" name="Picture 19">
              <a:extLst>
                <a:ext uri="{FF2B5EF4-FFF2-40B4-BE49-F238E27FC236}">
                  <a16:creationId xmlns:a16="http://schemas.microsoft.com/office/drawing/2014/main" id="{00000000-0008-0000-0000-00001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flipH="1" flipV="1">
              <a:off x="1326899" y="4488134"/>
              <a:ext cx="1080000" cy="1252251"/>
            </a:xfrm>
            <a:prstGeom prst="rect">
              <a:avLst/>
            </a:prstGeom>
          </xdr:spPr>
        </xdr:pic>
      </xdr:grpSp>
      <xdr:pic>
        <xdr:nvPicPr>
          <xdr:cNvPr id="14" name="Picture 13">
            <a:extLst>
              <a:ext uri="{FF2B5EF4-FFF2-40B4-BE49-F238E27FC236}">
                <a16:creationId xmlns:a16="http://schemas.microsoft.com/office/drawing/2014/main" id="{00000000-0008-0000-0000-00000E000000}"/>
              </a:ext>
            </a:extLst>
          </xdr:cNvPr>
          <xdr:cNvPicPr>
            <a:picLocks noChangeAspect="1"/>
          </xdr:cNvPicPr>
        </xdr:nvPicPr>
        <xdr:blipFill>
          <a:blip xmlns:r="http://schemas.openxmlformats.org/officeDocument/2006/relationships" r:embed="rId3"/>
          <a:stretch>
            <a:fillRect/>
          </a:stretch>
        </xdr:blipFill>
        <xdr:spPr>
          <a:xfrm>
            <a:off x="2169000" y="6395650"/>
            <a:ext cx="2520000" cy="1800000"/>
          </a:xfrm>
          <a:prstGeom prst="rect">
            <a:avLst/>
          </a:prstGeom>
          <a:ln>
            <a:solidFill>
              <a:schemeClr val="tx1"/>
            </a:solidFill>
          </a:ln>
        </xdr:spPr>
      </xdr:pic>
    </xdr:grpSp>
    <xdr:clientData/>
  </xdr:twoCellAnchor>
  <xdr:twoCellAnchor>
    <xdr:from>
      <xdr:col>0</xdr:col>
      <xdr:colOff>333740</xdr:colOff>
      <xdr:row>205</xdr:row>
      <xdr:rowOff>74547</xdr:rowOff>
    </xdr:from>
    <xdr:to>
      <xdr:col>7</xdr:col>
      <xdr:colOff>784411</xdr:colOff>
      <xdr:row>256</xdr:row>
      <xdr:rowOff>11205</xdr:rowOff>
    </xdr:to>
    <xdr:grpSp>
      <xdr:nvGrpSpPr>
        <xdr:cNvPr id="63" name="Group 62">
          <a:extLst>
            <a:ext uri="{FF2B5EF4-FFF2-40B4-BE49-F238E27FC236}">
              <a16:creationId xmlns:a16="http://schemas.microsoft.com/office/drawing/2014/main" id="{00000000-0008-0000-0000-00003F000000}"/>
            </a:ext>
          </a:extLst>
        </xdr:cNvPr>
        <xdr:cNvGrpSpPr/>
      </xdr:nvGrpSpPr>
      <xdr:grpSpPr>
        <a:xfrm>
          <a:off x="333740" y="41603547"/>
          <a:ext cx="6364454" cy="8384919"/>
          <a:chOff x="298254" y="-109381"/>
          <a:chExt cx="6272714" cy="8158686"/>
        </a:xfrm>
      </xdr:grpSpPr>
      <xdr:grpSp>
        <xdr:nvGrpSpPr>
          <xdr:cNvPr id="64" name="Group 63">
            <a:extLst>
              <a:ext uri="{FF2B5EF4-FFF2-40B4-BE49-F238E27FC236}">
                <a16:creationId xmlns:a16="http://schemas.microsoft.com/office/drawing/2014/main" id="{00000000-0008-0000-0000-000040000000}"/>
              </a:ext>
            </a:extLst>
          </xdr:cNvPr>
          <xdr:cNvGrpSpPr/>
        </xdr:nvGrpSpPr>
        <xdr:grpSpPr>
          <a:xfrm>
            <a:off x="927355" y="-109381"/>
            <a:ext cx="5003291" cy="2160000"/>
            <a:chOff x="-22442" y="-74211"/>
            <a:chExt cx="5003291" cy="2160000"/>
          </a:xfrm>
        </xdr:grpSpPr>
        <xdr:grpSp>
          <xdr:nvGrpSpPr>
            <xdr:cNvPr id="84" name="Group 83">
              <a:extLst>
                <a:ext uri="{FF2B5EF4-FFF2-40B4-BE49-F238E27FC236}">
                  <a16:creationId xmlns:a16="http://schemas.microsoft.com/office/drawing/2014/main" id="{00000000-0008-0000-0000-000054000000}"/>
                </a:ext>
              </a:extLst>
            </xdr:cNvPr>
            <xdr:cNvGrpSpPr/>
          </xdr:nvGrpSpPr>
          <xdr:grpSpPr>
            <a:xfrm>
              <a:off x="-22442" y="-74211"/>
              <a:ext cx="1618311" cy="2160000"/>
              <a:chOff x="-22442" y="-74211"/>
              <a:chExt cx="1618311" cy="2160000"/>
            </a:xfrm>
          </xdr:grpSpPr>
          <xdr:pic>
            <xdr:nvPicPr>
              <xdr:cNvPr id="91" name="Picture 90">
                <a:extLst>
                  <a:ext uri="{FF2B5EF4-FFF2-40B4-BE49-F238E27FC236}">
                    <a16:creationId xmlns:a16="http://schemas.microsoft.com/office/drawing/2014/main" id="{00000000-0008-0000-0000-00005B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22442" y="-74211"/>
                <a:ext cx="1618311" cy="2160000"/>
              </a:xfrm>
              <a:prstGeom prst="rect">
                <a:avLst/>
              </a:prstGeom>
              <a:ln>
                <a:solidFill>
                  <a:schemeClr val="tx1"/>
                </a:solidFill>
              </a:ln>
            </xdr:spPr>
          </xdr:pic>
          <xdr:sp macro="" textlink="">
            <xdr:nvSpPr>
              <xdr:cNvPr id="92" name="TextBox 5">
                <a:extLst>
                  <a:ext uri="{FF2B5EF4-FFF2-40B4-BE49-F238E27FC236}">
                    <a16:creationId xmlns:a16="http://schemas.microsoft.com/office/drawing/2014/main" id="{00000000-0008-0000-0000-00005C000000}"/>
                  </a:ext>
                </a:extLst>
              </xdr:cNvPr>
              <xdr:cNvSpPr txBox="1"/>
            </xdr:nvSpPr>
            <xdr:spPr>
              <a:xfrm>
                <a:off x="682750" y="-29819"/>
                <a:ext cx="875561"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t>Wing A</a:t>
                </a:r>
                <a:endParaRPr lang="en-IN" b="1"/>
              </a:p>
            </xdr:txBody>
          </xdr:sp>
        </xdr:grpSp>
        <xdr:grpSp>
          <xdr:nvGrpSpPr>
            <xdr:cNvPr id="85" name="Group 84">
              <a:extLst>
                <a:ext uri="{FF2B5EF4-FFF2-40B4-BE49-F238E27FC236}">
                  <a16:creationId xmlns:a16="http://schemas.microsoft.com/office/drawing/2014/main" id="{00000000-0008-0000-0000-000055000000}"/>
                </a:ext>
              </a:extLst>
            </xdr:cNvPr>
            <xdr:cNvGrpSpPr/>
          </xdr:nvGrpSpPr>
          <xdr:grpSpPr>
            <a:xfrm>
              <a:off x="1670048" y="-74211"/>
              <a:ext cx="1618311" cy="2160000"/>
              <a:chOff x="1670048" y="-74211"/>
              <a:chExt cx="1618311" cy="2160000"/>
            </a:xfrm>
          </xdr:grpSpPr>
          <xdr:pic>
            <xdr:nvPicPr>
              <xdr:cNvPr id="89" name="Picture 88">
                <a:extLst>
                  <a:ext uri="{FF2B5EF4-FFF2-40B4-BE49-F238E27FC236}">
                    <a16:creationId xmlns:a16="http://schemas.microsoft.com/office/drawing/2014/main" id="{00000000-0008-0000-0000-000059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670048" y="-74211"/>
                <a:ext cx="1618311" cy="2160000"/>
              </a:xfrm>
              <a:prstGeom prst="rect">
                <a:avLst/>
              </a:prstGeom>
              <a:ln>
                <a:solidFill>
                  <a:schemeClr val="tx1"/>
                </a:solidFill>
              </a:ln>
            </xdr:spPr>
          </xdr:pic>
          <xdr:sp macro="" textlink="">
            <xdr:nvSpPr>
              <xdr:cNvPr id="90" name="TextBox 8">
                <a:extLst>
                  <a:ext uri="{FF2B5EF4-FFF2-40B4-BE49-F238E27FC236}">
                    <a16:creationId xmlns:a16="http://schemas.microsoft.com/office/drawing/2014/main" id="{00000000-0008-0000-0000-00005A000000}"/>
                  </a:ext>
                </a:extLst>
              </xdr:cNvPr>
              <xdr:cNvSpPr txBox="1"/>
            </xdr:nvSpPr>
            <xdr:spPr>
              <a:xfrm>
                <a:off x="1863280" y="-34833"/>
                <a:ext cx="875561"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t>Wing A</a:t>
                </a:r>
                <a:endParaRPr lang="en-IN" b="1"/>
              </a:p>
            </xdr:txBody>
          </xdr:sp>
        </xdr:grpSp>
        <xdr:grpSp>
          <xdr:nvGrpSpPr>
            <xdr:cNvPr id="86" name="Group 85">
              <a:extLst>
                <a:ext uri="{FF2B5EF4-FFF2-40B4-BE49-F238E27FC236}">
                  <a16:creationId xmlns:a16="http://schemas.microsoft.com/office/drawing/2014/main" id="{00000000-0008-0000-0000-000056000000}"/>
                </a:ext>
              </a:extLst>
            </xdr:cNvPr>
            <xdr:cNvGrpSpPr/>
          </xdr:nvGrpSpPr>
          <xdr:grpSpPr>
            <a:xfrm>
              <a:off x="3362538" y="-74211"/>
              <a:ext cx="1618311" cy="2160000"/>
              <a:chOff x="3414274" y="-74211"/>
              <a:chExt cx="1618311" cy="2160000"/>
            </a:xfrm>
          </xdr:grpSpPr>
          <xdr:pic>
            <xdr:nvPicPr>
              <xdr:cNvPr id="87" name="Picture 86">
                <a:extLst>
                  <a:ext uri="{FF2B5EF4-FFF2-40B4-BE49-F238E27FC236}">
                    <a16:creationId xmlns:a16="http://schemas.microsoft.com/office/drawing/2014/main" id="{00000000-0008-0000-0000-000057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3414274" y="-74211"/>
                <a:ext cx="1618311" cy="2160000"/>
              </a:xfrm>
              <a:prstGeom prst="rect">
                <a:avLst/>
              </a:prstGeom>
              <a:ln>
                <a:solidFill>
                  <a:schemeClr val="tx1"/>
                </a:solidFill>
              </a:ln>
            </xdr:spPr>
          </xdr:pic>
          <xdr:sp macro="" textlink="">
            <xdr:nvSpPr>
              <xdr:cNvPr id="88" name="TextBox 11">
                <a:extLst>
                  <a:ext uri="{FF2B5EF4-FFF2-40B4-BE49-F238E27FC236}">
                    <a16:creationId xmlns:a16="http://schemas.microsoft.com/office/drawing/2014/main" id="{00000000-0008-0000-0000-000058000000}"/>
                  </a:ext>
                </a:extLst>
              </xdr:cNvPr>
              <xdr:cNvSpPr txBox="1"/>
            </xdr:nvSpPr>
            <xdr:spPr>
              <a:xfrm>
                <a:off x="4111608" y="-24184"/>
                <a:ext cx="875561"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t>Wing A</a:t>
                </a:r>
                <a:endParaRPr lang="en-IN" b="1"/>
              </a:p>
            </xdr:txBody>
          </xdr:sp>
        </xdr:grpSp>
      </xdr:grpSp>
      <xdr:grpSp>
        <xdr:nvGrpSpPr>
          <xdr:cNvPr id="65" name="Group 64">
            <a:extLst>
              <a:ext uri="{FF2B5EF4-FFF2-40B4-BE49-F238E27FC236}">
                <a16:creationId xmlns:a16="http://schemas.microsoft.com/office/drawing/2014/main" id="{00000000-0008-0000-0000-000041000000}"/>
              </a:ext>
            </a:extLst>
          </xdr:cNvPr>
          <xdr:cNvGrpSpPr/>
        </xdr:nvGrpSpPr>
        <xdr:grpSpPr>
          <a:xfrm>
            <a:off x="298254" y="2118352"/>
            <a:ext cx="6272714" cy="2171829"/>
            <a:chOff x="-22443" y="2118352"/>
            <a:chExt cx="6272714" cy="2171829"/>
          </a:xfrm>
        </xdr:grpSpPr>
        <xdr:grpSp>
          <xdr:nvGrpSpPr>
            <xdr:cNvPr id="75" name="Group 74">
              <a:extLst>
                <a:ext uri="{FF2B5EF4-FFF2-40B4-BE49-F238E27FC236}">
                  <a16:creationId xmlns:a16="http://schemas.microsoft.com/office/drawing/2014/main" id="{00000000-0008-0000-0000-00004B000000}"/>
                </a:ext>
              </a:extLst>
            </xdr:cNvPr>
            <xdr:cNvGrpSpPr/>
          </xdr:nvGrpSpPr>
          <xdr:grpSpPr>
            <a:xfrm>
              <a:off x="3372938" y="2118352"/>
              <a:ext cx="2877333" cy="2160000"/>
              <a:chOff x="3420336" y="2113338"/>
              <a:chExt cx="2877333" cy="2160000"/>
            </a:xfrm>
          </xdr:grpSpPr>
          <xdr:pic>
            <xdr:nvPicPr>
              <xdr:cNvPr id="82" name="Picture 81">
                <a:extLst>
                  <a:ext uri="{FF2B5EF4-FFF2-40B4-BE49-F238E27FC236}">
                    <a16:creationId xmlns:a16="http://schemas.microsoft.com/office/drawing/2014/main" id="{00000000-0008-0000-0000-000052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3420336" y="2113338"/>
                <a:ext cx="2877333" cy="2160000"/>
              </a:xfrm>
              <a:prstGeom prst="rect">
                <a:avLst/>
              </a:prstGeom>
              <a:ln>
                <a:solidFill>
                  <a:schemeClr val="tx1"/>
                </a:solidFill>
              </a:ln>
            </xdr:spPr>
          </xdr:pic>
          <xdr:sp macro="" textlink="">
            <xdr:nvSpPr>
              <xdr:cNvPr id="83" name="TextBox 15">
                <a:extLst>
                  <a:ext uri="{FF2B5EF4-FFF2-40B4-BE49-F238E27FC236}">
                    <a16:creationId xmlns:a16="http://schemas.microsoft.com/office/drawing/2014/main" id="{00000000-0008-0000-0000-000053000000}"/>
                  </a:ext>
                </a:extLst>
              </xdr:cNvPr>
              <xdr:cNvSpPr txBox="1"/>
            </xdr:nvSpPr>
            <xdr:spPr>
              <a:xfrm>
                <a:off x="5246479" y="2280184"/>
                <a:ext cx="875561"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t>Wing B</a:t>
                </a:r>
                <a:endParaRPr lang="en-IN" b="1"/>
              </a:p>
            </xdr:txBody>
          </xdr:sp>
        </xdr:grpSp>
        <xdr:grpSp>
          <xdr:nvGrpSpPr>
            <xdr:cNvPr id="76" name="Group 75">
              <a:extLst>
                <a:ext uri="{FF2B5EF4-FFF2-40B4-BE49-F238E27FC236}">
                  <a16:creationId xmlns:a16="http://schemas.microsoft.com/office/drawing/2014/main" id="{00000000-0008-0000-0000-00004C000000}"/>
                </a:ext>
              </a:extLst>
            </xdr:cNvPr>
            <xdr:cNvGrpSpPr/>
          </xdr:nvGrpSpPr>
          <xdr:grpSpPr>
            <a:xfrm>
              <a:off x="1669637" y="2130181"/>
              <a:ext cx="1618312" cy="2160000"/>
              <a:chOff x="1659582" y="2125167"/>
              <a:chExt cx="1618312" cy="2160000"/>
            </a:xfrm>
          </xdr:grpSpPr>
          <xdr:pic>
            <xdr:nvPicPr>
              <xdr:cNvPr id="80" name="Picture 79">
                <a:extLst>
                  <a:ext uri="{FF2B5EF4-FFF2-40B4-BE49-F238E27FC236}">
                    <a16:creationId xmlns:a16="http://schemas.microsoft.com/office/drawing/2014/main" id="{00000000-0008-0000-0000-000050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659582" y="2125167"/>
                <a:ext cx="1618312" cy="2160000"/>
              </a:xfrm>
              <a:prstGeom prst="rect">
                <a:avLst/>
              </a:prstGeom>
              <a:ln>
                <a:solidFill>
                  <a:schemeClr val="tx1"/>
                </a:solidFill>
              </a:ln>
            </xdr:spPr>
          </xdr:pic>
          <xdr:sp macro="" textlink="">
            <xdr:nvSpPr>
              <xdr:cNvPr id="81" name="TextBox 18">
                <a:extLst>
                  <a:ext uri="{FF2B5EF4-FFF2-40B4-BE49-F238E27FC236}">
                    <a16:creationId xmlns:a16="http://schemas.microsoft.com/office/drawing/2014/main" id="{00000000-0008-0000-0000-000051000000}"/>
                  </a:ext>
                </a:extLst>
              </xdr:cNvPr>
              <xdr:cNvSpPr txBox="1"/>
            </xdr:nvSpPr>
            <xdr:spPr>
              <a:xfrm>
                <a:off x="2369146" y="2181124"/>
                <a:ext cx="875561"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t>Wing B</a:t>
                </a:r>
                <a:endParaRPr lang="en-IN" b="1"/>
              </a:p>
            </xdr:txBody>
          </xdr:sp>
        </xdr:grpSp>
        <xdr:grpSp>
          <xdr:nvGrpSpPr>
            <xdr:cNvPr id="77" name="Group 76">
              <a:extLst>
                <a:ext uri="{FF2B5EF4-FFF2-40B4-BE49-F238E27FC236}">
                  <a16:creationId xmlns:a16="http://schemas.microsoft.com/office/drawing/2014/main" id="{00000000-0008-0000-0000-00004D000000}"/>
                </a:ext>
              </a:extLst>
            </xdr:cNvPr>
            <xdr:cNvGrpSpPr/>
          </xdr:nvGrpSpPr>
          <xdr:grpSpPr>
            <a:xfrm>
              <a:off x="-22443" y="2130181"/>
              <a:ext cx="1618312" cy="2160000"/>
              <a:chOff x="-32197" y="2130181"/>
              <a:chExt cx="1618312" cy="2160000"/>
            </a:xfrm>
          </xdr:grpSpPr>
          <xdr:pic>
            <xdr:nvPicPr>
              <xdr:cNvPr id="78" name="Picture 77">
                <a:extLst>
                  <a:ext uri="{FF2B5EF4-FFF2-40B4-BE49-F238E27FC236}">
                    <a16:creationId xmlns:a16="http://schemas.microsoft.com/office/drawing/2014/main" id="{00000000-0008-0000-0000-00004E00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32197" y="2130181"/>
                <a:ext cx="1618312" cy="2160000"/>
              </a:xfrm>
              <a:prstGeom prst="rect">
                <a:avLst/>
              </a:prstGeom>
              <a:ln>
                <a:solidFill>
                  <a:schemeClr val="tx1"/>
                </a:solidFill>
              </a:ln>
            </xdr:spPr>
          </xdr:pic>
          <xdr:sp macro="" textlink="">
            <xdr:nvSpPr>
              <xdr:cNvPr id="79" name="TextBox 21">
                <a:extLst>
                  <a:ext uri="{FF2B5EF4-FFF2-40B4-BE49-F238E27FC236}">
                    <a16:creationId xmlns:a16="http://schemas.microsoft.com/office/drawing/2014/main" id="{00000000-0008-0000-0000-00004F000000}"/>
                  </a:ext>
                </a:extLst>
              </xdr:cNvPr>
              <xdr:cNvSpPr txBox="1"/>
            </xdr:nvSpPr>
            <xdr:spPr>
              <a:xfrm>
                <a:off x="41571" y="2201740"/>
                <a:ext cx="875561"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t>Wing B</a:t>
                </a:r>
                <a:endParaRPr lang="en-IN" b="1"/>
              </a:p>
            </xdr:txBody>
          </xdr:sp>
        </xdr:grpSp>
      </xdr:grpSp>
      <xdr:grpSp>
        <xdr:nvGrpSpPr>
          <xdr:cNvPr id="66" name="Group 65">
            <a:extLst>
              <a:ext uri="{FF2B5EF4-FFF2-40B4-BE49-F238E27FC236}">
                <a16:creationId xmlns:a16="http://schemas.microsoft.com/office/drawing/2014/main" id="{00000000-0008-0000-0000-000042000000}"/>
              </a:ext>
            </a:extLst>
          </xdr:cNvPr>
          <xdr:cNvGrpSpPr/>
        </xdr:nvGrpSpPr>
        <xdr:grpSpPr>
          <a:xfrm>
            <a:off x="626973" y="6249305"/>
            <a:ext cx="5306432" cy="1800000"/>
            <a:chOff x="201863" y="3345789"/>
            <a:chExt cx="5306432" cy="1800000"/>
          </a:xfrm>
        </xdr:grpSpPr>
        <xdr:pic>
          <xdr:nvPicPr>
            <xdr:cNvPr id="72" name="Picture 71">
              <a:extLst>
                <a:ext uri="{FF2B5EF4-FFF2-40B4-BE49-F238E27FC236}">
                  <a16:creationId xmlns:a16="http://schemas.microsoft.com/office/drawing/2014/main" id="{00000000-0008-0000-0000-000048000000}"/>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201863" y="3345789"/>
              <a:ext cx="2397778" cy="1800000"/>
            </a:xfrm>
            <a:prstGeom prst="rect">
              <a:avLst/>
            </a:prstGeom>
            <a:ln>
              <a:solidFill>
                <a:schemeClr val="tx1"/>
              </a:solidFill>
            </a:ln>
          </xdr:spPr>
        </xdr:pic>
        <xdr:pic>
          <xdr:nvPicPr>
            <xdr:cNvPr id="73" name="Picture 72">
              <a:extLst>
                <a:ext uri="{FF2B5EF4-FFF2-40B4-BE49-F238E27FC236}">
                  <a16:creationId xmlns:a16="http://schemas.microsoft.com/office/drawing/2014/main" id="{00000000-0008-0000-0000-000049000000}"/>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2705374" y="3345789"/>
              <a:ext cx="1348594" cy="1800000"/>
            </a:xfrm>
            <a:prstGeom prst="rect">
              <a:avLst/>
            </a:prstGeom>
            <a:ln>
              <a:solidFill>
                <a:schemeClr val="tx1"/>
              </a:solidFill>
            </a:ln>
          </xdr:spPr>
        </xdr:pic>
        <xdr:pic>
          <xdr:nvPicPr>
            <xdr:cNvPr id="74" name="Picture 73">
              <a:extLst>
                <a:ext uri="{FF2B5EF4-FFF2-40B4-BE49-F238E27FC236}">
                  <a16:creationId xmlns:a16="http://schemas.microsoft.com/office/drawing/2014/main" id="{00000000-0008-0000-0000-00004A000000}"/>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4159701" y="3345789"/>
              <a:ext cx="1348594" cy="1800000"/>
            </a:xfrm>
            <a:prstGeom prst="rect">
              <a:avLst/>
            </a:prstGeom>
            <a:ln>
              <a:solidFill>
                <a:schemeClr val="tx1"/>
              </a:solidFill>
            </a:ln>
          </xdr:spPr>
        </xdr:pic>
      </xdr:grpSp>
      <xdr:grpSp>
        <xdr:nvGrpSpPr>
          <xdr:cNvPr id="67" name="Group 66">
            <a:extLst>
              <a:ext uri="{FF2B5EF4-FFF2-40B4-BE49-F238E27FC236}">
                <a16:creationId xmlns:a16="http://schemas.microsoft.com/office/drawing/2014/main" id="{00000000-0008-0000-0000-000043000000}"/>
              </a:ext>
            </a:extLst>
          </xdr:cNvPr>
          <xdr:cNvGrpSpPr/>
        </xdr:nvGrpSpPr>
        <xdr:grpSpPr>
          <a:xfrm>
            <a:off x="927765" y="4357273"/>
            <a:ext cx="5015462" cy="1812470"/>
            <a:chOff x="927765" y="0"/>
            <a:chExt cx="5015462" cy="1812470"/>
          </a:xfrm>
        </xdr:grpSpPr>
        <xdr:grpSp>
          <xdr:nvGrpSpPr>
            <xdr:cNvPr id="68" name="Group 67">
              <a:extLst>
                <a:ext uri="{FF2B5EF4-FFF2-40B4-BE49-F238E27FC236}">
                  <a16:creationId xmlns:a16="http://schemas.microsoft.com/office/drawing/2014/main" id="{00000000-0008-0000-0000-000044000000}"/>
                </a:ext>
              </a:extLst>
            </xdr:cNvPr>
            <xdr:cNvGrpSpPr/>
          </xdr:nvGrpSpPr>
          <xdr:grpSpPr>
            <a:xfrm>
              <a:off x="927765" y="0"/>
              <a:ext cx="3310391" cy="1800000"/>
              <a:chOff x="37763" y="0"/>
              <a:chExt cx="3310391" cy="1800000"/>
            </a:xfrm>
          </xdr:grpSpPr>
          <xdr:pic>
            <xdr:nvPicPr>
              <xdr:cNvPr id="70" name="Picture 69">
                <a:extLst>
                  <a:ext uri="{FF2B5EF4-FFF2-40B4-BE49-F238E27FC236}">
                    <a16:creationId xmlns:a16="http://schemas.microsoft.com/office/drawing/2014/main" id="{00000000-0008-0000-0000-00004600000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729843" y="0"/>
                <a:ext cx="1618311" cy="1800000"/>
              </a:xfrm>
              <a:prstGeom prst="rect">
                <a:avLst/>
              </a:prstGeom>
              <a:ln>
                <a:solidFill>
                  <a:schemeClr val="tx1"/>
                </a:solidFill>
              </a:ln>
            </xdr:spPr>
          </xdr:pic>
          <xdr:pic>
            <xdr:nvPicPr>
              <xdr:cNvPr id="71" name="Picture 70">
                <a:extLst>
                  <a:ext uri="{FF2B5EF4-FFF2-40B4-BE49-F238E27FC236}">
                    <a16:creationId xmlns:a16="http://schemas.microsoft.com/office/drawing/2014/main" id="{00000000-0008-0000-0000-000047000000}"/>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37763" y="0"/>
                <a:ext cx="1618311" cy="1800000"/>
              </a:xfrm>
              <a:prstGeom prst="rect">
                <a:avLst/>
              </a:prstGeom>
              <a:ln>
                <a:solidFill>
                  <a:schemeClr val="tx1"/>
                </a:solidFill>
              </a:ln>
            </xdr:spPr>
          </xdr:pic>
        </xdr:grpSp>
        <xdr:pic>
          <xdr:nvPicPr>
            <xdr:cNvPr id="69" name="Picture 68">
              <a:extLst>
                <a:ext uri="{FF2B5EF4-FFF2-40B4-BE49-F238E27FC236}">
                  <a16:creationId xmlns:a16="http://schemas.microsoft.com/office/drawing/2014/main" id="{00000000-0008-0000-0000-000045000000}"/>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4324916" y="12470"/>
              <a:ext cx="1618311" cy="1800000"/>
            </a:xfrm>
            <a:prstGeom prst="rect">
              <a:avLst/>
            </a:prstGeom>
            <a:ln>
              <a:solidFill>
                <a:schemeClr val="tx1"/>
              </a:solidFill>
            </a:ln>
          </xdr:spPr>
        </xdr:pic>
      </xdr:grpSp>
    </xdr:grpSp>
    <xdr:clientData/>
  </xdr:twoCellAnchor>
  <xdr:twoCellAnchor>
    <xdr:from>
      <xdr:col>0</xdr:col>
      <xdr:colOff>608770</xdr:colOff>
      <xdr:row>313</xdr:row>
      <xdr:rowOff>15323</xdr:rowOff>
    </xdr:from>
    <xdr:to>
      <xdr:col>7</xdr:col>
      <xdr:colOff>357187</xdr:colOff>
      <xdr:row>359</xdr:row>
      <xdr:rowOff>142875</xdr:rowOff>
    </xdr:to>
    <xdr:grpSp>
      <xdr:nvGrpSpPr>
        <xdr:cNvPr id="3" name="Group 2">
          <a:extLst>
            <a:ext uri="{FF2B5EF4-FFF2-40B4-BE49-F238E27FC236}">
              <a16:creationId xmlns:a16="http://schemas.microsoft.com/office/drawing/2014/main" id="{00000000-0008-0000-0000-000003000000}"/>
            </a:ext>
          </a:extLst>
        </xdr:cNvPr>
        <xdr:cNvGrpSpPr/>
      </xdr:nvGrpSpPr>
      <xdr:grpSpPr>
        <a:xfrm>
          <a:off x="608770" y="59434758"/>
          <a:ext cx="5662200" cy="7747552"/>
          <a:chOff x="608770" y="57803498"/>
          <a:chExt cx="5315779" cy="7309402"/>
        </a:xfrm>
      </xdr:grpSpPr>
      <xdr:grpSp>
        <xdr:nvGrpSpPr>
          <xdr:cNvPr id="25" name="Group 24">
            <a:extLst>
              <a:ext uri="{FF2B5EF4-FFF2-40B4-BE49-F238E27FC236}">
                <a16:creationId xmlns:a16="http://schemas.microsoft.com/office/drawing/2014/main" id="{00000000-0008-0000-0000-000019000000}"/>
              </a:ext>
            </a:extLst>
          </xdr:cNvPr>
          <xdr:cNvGrpSpPr/>
        </xdr:nvGrpSpPr>
        <xdr:grpSpPr>
          <a:xfrm>
            <a:off x="608770" y="61479327"/>
            <a:ext cx="5315779" cy="3633573"/>
            <a:chOff x="703384" y="1685446"/>
            <a:chExt cx="4680000" cy="3960000"/>
          </a:xfrm>
        </xdr:grpSpPr>
        <xdr:pic>
          <xdr:nvPicPr>
            <xdr:cNvPr id="27" name="Picture 26">
              <a:extLst>
                <a:ext uri="{FF2B5EF4-FFF2-40B4-BE49-F238E27FC236}">
                  <a16:creationId xmlns:a16="http://schemas.microsoft.com/office/drawing/2014/main" id="{00000000-0008-0000-0000-00001B000000}"/>
                </a:ext>
              </a:extLst>
            </xdr:cNvPr>
            <xdr:cNvPicPr>
              <a:picLocks noChangeAspect="1"/>
            </xdr:cNvPicPr>
          </xdr:nvPicPr>
          <xdr:blipFill rotWithShape="1">
            <a:blip xmlns:r="http://schemas.openxmlformats.org/officeDocument/2006/relationships" r:embed="rId16"/>
            <a:srcRect l="22700" t="17067" r="23645" b="10484"/>
            <a:stretch/>
          </xdr:blipFill>
          <xdr:spPr>
            <a:xfrm>
              <a:off x="703384" y="1685446"/>
              <a:ext cx="4680000" cy="3960000"/>
            </a:xfrm>
            <a:prstGeom prst="rect">
              <a:avLst/>
            </a:prstGeom>
            <a:ln>
              <a:solidFill>
                <a:schemeClr val="tx1"/>
              </a:solidFill>
            </a:ln>
          </xdr:spPr>
        </xdr:pic>
        <xdr:sp macro="" textlink="">
          <xdr:nvSpPr>
            <xdr:cNvPr id="28" name="Freeform 27">
              <a:extLst>
                <a:ext uri="{FF2B5EF4-FFF2-40B4-BE49-F238E27FC236}">
                  <a16:creationId xmlns:a16="http://schemas.microsoft.com/office/drawing/2014/main" id="{00000000-0008-0000-0000-00001C000000}"/>
                </a:ext>
              </a:extLst>
            </xdr:cNvPr>
            <xdr:cNvSpPr/>
          </xdr:nvSpPr>
          <xdr:spPr>
            <a:xfrm>
              <a:off x="2471738" y="2676525"/>
              <a:ext cx="885825" cy="1128713"/>
            </a:xfrm>
            <a:custGeom>
              <a:avLst/>
              <a:gdLst>
                <a:gd name="connsiteX0" fmla="*/ 0 w 885825"/>
                <a:gd name="connsiteY0" fmla="*/ 195263 h 1128713"/>
                <a:gd name="connsiteX1" fmla="*/ 66675 w 885825"/>
                <a:gd name="connsiteY1" fmla="*/ 852488 h 1128713"/>
                <a:gd name="connsiteX2" fmla="*/ 219075 w 885825"/>
                <a:gd name="connsiteY2" fmla="*/ 1019175 h 1128713"/>
                <a:gd name="connsiteX3" fmla="*/ 223837 w 885825"/>
                <a:gd name="connsiteY3" fmla="*/ 1052513 h 1128713"/>
                <a:gd name="connsiteX4" fmla="*/ 395287 w 885825"/>
                <a:gd name="connsiteY4" fmla="*/ 1071563 h 1128713"/>
                <a:gd name="connsiteX5" fmla="*/ 409575 w 885825"/>
                <a:gd name="connsiteY5" fmla="*/ 1128713 h 1128713"/>
                <a:gd name="connsiteX6" fmla="*/ 723900 w 885825"/>
                <a:gd name="connsiteY6" fmla="*/ 1128713 h 1128713"/>
                <a:gd name="connsiteX7" fmla="*/ 738187 w 885825"/>
                <a:gd name="connsiteY7" fmla="*/ 1081088 h 1128713"/>
                <a:gd name="connsiteX8" fmla="*/ 857250 w 885825"/>
                <a:gd name="connsiteY8" fmla="*/ 1081088 h 1128713"/>
                <a:gd name="connsiteX9" fmla="*/ 885825 w 885825"/>
                <a:gd name="connsiteY9" fmla="*/ 947738 h 1128713"/>
                <a:gd name="connsiteX10" fmla="*/ 862012 w 885825"/>
                <a:gd name="connsiteY10" fmla="*/ 819150 h 1128713"/>
                <a:gd name="connsiteX11" fmla="*/ 728662 w 885825"/>
                <a:gd name="connsiteY11" fmla="*/ 819150 h 1128713"/>
                <a:gd name="connsiteX12" fmla="*/ 685800 w 885825"/>
                <a:gd name="connsiteY12" fmla="*/ 742950 h 1128713"/>
                <a:gd name="connsiteX13" fmla="*/ 614362 w 885825"/>
                <a:gd name="connsiteY13" fmla="*/ 752475 h 1128713"/>
                <a:gd name="connsiteX14" fmla="*/ 590550 w 885825"/>
                <a:gd name="connsiteY14" fmla="*/ 628650 h 1128713"/>
                <a:gd name="connsiteX15" fmla="*/ 552450 w 885825"/>
                <a:gd name="connsiteY15" fmla="*/ 623888 h 1128713"/>
                <a:gd name="connsiteX16" fmla="*/ 476250 w 885825"/>
                <a:gd name="connsiteY16" fmla="*/ 0 h 1128713"/>
                <a:gd name="connsiteX17" fmla="*/ 0 w 885825"/>
                <a:gd name="connsiteY17" fmla="*/ 195263 h 112871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Lst>
              <a:rect l="l" t="t" r="r" b="b"/>
              <a:pathLst>
                <a:path w="885825" h="1128713">
                  <a:moveTo>
                    <a:pt x="0" y="195263"/>
                  </a:moveTo>
                  <a:lnTo>
                    <a:pt x="66675" y="852488"/>
                  </a:lnTo>
                  <a:lnTo>
                    <a:pt x="219075" y="1019175"/>
                  </a:lnTo>
                  <a:lnTo>
                    <a:pt x="223837" y="1052513"/>
                  </a:lnTo>
                  <a:lnTo>
                    <a:pt x="395287" y="1071563"/>
                  </a:lnTo>
                  <a:lnTo>
                    <a:pt x="409575" y="1128713"/>
                  </a:lnTo>
                  <a:lnTo>
                    <a:pt x="723900" y="1128713"/>
                  </a:lnTo>
                  <a:lnTo>
                    <a:pt x="738187" y="1081088"/>
                  </a:lnTo>
                  <a:lnTo>
                    <a:pt x="857250" y="1081088"/>
                  </a:lnTo>
                  <a:lnTo>
                    <a:pt x="885825" y="947738"/>
                  </a:lnTo>
                  <a:lnTo>
                    <a:pt x="862012" y="819150"/>
                  </a:lnTo>
                  <a:lnTo>
                    <a:pt x="728662" y="819150"/>
                  </a:lnTo>
                  <a:lnTo>
                    <a:pt x="685800" y="742950"/>
                  </a:lnTo>
                  <a:lnTo>
                    <a:pt x="614362" y="752475"/>
                  </a:lnTo>
                  <a:lnTo>
                    <a:pt x="590550" y="628650"/>
                  </a:lnTo>
                  <a:lnTo>
                    <a:pt x="552450" y="623888"/>
                  </a:lnTo>
                  <a:lnTo>
                    <a:pt x="476250" y="0"/>
                  </a:lnTo>
                  <a:lnTo>
                    <a:pt x="0" y="195263"/>
                  </a:lnTo>
                  <a:close/>
                </a:path>
              </a:pathLst>
            </a:custGeom>
            <a:noFill/>
            <a:ln w="38100">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29" name="TextBox 26">
              <a:extLst>
                <a:ext uri="{FF2B5EF4-FFF2-40B4-BE49-F238E27FC236}">
                  <a16:creationId xmlns:a16="http://schemas.microsoft.com/office/drawing/2014/main" id="{00000000-0008-0000-0000-00001D000000}"/>
                </a:ext>
              </a:extLst>
            </xdr:cNvPr>
            <xdr:cNvSpPr txBox="1"/>
          </xdr:nvSpPr>
          <xdr:spPr>
            <a:xfrm>
              <a:off x="1994747" y="3754612"/>
              <a:ext cx="2173800" cy="389933"/>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FF00"/>
                  </a:solidFill>
                  <a:latin typeface="Times New Roman" panose="02020603050405020304" pitchFamily="18" charset="0"/>
                  <a:cs typeface="Times New Roman" panose="02020603050405020304" pitchFamily="18" charset="0"/>
                </a:rPr>
                <a:t>Sai Amber Residency</a:t>
              </a:r>
              <a:endParaRPr lang="en-IN" b="1">
                <a:solidFill>
                  <a:srgbClr val="FFFF00"/>
                </a:solidFill>
                <a:latin typeface="Times New Roman" panose="02020603050405020304" pitchFamily="18" charset="0"/>
                <a:cs typeface="Times New Roman" panose="02020603050405020304" pitchFamily="18" charset="0"/>
              </a:endParaRPr>
            </a:p>
          </xdr:txBody>
        </xdr:sp>
      </xdr:grpSp>
      <xdr:pic>
        <xdr:nvPicPr>
          <xdr:cNvPr id="93" name="Picture 92">
            <a:extLst>
              <a:ext uri="{FF2B5EF4-FFF2-40B4-BE49-F238E27FC236}">
                <a16:creationId xmlns:a16="http://schemas.microsoft.com/office/drawing/2014/main" id="{00000000-0008-0000-0000-00005D000000}"/>
              </a:ext>
            </a:extLst>
          </xdr:cNvPr>
          <xdr:cNvPicPr>
            <a:picLocks noChangeAspect="1"/>
          </xdr:cNvPicPr>
        </xdr:nvPicPr>
        <xdr:blipFill rotWithShape="1">
          <a:blip xmlns:r="http://schemas.openxmlformats.org/officeDocument/2006/relationships" r:embed="rId17"/>
          <a:srcRect l="25402" t="19471" r="18915" b="16827"/>
          <a:stretch/>
        </xdr:blipFill>
        <xdr:spPr>
          <a:xfrm>
            <a:off x="1018346" y="57803498"/>
            <a:ext cx="4660122" cy="3557674"/>
          </a:xfrm>
          <a:prstGeom prst="rect">
            <a:avLst/>
          </a:prstGeom>
          <a:ln>
            <a:solidFill>
              <a:schemeClr val="tx1"/>
            </a:solidFill>
          </a:ln>
        </xdr:spPr>
      </xdr:pic>
    </xdr:grpSp>
    <xdr:clientData/>
  </xdr:twoCellAnchor>
  <xdr:twoCellAnchor editAs="oneCell">
    <xdr:from>
      <xdr:col>8</xdr:col>
      <xdr:colOff>141218</xdr:colOff>
      <xdr:row>5</xdr:row>
      <xdr:rowOff>12837</xdr:rowOff>
    </xdr:from>
    <xdr:to>
      <xdr:col>18</xdr:col>
      <xdr:colOff>365780</xdr:colOff>
      <xdr:row>14</xdr:row>
      <xdr:rowOff>125752</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8"/>
        <a:stretch>
          <a:fillRect/>
        </a:stretch>
      </xdr:blipFill>
      <xdr:spPr>
        <a:xfrm>
          <a:off x="6884918" y="1698762"/>
          <a:ext cx="6634887" cy="1941715"/>
        </a:xfrm>
        <a:prstGeom prst="rect">
          <a:avLst/>
        </a:prstGeom>
      </xdr:spPr>
    </xdr:pic>
    <xdr:clientData/>
  </xdr:twoCellAnchor>
  <xdr:twoCellAnchor editAs="oneCell">
    <xdr:from>
      <xdr:col>10</xdr:col>
      <xdr:colOff>101121</xdr:colOff>
      <xdr:row>8</xdr:row>
      <xdr:rowOff>48331</xdr:rowOff>
    </xdr:from>
    <xdr:to>
      <xdr:col>19</xdr:col>
      <xdr:colOff>246783</xdr:colOff>
      <xdr:row>19</xdr:row>
      <xdr:rowOff>98204</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9"/>
        <a:stretch>
          <a:fillRect/>
        </a:stretch>
      </xdr:blipFill>
      <xdr:spPr>
        <a:xfrm>
          <a:off x="8378346" y="2420056"/>
          <a:ext cx="5632062" cy="2145373"/>
        </a:xfrm>
        <a:prstGeom prst="rect">
          <a:avLst/>
        </a:prstGeom>
      </xdr:spPr>
    </xdr:pic>
    <xdr:clientData/>
  </xdr:twoCellAnchor>
  <xdr:twoCellAnchor editAs="oneCell">
    <xdr:from>
      <xdr:col>9</xdr:col>
      <xdr:colOff>155713</xdr:colOff>
      <xdr:row>30</xdr:row>
      <xdr:rowOff>148258</xdr:rowOff>
    </xdr:from>
    <xdr:to>
      <xdr:col>18</xdr:col>
      <xdr:colOff>385525</xdr:colOff>
      <xdr:row>37</xdr:row>
      <xdr:rowOff>1069670</xdr:rowOff>
    </xdr:to>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20"/>
        <a:stretch>
          <a:fillRect/>
        </a:stretch>
      </xdr:blipFill>
      <xdr:spPr>
        <a:xfrm>
          <a:off x="7858539" y="7817954"/>
          <a:ext cx="5746029" cy="2784999"/>
        </a:xfrm>
        <a:prstGeom prst="rect">
          <a:avLst/>
        </a:prstGeom>
      </xdr:spPr>
    </xdr:pic>
    <xdr:clientData/>
  </xdr:twoCellAnchor>
  <xdr:twoCellAnchor editAs="oneCell">
    <xdr:from>
      <xdr:col>9</xdr:col>
      <xdr:colOff>263655</xdr:colOff>
      <xdr:row>156</xdr:row>
      <xdr:rowOff>14104</xdr:rowOff>
    </xdr:from>
    <xdr:to>
      <xdr:col>21</xdr:col>
      <xdr:colOff>313555</xdr:colOff>
      <xdr:row>168</xdr:row>
      <xdr:rowOff>146922</xdr:rowOff>
    </xdr:to>
    <xdr:pic>
      <xdr:nvPicPr>
        <xdr:cNvPr id="6" name="Picture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21"/>
        <a:stretch>
          <a:fillRect/>
        </a:stretch>
      </xdr:blipFill>
      <xdr:spPr>
        <a:xfrm>
          <a:off x="7950890" y="31962075"/>
          <a:ext cx="7311312" cy="2015406"/>
        </a:xfrm>
        <a:prstGeom prst="rect">
          <a:avLst/>
        </a:prstGeom>
      </xdr:spPr>
    </xdr:pic>
    <xdr:clientData/>
  </xdr:twoCellAnchor>
  <xdr:twoCellAnchor editAs="oneCell">
    <xdr:from>
      <xdr:col>14</xdr:col>
      <xdr:colOff>101461</xdr:colOff>
      <xdr:row>142</xdr:row>
      <xdr:rowOff>44193</xdr:rowOff>
    </xdr:from>
    <xdr:to>
      <xdr:col>20</xdr:col>
      <xdr:colOff>199959</xdr:colOff>
      <xdr:row>157</xdr:row>
      <xdr:rowOff>123117</xdr:rowOff>
    </xdr:to>
    <xdr:pic>
      <xdr:nvPicPr>
        <xdr:cNvPr id="7" name="Picture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22"/>
        <a:stretch>
          <a:fillRect/>
        </a:stretch>
      </xdr:blipFill>
      <xdr:spPr>
        <a:xfrm>
          <a:off x="10817086" y="29771718"/>
          <a:ext cx="3756098" cy="2536373"/>
        </a:xfrm>
        <a:prstGeom prst="rect">
          <a:avLst/>
        </a:prstGeom>
      </xdr:spPr>
    </xdr:pic>
    <xdr:clientData/>
  </xdr:twoCellAnchor>
  <xdr:twoCellAnchor editAs="oneCell">
    <xdr:from>
      <xdr:col>13</xdr:col>
      <xdr:colOff>270621</xdr:colOff>
      <xdr:row>127</xdr:row>
      <xdr:rowOff>126067</xdr:rowOff>
    </xdr:from>
    <xdr:to>
      <xdr:col>19</xdr:col>
      <xdr:colOff>347342</xdr:colOff>
      <xdr:row>159</xdr:row>
      <xdr:rowOff>107742</xdr:rowOff>
    </xdr:to>
    <xdr:pic>
      <xdr:nvPicPr>
        <xdr:cNvPr id="9" name="Picture 8">
          <a:extLst>
            <a:ext uri="{FF2B5EF4-FFF2-40B4-BE49-F238E27FC236}">
              <a16:creationId xmlns:a16="http://schemas.microsoft.com/office/drawing/2014/main" id="{00000000-0008-0000-0000-000009000000}"/>
            </a:ext>
          </a:extLst>
        </xdr:cNvPr>
        <xdr:cNvPicPr>
          <a:picLocks noChangeAspect="1"/>
        </xdr:cNvPicPr>
      </xdr:nvPicPr>
      <xdr:blipFill>
        <a:blip xmlns:r="http://schemas.openxmlformats.org/officeDocument/2006/relationships" r:embed="rId23"/>
        <a:stretch>
          <a:fillRect/>
        </a:stretch>
      </xdr:blipFill>
      <xdr:spPr>
        <a:xfrm>
          <a:off x="10378327" y="27109832"/>
          <a:ext cx="3707427" cy="5035528"/>
        </a:xfrm>
        <a:prstGeom prst="rect">
          <a:avLst/>
        </a:prstGeom>
      </xdr:spPr>
    </xdr:pic>
    <xdr:clientData/>
  </xdr:twoCellAnchor>
  <xdr:twoCellAnchor editAs="oneCell">
    <xdr:from>
      <xdr:col>12</xdr:col>
      <xdr:colOff>346264</xdr:colOff>
      <xdr:row>136</xdr:row>
      <xdr:rowOff>103734</xdr:rowOff>
    </xdr:from>
    <xdr:to>
      <xdr:col>21</xdr:col>
      <xdr:colOff>127924</xdr:colOff>
      <xdr:row>148</xdr:row>
      <xdr:rowOff>104005</xdr:rowOff>
    </xdr:to>
    <xdr:pic>
      <xdr:nvPicPr>
        <xdr:cNvPr id="10" name="Picture 9">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24"/>
        <a:stretch>
          <a:fillRect/>
        </a:stretch>
      </xdr:blipFill>
      <xdr:spPr>
        <a:xfrm>
          <a:off x="9848852" y="28880440"/>
          <a:ext cx="5227719" cy="188285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goo.gl/maps/nKEZACsBJ8cD5mvj8" TargetMode="External"/><Relationship Id="rId6" Type="http://schemas.openxmlformats.org/officeDocument/2006/relationships/comments" Target="../comments1.xm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362"/>
  <sheetViews>
    <sheetView tabSelected="1" view="pageBreakPreview" zoomScale="115" zoomScaleNormal="115" zoomScaleSheetLayoutView="115" workbookViewId="0">
      <selection activeCell="C7" sqref="C7:H7"/>
    </sheetView>
  </sheetViews>
  <sheetFormatPr defaultRowHeight="12.75" x14ac:dyDescent="0.2"/>
  <cols>
    <col min="1" max="2" width="12" style="6" customWidth="1"/>
    <col min="3" max="8" width="12.85546875" style="6" customWidth="1"/>
    <col min="9" max="9" width="13.85546875" style="6" customWidth="1"/>
    <col min="10" max="16384" width="9.140625" style="6"/>
  </cols>
  <sheetData>
    <row r="1" spans="1:20" ht="41.25" customHeight="1" x14ac:dyDescent="0.2">
      <c r="A1" s="133" t="s">
        <v>141</v>
      </c>
      <c r="B1" s="133"/>
      <c r="C1" s="134"/>
      <c r="D1" s="134"/>
      <c r="E1" s="134"/>
      <c r="F1" s="134"/>
      <c r="G1" s="134"/>
      <c r="H1" s="134"/>
    </row>
    <row r="2" spans="1:20" ht="14.25" x14ac:dyDescent="0.2">
      <c r="A2" s="137" t="s">
        <v>85</v>
      </c>
      <c r="B2" s="137"/>
      <c r="C2" s="137"/>
      <c r="D2" s="137"/>
      <c r="E2" s="137"/>
      <c r="F2" s="137"/>
      <c r="G2" s="137"/>
      <c r="H2" s="137"/>
    </row>
    <row r="3" spans="1:20" ht="25.5" x14ac:dyDescent="0.2">
      <c r="A3" s="12" t="s">
        <v>102</v>
      </c>
      <c r="B3" s="12"/>
      <c r="C3" s="180" t="s">
        <v>108</v>
      </c>
      <c r="D3" s="181"/>
      <c r="E3" s="182"/>
      <c r="F3" s="11" t="s">
        <v>103</v>
      </c>
      <c r="G3" s="186">
        <v>45876</v>
      </c>
      <c r="H3" s="186"/>
    </row>
    <row r="4" spans="1:20" ht="26.25" customHeight="1" x14ac:dyDescent="0.2">
      <c r="A4" s="12" t="s">
        <v>106</v>
      </c>
      <c r="B4" s="12"/>
      <c r="C4" s="183" t="s">
        <v>230</v>
      </c>
      <c r="D4" s="184"/>
      <c r="E4" s="185"/>
      <c r="F4" s="11" t="s">
        <v>104</v>
      </c>
      <c r="G4" s="187" t="s">
        <v>273</v>
      </c>
      <c r="H4" s="187"/>
    </row>
    <row r="5" spans="1:20" ht="25.5" x14ac:dyDescent="0.2">
      <c r="A5" s="117" t="s">
        <v>107</v>
      </c>
      <c r="B5" s="118"/>
      <c r="C5" s="180" t="s">
        <v>272</v>
      </c>
      <c r="D5" s="181"/>
      <c r="E5" s="182"/>
      <c r="F5" s="11" t="s">
        <v>105</v>
      </c>
      <c r="G5" s="186" t="str">
        <f ca="1">TEXT(TODAY(),"DD/MM/YYYY")</f>
        <v>22/08/2025</v>
      </c>
      <c r="H5" s="186"/>
    </row>
    <row r="6" spans="1:20" ht="14.25" x14ac:dyDescent="0.2">
      <c r="A6" s="137" t="s">
        <v>101</v>
      </c>
      <c r="B6" s="137"/>
      <c r="C6" s="137"/>
      <c r="D6" s="137"/>
      <c r="E6" s="137"/>
      <c r="F6" s="137"/>
      <c r="G6" s="137"/>
      <c r="H6" s="137"/>
    </row>
    <row r="7" spans="1:20" ht="14.25" x14ac:dyDescent="0.2">
      <c r="A7" s="155" t="s">
        <v>0</v>
      </c>
      <c r="B7" s="156"/>
      <c r="C7" s="139" t="s">
        <v>231</v>
      </c>
      <c r="D7" s="139"/>
      <c r="E7" s="139"/>
      <c r="F7" s="139"/>
      <c r="G7" s="139"/>
      <c r="H7" s="139"/>
    </row>
    <row r="8" spans="1:20" ht="25.5" customHeight="1" x14ac:dyDescent="0.2">
      <c r="A8" s="155" t="s">
        <v>1</v>
      </c>
      <c r="B8" s="156"/>
      <c r="C8" s="135" t="str">
        <f>CONCATENATE((IF(OR(C7="",C7="NA"),"",C7)),", ",(IF(OR(A9="",A9="NA"),"",A9)),".",(IF(OR(C9="",C9="NA"),"",C9)),", near ",(IF(OR(C17="",C17="NA"),"",C17)),", ",(IF(OR(C11="",C11="NA"),"",C11)),", ",(IF(OR(C10="",C10="NA"),"",C10)),", ",(IF(OR(C12="",C12="NA"),"",C12)),", ",(IF(OR(C13="",C13="NA"),"",C13)),", ",(IF(OR(C14="",C14="NA"),"",C14))," - ",(IF(OR(C15="",C15="NA"),"",C15)),".")</f>
        <v>Sai Amber Residency, Survey No.2/2, 2/3, near Mahaavir Majesty, Ghot Road, Ghot, Taloja Panchnand East, Panvel, Raigad - 410208.</v>
      </c>
      <c r="D8" s="135"/>
      <c r="E8" s="135"/>
      <c r="F8" s="135"/>
      <c r="G8" s="135"/>
      <c r="H8" s="135"/>
      <c r="P8" s="54" t="s">
        <v>145</v>
      </c>
      <c r="Q8" s="54" t="s">
        <v>146</v>
      </c>
      <c r="R8" s="54" t="s">
        <v>147</v>
      </c>
      <c r="S8" s="54" t="s">
        <v>148</v>
      </c>
      <c r="T8" s="54" t="s">
        <v>149</v>
      </c>
    </row>
    <row r="9" spans="1:20" ht="15" x14ac:dyDescent="0.2">
      <c r="A9" s="155" t="s">
        <v>232</v>
      </c>
      <c r="B9" s="156"/>
      <c r="C9" s="135" t="s">
        <v>233</v>
      </c>
      <c r="D9" s="135"/>
      <c r="E9" s="135"/>
      <c r="F9" s="135"/>
      <c r="G9" s="135"/>
      <c r="H9" s="135"/>
      <c r="P9" s="54" t="s">
        <v>150</v>
      </c>
      <c r="Q9" s="54" t="s">
        <v>151</v>
      </c>
      <c r="R9" s="54" t="s">
        <v>152</v>
      </c>
      <c r="S9" s="54" t="s">
        <v>153</v>
      </c>
      <c r="T9" s="54" t="s">
        <v>154</v>
      </c>
    </row>
    <row r="10" spans="1:20" ht="15" x14ac:dyDescent="0.2">
      <c r="A10" s="155" t="s">
        <v>6</v>
      </c>
      <c r="B10" s="156"/>
      <c r="C10" s="136" t="s">
        <v>234</v>
      </c>
      <c r="D10" s="136"/>
      <c r="E10" s="136"/>
      <c r="F10" s="136"/>
      <c r="G10" s="136"/>
      <c r="H10" s="136"/>
      <c r="P10" s="54" t="s">
        <v>155</v>
      </c>
      <c r="Q10" s="54" t="s">
        <v>156</v>
      </c>
      <c r="R10" s="54" t="s">
        <v>157</v>
      </c>
      <c r="S10" s="54" t="s">
        <v>158</v>
      </c>
      <c r="T10" s="54" t="s">
        <v>159</v>
      </c>
    </row>
    <row r="11" spans="1:20" ht="15" x14ac:dyDescent="0.2">
      <c r="A11" s="155" t="s">
        <v>143</v>
      </c>
      <c r="B11" s="156"/>
      <c r="C11" s="136" t="s">
        <v>235</v>
      </c>
      <c r="D11" s="136"/>
      <c r="E11" s="136"/>
      <c r="F11" s="136"/>
      <c r="G11" s="136"/>
      <c r="H11" s="136"/>
      <c r="P11" s="54" t="s">
        <v>160</v>
      </c>
      <c r="Q11" s="54" t="s">
        <v>161</v>
      </c>
      <c r="R11" s="54" t="s">
        <v>162</v>
      </c>
      <c r="S11" s="54" t="s">
        <v>163</v>
      </c>
      <c r="T11" s="54" t="s">
        <v>164</v>
      </c>
    </row>
    <row r="12" spans="1:20" ht="15" x14ac:dyDescent="0.2">
      <c r="A12" s="155" t="s">
        <v>144</v>
      </c>
      <c r="B12" s="156"/>
      <c r="C12" s="136" t="s">
        <v>292</v>
      </c>
      <c r="D12" s="136"/>
      <c r="E12" s="136"/>
      <c r="F12" s="136"/>
      <c r="G12" s="136"/>
      <c r="H12" s="136"/>
      <c r="P12" s="54" t="s">
        <v>165</v>
      </c>
      <c r="Q12" s="54" t="s">
        <v>166</v>
      </c>
      <c r="R12" s="54" t="s">
        <v>147</v>
      </c>
      <c r="S12" s="54" t="s">
        <v>167</v>
      </c>
      <c r="T12" s="54" t="s">
        <v>168</v>
      </c>
    </row>
    <row r="13" spans="1:20" ht="15" x14ac:dyDescent="0.2">
      <c r="A13" s="155" t="s">
        <v>131</v>
      </c>
      <c r="B13" s="156"/>
      <c r="C13" s="136" t="s">
        <v>158</v>
      </c>
      <c r="D13" s="136"/>
      <c r="E13" s="136"/>
      <c r="F13" s="136"/>
      <c r="G13" s="136"/>
      <c r="H13" s="136"/>
      <c r="P13" s="54" t="s">
        <v>169</v>
      </c>
      <c r="Q13" s="54" t="s">
        <v>146</v>
      </c>
      <c r="R13" s="54"/>
      <c r="S13" s="54" t="s">
        <v>170</v>
      </c>
      <c r="T13" s="54" t="s">
        <v>171</v>
      </c>
    </row>
    <row r="14" spans="1:20" ht="15" x14ac:dyDescent="0.2">
      <c r="A14" s="155" t="s">
        <v>132</v>
      </c>
      <c r="B14" s="156"/>
      <c r="C14" s="136" t="s">
        <v>148</v>
      </c>
      <c r="D14" s="136"/>
      <c r="E14" s="136"/>
      <c r="F14" s="136"/>
      <c r="G14" s="136"/>
      <c r="H14" s="136"/>
      <c r="P14" s="54" t="s">
        <v>172</v>
      </c>
      <c r="Q14" s="54" t="s">
        <v>173</v>
      </c>
      <c r="R14" s="54"/>
      <c r="S14" s="54" t="s">
        <v>174</v>
      </c>
      <c r="T14" s="54" t="s">
        <v>175</v>
      </c>
    </row>
    <row r="15" spans="1:20" ht="15" x14ac:dyDescent="0.2">
      <c r="A15" s="155" t="s">
        <v>133</v>
      </c>
      <c r="B15" s="156"/>
      <c r="C15" s="120">
        <v>410208</v>
      </c>
      <c r="D15" s="120"/>
      <c r="E15" s="120"/>
      <c r="F15" s="120"/>
      <c r="G15" s="120"/>
      <c r="H15" s="120"/>
      <c r="P15" s="54" t="s">
        <v>176</v>
      </c>
      <c r="Q15" s="54" t="s">
        <v>177</v>
      </c>
      <c r="R15" s="54"/>
      <c r="S15" s="54" t="s">
        <v>178</v>
      </c>
      <c r="T15" s="54" t="s">
        <v>179</v>
      </c>
    </row>
    <row r="16" spans="1:20" ht="15" x14ac:dyDescent="0.2">
      <c r="A16" s="155" t="s">
        <v>48</v>
      </c>
      <c r="B16" s="156"/>
      <c r="C16" s="135" t="s">
        <v>236</v>
      </c>
      <c r="D16" s="135"/>
      <c r="E16" s="135"/>
      <c r="F16" s="135"/>
      <c r="G16" s="135"/>
      <c r="H16" s="135"/>
      <c r="P16" s="54"/>
      <c r="Q16" s="54"/>
      <c r="R16" s="54"/>
      <c r="S16" s="54" t="s">
        <v>180</v>
      </c>
      <c r="T16" s="54" t="s">
        <v>181</v>
      </c>
    </row>
    <row r="17" spans="1:20" ht="15" x14ac:dyDescent="0.2">
      <c r="A17" s="155" t="s">
        <v>90</v>
      </c>
      <c r="B17" s="156"/>
      <c r="C17" s="123" t="s">
        <v>237</v>
      </c>
      <c r="D17" s="123"/>
      <c r="E17" s="123"/>
      <c r="F17" s="123"/>
      <c r="G17" s="123"/>
      <c r="H17" s="123"/>
      <c r="P17" s="54"/>
      <c r="Q17" s="54"/>
      <c r="R17" s="54"/>
      <c r="S17" s="54" t="s">
        <v>182</v>
      </c>
      <c r="T17" s="54" t="s">
        <v>183</v>
      </c>
    </row>
    <row r="18" spans="1:20" ht="15" x14ac:dyDescent="0.2">
      <c r="A18" s="155" t="s">
        <v>89</v>
      </c>
      <c r="B18" s="156"/>
      <c r="C18" s="143" t="s">
        <v>142</v>
      </c>
      <c r="D18" s="144"/>
      <c r="E18" s="145"/>
      <c r="F18" s="143" t="s">
        <v>238</v>
      </c>
      <c r="G18" s="144"/>
      <c r="H18" s="145"/>
      <c r="P18" s="54"/>
      <c r="Q18" s="54"/>
      <c r="R18" s="54"/>
      <c r="S18" s="54" t="s">
        <v>184</v>
      </c>
      <c r="T18" s="54" t="s">
        <v>185</v>
      </c>
    </row>
    <row r="19" spans="1:20" ht="15" x14ac:dyDescent="0.2">
      <c r="A19" s="155" t="s">
        <v>134</v>
      </c>
      <c r="B19" s="156"/>
      <c r="C19" s="140" t="s">
        <v>239</v>
      </c>
      <c r="D19" s="141"/>
      <c r="E19" s="141"/>
      <c r="F19" s="141"/>
      <c r="G19" s="141"/>
      <c r="H19" s="142"/>
      <c r="P19" s="54"/>
      <c r="Q19" s="54"/>
      <c r="R19" s="54"/>
      <c r="S19" s="54" t="s">
        <v>186</v>
      </c>
      <c r="T19" s="54" t="s">
        <v>187</v>
      </c>
    </row>
    <row r="20" spans="1:20" ht="25.5" customHeight="1" x14ac:dyDescent="0.2">
      <c r="A20" s="155" t="s">
        <v>2</v>
      </c>
      <c r="B20" s="156"/>
      <c r="C20" s="135" t="s">
        <v>282</v>
      </c>
      <c r="D20" s="135"/>
      <c r="E20" s="135"/>
      <c r="F20" s="135"/>
      <c r="G20" s="135"/>
      <c r="H20" s="135"/>
      <c r="P20" s="54"/>
      <c r="Q20" s="54"/>
      <c r="R20" s="54"/>
      <c r="S20" s="54" t="s">
        <v>188</v>
      </c>
      <c r="T20" s="54" t="s">
        <v>189</v>
      </c>
    </row>
    <row r="21" spans="1:20" ht="15" x14ac:dyDescent="0.2">
      <c r="A21" s="155" t="s">
        <v>3</v>
      </c>
      <c r="B21" s="156"/>
      <c r="C21" s="138" t="s">
        <v>240</v>
      </c>
      <c r="D21" s="138"/>
      <c r="E21" s="138"/>
      <c r="F21" s="138"/>
      <c r="G21" s="138"/>
      <c r="H21" s="138"/>
      <c r="P21" s="54"/>
      <c r="Q21" s="54"/>
      <c r="R21" s="54"/>
      <c r="S21" s="54" t="s">
        <v>190</v>
      </c>
      <c r="T21" s="54" t="s">
        <v>191</v>
      </c>
    </row>
    <row r="22" spans="1:20" ht="15" customHeight="1" x14ac:dyDescent="0.2">
      <c r="A22" s="155" t="s">
        <v>109</v>
      </c>
      <c r="B22" s="156"/>
      <c r="C22" s="120" t="s">
        <v>52</v>
      </c>
      <c r="D22" s="120"/>
      <c r="E22" s="120"/>
      <c r="F22" s="120"/>
      <c r="G22" s="120"/>
      <c r="H22" s="120"/>
      <c r="P22" s="54"/>
      <c r="Q22" s="54"/>
      <c r="R22" s="54"/>
      <c r="S22" s="54" t="s">
        <v>192</v>
      </c>
      <c r="T22" s="54" t="s">
        <v>193</v>
      </c>
    </row>
    <row r="23" spans="1:20" ht="25.5" customHeight="1" x14ac:dyDescent="0.2">
      <c r="A23" s="155" t="s">
        <v>4</v>
      </c>
      <c r="B23" s="156"/>
      <c r="C23" s="135" t="s">
        <v>241</v>
      </c>
      <c r="D23" s="136"/>
      <c r="E23" s="136"/>
      <c r="F23" s="136"/>
      <c r="G23" s="136"/>
      <c r="H23" s="136"/>
    </row>
    <row r="24" spans="1:20" x14ac:dyDescent="0.2">
      <c r="A24" s="155" t="s">
        <v>5</v>
      </c>
      <c r="B24" s="156"/>
      <c r="C24" s="136" t="s">
        <v>242</v>
      </c>
      <c r="D24" s="136"/>
      <c r="E24" s="136"/>
      <c r="F24" s="136"/>
      <c r="G24" s="136"/>
      <c r="H24" s="136"/>
    </row>
    <row r="25" spans="1:20" ht="27.75" customHeight="1" x14ac:dyDescent="0.2">
      <c r="A25" s="155" t="s">
        <v>87</v>
      </c>
      <c r="B25" s="156"/>
      <c r="C25" s="136" t="s">
        <v>243</v>
      </c>
      <c r="D25" s="136"/>
      <c r="E25" s="136"/>
      <c r="F25" s="136"/>
      <c r="G25" s="136"/>
      <c r="H25" s="136"/>
    </row>
    <row r="26" spans="1:20" ht="40.5" customHeight="1" x14ac:dyDescent="0.2">
      <c r="A26" s="190" t="s">
        <v>88</v>
      </c>
      <c r="B26" s="191"/>
      <c r="C26" s="124" t="s">
        <v>244</v>
      </c>
      <c r="D26" s="124"/>
      <c r="E26" s="124"/>
      <c r="F26" s="124"/>
      <c r="G26" s="124"/>
      <c r="H26" s="124"/>
    </row>
    <row r="27" spans="1:20" ht="38.25" x14ac:dyDescent="0.2">
      <c r="A27" s="155" t="s">
        <v>92</v>
      </c>
      <c r="B27" s="156"/>
      <c r="C27" s="119" t="s">
        <v>245</v>
      </c>
      <c r="D27" s="119"/>
      <c r="E27" s="119"/>
      <c r="F27" s="13" t="s">
        <v>7</v>
      </c>
      <c r="G27" s="124" t="s">
        <v>91</v>
      </c>
      <c r="H27" s="124"/>
    </row>
    <row r="28" spans="1:20" ht="25.5" x14ac:dyDescent="0.2">
      <c r="A28" s="155" t="s">
        <v>8</v>
      </c>
      <c r="B28" s="156"/>
      <c r="C28" s="123" t="s">
        <v>293</v>
      </c>
      <c r="D28" s="124"/>
      <c r="E28" s="124"/>
      <c r="F28" s="13" t="s">
        <v>124</v>
      </c>
      <c r="G28" s="124">
        <f>26</f>
        <v>26</v>
      </c>
      <c r="H28" s="124"/>
      <c r="I28" s="6">
        <f>178*0.15</f>
        <v>26.7</v>
      </c>
    </row>
    <row r="29" spans="1:20" x14ac:dyDescent="0.2">
      <c r="A29" s="155" t="s">
        <v>202</v>
      </c>
      <c r="B29" s="156"/>
      <c r="C29" s="160" t="s">
        <v>246</v>
      </c>
      <c r="D29" s="141"/>
      <c r="E29" s="161"/>
      <c r="F29" s="161"/>
      <c r="G29" s="161"/>
      <c r="H29" s="162"/>
    </row>
    <row r="30" spans="1:20" x14ac:dyDescent="0.2">
      <c r="A30" s="155" t="s">
        <v>203</v>
      </c>
      <c r="B30" s="156"/>
      <c r="C30" s="160" t="s">
        <v>246</v>
      </c>
      <c r="D30" s="141"/>
      <c r="E30" s="161"/>
      <c r="F30" s="161"/>
      <c r="G30" s="161"/>
      <c r="H30" s="162"/>
    </row>
    <row r="31" spans="1:20" ht="12.75" customHeight="1" x14ac:dyDescent="0.2">
      <c r="A31" s="169" t="s">
        <v>9</v>
      </c>
      <c r="B31" s="170"/>
      <c r="C31" s="188" t="s">
        <v>93</v>
      </c>
      <c r="D31" s="189"/>
      <c r="E31" s="14" t="s">
        <v>12</v>
      </c>
      <c r="F31" s="14" t="s">
        <v>13</v>
      </c>
      <c r="G31" s="14" t="s">
        <v>14</v>
      </c>
      <c r="H31" s="14" t="s">
        <v>15</v>
      </c>
    </row>
    <row r="32" spans="1:20" ht="12.75" customHeight="1" x14ac:dyDescent="0.2">
      <c r="A32" s="192"/>
      <c r="B32" s="193"/>
      <c r="C32" s="131" t="s">
        <v>10</v>
      </c>
      <c r="D32" s="132"/>
      <c r="E32" s="15" t="s">
        <v>221</v>
      </c>
      <c r="F32" s="15" t="s">
        <v>221</v>
      </c>
      <c r="G32" s="15" t="s">
        <v>221</v>
      </c>
      <c r="H32" s="15" t="s">
        <v>221</v>
      </c>
    </row>
    <row r="33" spans="1:9" ht="27" customHeight="1" x14ac:dyDescent="0.2">
      <c r="A33" s="192"/>
      <c r="B33" s="193"/>
      <c r="C33" s="91" t="s">
        <v>86</v>
      </c>
      <c r="D33" s="92"/>
      <c r="E33" s="15" t="s">
        <v>265</v>
      </c>
      <c r="F33" s="17" t="s">
        <v>247</v>
      </c>
      <c r="G33" s="15" t="s">
        <v>268</v>
      </c>
      <c r="H33" s="17" t="s">
        <v>250</v>
      </c>
    </row>
    <row r="34" spans="1:9" ht="12.75" customHeight="1" x14ac:dyDescent="0.2">
      <c r="A34" s="194"/>
      <c r="B34" s="195"/>
      <c r="C34" s="131" t="s">
        <v>11</v>
      </c>
      <c r="D34" s="132"/>
      <c r="E34" s="15" t="s">
        <v>235</v>
      </c>
      <c r="F34" s="15" t="s">
        <v>248</v>
      </c>
      <c r="G34" s="15" t="s">
        <v>249</v>
      </c>
      <c r="H34" s="15" t="s">
        <v>251</v>
      </c>
    </row>
    <row r="35" spans="1:9" ht="29.25" customHeight="1" x14ac:dyDescent="0.2">
      <c r="A35" s="155" t="s">
        <v>16</v>
      </c>
      <c r="B35" s="156"/>
      <c r="C35" s="126" t="s">
        <v>276</v>
      </c>
      <c r="D35" s="126"/>
      <c r="E35" s="126"/>
      <c r="F35" s="126"/>
      <c r="G35" s="126"/>
      <c r="H35" s="126"/>
    </row>
    <row r="36" spans="1:9" ht="38.25" customHeight="1" x14ac:dyDescent="0.2">
      <c r="A36" s="155" t="s">
        <v>128</v>
      </c>
      <c r="B36" s="156"/>
      <c r="C36" s="127">
        <f>3570</f>
        <v>3570</v>
      </c>
      <c r="D36" s="128"/>
      <c r="E36" s="125" t="s">
        <v>129</v>
      </c>
      <c r="F36" s="125"/>
      <c r="G36" s="127">
        <v>3472.0360000000001</v>
      </c>
      <c r="H36" s="128"/>
    </row>
    <row r="37" spans="1:9" x14ac:dyDescent="0.2">
      <c r="A37" s="155" t="s">
        <v>17</v>
      </c>
      <c r="B37" s="156"/>
      <c r="C37" s="121" t="s">
        <v>291</v>
      </c>
      <c r="D37" s="121"/>
      <c r="E37" s="121"/>
      <c r="F37" s="121"/>
      <c r="G37" s="121"/>
      <c r="H37" s="121"/>
    </row>
    <row r="38" spans="1:9" ht="134.25" customHeight="1" x14ac:dyDescent="0.2">
      <c r="A38" s="155" t="s">
        <v>123</v>
      </c>
      <c r="B38" s="156"/>
      <c r="C38" s="123" t="s">
        <v>275</v>
      </c>
      <c r="D38" s="123"/>
      <c r="E38" s="124"/>
      <c r="F38" s="124"/>
      <c r="G38" s="124"/>
      <c r="H38" s="124"/>
      <c r="I38" s="61"/>
    </row>
    <row r="39" spans="1:9" x14ac:dyDescent="0.2">
      <c r="A39" s="129" t="s">
        <v>94</v>
      </c>
      <c r="B39" s="129"/>
      <c r="C39" s="129"/>
      <c r="D39" s="129"/>
      <c r="E39" s="129"/>
      <c r="F39" s="129"/>
      <c r="G39" s="129"/>
      <c r="H39" s="129"/>
    </row>
    <row r="40" spans="1:9" ht="12.75" customHeight="1" x14ac:dyDescent="0.2">
      <c r="A40" s="163" t="s">
        <v>19</v>
      </c>
      <c r="B40" s="164"/>
      <c r="C40" s="110" t="s">
        <v>95</v>
      </c>
      <c r="D40" s="110"/>
      <c r="E40" s="110"/>
      <c r="F40" s="110"/>
      <c r="G40" s="130">
        <f>3472.036</f>
        <v>3472.0360000000001</v>
      </c>
      <c r="H40" s="130"/>
    </row>
    <row r="41" spans="1:9" x14ac:dyDescent="0.2">
      <c r="A41" s="165"/>
      <c r="B41" s="166"/>
      <c r="C41" s="110" t="s">
        <v>96</v>
      </c>
      <c r="D41" s="110"/>
      <c r="E41" s="110"/>
      <c r="F41" s="110"/>
      <c r="G41" s="122">
        <f>3819.239/G40</f>
        <v>1.0999998271907319</v>
      </c>
      <c r="H41" s="122"/>
    </row>
    <row r="42" spans="1:9" x14ac:dyDescent="0.2">
      <c r="A42" s="165"/>
      <c r="B42" s="166"/>
      <c r="C42" s="110" t="s">
        <v>97</v>
      </c>
      <c r="D42" s="110"/>
      <c r="E42" s="110"/>
      <c r="F42" s="110"/>
      <c r="G42" s="122">
        <f>G45/G40-G41</f>
        <v>1.4845376027207089</v>
      </c>
      <c r="H42" s="122"/>
    </row>
    <row r="43" spans="1:9" x14ac:dyDescent="0.2">
      <c r="A43" s="165"/>
      <c r="B43" s="166"/>
      <c r="C43" s="110" t="s">
        <v>98</v>
      </c>
      <c r="D43" s="110"/>
      <c r="E43" s="110"/>
      <c r="F43" s="110"/>
      <c r="G43" s="122">
        <f>G41+G42</f>
        <v>2.5845374299114408</v>
      </c>
      <c r="H43" s="122"/>
    </row>
    <row r="44" spans="1:9" x14ac:dyDescent="0.2">
      <c r="A44" s="165"/>
      <c r="B44" s="166"/>
      <c r="C44" s="121" t="s">
        <v>127</v>
      </c>
      <c r="D44" s="121"/>
      <c r="E44" s="121"/>
      <c r="F44" s="121"/>
      <c r="G44" s="130">
        <v>8977.8340000000007</v>
      </c>
      <c r="H44" s="130"/>
      <c r="I44" s="6">
        <f>56.229+3318.602+3373.731+5604.203</f>
        <v>12352.764999999999</v>
      </c>
    </row>
    <row r="45" spans="1:9" x14ac:dyDescent="0.2">
      <c r="A45" s="167"/>
      <c r="B45" s="168"/>
      <c r="C45" s="110" t="s">
        <v>99</v>
      </c>
      <c r="D45" s="110"/>
      <c r="E45" s="110"/>
      <c r="F45" s="110"/>
      <c r="G45" s="130">
        <f>8973.607</f>
        <v>8973.607</v>
      </c>
      <c r="H45" s="130"/>
    </row>
    <row r="46" spans="1:9" ht="32.25" customHeight="1" x14ac:dyDescent="0.2">
      <c r="A46" s="155" t="s">
        <v>100</v>
      </c>
      <c r="B46" s="156"/>
      <c r="C46" s="160" t="s">
        <v>252</v>
      </c>
      <c r="D46" s="141"/>
      <c r="E46" s="141"/>
      <c r="F46" s="142"/>
      <c r="G46" s="59" t="s">
        <v>219</v>
      </c>
      <c r="H46" s="60">
        <v>44651</v>
      </c>
    </row>
    <row r="47" spans="1:9" ht="31.5" customHeight="1" x14ac:dyDescent="0.2">
      <c r="A47" s="169" t="s">
        <v>20</v>
      </c>
      <c r="B47" s="170"/>
      <c r="C47" s="119" t="s">
        <v>253</v>
      </c>
      <c r="D47" s="119"/>
      <c r="E47" s="120"/>
      <c r="F47" s="120"/>
      <c r="G47" s="120"/>
      <c r="H47" s="120"/>
    </row>
    <row r="48" spans="1:9" x14ac:dyDescent="0.2">
      <c r="A48" s="227" t="s">
        <v>278</v>
      </c>
      <c r="B48" s="228"/>
      <c r="C48" s="141" t="s">
        <v>277</v>
      </c>
      <c r="D48" s="141"/>
      <c r="E48" s="141"/>
      <c r="F48" s="142"/>
      <c r="G48" s="59" t="s">
        <v>219</v>
      </c>
      <c r="H48" s="60">
        <v>44651</v>
      </c>
    </row>
    <row r="49" spans="1:12" ht="43.5" customHeight="1" x14ac:dyDescent="0.2">
      <c r="A49" s="229"/>
      <c r="B49" s="230"/>
      <c r="C49" s="160" t="s">
        <v>279</v>
      </c>
      <c r="D49" s="141"/>
      <c r="E49" s="141"/>
      <c r="F49" s="141"/>
      <c r="G49" s="141"/>
      <c r="H49" s="142"/>
    </row>
    <row r="50" spans="1:12" x14ac:dyDescent="0.2">
      <c r="A50" s="171" t="s">
        <v>21</v>
      </c>
      <c r="B50" s="172"/>
      <c r="C50" s="209" t="s">
        <v>110</v>
      </c>
      <c r="D50" s="211"/>
      <c r="E50" s="121" t="s">
        <v>294</v>
      </c>
      <c r="F50" s="121"/>
      <c r="G50" s="121"/>
      <c r="H50" s="121"/>
      <c r="J50" s="6" t="s">
        <v>228</v>
      </c>
    </row>
    <row r="51" spans="1:12" ht="27.75" customHeight="1" x14ac:dyDescent="0.2">
      <c r="A51" s="171"/>
      <c r="B51" s="172"/>
      <c r="C51" s="209" t="s">
        <v>111</v>
      </c>
      <c r="D51" s="211"/>
      <c r="E51" s="200" t="s">
        <v>295</v>
      </c>
      <c r="F51" s="202"/>
      <c r="G51" s="59" t="s">
        <v>219</v>
      </c>
      <c r="H51" s="76">
        <v>45322</v>
      </c>
      <c r="I51" s="244" t="s">
        <v>227</v>
      </c>
      <c r="J51" s="121"/>
      <c r="K51" s="121"/>
      <c r="L51" s="121"/>
    </row>
    <row r="52" spans="1:12" ht="25.5" customHeight="1" x14ac:dyDescent="0.2">
      <c r="A52" s="173"/>
      <c r="B52" s="174"/>
      <c r="C52" s="209" t="s">
        <v>229</v>
      </c>
      <c r="D52" s="81"/>
      <c r="E52" s="123" t="s">
        <v>296</v>
      </c>
      <c r="F52" s="124"/>
      <c r="G52" s="124"/>
      <c r="H52" s="124"/>
    </row>
    <row r="53" spans="1:12" x14ac:dyDescent="0.2">
      <c r="A53" s="107" t="s">
        <v>220</v>
      </c>
      <c r="B53" s="108"/>
      <c r="C53" s="209"/>
      <c r="D53" s="210"/>
      <c r="E53" s="210"/>
      <c r="F53" s="210"/>
      <c r="G53" s="210"/>
      <c r="H53" s="211"/>
    </row>
    <row r="54" spans="1:12" ht="33.75" customHeight="1" x14ac:dyDescent="0.2">
      <c r="A54" s="175" t="s">
        <v>222</v>
      </c>
      <c r="B54" s="176"/>
      <c r="C54" s="200" t="s">
        <v>290</v>
      </c>
      <c r="D54" s="201"/>
      <c r="E54" s="201"/>
      <c r="F54" s="202"/>
      <c r="G54" s="59" t="s">
        <v>219</v>
      </c>
      <c r="H54" s="60" t="s">
        <v>286</v>
      </c>
    </row>
    <row r="55" spans="1:12" ht="34.5" hidden="1" customHeight="1" x14ac:dyDescent="0.2">
      <c r="A55" s="215" t="s">
        <v>223</v>
      </c>
      <c r="B55" s="216"/>
      <c r="C55" s="212"/>
      <c r="D55" s="213"/>
      <c r="E55" s="213"/>
      <c r="F55" s="214"/>
      <c r="G55" s="59" t="s">
        <v>219</v>
      </c>
      <c r="H55" s="60"/>
    </row>
    <row r="56" spans="1:12" hidden="1" x14ac:dyDescent="0.2">
      <c r="A56" s="217"/>
      <c r="B56" s="218"/>
      <c r="C56" s="212"/>
      <c r="D56" s="213"/>
      <c r="E56" s="213"/>
      <c r="F56" s="214"/>
      <c r="G56" s="59"/>
      <c r="H56" s="60"/>
    </row>
    <row r="57" spans="1:12" ht="25.5" hidden="1" customHeight="1" x14ac:dyDescent="0.2">
      <c r="A57" s="215" t="s">
        <v>224</v>
      </c>
      <c r="B57" s="216"/>
      <c r="C57" s="221"/>
      <c r="D57" s="222"/>
      <c r="E57" s="222"/>
      <c r="F57" s="223"/>
      <c r="G57" s="59" t="s">
        <v>219</v>
      </c>
      <c r="H57" s="60"/>
    </row>
    <row r="58" spans="1:12" ht="25.5" hidden="1" customHeight="1" x14ac:dyDescent="0.2">
      <c r="A58" s="219"/>
      <c r="B58" s="220"/>
      <c r="C58" s="224"/>
      <c r="D58" s="225"/>
      <c r="E58" s="225"/>
      <c r="F58" s="226"/>
      <c r="G58" s="59" t="s">
        <v>225</v>
      </c>
      <c r="H58" s="60"/>
    </row>
    <row r="59" spans="1:12" hidden="1" x14ac:dyDescent="0.2">
      <c r="A59" s="217"/>
      <c r="B59" s="218"/>
      <c r="C59" s="212" t="s">
        <v>226</v>
      </c>
      <c r="D59" s="213"/>
      <c r="E59" s="213"/>
      <c r="F59" s="214"/>
      <c r="G59" s="59"/>
      <c r="H59" s="60"/>
    </row>
    <row r="60" spans="1:12" ht="12.75" customHeight="1" x14ac:dyDescent="0.2">
      <c r="A60" s="85" t="s">
        <v>22</v>
      </c>
      <c r="B60" s="85"/>
      <c r="C60" s="85"/>
      <c r="D60" s="85"/>
      <c r="E60" s="85"/>
      <c r="F60" s="85"/>
      <c r="G60" s="85"/>
      <c r="H60" s="85"/>
    </row>
    <row r="61" spans="1:12" ht="13.5" thickBot="1" x14ac:dyDescent="0.25">
      <c r="A61" s="107" t="s">
        <v>23</v>
      </c>
      <c r="B61" s="108"/>
      <c r="C61" s="197">
        <v>44691</v>
      </c>
      <c r="D61" s="199"/>
      <c r="E61" s="107" t="s">
        <v>24</v>
      </c>
      <c r="F61" s="108"/>
      <c r="G61" s="197">
        <v>46387</v>
      </c>
      <c r="H61" s="198"/>
    </row>
    <row r="62" spans="1:12" ht="13.5" thickBot="1" x14ac:dyDescent="0.25">
      <c r="A62" s="196" t="s">
        <v>57</v>
      </c>
      <c r="B62" s="196"/>
      <c r="C62" s="196"/>
      <c r="D62" s="196"/>
      <c r="E62" s="196"/>
      <c r="F62" s="196"/>
      <c r="G62" s="196"/>
      <c r="H62" s="196"/>
      <c r="I62" s="39" t="str">
        <f ca="1">(IF(G67&gt;99%,"All work completed. Please provide OC.",IF(G67&gt;89.8%,"Plinth, RCC, Brick, Plaster, Flooring, Painting work Completed. Finishing work is in process.",IF(G67&lt;94%,(IF(E67=0,"Work not yet Started.",IF(F67=25%,"Piling work in process",IF(F67=50%,"Excavation work in process",IF(F67=100%,"Excavation work Completed. ","0")))&amp;(IF(E68=0%,"",IF(E68=J68,"Footing work is process",IF(E68=J69,"Footing work Completed",IF(E68=J70,"1st Basement Completed",IF(E68=J71,"1st &amp; 2nd Basement Completed",IF(E68=J72,"1st to 3rd Basement Completed",IF(E68=J73,"1st to 4th Basement Completed",IF(E68=J74,"Plinth work is process",IF(E68=J75,"Plinth work completed","0")))))))))))&amp;(IF(E69=(F64+G64+H64),", RCC Slab",IF(E69&gt;0,", RCC upto "&amp;E69&amp;" Slab",""))&amp;(IF(E70=H64,", Brickwork",IF(E70&gt;0,", Brickwork upto "&amp;E70&amp;" Floor",""))&amp;(IF(E71=H64,", Internal Plaster",IF(E71&gt;0,", Internal Plaster upto "&amp;E71&amp;" Floor",""))&amp;(IF(E72=H64,", External Plaster",IF(E72&gt;0,", External Plaster upto "&amp;E72&amp;" Floor",""))&amp;(IF(E73=H64,", Flooring",IF(E73&gt;0,", Flooring upto "&amp;E73&amp;" Floor",""))&amp;(IF(E74=H64,", Painting",IF(E74&gt;0,", Painting upto "&amp;E74&amp;" Floor",""))&amp;(IF(E75&gt;0,", Finishing upto "&amp;E75&amp;" Floor","")&amp;(IF(E69&gt;0.5," Completed",""))))))))))))))</f>
        <v>Excavation work Completed. Plinth work completed, RCC upto 8 Slab, Brickwork upto 7 Floor, Internal Plaster upto 5 Floor, External Plaster upto 3 Floor Completed</v>
      </c>
      <c r="J62" s="40"/>
    </row>
    <row r="63" spans="1:12" x14ac:dyDescent="0.2">
      <c r="A63" s="203" t="s">
        <v>280</v>
      </c>
      <c r="B63" s="204"/>
      <c r="C63" s="204"/>
      <c r="D63" s="205"/>
      <c r="E63" s="37" t="s">
        <v>58</v>
      </c>
      <c r="F63" s="37" t="s">
        <v>59</v>
      </c>
      <c r="G63" s="37" t="s">
        <v>60</v>
      </c>
      <c r="H63" s="38" t="s">
        <v>46</v>
      </c>
      <c r="I63" s="43"/>
      <c r="J63" s="44"/>
    </row>
    <row r="64" spans="1:12" ht="15" customHeight="1" x14ac:dyDescent="0.2">
      <c r="A64" s="206"/>
      <c r="B64" s="207"/>
      <c r="C64" s="207"/>
      <c r="D64" s="208"/>
      <c r="E64" s="41">
        <v>0</v>
      </c>
      <c r="F64" s="41">
        <v>1</v>
      </c>
      <c r="G64" s="41">
        <v>0</v>
      </c>
      <c r="H64" s="42">
        <f ca="1">--TRIM(RIGHT(SUBSTITUTE(LEFT(A63,_xlfn.AGGREGATE(16,6,FIND({0,1,2,3,4,5,6,7,8,9},A63,ROW(INDIRECT("1:"&amp;LEN(A63)))),1))," ",REPT(" ",LEN(A63))),LEN(A63)))</f>
        <v>10</v>
      </c>
      <c r="I64" s="43" t="s">
        <v>136</v>
      </c>
      <c r="J64" s="44"/>
    </row>
    <row r="65" spans="1:10" ht="28.5" customHeight="1" x14ac:dyDescent="0.2">
      <c r="A65" s="56" t="s">
        <v>135</v>
      </c>
      <c r="B65" s="55"/>
      <c r="C65" s="231" t="str">
        <f ca="1">I62</f>
        <v>Excavation work Completed. Plinth work completed, RCC upto 8 Slab, Brickwork upto 7 Floor, Internal Plaster upto 5 Floor, External Plaster upto 3 Floor Completed</v>
      </c>
      <c r="D65" s="231"/>
      <c r="E65" s="231"/>
      <c r="F65" s="231"/>
      <c r="G65" s="231"/>
      <c r="H65" s="232"/>
      <c r="I65" s="1" t="s">
        <v>64</v>
      </c>
      <c r="J65" s="46">
        <f ca="1">H64*25%</f>
        <v>2.5</v>
      </c>
    </row>
    <row r="66" spans="1:10" ht="15" customHeight="1" x14ac:dyDescent="0.2">
      <c r="A66" s="102" t="s">
        <v>61</v>
      </c>
      <c r="B66" s="103"/>
      <c r="C66" s="146" t="s">
        <v>137</v>
      </c>
      <c r="D66" s="146"/>
      <c r="E66" s="45" t="s">
        <v>62</v>
      </c>
      <c r="F66" s="45" t="s">
        <v>63</v>
      </c>
      <c r="G66" s="147" t="s">
        <v>56</v>
      </c>
      <c r="H66" s="148"/>
      <c r="I66" s="1" t="s">
        <v>66</v>
      </c>
      <c r="J66" s="48">
        <f ca="1">H64*50%</f>
        <v>5</v>
      </c>
    </row>
    <row r="67" spans="1:10" ht="15" customHeight="1" x14ac:dyDescent="0.2">
      <c r="A67" s="102" t="s">
        <v>65</v>
      </c>
      <c r="B67" s="103"/>
      <c r="C67" s="101">
        <v>0</v>
      </c>
      <c r="D67" s="101"/>
      <c r="E67" s="71">
        <f ca="1">J75</f>
        <v>10</v>
      </c>
      <c r="F67" s="47">
        <f ca="1">((100/H64)*E67)/100</f>
        <v>1</v>
      </c>
      <c r="G67" s="149">
        <f ca="1">(((E68/H64*10)+(40/(F64+G64+H64)*E69)+(15/(H64)*E70)+(5/(H64)*E71)+(5/H64*E72)+(10/H64*E73)+(5/H64*E74)+(5/H64*E75)+(5/H64*E76))/100)</f>
        <v>0.53590909090909089</v>
      </c>
      <c r="H67" s="150"/>
      <c r="I67" s="1" t="s">
        <v>68</v>
      </c>
      <c r="J67" s="48">
        <f ca="1">H64</f>
        <v>10</v>
      </c>
    </row>
    <row r="68" spans="1:10" ht="15" customHeight="1" x14ac:dyDescent="0.2">
      <c r="A68" s="102" t="s">
        <v>67</v>
      </c>
      <c r="B68" s="103"/>
      <c r="C68" s="101">
        <v>0.1</v>
      </c>
      <c r="D68" s="101"/>
      <c r="E68" s="71">
        <f ca="1">J75</f>
        <v>10</v>
      </c>
      <c r="F68" s="47">
        <f ca="1">((100/H64)*E68)/100</f>
        <v>1</v>
      </c>
      <c r="G68" s="149"/>
      <c r="H68" s="150"/>
      <c r="I68" s="1" t="s">
        <v>70</v>
      </c>
      <c r="J68" s="49">
        <f ca="1">(IF(E64&gt;1,(H64/(E64+2)),H64/4))</f>
        <v>2.5</v>
      </c>
    </row>
    <row r="69" spans="1:10" ht="15" customHeight="1" x14ac:dyDescent="0.2">
      <c r="A69" s="102" t="s">
        <v>69</v>
      </c>
      <c r="B69" s="103"/>
      <c r="C69" s="101">
        <v>0.4</v>
      </c>
      <c r="D69" s="101"/>
      <c r="E69" s="71">
        <v>8</v>
      </c>
      <c r="F69" s="47">
        <f ca="1">((100/(F64+G64+H64))*E69)/100</f>
        <v>0.72727272727272729</v>
      </c>
      <c r="G69" s="149"/>
      <c r="H69" s="150"/>
      <c r="I69" s="1" t="s">
        <v>72</v>
      </c>
      <c r="J69" s="49">
        <f ca="1">(IF(E64&gt;1,(H64/(E64+2)+J68),H64/4+J68))</f>
        <v>5</v>
      </c>
    </row>
    <row r="70" spans="1:10" ht="15" customHeight="1" x14ac:dyDescent="0.2">
      <c r="A70" s="102" t="s">
        <v>71</v>
      </c>
      <c r="B70" s="103"/>
      <c r="C70" s="101">
        <v>0.15</v>
      </c>
      <c r="D70" s="101"/>
      <c r="E70" s="70">
        <v>7</v>
      </c>
      <c r="F70" s="47">
        <f ca="1">((100/H64)*E70)/100</f>
        <v>0.7</v>
      </c>
      <c r="G70" s="149"/>
      <c r="H70" s="150"/>
      <c r="I70" s="1" t="s">
        <v>74</v>
      </c>
      <c r="J70" s="49">
        <f>(IF(E64&gt;1,(H64/(E64+2)+J69),0))</f>
        <v>0</v>
      </c>
    </row>
    <row r="71" spans="1:10" ht="15" customHeight="1" x14ac:dyDescent="0.2">
      <c r="A71" s="102" t="s">
        <v>73</v>
      </c>
      <c r="B71" s="103"/>
      <c r="C71" s="101">
        <v>0.05</v>
      </c>
      <c r="D71" s="101"/>
      <c r="E71" s="70">
        <v>5</v>
      </c>
      <c r="F71" s="47">
        <f ca="1">((100/H64)*E71)/100</f>
        <v>0.5</v>
      </c>
      <c r="G71" s="149"/>
      <c r="H71" s="150"/>
      <c r="I71" s="1" t="s">
        <v>76</v>
      </c>
      <c r="J71" s="49">
        <f>(IF(E64&gt;2,(H64/(E64+2)+J70),0))</f>
        <v>0</v>
      </c>
    </row>
    <row r="72" spans="1:10" ht="15" customHeight="1" x14ac:dyDescent="0.2">
      <c r="A72" s="102" t="s">
        <v>75</v>
      </c>
      <c r="B72" s="103"/>
      <c r="C72" s="101">
        <v>0.05</v>
      </c>
      <c r="D72" s="101"/>
      <c r="E72" s="70">
        <v>3</v>
      </c>
      <c r="F72" s="47">
        <f ca="1">((100/(H64))*E72)/100</f>
        <v>0.3</v>
      </c>
      <c r="G72" s="149"/>
      <c r="H72" s="150"/>
      <c r="I72" s="1" t="s">
        <v>78</v>
      </c>
      <c r="J72" s="50">
        <f>(IF(E64&gt;3,(H64/(E64+2)+J71),0))</f>
        <v>0</v>
      </c>
    </row>
    <row r="73" spans="1:10" ht="15.75" customHeight="1" x14ac:dyDescent="0.2">
      <c r="A73" s="102" t="s">
        <v>77</v>
      </c>
      <c r="B73" s="103"/>
      <c r="C73" s="101">
        <v>0.1</v>
      </c>
      <c r="D73" s="101"/>
      <c r="E73" s="70">
        <v>0</v>
      </c>
      <c r="F73" s="47">
        <f ca="1">((100/H64)*E73)/100</f>
        <v>0</v>
      </c>
      <c r="G73" s="149"/>
      <c r="H73" s="150"/>
      <c r="I73" s="1" t="s">
        <v>80</v>
      </c>
      <c r="J73" s="49">
        <f>(IF(E64&gt;4,(H64/(E64+2)+J72),0))</f>
        <v>0</v>
      </c>
    </row>
    <row r="74" spans="1:10" x14ac:dyDescent="0.2">
      <c r="A74" s="102" t="s">
        <v>79</v>
      </c>
      <c r="B74" s="103"/>
      <c r="C74" s="101">
        <v>0.05</v>
      </c>
      <c r="D74" s="101"/>
      <c r="E74" s="70">
        <v>0</v>
      </c>
      <c r="F74" s="47">
        <f ca="1">((100/H64)*E74)/100</f>
        <v>0</v>
      </c>
      <c r="G74" s="149"/>
      <c r="H74" s="150"/>
      <c r="I74" s="1" t="s">
        <v>82</v>
      </c>
      <c r="J74" s="49">
        <f ca="1">(IF(E64=1,(H64/(E64+3)+J69),IF(E64=0,(H64/4+J69),IF(E64&gt;1,0))))</f>
        <v>7.5</v>
      </c>
    </row>
    <row r="75" spans="1:10" ht="13.5" thickBot="1" x14ac:dyDescent="0.25">
      <c r="A75" s="102" t="s">
        <v>81</v>
      </c>
      <c r="B75" s="103"/>
      <c r="C75" s="101">
        <v>0.05</v>
      </c>
      <c r="D75" s="101"/>
      <c r="E75" s="70">
        <v>0</v>
      </c>
      <c r="F75" s="47">
        <f ca="1">((100/(H64))*E75)/100</f>
        <v>0</v>
      </c>
      <c r="G75" s="149"/>
      <c r="H75" s="150"/>
      <c r="I75" s="52" t="s">
        <v>84</v>
      </c>
      <c r="J75" s="53">
        <f ca="1">(IF(E64&gt;1.5,(H64/(E64+2)+J69+MAX(0,J70-J69)+MAX(0,J71-J70)+MAX(0,J72-J71)+MAX(0,J73-J72)+MAX(0,J74-J73)),IF(E64=1,(H64/(E64+3)+J74),IF(E64=0,H64/4+J74))))</f>
        <v>10</v>
      </c>
    </row>
    <row r="76" spans="1:10" ht="13.5" thickBot="1" x14ac:dyDescent="0.25">
      <c r="A76" s="104" t="s">
        <v>83</v>
      </c>
      <c r="B76" s="105"/>
      <c r="C76" s="106">
        <v>0.05</v>
      </c>
      <c r="D76" s="106"/>
      <c r="E76" s="72">
        <v>0</v>
      </c>
      <c r="F76" s="51">
        <f ca="1">((100/(H64))*E76)/100</f>
        <v>0</v>
      </c>
      <c r="G76" s="151"/>
      <c r="H76" s="152"/>
      <c r="I76" s="39" t="str">
        <f ca="1">(IF(G81&gt;99%,"All work completed. Please provide OC.",IF(G81&gt;89.8%,"Plinth, RCC, Brick, Plaster, Flooring, Painting work Completed. Finishing work is in process.",IF(G81&lt;94%,(IF(E81=0,"Work not yet Started.",IF(F81=25%,"Piling work in process",IF(F81=50%,"Excavation work in process",IF(F81=100%,"Excavation work Completed. ","0")))&amp;(IF(E82=0%,"",IF(E82=J82,"Footing work is process",IF(E82=J83,"Footing work Completed",IF(E82=J84,"1st Basement Completed",IF(E82=J85,"1st &amp; 2nd Basement Completed",IF(E82=J86,"1st to 3rd Basement Completed",IF(E82=J87,"1st to 4th Basement Completed",IF(E82=J88,"Plinth work is process",IF(E82=J89,"Plinth work completed","0")))))))))))&amp;(IF(E83=(F78+G78+H78),", RCC Slab",IF(E83&gt;0,", RCC upto "&amp;E83&amp;" Slab",""))&amp;(IF(E84=H78,", Brickwork",IF(E84&gt;0,", Brickwork upto "&amp;E84&amp;" Floor",""))&amp;(IF(E85=H78,", Internal Plaster",IF(E85&gt;0,", Internal Plaster upto "&amp;E85&amp;" Floor",""))&amp;(IF(E86=H78,", External Plaster",IF(E86&gt;0,", External Plaster upto "&amp;E86&amp;" Floor",""))&amp;(IF(E87=H78,", Flooring",IF(E87&gt;0,", Flooring upto "&amp;E87&amp;" Floor",""))&amp;(IF(E88=H78,", Painting",IF(E88&gt;0,", Painting upto "&amp;E88&amp;" Floor",""))&amp;(IF(E89&gt;0,", Finishing upto "&amp;E89&amp;" Floor","")&amp;(IF(E83&gt;0.5," Completed",""))))))))))))))</f>
        <v>Excavation work Completed. Plinth work completed, RCC upto 5 Slab, Brickwork upto 3 Floor Completed</v>
      </c>
      <c r="J76" s="40"/>
    </row>
    <row r="77" spans="1:10" x14ac:dyDescent="0.2">
      <c r="A77" s="203" t="s">
        <v>281</v>
      </c>
      <c r="B77" s="204"/>
      <c r="C77" s="204"/>
      <c r="D77" s="205"/>
      <c r="E77" s="37" t="s">
        <v>58</v>
      </c>
      <c r="F77" s="37" t="s">
        <v>59</v>
      </c>
      <c r="G77" s="37" t="s">
        <v>60</v>
      </c>
      <c r="H77" s="38" t="s">
        <v>46</v>
      </c>
      <c r="I77" s="43"/>
      <c r="J77" s="44"/>
    </row>
    <row r="78" spans="1:10" ht="15" customHeight="1" x14ac:dyDescent="0.2">
      <c r="A78" s="206"/>
      <c r="B78" s="207"/>
      <c r="C78" s="207"/>
      <c r="D78" s="208"/>
      <c r="E78" s="41">
        <v>0</v>
      </c>
      <c r="F78" s="41">
        <v>1</v>
      </c>
      <c r="G78" s="41">
        <v>0</v>
      </c>
      <c r="H78" s="42">
        <f ca="1">--TRIM(RIGHT(SUBSTITUTE(LEFT(A77,_xlfn.AGGREGATE(16,6,FIND({0,1,2,3,4,5,6,7,8,9},A77,ROW(INDIRECT("1:"&amp;LEN(A77)))),1))," ",REPT(" ",LEN(A77))),LEN(A77)))</f>
        <v>10</v>
      </c>
      <c r="I78" s="43" t="s">
        <v>136</v>
      </c>
      <c r="J78" s="44"/>
    </row>
    <row r="79" spans="1:10" ht="28.5" customHeight="1" x14ac:dyDescent="0.2">
      <c r="A79" s="56" t="s">
        <v>135</v>
      </c>
      <c r="B79" s="55"/>
      <c r="C79" s="231" t="str">
        <f ca="1">I76</f>
        <v>Excavation work Completed. Plinth work completed, RCC upto 5 Slab, Brickwork upto 3 Floor Completed</v>
      </c>
      <c r="D79" s="231"/>
      <c r="E79" s="231"/>
      <c r="F79" s="231"/>
      <c r="G79" s="231"/>
      <c r="H79" s="232"/>
      <c r="I79" s="1" t="s">
        <v>64</v>
      </c>
      <c r="J79" s="46">
        <f ca="1">H78*25%</f>
        <v>2.5</v>
      </c>
    </row>
    <row r="80" spans="1:10" ht="15" customHeight="1" x14ac:dyDescent="0.2">
      <c r="A80" s="102" t="s">
        <v>61</v>
      </c>
      <c r="B80" s="103"/>
      <c r="C80" s="146" t="s">
        <v>137</v>
      </c>
      <c r="D80" s="146"/>
      <c r="E80" s="45" t="s">
        <v>62</v>
      </c>
      <c r="F80" s="45" t="s">
        <v>63</v>
      </c>
      <c r="G80" s="147" t="s">
        <v>56</v>
      </c>
      <c r="H80" s="148"/>
      <c r="I80" s="1" t="s">
        <v>66</v>
      </c>
      <c r="J80" s="48">
        <f ca="1">H78*50%</f>
        <v>5</v>
      </c>
    </row>
    <row r="81" spans="1:10" ht="15" customHeight="1" x14ac:dyDescent="0.2">
      <c r="A81" s="102" t="s">
        <v>65</v>
      </c>
      <c r="B81" s="103"/>
      <c r="C81" s="101">
        <v>0</v>
      </c>
      <c r="D81" s="101"/>
      <c r="E81" s="70">
        <f ca="1">J81</f>
        <v>10</v>
      </c>
      <c r="F81" s="47">
        <f ca="1">((100/H78)*E81)/100</f>
        <v>1</v>
      </c>
      <c r="G81" s="149">
        <f ca="1">(((E82/H78*10)+(40/(F78+G78+H78)*E83)+(15/(H78)*E84)+(5/(H78)*E85)+(5/H78*E86)+(10/H78*E87)+(5/H78*E88)+(5/H78*E89)+(5/H78*E90))/100)</f>
        <v>0.32681818181818179</v>
      </c>
      <c r="H81" s="150"/>
      <c r="I81" s="1" t="s">
        <v>68</v>
      </c>
      <c r="J81" s="48">
        <f ca="1">H78</f>
        <v>10</v>
      </c>
    </row>
    <row r="82" spans="1:10" ht="15" customHeight="1" x14ac:dyDescent="0.2">
      <c r="A82" s="102" t="s">
        <v>67</v>
      </c>
      <c r="B82" s="103"/>
      <c r="C82" s="101">
        <v>0.1</v>
      </c>
      <c r="D82" s="101"/>
      <c r="E82" s="71">
        <f ca="1">J89</f>
        <v>10</v>
      </c>
      <c r="F82" s="47">
        <f ca="1">((100/H78)*E82)/100</f>
        <v>1</v>
      </c>
      <c r="G82" s="149"/>
      <c r="H82" s="150"/>
      <c r="I82" s="1" t="s">
        <v>70</v>
      </c>
      <c r="J82" s="49">
        <f ca="1">(IF(E78&gt;1,(H78/(E78+2)),H78/4))</f>
        <v>2.5</v>
      </c>
    </row>
    <row r="83" spans="1:10" ht="15" customHeight="1" x14ac:dyDescent="0.2">
      <c r="A83" s="102" t="s">
        <v>69</v>
      </c>
      <c r="B83" s="103"/>
      <c r="C83" s="101">
        <v>0.4</v>
      </c>
      <c r="D83" s="101"/>
      <c r="E83" s="71">
        <v>5</v>
      </c>
      <c r="F83" s="47">
        <f ca="1">((100/(F78+G78+H78))*E83)/100</f>
        <v>0.45454545454545459</v>
      </c>
      <c r="G83" s="149"/>
      <c r="H83" s="150"/>
      <c r="I83" s="1" t="s">
        <v>72</v>
      </c>
      <c r="J83" s="49">
        <f ca="1">(IF(E78&gt;1,(H78/(E78+2)+J82),H78/4+J82))</f>
        <v>5</v>
      </c>
    </row>
    <row r="84" spans="1:10" ht="15" customHeight="1" x14ac:dyDescent="0.2">
      <c r="A84" s="102" t="s">
        <v>71</v>
      </c>
      <c r="B84" s="103"/>
      <c r="C84" s="101">
        <v>0.15</v>
      </c>
      <c r="D84" s="101"/>
      <c r="E84" s="70">
        <v>3</v>
      </c>
      <c r="F84" s="47">
        <f ca="1">((100/H78)*E84)/100</f>
        <v>0.3</v>
      </c>
      <c r="G84" s="149"/>
      <c r="H84" s="150"/>
      <c r="I84" s="1" t="s">
        <v>74</v>
      </c>
      <c r="J84" s="49">
        <f>(IF(E78&gt;1,(H78/(E78+2)+J83),0))</f>
        <v>0</v>
      </c>
    </row>
    <row r="85" spans="1:10" ht="15" customHeight="1" x14ac:dyDescent="0.2">
      <c r="A85" s="102" t="s">
        <v>73</v>
      </c>
      <c r="B85" s="103"/>
      <c r="C85" s="101">
        <v>0.05</v>
      </c>
      <c r="D85" s="101"/>
      <c r="E85" s="70">
        <v>0</v>
      </c>
      <c r="F85" s="47">
        <f ca="1">((100/H78)*E85)/100</f>
        <v>0</v>
      </c>
      <c r="G85" s="149"/>
      <c r="H85" s="150"/>
      <c r="I85" s="1" t="s">
        <v>76</v>
      </c>
      <c r="J85" s="49">
        <f>(IF(E78&gt;2,(H78/(E78+2)+J84),0))</f>
        <v>0</v>
      </c>
    </row>
    <row r="86" spans="1:10" ht="15" customHeight="1" x14ac:dyDescent="0.2">
      <c r="A86" s="102" t="s">
        <v>75</v>
      </c>
      <c r="B86" s="103"/>
      <c r="C86" s="101">
        <v>0.05</v>
      </c>
      <c r="D86" s="101"/>
      <c r="E86" s="70">
        <v>0</v>
      </c>
      <c r="F86" s="47">
        <f ca="1">((100/(H78))*E86)/100</f>
        <v>0</v>
      </c>
      <c r="G86" s="149"/>
      <c r="H86" s="150"/>
      <c r="I86" s="1" t="s">
        <v>78</v>
      </c>
      <c r="J86" s="50">
        <f>(IF(E78&gt;3,(H78/(E78+2)+J85),0))</f>
        <v>0</v>
      </c>
    </row>
    <row r="87" spans="1:10" ht="15.75" customHeight="1" x14ac:dyDescent="0.2">
      <c r="A87" s="102" t="s">
        <v>77</v>
      </c>
      <c r="B87" s="103"/>
      <c r="C87" s="101">
        <v>0.1</v>
      </c>
      <c r="D87" s="101"/>
      <c r="E87" s="70">
        <v>0</v>
      </c>
      <c r="F87" s="47">
        <f ca="1">((100/H78)*E87)/100</f>
        <v>0</v>
      </c>
      <c r="G87" s="149"/>
      <c r="H87" s="150"/>
      <c r="I87" s="1" t="s">
        <v>80</v>
      </c>
      <c r="J87" s="49">
        <f>(IF(E78&gt;4,(H78/(E78+2)+J86),0))</f>
        <v>0</v>
      </c>
    </row>
    <row r="88" spans="1:10" x14ac:dyDescent="0.2">
      <c r="A88" s="102" t="s">
        <v>79</v>
      </c>
      <c r="B88" s="103"/>
      <c r="C88" s="101">
        <v>0.05</v>
      </c>
      <c r="D88" s="101"/>
      <c r="E88" s="70">
        <v>0</v>
      </c>
      <c r="F88" s="47">
        <f ca="1">((100/H78)*E88)/100</f>
        <v>0</v>
      </c>
      <c r="G88" s="149"/>
      <c r="H88" s="150"/>
      <c r="I88" s="1" t="s">
        <v>82</v>
      </c>
      <c r="J88" s="49">
        <f ca="1">(IF(E78=1,(H78/(E78+3)+J83),IF(E78=0,(H78/4+J83),IF(E78&gt;1,0))))</f>
        <v>7.5</v>
      </c>
    </row>
    <row r="89" spans="1:10" ht="13.5" thickBot="1" x14ac:dyDescent="0.25">
      <c r="A89" s="102" t="s">
        <v>81</v>
      </c>
      <c r="B89" s="103"/>
      <c r="C89" s="101">
        <v>0.05</v>
      </c>
      <c r="D89" s="101"/>
      <c r="E89" s="70">
        <v>0</v>
      </c>
      <c r="F89" s="47">
        <f ca="1">((100/(H78))*E89)/100</f>
        <v>0</v>
      </c>
      <c r="G89" s="149"/>
      <c r="H89" s="150"/>
      <c r="I89" s="52" t="s">
        <v>84</v>
      </c>
      <c r="J89" s="53">
        <f ca="1">(IF(E78&gt;1.5,(H78/(E78+2)+J83+MAX(0,J84-J83)+MAX(0,J85-J84)+MAX(0,J86-J85)+MAX(0,J87-J86)+MAX(0,J88-J87)),IF(E78=1,(H78/(E78+3)+J88),IF(E78=0,H78/4+J88))))</f>
        <v>10</v>
      </c>
    </row>
    <row r="90" spans="1:10" ht="13.5" thickBot="1" x14ac:dyDescent="0.25">
      <c r="A90" s="104" t="s">
        <v>83</v>
      </c>
      <c r="B90" s="105"/>
      <c r="C90" s="106">
        <v>0.05</v>
      </c>
      <c r="D90" s="106"/>
      <c r="E90" s="72">
        <v>0</v>
      </c>
      <c r="F90" s="51">
        <f ca="1">((100/(H78))*E90)/100</f>
        <v>0</v>
      </c>
      <c r="G90" s="151"/>
      <c r="H90" s="152"/>
    </row>
    <row r="91" spans="1:10" x14ac:dyDescent="0.2">
      <c r="A91" s="167" t="s">
        <v>25</v>
      </c>
      <c r="B91" s="168"/>
      <c r="C91" s="153" t="s">
        <v>113</v>
      </c>
      <c r="D91" s="153"/>
      <c r="E91" s="153"/>
      <c r="F91" s="153"/>
      <c r="G91" s="153"/>
      <c r="H91" s="153"/>
    </row>
    <row r="92" spans="1:10" x14ac:dyDescent="0.2">
      <c r="A92" s="85" t="s">
        <v>26</v>
      </c>
      <c r="B92" s="85"/>
      <c r="C92" s="85"/>
      <c r="D92" s="85"/>
      <c r="E92" s="85"/>
      <c r="F92" s="85"/>
      <c r="G92" s="85"/>
      <c r="H92" s="85"/>
    </row>
    <row r="93" spans="1:10" x14ac:dyDescent="0.2">
      <c r="A93" s="115" t="s">
        <v>27</v>
      </c>
      <c r="B93" s="116"/>
      <c r="C93" s="89" t="s">
        <v>50</v>
      </c>
      <c r="D93" s="90"/>
      <c r="E93" s="112" t="s">
        <v>28</v>
      </c>
      <c r="F93" s="112"/>
      <c r="G93" s="15" t="s">
        <v>18</v>
      </c>
      <c r="H93" s="62" t="s">
        <v>51</v>
      </c>
    </row>
    <row r="94" spans="1:10" x14ac:dyDescent="0.2">
      <c r="A94" s="115" t="s">
        <v>29</v>
      </c>
      <c r="B94" s="116"/>
      <c r="C94" s="89" t="s">
        <v>49</v>
      </c>
      <c r="D94" s="90"/>
      <c r="E94" s="112" t="s">
        <v>30</v>
      </c>
      <c r="F94" s="112"/>
      <c r="G94" s="15" t="s">
        <v>18</v>
      </c>
      <c r="H94" s="62" t="s">
        <v>52</v>
      </c>
    </row>
    <row r="95" spans="1:10" x14ac:dyDescent="0.2">
      <c r="A95" s="115" t="s">
        <v>31</v>
      </c>
      <c r="B95" s="116"/>
      <c r="C95" s="89" t="s">
        <v>274</v>
      </c>
      <c r="D95" s="90"/>
      <c r="E95" s="112" t="s">
        <v>32</v>
      </c>
      <c r="F95" s="112"/>
      <c r="G95" s="62" t="s">
        <v>18</v>
      </c>
      <c r="H95" s="62" t="s">
        <v>51</v>
      </c>
    </row>
    <row r="96" spans="1:10" x14ac:dyDescent="0.2">
      <c r="A96" s="115" t="s">
        <v>33</v>
      </c>
      <c r="B96" s="116"/>
      <c r="C96" s="89" t="s">
        <v>121</v>
      </c>
      <c r="D96" s="90"/>
      <c r="E96" s="112" t="s">
        <v>34</v>
      </c>
      <c r="F96" s="112"/>
      <c r="G96" s="62" t="s">
        <v>18</v>
      </c>
      <c r="H96" s="62" t="s">
        <v>51</v>
      </c>
    </row>
    <row r="97" spans="1:9" x14ac:dyDescent="0.2">
      <c r="A97" s="115" t="s">
        <v>35</v>
      </c>
      <c r="B97" s="116"/>
      <c r="C97" s="89" t="s">
        <v>126</v>
      </c>
      <c r="D97" s="90"/>
      <c r="E97" s="112" t="s">
        <v>36</v>
      </c>
      <c r="F97" s="112"/>
      <c r="G97" s="62" t="s">
        <v>18</v>
      </c>
      <c r="H97" s="62" t="s">
        <v>52</v>
      </c>
    </row>
    <row r="98" spans="1:9" x14ac:dyDescent="0.2">
      <c r="A98" s="115" t="s">
        <v>37</v>
      </c>
      <c r="B98" s="116"/>
      <c r="C98" s="89" t="s">
        <v>138</v>
      </c>
      <c r="D98" s="90"/>
      <c r="E98" s="112" t="s">
        <v>38</v>
      </c>
      <c r="F98" s="112"/>
      <c r="G98" s="62" t="s">
        <v>18</v>
      </c>
      <c r="H98" s="62" t="s">
        <v>52</v>
      </c>
    </row>
    <row r="99" spans="1:9" x14ac:dyDescent="0.2">
      <c r="A99" s="115" t="s">
        <v>39</v>
      </c>
      <c r="B99" s="116"/>
      <c r="C99" s="89" t="s">
        <v>122</v>
      </c>
      <c r="D99" s="90"/>
      <c r="E99" s="112" t="s">
        <v>40</v>
      </c>
      <c r="F99" s="112"/>
      <c r="G99" s="62" t="s">
        <v>18</v>
      </c>
      <c r="H99" s="62" t="s">
        <v>52</v>
      </c>
    </row>
    <row r="100" spans="1:9" ht="25.5" customHeight="1" x14ac:dyDescent="0.2">
      <c r="A100" s="95" t="s">
        <v>41</v>
      </c>
      <c r="B100" s="96"/>
      <c r="C100" s="89" t="s">
        <v>125</v>
      </c>
      <c r="D100" s="90"/>
      <c r="E100" s="85" t="s">
        <v>42</v>
      </c>
      <c r="F100" s="85"/>
      <c r="G100" s="113" t="s">
        <v>52</v>
      </c>
      <c r="H100" s="113"/>
    </row>
    <row r="101" spans="1:9" x14ac:dyDescent="0.2">
      <c r="A101" s="95" t="s">
        <v>43</v>
      </c>
      <c r="B101" s="96"/>
      <c r="C101" s="91" t="s">
        <v>54</v>
      </c>
      <c r="D101" s="92"/>
      <c r="E101" s="85" t="s">
        <v>44</v>
      </c>
      <c r="F101" s="85"/>
      <c r="G101" s="113" t="s">
        <v>53</v>
      </c>
      <c r="H101" s="113"/>
    </row>
    <row r="102" spans="1:9" x14ac:dyDescent="0.2">
      <c r="A102" s="177" t="s">
        <v>283</v>
      </c>
      <c r="B102" s="178"/>
      <c r="C102" s="178"/>
      <c r="D102" s="178"/>
      <c r="E102" s="178"/>
      <c r="F102" s="178"/>
      <c r="G102" s="178"/>
      <c r="H102" s="179"/>
    </row>
    <row r="103" spans="1:9" x14ac:dyDescent="0.2">
      <c r="A103" s="85" t="s">
        <v>194</v>
      </c>
      <c r="B103" s="85"/>
      <c r="C103" s="95" t="s">
        <v>195</v>
      </c>
      <c r="D103" s="96"/>
      <c r="E103" s="85" t="s">
        <v>196</v>
      </c>
      <c r="F103" s="85"/>
      <c r="G103" s="85" t="s">
        <v>197</v>
      </c>
      <c r="H103" s="85"/>
      <c r="I103" s="63" t="s">
        <v>263</v>
      </c>
    </row>
    <row r="104" spans="1:9" x14ac:dyDescent="0.2">
      <c r="A104" s="114" t="s">
        <v>198</v>
      </c>
      <c r="B104" s="114"/>
      <c r="C104" s="97">
        <f>COUNT(D118:D123)</f>
        <v>6</v>
      </c>
      <c r="D104" s="233"/>
      <c r="E104" s="97">
        <f t="shared" ref="E104" si="0">SUM(F118:F123)</f>
        <v>1220.1661368</v>
      </c>
      <c r="F104" s="233"/>
      <c r="G104" s="97">
        <f>SUM(H118:H123)</f>
        <v>1891.2575120399999</v>
      </c>
      <c r="H104" s="233"/>
    </row>
    <row r="105" spans="1:9" x14ac:dyDescent="0.2">
      <c r="A105" s="85" t="s">
        <v>199</v>
      </c>
      <c r="B105" s="85"/>
      <c r="C105" s="234">
        <f>SUM(C104)</f>
        <v>6</v>
      </c>
      <c r="D105" s="235"/>
      <c r="E105" s="157">
        <f>SUM(E104)</f>
        <v>1220.1661368</v>
      </c>
      <c r="F105" s="158"/>
      <c r="G105" s="157">
        <f>SUM(G104)</f>
        <v>1891.2575120399999</v>
      </c>
      <c r="H105" s="158"/>
    </row>
    <row r="106" spans="1:9" x14ac:dyDescent="0.2">
      <c r="A106" s="85" t="s">
        <v>284</v>
      </c>
      <c r="B106" s="85"/>
      <c r="C106" s="85"/>
      <c r="D106" s="85"/>
      <c r="E106" s="85"/>
      <c r="F106" s="85"/>
      <c r="G106" s="85"/>
      <c r="H106" s="85"/>
    </row>
    <row r="107" spans="1:9" x14ac:dyDescent="0.2">
      <c r="A107" s="85" t="s">
        <v>194</v>
      </c>
      <c r="B107" s="85"/>
      <c r="C107" s="95" t="s">
        <v>195</v>
      </c>
      <c r="D107" s="96"/>
      <c r="E107" s="85" t="s">
        <v>196</v>
      </c>
      <c r="F107" s="85"/>
      <c r="G107" s="85" t="s">
        <v>197</v>
      </c>
      <c r="H107" s="85"/>
      <c r="I107" s="63" t="s">
        <v>264</v>
      </c>
    </row>
    <row r="108" spans="1:9" x14ac:dyDescent="0.2">
      <c r="A108" s="114" t="s">
        <v>198</v>
      </c>
      <c r="B108" s="114"/>
      <c r="C108" s="97">
        <f>COUNT(D129:D138)+COUNT(D140:D149)*8+COUNT(D151:D155,D157:D160)</f>
        <v>99</v>
      </c>
      <c r="D108" s="97"/>
      <c r="E108" s="97">
        <f t="shared" ref="E108" si="1">SUM(F129:F138)+SUM(F140:F149)*8+SUM(F151:F155,F157:F160)</f>
        <v>41384.011733999992</v>
      </c>
      <c r="F108" s="97"/>
      <c r="G108" s="97">
        <f>SUM(H129:H138)+SUM(H140:H149)*8+SUM(H151:H155,H157:H160)</f>
        <v>62222.191106399987</v>
      </c>
      <c r="H108" s="97"/>
      <c r="I108" s="63" t="s">
        <v>263</v>
      </c>
    </row>
    <row r="109" spans="1:9" x14ac:dyDescent="0.2">
      <c r="A109" s="114" t="s">
        <v>200</v>
      </c>
      <c r="B109" s="114"/>
      <c r="C109" s="97">
        <f>COUNT(D163:D170)+COUNT(D172:D179)*8+COUNT(D181:D185,D187:D188)</f>
        <v>79</v>
      </c>
      <c r="D109" s="97"/>
      <c r="E109" s="97">
        <f t="shared" ref="E109" si="2">SUM(F163:F170)+SUM(F172:F179)*8+SUM(F181:F185,F187:F188)</f>
        <v>24122.473829999992</v>
      </c>
      <c r="F109" s="97"/>
      <c r="G109" s="97">
        <f t="shared" ref="G109" si="3">SUM(H163:H170)+SUM(H172:H179)*8+SUM(H181:H185,H187:H188)</f>
        <v>36183.710744999997</v>
      </c>
      <c r="H109" s="97"/>
    </row>
    <row r="110" spans="1:9" x14ac:dyDescent="0.2">
      <c r="A110" s="85" t="s">
        <v>199</v>
      </c>
      <c r="B110" s="85"/>
      <c r="C110" s="236">
        <f t="shared" ref="C110:G110" si="4">SUM(C108:D109)</f>
        <v>178</v>
      </c>
      <c r="D110" s="235"/>
      <c r="E110" s="157">
        <f t="shared" si="4"/>
        <v>65506.485563999988</v>
      </c>
      <c r="F110" s="158"/>
      <c r="G110" s="157">
        <f t="shared" si="4"/>
        <v>98405.901851399976</v>
      </c>
      <c r="H110" s="158"/>
    </row>
    <row r="111" spans="1:9" x14ac:dyDescent="0.2">
      <c r="A111" s="85" t="s">
        <v>201</v>
      </c>
      <c r="B111" s="85"/>
      <c r="C111" s="95">
        <f>C105+C110</f>
        <v>184</v>
      </c>
      <c r="D111" s="96"/>
      <c r="E111" s="159">
        <f>E105+E110</f>
        <v>66726.651700799994</v>
      </c>
      <c r="F111" s="159"/>
      <c r="G111" s="159">
        <f>G105+G110</f>
        <v>100297.15936343998</v>
      </c>
      <c r="H111" s="159"/>
    </row>
    <row r="112" spans="1:9" x14ac:dyDescent="0.2">
      <c r="A112" s="85" t="s">
        <v>45</v>
      </c>
      <c r="B112" s="85"/>
      <c r="C112" s="85"/>
      <c r="D112" s="85"/>
      <c r="E112" s="85"/>
      <c r="F112" s="85"/>
      <c r="G112" s="85"/>
      <c r="H112" s="85"/>
    </row>
    <row r="113" spans="1:9" x14ac:dyDescent="0.2">
      <c r="A113" s="85" t="s">
        <v>211</v>
      </c>
      <c r="B113" s="85"/>
      <c r="C113" s="85"/>
      <c r="D113" s="85"/>
      <c r="E113" s="85"/>
      <c r="F113" s="85"/>
      <c r="G113" s="85"/>
      <c r="H113" s="85"/>
    </row>
    <row r="114" spans="1:9" ht="38.25" x14ac:dyDescent="0.2">
      <c r="A114" s="93" t="s">
        <v>212</v>
      </c>
      <c r="B114" s="93" t="s">
        <v>213</v>
      </c>
      <c r="C114" s="93" t="s">
        <v>262</v>
      </c>
      <c r="D114" s="93" t="s">
        <v>206</v>
      </c>
      <c r="E114" s="93" t="s">
        <v>209</v>
      </c>
      <c r="F114" s="93" t="s">
        <v>207</v>
      </c>
      <c r="G114" s="65" t="s">
        <v>208</v>
      </c>
      <c r="H114" s="65" t="s">
        <v>139</v>
      </c>
    </row>
    <row r="115" spans="1:9" x14ac:dyDescent="0.2">
      <c r="A115" s="94"/>
      <c r="B115" s="94"/>
      <c r="C115" s="94"/>
      <c r="D115" s="94"/>
      <c r="E115" s="94"/>
      <c r="F115" s="94"/>
      <c r="G115" s="68"/>
      <c r="H115" s="67">
        <v>0.55000000000000004</v>
      </c>
    </row>
    <row r="116" spans="1:9" x14ac:dyDescent="0.2">
      <c r="A116" s="85" t="s">
        <v>198</v>
      </c>
      <c r="B116" s="85"/>
      <c r="C116" s="85"/>
      <c r="D116" s="85"/>
      <c r="E116" s="85"/>
      <c r="F116" s="85"/>
      <c r="G116" s="85"/>
      <c r="H116" s="85"/>
    </row>
    <row r="117" spans="1:9" x14ac:dyDescent="0.2">
      <c r="A117" s="88" t="s">
        <v>254</v>
      </c>
      <c r="B117" s="88"/>
      <c r="C117" s="88"/>
      <c r="D117" s="88"/>
      <c r="E117" s="88"/>
      <c r="F117" s="88"/>
      <c r="G117" s="88"/>
      <c r="H117" s="88"/>
    </row>
    <row r="118" spans="1:9" x14ac:dyDescent="0.2">
      <c r="A118" s="80">
        <v>1</v>
      </c>
      <c r="B118" s="81"/>
      <c r="C118" s="17" t="s">
        <v>210</v>
      </c>
      <c r="D118" s="16">
        <f>(2.65*8.76)*(10.764)</f>
        <v>249.87549599999997</v>
      </c>
      <c r="E118" s="16">
        <v>0</v>
      </c>
      <c r="F118" s="16">
        <f>D118+(IF(E118&lt;201,E118,IF(E118&lt;301,E118/2,E118/3)))</f>
        <v>249.87549599999997</v>
      </c>
      <c r="G118" s="16">
        <v>0</v>
      </c>
      <c r="H118" s="16">
        <f t="shared" ref="H118:H123" si="5">F118*(($H$115)+1)+(IF(G118&lt;101,G118,IF(G118&lt;201,G118/2,IF(G118&lt;=301,G118/3,G118/4))))</f>
        <v>387.30701879999998</v>
      </c>
    </row>
    <row r="119" spans="1:9" x14ac:dyDescent="0.2">
      <c r="A119" s="80">
        <f>A118+1</f>
        <v>2</v>
      </c>
      <c r="B119" s="81"/>
      <c r="C119" s="17" t="s">
        <v>210</v>
      </c>
      <c r="D119" s="16">
        <f>(2.4*8.31+1.95*3.15)*(10.764)</f>
        <v>280.79508599999997</v>
      </c>
      <c r="E119" s="16">
        <v>0</v>
      </c>
      <c r="F119" s="16">
        <f t="shared" ref="F119:F123" si="6">D119+(IF(E119&lt;201,E119,IF(E119&lt;301,E119/2,E119/3)))</f>
        <v>280.79508599999997</v>
      </c>
      <c r="G119" s="16">
        <v>0</v>
      </c>
      <c r="H119" s="16">
        <f t="shared" si="5"/>
        <v>435.23238329999998</v>
      </c>
    </row>
    <row r="120" spans="1:9" x14ac:dyDescent="0.2">
      <c r="A120" s="80">
        <f t="shared" ref="A120:A123" si="7">A119+1</f>
        <v>3</v>
      </c>
      <c r="B120" s="81"/>
      <c r="C120" s="17" t="s">
        <v>210</v>
      </c>
      <c r="D120" s="16">
        <f>(2.96*4.51)*(10.764)</f>
        <v>143.69509439999999</v>
      </c>
      <c r="E120" s="16">
        <v>0</v>
      </c>
      <c r="F120" s="16">
        <f t="shared" si="6"/>
        <v>143.69509439999999</v>
      </c>
      <c r="G120" s="16">
        <v>0</v>
      </c>
      <c r="H120" s="16">
        <f t="shared" si="5"/>
        <v>222.72739632</v>
      </c>
    </row>
    <row r="121" spans="1:9" x14ac:dyDescent="0.2">
      <c r="A121" s="80">
        <f t="shared" si="7"/>
        <v>4</v>
      </c>
      <c r="B121" s="81"/>
      <c r="C121" s="17" t="s">
        <v>210</v>
      </c>
      <c r="D121" s="16">
        <f>(2.96*3.96)*(10.764)</f>
        <v>126.1713024</v>
      </c>
      <c r="E121" s="16">
        <v>0</v>
      </c>
      <c r="F121" s="16">
        <f t="shared" si="6"/>
        <v>126.1713024</v>
      </c>
      <c r="G121" s="16">
        <v>0</v>
      </c>
      <c r="H121" s="16">
        <f t="shared" si="5"/>
        <v>195.56551872</v>
      </c>
    </row>
    <row r="122" spans="1:9" x14ac:dyDescent="0.2">
      <c r="A122" s="80">
        <f t="shared" si="7"/>
        <v>5</v>
      </c>
      <c r="B122" s="81"/>
      <c r="C122" s="17" t="s">
        <v>210</v>
      </c>
      <c r="D122" s="16">
        <f>(2.4*6.75+1.95*3.15)*(10.764)</f>
        <v>240.49466999999999</v>
      </c>
      <c r="E122" s="16">
        <v>0</v>
      </c>
      <c r="F122" s="16">
        <f t="shared" si="6"/>
        <v>240.49466999999999</v>
      </c>
      <c r="G122" s="16">
        <v>0</v>
      </c>
      <c r="H122" s="16">
        <f t="shared" si="5"/>
        <v>372.76673849999997</v>
      </c>
    </row>
    <row r="123" spans="1:9" x14ac:dyDescent="0.2">
      <c r="A123" s="80">
        <f t="shared" si="7"/>
        <v>6</v>
      </c>
      <c r="B123" s="81"/>
      <c r="C123" s="17" t="s">
        <v>210</v>
      </c>
      <c r="D123" s="16">
        <f>(2.65*6.28)*(10.764)</f>
        <v>179.13448799999998</v>
      </c>
      <c r="E123" s="16">
        <v>0</v>
      </c>
      <c r="F123" s="16">
        <f t="shared" si="6"/>
        <v>179.13448799999998</v>
      </c>
      <c r="G123" s="16">
        <v>0</v>
      </c>
      <c r="H123" s="16">
        <f t="shared" si="5"/>
        <v>277.65845639999998</v>
      </c>
    </row>
    <row r="124" spans="1:9" x14ac:dyDescent="0.2">
      <c r="A124" s="80"/>
      <c r="B124" s="237"/>
      <c r="C124" s="237"/>
      <c r="D124" s="237"/>
      <c r="E124" s="237"/>
      <c r="F124" s="237"/>
      <c r="G124" s="237"/>
      <c r="H124" s="81"/>
    </row>
    <row r="125" spans="1:9" ht="38.25" x14ac:dyDescent="0.2">
      <c r="A125" s="93" t="s">
        <v>204</v>
      </c>
      <c r="B125" s="93" t="s">
        <v>205</v>
      </c>
      <c r="C125" s="93" t="s">
        <v>262</v>
      </c>
      <c r="D125" s="93" t="s">
        <v>206</v>
      </c>
      <c r="E125" s="93" t="s">
        <v>256</v>
      </c>
      <c r="F125" s="93" t="s">
        <v>207</v>
      </c>
      <c r="G125" s="64" t="s">
        <v>208</v>
      </c>
      <c r="H125" s="65" t="s">
        <v>139</v>
      </c>
    </row>
    <row r="126" spans="1:9" x14ac:dyDescent="0.2">
      <c r="A126" s="94"/>
      <c r="B126" s="94"/>
      <c r="C126" s="94"/>
      <c r="D126" s="94"/>
      <c r="E126" s="94"/>
      <c r="F126" s="94"/>
      <c r="G126" s="66"/>
      <c r="H126" s="67">
        <v>0.5</v>
      </c>
    </row>
    <row r="127" spans="1:9" x14ac:dyDescent="0.2">
      <c r="A127" s="85" t="s">
        <v>198</v>
      </c>
      <c r="B127" s="85"/>
      <c r="C127" s="85"/>
      <c r="D127" s="85"/>
      <c r="E127" s="85"/>
      <c r="F127" s="85"/>
      <c r="G127" s="85"/>
      <c r="H127" s="86"/>
      <c r="I127" s="63">
        <f>1</f>
        <v>1</v>
      </c>
    </row>
    <row r="128" spans="1:9" x14ac:dyDescent="0.2">
      <c r="A128" s="88" t="s">
        <v>255</v>
      </c>
      <c r="B128" s="88"/>
      <c r="C128" s="88"/>
      <c r="D128" s="88"/>
      <c r="E128" s="88"/>
      <c r="F128" s="88"/>
      <c r="G128" s="88"/>
      <c r="H128" s="88"/>
    </row>
    <row r="129" spans="1:11" x14ac:dyDescent="0.2">
      <c r="A129" s="80">
        <v>1</v>
      </c>
      <c r="B129" s="81"/>
      <c r="C129" s="17" t="s">
        <v>55</v>
      </c>
      <c r="D129" s="16">
        <f>(2.9*4.25+2.1*2.65+2.78*3.65+1.2*1.86+1.2*1.86+1.4*0.9)*(10.764)</f>
        <v>363.40340399999991</v>
      </c>
      <c r="E129" s="16">
        <f t="shared" ref="E129:E138" si="8">(1.95*1.5+2.1)*(10.764)</f>
        <v>54.089100000000002</v>
      </c>
      <c r="F129" s="16">
        <f>D129+E129</f>
        <v>417.49250399999994</v>
      </c>
      <c r="G129" s="16">
        <v>0</v>
      </c>
      <c r="H129" s="16">
        <f>F129*(($H$126)+1)+(IF(G129&lt;101,G129,IF(G129&lt;201,G129/2,IF(G129&lt;=301,G129/3,G129/4))))</f>
        <v>626.23875599999997</v>
      </c>
    </row>
    <row r="130" spans="1:11" x14ac:dyDescent="0.2">
      <c r="A130" s="80">
        <f>A129+1</f>
        <v>2</v>
      </c>
      <c r="B130" s="81"/>
      <c r="C130" s="17" t="s">
        <v>55</v>
      </c>
      <c r="D130" s="16">
        <f>(4.25*2.9+2.65*2.1+3.65*2.78+2*(1.86*1.2)+1.4*0.9)*(10.764)</f>
        <v>363.40340399999991</v>
      </c>
      <c r="E130" s="16">
        <f t="shared" si="8"/>
        <v>54.089100000000002</v>
      </c>
      <c r="F130" s="16">
        <f t="shared" ref="F130:F138" si="9">D130+E130</f>
        <v>417.49250399999994</v>
      </c>
      <c r="G130" s="16">
        <v>0</v>
      </c>
      <c r="H130" s="16">
        <f t="shared" ref="H130:H138" si="10">F130*(($H$126)+1)+(IF(G130&lt;101,G130,IF(G130&lt;201,G130/2,IF(G130&lt;=301,G130/3,G130/4))))</f>
        <v>626.23875599999997</v>
      </c>
    </row>
    <row r="131" spans="1:11" x14ac:dyDescent="0.2">
      <c r="A131" s="80">
        <f t="shared" ref="A131:A138" si="11">A130+1</f>
        <v>3</v>
      </c>
      <c r="B131" s="81"/>
      <c r="C131" s="17" t="s">
        <v>55</v>
      </c>
      <c r="D131" s="16">
        <f>(4.25*2.9+2.65*2.1+3.65*2.78+2*(1.86*1.2)+1.4*0.9)*(10.764)</f>
        <v>363.40340399999991</v>
      </c>
      <c r="E131" s="16">
        <f t="shared" si="8"/>
        <v>54.089100000000002</v>
      </c>
      <c r="F131" s="16">
        <f t="shared" si="9"/>
        <v>417.49250399999994</v>
      </c>
      <c r="G131" s="16">
        <v>0</v>
      </c>
      <c r="H131" s="16">
        <f t="shared" si="10"/>
        <v>626.23875599999997</v>
      </c>
      <c r="I131" s="6">
        <f>3.11*1.29</f>
        <v>4.0118999999999998</v>
      </c>
      <c r="J131" s="6">
        <f>(1.6+1.1)/2*3.11</f>
        <v>4.1985000000000001</v>
      </c>
    </row>
    <row r="132" spans="1:11" x14ac:dyDescent="0.2">
      <c r="A132" s="80">
        <f t="shared" si="11"/>
        <v>4</v>
      </c>
      <c r="B132" s="81"/>
      <c r="C132" s="17" t="s">
        <v>55</v>
      </c>
      <c r="D132" s="16">
        <f>(4.25*2.9+2.65*2.1+3.65*2.78+2*(1.86*1.2)+1.4*0.9)*(10.764)</f>
        <v>363.40340399999991</v>
      </c>
      <c r="E132" s="16">
        <f t="shared" si="8"/>
        <v>54.089100000000002</v>
      </c>
      <c r="F132" s="16">
        <f t="shared" si="9"/>
        <v>417.49250399999994</v>
      </c>
      <c r="G132" s="16">
        <v>0</v>
      </c>
      <c r="H132" s="16">
        <f t="shared" si="10"/>
        <v>626.23875599999997</v>
      </c>
    </row>
    <row r="133" spans="1:11" x14ac:dyDescent="0.2">
      <c r="A133" s="80">
        <f t="shared" si="11"/>
        <v>5</v>
      </c>
      <c r="B133" s="81"/>
      <c r="C133" s="17" t="s">
        <v>55</v>
      </c>
      <c r="D133" s="16">
        <f>(4.25*2.9+2.65*2.1+3.65*2.78+2*(1.86*1.2)+1.4*0.9)*(10.764)</f>
        <v>363.40340399999991</v>
      </c>
      <c r="E133" s="16">
        <f t="shared" si="8"/>
        <v>54.089100000000002</v>
      </c>
      <c r="F133" s="16">
        <f t="shared" si="9"/>
        <v>417.49250399999994</v>
      </c>
      <c r="G133" s="16">
        <v>0</v>
      </c>
      <c r="H133" s="16">
        <f t="shared" si="10"/>
        <v>626.23875599999997</v>
      </c>
    </row>
    <row r="134" spans="1:11" x14ac:dyDescent="0.2">
      <c r="A134" s="80">
        <f t="shared" si="11"/>
        <v>6</v>
      </c>
      <c r="B134" s="81"/>
      <c r="C134" s="17" t="s">
        <v>55</v>
      </c>
      <c r="D134" s="73">
        <f>(2.9*4.25+2.1*2.65+2.85*3.65+2*(1.2*1.86)+1.4*0.9)*(10.764)</f>
        <v>366.15360599999997</v>
      </c>
      <c r="E134" s="16">
        <f t="shared" si="8"/>
        <v>54.089100000000002</v>
      </c>
      <c r="F134" s="16">
        <f t="shared" si="9"/>
        <v>420.242706</v>
      </c>
      <c r="G134" s="16">
        <f>(2.7*0.9+1.6*3.2+1.01*2.6+3.11*1.29)*(10.764)</f>
        <v>152.71855560000003</v>
      </c>
      <c r="H134" s="16">
        <f t="shared" si="10"/>
        <v>706.72333679999997</v>
      </c>
      <c r="I134" s="6">
        <f>1.7*3+2.8*0.9+1.01*2.6+3.11*1.29</f>
        <v>14.257899999999999</v>
      </c>
      <c r="J134" s="6">
        <f>1.5*1.96+1.5*1.24+1.01*2.6+3.11*1.29+1.4*0.75</f>
        <v>12.4879</v>
      </c>
    </row>
    <row r="135" spans="1:11" x14ac:dyDescent="0.2">
      <c r="A135" s="80">
        <f t="shared" si="11"/>
        <v>7</v>
      </c>
      <c r="B135" s="81"/>
      <c r="C135" s="17" t="s">
        <v>55</v>
      </c>
      <c r="D135" s="73">
        <f>(2.9*4.25+2.1*2.65+2.85*3.65+2*(1.2*1.86)+1.4*0.9)*(10.764)</f>
        <v>366.15360599999997</v>
      </c>
      <c r="E135" s="16">
        <f t="shared" si="8"/>
        <v>54.089100000000002</v>
      </c>
      <c r="F135" s="16">
        <f t="shared" si="9"/>
        <v>420.242706</v>
      </c>
      <c r="G135" s="16">
        <f>(2.7*0.9+1.6*3.2+1.01*2.6+3.11*1.67+2.8*1.46)*(10.764)</f>
        <v>209.44268280000003</v>
      </c>
      <c r="H135" s="16">
        <f t="shared" si="10"/>
        <v>700.17828659999998</v>
      </c>
    </row>
    <row r="136" spans="1:11" x14ac:dyDescent="0.2">
      <c r="A136" s="80">
        <f t="shared" si="11"/>
        <v>8</v>
      </c>
      <c r="B136" s="81"/>
      <c r="C136" s="17" t="s">
        <v>55</v>
      </c>
      <c r="D136" s="16">
        <f>(4.25*2.9+2.65*2.1+3.65*2.78+2*(1.86*1.2)+1.4*0.9)*(10.764)</f>
        <v>363.40340399999991</v>
      </c>
      <c r="E136" s="16">
        <f t="shared" si="8"/>
        <v>54.089100000000002</v>
      </c>
      <c r="F136" s="16">
        <f t="shared" si="9"/>
        <v>417.49250399999994</v>
      </c>
      <c r="G136" s="16">
        <v>0</v>
      </c>
      <c r="H136" s="16">
        <f t="shared" si="10"/>
        <v>626.23875599999997</v>
      </c>
    </row>
    <row r="137" spans="1:11" x14ac:dyDescent="0.2">
      <c r="A137" s="80">
        <f t="shared" si="11"/>
        <v>9</v>
      </c>
      <c r="B137" s="81"/>
      <c r="C137" s="17" t="s">
        <v>55</v>
      </c>
      <c r="D137" s="16">
        <f>(4.25*2.9+2.65*2.1+3.65*2.78+2*(1.86*1.2)+1.4*0.9)*(10.764)</f>
        <v>363.40340399999991</v>
      </c>
      <c r="E137" s="16">
        <f t="shared" si="8"/>
        <v>54.089100000000002</v>
      </c>
      <c r="F137" s="16">
        <f t="shared" si="9"/>
        <v>417.49250399999994</v>
      </c>
      <c r="G137" s="16">
        <v>0</v>
      </c>
      <c r="H137" s="16">
        <f t="shared" si="10"/>
        <v>626.23875599999997</v>
      </c>
    </row>
    <row r="138" spans="1:11" x14ac:dyDescent="0.2">
      <c r="A138" s="80">
        <f t="shared" si="11"/>
        <v>10</v>
      </c>
      <c r="B138" s="81"/>
      <c r="C138" s="17" t="s">
        <v>55</v>
      </c>
      <c r="D138" s="16">
        <f>(4.25*2.9+2.65*2.1+3.65*2.78+2*(1.86*1.2)+1.4*0.9)*(10.764)</f>
        <v>363.40340399999991</v>
      </c>
      <c r="E138" s="16">
        <f t="shared" si="8"/>
        <v>54.089100000000002</v>
      </c>
      <c r="F138" s="16">
        <f t="shared" si="9"/>
        <v>417.49250399999994</v>
      </c>
      <c r="G138" s="16">
        <v>0</v>
      </c>
      <c r="H138" s="16">
        <f t="shared" si="10"/>
        <v>626.23875599999997</v>
      </c>
      <c r="I138" s="63">
        <f>6+2</f>
        <v>8</v>
      </c>
    </row>
    <row r="139" spans="1:11" x14ac:dyDescent="0.2">
      <c r="A139" s="87" t="s">
        <v>257</v>
      </c>
      <c r="B139" s="87"/>
      <c r="C139" s="87"/>
      <c r="D139" s="87"/>
      <c r="E139" s="87"/>
      <c r="F139" s="87"/>
      <c r="G139" s="87"/>
      <c r="H139" s="87"/>
      <c r="K139" s="6">
        <v>4200</v>
      </c>
    </row>
    <row r="140" spans="1:11" x14ac:dyDescent="0.2">
      <c r="A140" s="80">
        <v>1</v>
      </c>
      <c r="B140" s="81"/>
      <c r="C140" s="17" t="s">
        <v>55</v>
      </c>
      <c r="D140" s="16">
        <f>(2.9*4.25+2.1*2.65+2.78*3.65+1.2*1.86+1.2*1.86+1.4*0.9)*(10.764)</f>
        <v>363.40340399999991</v>
      </c>
      <c r="E140" s="16">
        <f t="shared" ref="E140:E149" si="12">(1.95*1.5+2.1)*(10.764)</f>
        <v>54.089100000000002</v>
      </c>
      <c r="F140" s="16">
        <f>D140+E140</f>
        <v>417.49250399999994</v>
      </c>
      <c r="G140" s="16">
        <v>0</v>
      </c>
      <c r="H140" s="16">
        <f>F140*(($H$126)+1)+(IF(G140&lt;101,G140,IF(G140&lt;201,G140/2,IF(G140&lt;=301,G140/3,G140/4))))</f>
        <v>626.23875599999997</v>
      </c>
      <c r="K140" s="74">
        <f>H140*$K$139</f>
        <v>2630202.7752</v>
      </c>
    </row>
    <row r="141" spans="1:11" x14ac:dyDescent="0.2">
      <c r="A141" s="80">
        <f>A140+1</f>
        <v>2</v>
      </c>
      <c r="B141" s="81"/>
      <c r="C141" s="17" t="s">
        <v>55</v>
      </c>
      <c r="D141" s="16">
        <f>(4.25*2.9+2.65*2.1+3.65*2.78+2*(1.86*1.2)+1.4*0.9)*(10.764)</f>
        <v>363.40340399999991</v>
      </c>
      <c r="E141" s="16">
        <f t="shared" si="12"/>
        <v>54.089100000000002</v>
      </c>
      <c r="F141" s="16">
        <f t="shared" ref="F141:F149" si="13">D141+E141</f>
        <v>417.49250399999994</v>
      </c>
      <c r="G141" s="16">
        <v>0</v>
      </c>
      <c r="H141" s="16">
        <f t="shared" ref="H141:H149" si="14">F141*(($H$126)+1)+(IF(G141&lt;101,G141,IF(G141&lt;201,G141/2,IF(G141&lt;=301,G141/3,G141/4))))</f>
        <v>626.23875599999997</v>
      </c>
      <c r="K141" s="74">
        <f t="shared" ref="K141:K149" si="15">H141*$K$139</f>
        <v>2630202.7752</v>
      </c>
    </row>
    <row r="142" spans="1:11" x14ac:dyDescent="0.2">
      <c r="A142" s="80">
        <f t="shared" ref="A142:A149" si="16">A141+1</f>
        <v>3</v>
      </c>
      <c r="B142" s="81"/>
      <c r="C142" s="17" t="s">
        <v>55</v>
      </c>
      <c r="D142" s="16">
        <f>(4.25*2.9+2.65*2.1+3.65*2.78+2*(1.86*1.2)+1.4*0.9)*(10.764)</f>
        <v>363.40340399999991</v>
      </c>
      <c r="E142" s="16">
        <f t="shared" si="12"/>
        <v>54.089100000000002</v>
      </c>
      <c r="F142" s="16">
        <f t="shared" si="13"/>
        <v>417.49250399999994</v>
      </c>
      <c r="G142" s="16">
        <v>0</v>
      </c>
      <c r="H142" s="16">
        <f t="shared" si="14"/>
        <v>626.23875599999997</v>
      </c>
      <c r="K142" s="74">
        <f t="shared" si="15"/>
        <v>2630202.7752</v>
      </c>
    </row>
    <row r="143" spans="1:11" x14ac:dyDescent="0.2">
      <c r="A143" s="80">
        <f t="shared" si="16"/>
        <v>4</v>
      </c>
      <c r="B143" s="81"/>
      <c r="C143" s="17" t="s">
        <v>55</v>
      </c>
      <c r="D143" s="16">
        <f>(4.25*2.9+2.65*2.1+3.65*2.78+2*(1.86*1.2)+1.4*0.9)*(10.764)</f>
        <v>363.40340399999991</v>
      </c>
      <c r="E143" s="16">
        <f t="shared" si="12"/>
        <v>54.089100000000002</v>
      </c>
      <c r="F143" s="16">
        <f t="shared" si="13"/>
        <v>417.49250399999994</v>
      </c>
      <c r="G143" s="16">
        <v>0</v>
      </c>
      <c r="H143" s="16">
        <f t="shared" si="14"/>
        <v>626.23875599999997</v>
      </c>
      <c r="K143" s="74">
        <f t="shared" si="15"/>
        <v>2630202.7752</v>
      </c>
    </row>
    <row r="144" spans="1:11" x14ac:dyDescent="0.2">
      <c r="A144" s="80">
        <f t="shared" si="16"/>
        <v>5</v>
      </c>
      <c r="B144" s="81"/>
      <c r="C144" s="17" t="s">
        <v>55</v>
      </c>
      <c r="D144" s="16">
        <f>(4.25*2.9+2.65*2.1+3.65*2.78+2*(1.86*1.2)+1.4*0.9)*(10.764)</f>
        <v>363.40340399999991</v>
      </c>
      <c r="E144" s="16">
        <f t="shared" si="12"/>
        <v>54.089100000000002</v>
      </c>
      <c r="F144" s="16">
        <f t="shared" si="13"/>
        <v>417.49250399999994</v>
      </c>
      <c r="G144" s="16">
        <v>0</v>
      </c>
      <c r="H144" s="16">
        <f t="shared" si="14"/>
        <v>626.23875599999997</v>
      </c>
      <c r="K144" s="75">
        <f t="shared" si="15"/>
        <v>2630202.7752</v>
      </c>
    </row>
    <row r="145" spans="1:11" x14ac:dyDescent="0.2">
      <c r="A145" s="80">
        <f t="shared" si="16"/>
        <v>6</v>
      </c>
      <c r="B145" s="81"/>
      <c r="C145" s="17" t="s">
        <v>55</v>
      </c>
      <c r="D145" s="73">
        <f>(2.9*4.25+2.1*2.65+2.85*3.65+2*(1.2*1.86)+1.4*0.9)*(10.764)</f>
        <v>366.15360599999997</v>
      </c>
      <c r="E145" s="16">
        <f t="shared" si="12"/>
        <v>54.089100000000002</v>
      </c>
      <c r="F145" s="16">
        <f t="shared" si="13"/>
        <v>420.242706</v>
      </c>
      <c r="G145" s="16">
        <v>0</v>
      </c>
      <c r="H145" s="16">
        <f t="shared" si="14"/>
        <v>630.364059</v>
      </c>
      <c r="K145" s="74">
        <f t="shared" si="15"/>
        <v>2647529.0477999998</v>
      </c>
    </row>
    <row r="146" spans="1:11" x14ac:dyDescent="0.2">
      <c r="A146" s="80">
        <f t="shared" si="16"/>
        <v>7</v>
      </c>
      <c r="B146" s="81"/>
      <c r="C146" s="17" t="s">
        <v>55</v>
      </c>
      <c r="D146" s="73">
        <f>(2.9*4.25+2.1*2.65+2.85*3.65+2*(1.2*1.86)+1.4*0.9)*(10.764)</f>
        <v>366.15360599999997</v>
      </c>
      <c r="E146" s="16">
        <f t="shared" si="12"/>
        <v>54.089100000000002</v>
      </c>
      <c r="F146" s="16">
        <f t="shared" si="13"/>
        <v>420.242706</v>
      </c>
      <c r="G146" s="16">
        <v>0</v>
      </c>
      <c r="H146" s="16">
        <f t="shared" si="14"/>
        <v>630.364059</v>
      </c>
      <c r="K146" s="74">
        <f t="shared" si="15"/>
        <v>2647529.0477999998</v>
      </c>
    </row>
    <row r="147" spans="1:11" x14ac:dyDescent="0.2">
      <c r="A147" s="80">
        <f t="shared" si="16"/>
        <v>8</v>
      </c>
      <c r="B147" s="81"/>
      <c r="C147" s="17" t="s">
        <v>55</v>
      </c>
      <c r="D147" s="16">
        <f>(4.25*2.9+2.65*2.1+3.65*2.78+2*(1.86*1.2)+1.4*0.9)*(10.764)</f>
        <v>363.40340399999991</v>
      </c>
      <c r="E147" s="16">
        <f t="shared" si="12"/>
        <v>54.089100000000002</v>
      </c>
      <c r="F147" s="16">
        <f t="shared" si="13"/>
        <v>417.49250399999994</v>
      </c>
      <c r="G147" s="16">
        <v>0</v>
      </c>
      <c r="H147" s="16">
        <f t="shared" si="14"/>
        <v>626.23875599999997</v>
      </c>
      <c r="K147" s="74">
        <f t="shared" si="15"/>
        <v>2630202.7752</v>
      </c>
    </row>
    <row r="148" spans="1:11" x14ac:dyDescent="0.2">
      <c r="A148" s="80">
        <f t="shared" si="16"/>
        <v>9</v>
      </c>
      <c r="B148" s="81"/>
      <c r="C148" s="17" t="s">
        <v>55</v>
      </c>
      <c r="D148" s="16">
        <f>(4.25*2.9+2.65*2.1+3.65*2.78+2*(1.86*1.2)+1.4*0.9)*(10.764)</f>
        <v>363.40340399999991</v>
      </c>
      <c r="E148" s="16">
        <f t="shared" si="12"/>
        <v>54.089100000000002</v>
      </c>
      <c r="F148" s="16">
        <f t="shared" si="13"/>
        <v>417.49250399999994</v>
      </c>
      <c r="G148" s="16">
        <v>0</v>
      </c>
      <c r="H148" s="16">
        <f t="shared" si="14"/>
        <v>626.23875599999997</v>
      </c>
      <c r="K148" s="74">
        <f t="shared" si="15"/>
        <v>2630202.7752</v>
      </c>
    </row>
    <row r="149" spans="1:11" x14ac:dyDescent="0.2">
      <c r="A149" s="80">
        <f t="shared" si="16"/>
        <v>10</v>
      </c>
      <c r="B149" s="81"/>
      <c r="C149" s="17" t="s">
        <v>55</v>
      </c>
      <c r="D149" s="16">
        <f>(4.25*2.9+2.65*2.1+3.65*2.78+2*(1.86*1.2)+1.4*0.9)*(10.764)</f>
        <v>363.40340399999991</v>
      </c>
      <c r="E149" s="16">
        <f t="shared" si="12"/>
        <v>54.089100000000002</v>
      </c>
      <c r="F149" s="16">
        <f t="shared" si="13"/>
        <v>417.49250399999994</v>
      </c>
      <c r="G149" s="16">
        <v>0</v>
      </c>
      <c r="H149" s="16">
        <f t="shared" si="14"/>
        <v>626.23875599999997</v>
      </c>
      <c r="I149" s="63">
        <f>1</f>
        <v>1</v>
      </c>
      <c r="K149" s="74">
        <f t="shared" si="15"/>
        <v>2630202.7752</v>
      </c>
    </row>
    <row r="150" spans="1:11" x14ac:dyDescent="0.2">
      <c r="A150" s="87" t="s">
        <v>258</v>
      </c>
      <c r="B150" s="87"/>
      <c r="C150" s="87"/>
      <c r="D150" s="87"/>
      <c r="E150" s="87"/>
      <c r="F150" s="87"/>
      <c r="G150" s="87"/>
      <c r="H150" s="87"/>
    </row>
    <row r="151" spans="1:11" x14ac:dyDescent="0.2">
      <c r="A151" s="80">
        <v>1</v>
      </c>
      <c r="B151" s="81"/>
      <c r="C151" s="17" t="s">
        <v>55</v>
      </c>
      <c r="D151" s="16">
        <f>(2.9*4.25+2.1*2.65+2.78*3.65+1.2*1.86+1.2*1.86+1.4*0.9)*(10.764)</f>
        <v>363.40340399999991</v>
      </c>
      <c r="E151" s="16">
        <f>(1.95*1.5+2.1)*(10.764)</f>
        <v>54.089100000000002</v>
      </c>
      <c r="F151" s="16">
        <f>D151+E151</f>
        <v>417.49250399999994</v>
      </c>
      <c r="G151" s="16">
        <v>0</v>
      </c>
      <c r="H151" s="16">
        <f>F151*(($H$126)+1)+(IF(G151&lt;101,G151,IF(G151&lt;201,G151/2,IF(G151&lt;=301,G151/3,G151/4))))</f>
        <v>626.23875599999997</v>
      </c>
    </row>
    <row r="152" spans="1:11" x14ac:dyDescent="0.2">
      <c r="A152" s="80">
        <f>A151+1</f>
        <v>2</v>
      </c>
      <c r="B152" s="81"/>
      <c r="C152" s="17" t="s">
        <v>55</v>
      </c>
      <c r="D152" s="16">
        <f>(4.25*2.9+2.65*2.1+3.65*2.78+2*(1.86*1.2)+1.4*0.9)*(10.764)</f>
        <v>363.40340399999991</v>
      </c>
      <c r="E152" s="16">
        <f>(1.95*1.5+2.1)*(10.764)</f>
        <v>54.089100000000002</v>
      </c>
      <c r="F152" s="16">
        <f t="shared" ref="F152:F160" si="17">D152+E152</f>
        <v>417.49250399999994</v>
      </c>
      <c r="G152" s="16">
        <v>0</v>
      </c>
      <c r="H152" s="16">
        <f t="shared" ref="H152:H160" si="18">F152*(($H$126)+1)+(IF(G152&lt;101,G152,IF(G152&lt;201,G152/2,IF(G152&lt;=301,G152/3,G152/4))))</f>
        <v>626.23875599999997</v>
      </c>
    </row>
    <row r="153" spans="1:11" x14ac:dyDescent="0.2">
      <c r="A153" s="80">
        <f t="shared" ref="A153:A160" si="19">A152+1</f>
        <v>3</v>
      </c>
      <c r="B153" s="81"/>
      <c r="C153" s="17" t="s">
        <v>55</v>
      </c>
      <c r="D153" s="16">
        <f>(4.25*2.9+2.65*2.1+3.65*2.78+2*(1.86*1.2)+1.4*0.9)*(10.764)</f>
        <v>363.40340399999991</v>
      </c>
      <c r="E153" s="16">
        <f>(1.95*1.5+2.1)*(10.764)</f>
        <v>54.089100000000002</v>
      </c>
      <c r="F153" s="16">
        <f t="shared" si="17"/>
        <v>417.49250399999994</v>
      </c>
      <c r="G153" s="16">
        <v>0</v>
      </c>
      <c r="H153" s="16">
        <f t="shared" si="18"/>
        <v>626.23875599999997</v>
      </c>
      <c r="K153" s="75">
        <f>2700000/H153</f>
        <v>4311.4546554828685</v>
      </c>
    </row>
    <row r="154" spans="1:11" x14ac:dyDescent="0.2">
      <c r="A154" s="80">
        <f t="shared" si="19"/>
        <v>4</v>
      </c>
      <c r="B154" s="81"/>
      <c r="C154" s="17" t="s">
        <v>55</v>
      </c>
      <c r="D154" s="16">
        <f>(4.25*2.9+2.65*2.1+3.65*2.78+2*(1.86*1.2)+1.4*0.9)*(10.764)</f>
        <v>363.40340399999991</v>
      </c>
      <c r="E154" s="16">
        <f>(1.95*1.5+2.1)*(10.764)</f>
        <v>54.089100000000002</v>
      </c>
      <c r="F154" s="16">
        <f t="shared" si="17"/>
        <v>417.49250399999994</v>
      </c>
      <c r="G154" s="16">
        <v>0</v>
      </c>
      <c r="H154" s="16">
        <f t="shared" si="18"/>
        <v>626.23875599999997</v>
      </c>
    </row>
    <row r="155" spans="1:11" x14ac:dyDescent="0.2">
      <c r="A155" s="80">
        <f t="shared" si="19"/>
        <v>5</v>
      </c>
      <c r="B155" s="81"/>
      <c r="C155" s="17" t="s">
        <v>55</v>
      </c>
      <c r="D155" s="16">
        <f>(4.25*2.9+2.65*2.1+3.65*2.78+2*(1.86*1.2)+1.4*0.9)*(10.764)</f>
        <v>363.40340399999991</v>
      </c>
      <c r="E155" s="16">
        <f>(1.95*1.5+2.1)*(10.764)</f>
        <v>54.089100000000002</v>
      </c>
      <c r="F155" s="16">
        <f t="shared" si="17"/>
        <v>417.49250399999994</v>
      </c>
      <c r="G155" s="16">
        <v>0</v>
      </c>
      <c r="H155" s="16">
        <f t="shared" si="18"/>
        <v>626.23875599999997</v>
      </c>
    </row>
    <row r="156" spans="1:11" ht="15" customHeight="1" x14ac:dyDescent="0.2">
      <c r="A156" s="80" t="s">
        <v>259</v>
      </c>
      <c r="B156" s="81"/>
      <c r="C156" s="77" t="s">
        <v>260</v>
      </c>
      <c r="D156" s="78"/>
      <c r="E156" s="78"/>
      <c r="F156" s="78"/>
      <c r="G156" s="78"/>
      <c r="H156" s="79"/>
    </row>
    <row r="157" spans="1:11" x14ac:dyDescent="0.2">
      <c r="A157" s="80">
        <f>A155+1</f>
        <v>6</v>
      </c>
      <c r="B157" s="81"/>
      <c r="C157" s="17" t="s">
        <v>55</v>
      </c>
      <c r="D157" s="73">
        <f>(2.9*4.25+2.1*2.65+2.85*3.65+2*(1.2*1.86)+1.4*0.9)*(10.764)</f>
        <v>366.15360599999997</v>
      </c>
      <c r="E157" s="16">
        <f>(1.95*1.5+2.1)*(10.764)</f>
        <v>54.089100000000002</v>
      </c>
      <c r="F157" s="16">
        <f t="shared" si="17"/>
        <v>420.242706</v>
      </c>
      <c r="G157" s="16">
        <v>0</v>
      </c>
      <c r="H157" s="16">
        <f t="shared" si="18"/>
        <v>630.364059</v>
      </c>
    </row>
    <row r="158" spans="1:11" x14ac:dyDescent="0.2">
      <c r="A158" s="80">
        <f t="shared" si="19"/>
        <v>7</v>
      </c>
      <c r="B158" s="81"/>
      <c r="C158" s="17" t="s">
        <v>55</v>
      </c>
      <c r="D158" s="16">
        <f>(4.25*2.9+2.65*2.1+3.65*2.78+2*(1.86*1.2)+1.4*0.9)*(10.764)</f>
        <v>363.40340399999991</v>
      </c>
      <c r="E158" s="16">
        <f>(1.95*1.5+2.1)*(10.764)</f>
        <v>54.089100000000002</v>
      </c>
      <c r="F158" s="16">
        <f t="shared" si="17"/>
        <v>417.49250399999994</v>
      </c>
      <c r="G158" s="16">
        <v>0</v>
      </c>
      <c r="H158" s="16">
        <f t="shared" si="18"/>
        <v>626.23875599999997</v>
      </c>
    </row>
    <row r="159" spans="1:11" x14ac:dyDescent="0.2">
      <c r="A159" s="80">
        <f t="shared" si="19"/>
        <v>8</v>
      </c>
      <c r="B159" s="81"/>
      <c r="C159" s="17" t="s">
        <v>55</v>
      </c>
      <c r="D159" s="16">
        <f>(4.25*2.9+2.65*2.1+3.65*2.78+2*(1.86*1.2)+1.4*0.9)*(10.764)</f>
        <v>363.40340399999991</v>
      </c>
      <c r="E159" s="16">
        <f>(1.95*1.5+2.1)*(10.764)</f>
        <v>54.089100000000002</v>
      </c>
      <c r="F159" s="16">
        <f t="shared" si="17"/>
        <v>417.49250399999994</v>
      </c>
      <c r="G159" s="16">
        <v>0</v>
      </c>
      <c r="H159" s="16">
        <f t="shared" si="18"/>
        <v>626.23875599999997</v>
      </c>
    </row>
    <row r="160" spans="1:11" x14ac:dyDescent="0.2">
      <c r="A160" s="80">
        <f t="shared" si="19"/>
        <v>9</v>
      </c>
      <c r="B160" s="81"/>
      <c r="C160" s="17" t="s">
        <v>55</v>
      </c>
      <c r="D160" s="16">
        <f>(4.25*2.9+2.65*2.1+3.65*2.78+2*(1.86*1.2)+1.4*0.9)*(10.764)</f>
        <v>363.40340399999991</v>
      </c>
      <c r="E160" s="16">
        <f>(1.95*1.5+2.1)*(10.764)</f>
        <v>54.089100000000002</v>
      </c>
      <c r="F160" s="16">
        <f t="shared" si="17"/>
        <v>417.49250399999994</v>
      </c>
      <c r="G160" s="16">
        <v>0</v>
      </c>
      <c r="H160" s="16">
        <f t="shared" si="18"/>
        <v>626.23875599999997</v>
      </c>
    </row>
    <row r="161" spans="1:9" x14ac:dyDescent="0.2">
      <c r="A161" s="85" t="s">
        <v>200</v>
      </c>
      <c r="B161" s="85"/>
      <c r="C161" s="85"/>
      <c r="D161" s="85"/>
      <c r="E161" s="85"/>
      <c r="F161" s="85"/>
      <c r="G161" s="85"/>
      <c r="H161" s="86"/>
      <c r="I161" s="63">
        <f>1</f>
        <v>1</v>
      </c>
    </row>
    <row r="162" spans="1:9" x14ac:dyDescent="0.2">
      <c r="A162" s="88" t="s">
        <v>255</v>
      </c>
      <c r="B162" s="88"/>
      <c r="C162" s="88"/>
      <c r="D162" s="88"/>
      <c r="E162" s="88"/>
      <c r="F162" s="88"/>
      <c r="G162" s="88"/>
      <c r="H162" s="88"/>
    </row>
    <row r="163" spans="1:9" x14ac:dyDescent="0.2">
      <c r="A163" s="80">
        <v>1</v>
      </c>
      <c r="B163" s="81"/>
      <c r="C163" s="17" t="s">
        <v>261</v>
      </c>
      <c r="D163" s="16">
        <f t="shared" ref="D163:D170" si="20">(2.9*4.25+1.2*1.35+1.45*1.15+2.75*2.1+1.2*1.15)*(10.764)</f>
        <v>245.06936999999999</v>
      </c>
      <c r="E163" s="16">
        <f>(2.75+2.85)*(10.764)</f>
        <v>60.278399999999991</v>
      </c>
      <c r="F163" s="16">
        <f>D163+E163</f>
        <v>305.34776999999997</v>
      </c>
      <c r="G163" s="16">
        <v>0</v>
      </c>
      <c r="H163" s="16">
        <f>F163*(($H$126)+1)+(IF(G163&lt;101,G163,IF(G163&lt;201,G163/2,IF(G163&lt;=301,G163/3,G163/4))))</f>
        <v>458.02165499999995</v>
      </c>
    </row>
    <row r="164" spans="1:9" x14ac:dyDescent="0.2">
      <c r="A164" s="80">
        <f>A163+1</f>
        <v>2</v>
      </c>
      <c r="B164" s="81"/>
      <c r="C164" s="17" t="s">
        <v>261</v>
      </c>
      <c r="D164" s="16">
        <f t="shared" si="20"/>
        <v>245.06936999999999</v>
      </c>
      <c r="E164" s="16">
        <f t="shared" ref="E164:E170" si="21">(2.75+2.85)*(10.764)</f>
        <v>60.278399999999991</v>
      </c>
      <c r="F164" s="16">
        <f t="shared" ref="F164:F170" si="22">D164+E164</f>
        <v>305.34776999999997</v>
      </c>
      <c r="G164" s="16">
        <v>0</v>
      </c>
      <c r="H164" s="16">
        <f t="shared" ref="H164:H170" si="23">F164*(($H$126)+1)+(IF(G164&lt;101,G164,IF(G164&lt;201,G164/2,IF(G164&lt;=301,G164/3,G164/4))))</f>
        <v>458.02165499999995</v>
      </c>
    </row>
    <row r="165" spans="1:9" x14ac:dyDescent="0.2">
      <c r="A165" s="80">
        <f t="shared" ref="A165:A170" si="24">A164+1</f>
        <v>3</v>
      </c>
      <c r="B165" s="81"/>
      <c r="C165" s="17" t="s">
        <v>261</v>
      </c>
      <c r="D165" s="16">
        <f t="shared" si="20"/>
        <v>245.06936999999999</v>
      </c>
      <c r="E165" s="16">
        <f t="shared" si="21"/>
        <v>60.278399999999991</v>
      </c>
      <c r="F165" s="16">
        <f t="shared" si="22"/>
        <v>305.34776999999997</v>
      </c>
      <c r="G165" s="16">
        <v>0</v>
      </c>
      <c r="H165" s="16">
        <f t="shared" si="23"/>
        <v>458.02165499999995</v>
      </c>
    </row>
    <row r="166" spans="1:9" x14ac:dyDescent="0.2">
      <c r="A166" s="80">
        <f t="shared" si="24"/>
        <v>4</v>
      </c>
      <c r="B166" s="81"/>
      <c r="C166" s="17" t="s">
        <v>261</v>
      </c>
      <c r="D166" s="16">
        <f t="shared" si="20"/>
        <v>245.06936999999999</v>
      </c>
      <c r="E166" s="16">
        <f t="shared" si="21"/>
        <v>60.278399999999991</v>
      </c>
      <c r="F166" s="16">
        <f t="shared" si="22"/>
        <v>305.34776999999997</v>
      </c>
      <c r="G166" s="16">
        <v>0</v>
      </c>
      <c r="H166" s="16">
        <f t="shared" si="23"/>
        <v>458.02165499999995</v>
      </c>
    </row>
    <row r="167" spans="1:9" x14ac:dyDescent="0.2">
      <c r="A167" s="80">
        <f t="shared" si="24"/>
        <v>5</v>
      </c>
      <c r="B167" s="81"/>
      <c r="C167" s="17" t="s">
        <v>261</v>
      </c>
      <c r="D167" s="16">
        <f t="shared" si="20"/>
        <v>245.06936999999999</v>
      </c>
      <c r="E167" s="16">
        <f t="shared" si="21"/>
        <v>60.278399999999991</v>
      </c>
      <c r="F167" s="16">
        <f t="shared" si="22"/>
        <v>305.34776999999997</v>
      </c>
      <c r="G167" s="16">
        <v>0</v>
      </c>
      <c r="H167" s="16">
        <f t="shared" si="23"/>
        <v>458.02165499999995</v>
      </c>
    </row>
    <row r="168" spans="1:9" x14ac:dyDescent="0.2">
      <c r="A168" s="80">
        <f t="shared" si="24"/>
        <v>6</v>
      </c>
      <c r="B168" s="81"/>
      <c r="C168" s="17" t="s">
        <v>261</v>
      </c>
      <c r="D168" s="16">
        <f t="shared" si="20"/>
        <v>245.06936999999999</v>
      </c>
      <c r="E168" s="16">
        <f t="shared" si="21"/>
        <v>60.278399999999991</v>
      </c>
      <c r="F168" s="16">
        <f t="shared" si="22"/>
        <v>305.34776999999997</v>
      </c>
      <c r="G168" s="16">
        <v>0</v>
      </c>
      <c r="H168" s="16">
        <f t="shared" si="23"/>
        <v>458.02165499999995</v>
      </c>
    </row>
    <row r="169" spans="1:9" x14ac:dyDescent="0.2">
      <c r="A169" s="80">
        <f t="shared" si="24"/>
        <v>7</v>
      </c>
      <c r="B169" s="81"/>
      <c r="C169" s="17" t="s">
        <v>261</v>
      </c>
      <c r="D169" s="16">
        <f t="shared" si="20"/>
        <v>245.06936999999999</v>
      </c>
      <c r="E169" s="16">
        <f t="shared" si="21"/>
        <v>60.278399999999991</v>
      </c>
      <c r="F169" s="16">
        <f t="shared" si="22"/>
        <v>305.34776999999997</v>
      </c>
      <c r="G169" s="16">
        <v>0</v>
      </c>
      <c r="H169" s="16">
        <f t="shared" si="23"/>
        <v>458.02165499999995</v>
      </c>
    </row>
    <row r="170" spans="1:9" x14ac:dyDescent="0.2">
      <c r="A170" s="80">
        <f t="shared" si="24"/>
        <v>8</v>
      </c>
      <c r="B170" s="81"/>
      <c r="C170" s="17" t="s">
        <v>261</v>
      </c>
      <c r="D170" s="16">
        <f t="shared" si="20"/>
        <v>245.06936999999999</v>
      </c>
      <c r="E170" s="16">
        <f t="shared" si="21"/>
        <v>60.278399999999991</v>
      </c>
      <c r="F170" s="16">
        <f t="shared" si="22"/>
        <v>305.34776999999997</v>
      </c>
      <c r="G170" s="16">
        <v>0</v>
      </c>
      <c r="H170" s="16">
        <f t="shared" si="23"/>
        <v>458.02165499999995</v>
      </c>
      <c r="I170" s="63">
        <f>6+2</f>
        <v>8</v>
      </c>
    </row>
    <row r="171" spans="1:9" x14ac:dyDescent="0.2">
      <c r="A171" s="88" t="s">
        <v>257</v>
      </c>
      <c r="B171" s="88"/>
      <c r="C171" s="88"/>
      <c r="D171" s="88"/>
      <c r="E171" s="88"/>
      <c r="F171" s="88"/>
      <c r="G171" s="88"/>
      <c r="H171" s="88"/>
    </row>
    <row r="172" spans="1:9" x14ac:dyDescent="0.2">
      <c r="A172" s="80">
        <v>1</v>
      </c>
      <c r="B172" s="81"/>
      <c r="C172" s="17" t="s">
        <v>261</v>
      </c>
      <c r="D172" s="16">
        <f t="shared" ref="D172:D179" si="25">(2.9*4.25+1.2*1.35+1.45*1.15+2.75*2.1+1.2*1.15)*(10.764)</f>
        <v>245.06936999999999</v>
      </c>
      <c r="E172" s="16">
        <f>(2.75+2.85)*(10.764)</f>
        <v>60.278399999999991</v>
      </c>
      <c r="F172" s="16">
        <f>D172+E172</f>
        <v>305.34776999999997</v>
      </c>
      <c r="G172" s="16">
        <v>0</v>
      </c>
      <c r="H172" s="16">
        <f>F172*(($H$126)+1)+(IF(G172&lt;101,G172,IF(G172&lt;201,G172/2,IF(G172&lt;=301,G172/3,G172/4))))</f>
        <v>458.02165499999995</v>
      </c>
    </row>
    <row r="173" spans="1:9" x14ac:dyDescent="0.2">
      <c r="A173" s="80">
        <f>A172+1</f>
        <v>2</v>
      </c>
      <c r="B173" s="81"/>
      <c r="C173" s="17" t="s">
        <v>261</v>
      </c>
      <c r="D173" s="16">
        <f t="shared" si="25"/>
        <v>245.06936999999999</v>
      </c>
      <c r="E173" s="16">
        <f t="shared" ref="E173:E179" si="26">(2.75+2.85)*(10.764)</f>
        <v>60.278399999999991</v>
      </c>
      <c r="F173" s="16">
        <f t="shared" ref="F173:F179" si="27">D173+E173</f>
        <v>305.34776999999997</v>
      </c>
      <c r="G173" s="16">
        <v>0</v>
      </c>
      <c r="H173" s="16">
        <f t="shared" ref="H173:H179" si="28">F173*(($H$126)+1)+(IF(G173&lt;101,G173,IF(G173&lt;201,G173/2,IF(G173&lt;=301,G173/3,G173/4))))</f>
        <v>458.02165499999995</v>
      </c>
    </row>
    <row r="174" spans="1:9" x14ac:dyDescent="0.2">
      <c r="A174" s="80">
        <f t="shared" ref="A174:A179" si="29">A173+1</f>
        <v>3</v>
      </c>
      <c r="B174" s="81"/>
      <c r="C174" s="17" t="s">
        <v>261</v>
      </c>
      <c r="D174" s="16">
        <f t="shared" si="25"/>
        <v>245.06936999999999</v>
      </c>
      <c r="E174" s="16">
        <f t="shared" si="26"/>
        <v>60.278399999999991</v>
      </c>
      <c r="F174" s="16">
        <f t="shared" si="27"/>
        <v>305.34776999999997</v>
      </c>
      <c r="G174" s="16">
        <v>0</v>
      </c>
      <c r="H174" s="16">
        <f t="shared" si="28"/>
        <v>458.02165499999995</v>
      </c>
    </row>
    <row r="175" spans="1:9" x14ac:dyDescent="0.2">
      <c r="A175" s="80">
        <f t="shared" si="29"/>
        <v>4</v>
      </c>
      <c r="B175" s="81"/>
      <c r="C175" s="17" t="s">
        <v>261</v>
      </c>
      <c r="D175" s="16">
        <f t="shared" si="25"/>
        <v>245.06936999999999</v>
      </c>
      <c r="E175" s="16">
        <f t="shared" si="26"/>
        <v>60.278399999999991</v>
      </c>
      <c r="F175" s="16">
        <f t="shared" si="27"/>
        <v>305.34776999999997</v>
      </c>
      <c r="G175" s="16">
        <v>0</v>
      </c>
      <c r="H175" s="16">
        <f t="shared" si="28"/>
        <v>458.02165499999995</v>
      </c>
    </row>
    <row r="176" spans="1:9" x14ac:dyDescent="0.2">
      <c r="A176" s="80">
        <f t="shared" si="29"/>
        <v>5</v>
      </c>
      <c r="B176" s="81"/>
      <c r="C176" s="17" t="s">
        <v>261</v>
      </c>
      <c r="D176" s="16">
        <f t="shared" si="25"/>
        <v>245.06936999999999</v>
      </c>
      <c r="E176" s="16">
        <f t="shared" si="26"/>
        <v>60.278399999999991</v>
      </c>
      <c r="F176" s="16">
        <f t="shared" si="27"/>
        <v>305.34776999999997</v>
      </c>
      <c r="G176" s="16">
        <v>0</v>
      </c>
      <c r="H176" s="16">
        <f t="shared" si="28"/>
        <v>458.02165499999995</v>
      </c>
    </row>
    <row r="177" spans="1:9" x14ac:dyDescent="0.2">
      <c r="A177" s="80">
        <f t="shared" si="29"/>
        <v>6</v>
      </c>
      <c r="B177" s="81"/>
      <c r="C177" s="17" t="s">
        <v>261</v>
      </c>
      <c r="D177" s="16">
        <f t="shared" si="25"/>
        <v>245.06936999999999</v>
      </c>
      <c r="E177" s="16">
        <f t="shared" si="26"/>
        <v>60.278399999999991</v>
      </c>
      <c r="F177" s="16">
        <f t="shared" si="27"/>
        <v>305.34776999999997</v>
      </c>
      <c r="G177" s="16">
        <v>0</v>
      </c>
      <c r="H177" s="16">
        <f t="shared" si="28"/>
        <v>458.02165499999995</v>
      </c>
    </row>
    <row r="178" spans="1:9" x14ac:dyDescent="0.2">
      <c r="A178" s="80">
        <f t="shared" si="29"/>
        <v>7</v>
      </c>
      <c r="B178" s="81"/>
      <c r="C178" s="17" t="s">
        <v>261</v>
      </c>
      <c r="D178" s="16">
        <f t="shared" si="25"/>
        <v>245.06936999999999</v>
      </c>
      <c r="E178" s="16">
        <f t="shared" si="26"/>
        <v>60.278399999999991</v>
      </c>
      <c r="F178" s="16">
        <f t="shared" si="27"/>
        <v>305.34776999999997</v>
      </c>
      <c r="G178" s="16">
        <v>0</v>
      </c>
      <c r="H178" s="16">
        <f t="shared" si="28"/>
        <v>458.02165499999995</v>
      </c>
    </row>
    <row r="179" spans="1:9" x14ac:dyDescent="0.2">
      <c r="A179" s="80">
        <f t="shared" si="29"/>
        <v>8</v>
      </c>
      <c r="B179" s="81"/>
      <c r="C179" s="17" t="s">
        <v>261</v>
      </c>
      <c r="D179" s="16">
        <f t="shared" si="25"/>
        <v>245.06936999999999</v>
      </c>
      <c r="E179" s="16">
        <f t="shared" si="26"/>
        <v>60.278399999999991</v>
      </c>
      <c r="F179" s="16">
        <f t="shared" si="27"/>
        <v>305.34776999999997</v>
      </c>
      <c r="G179" s="16">
        <v>0</v>
      </c>
      <c r="H179" s="16">
        <f t="shared" si="28"/>
        <v>458.02165499999995</v>
      </c>
      <c r="I179" s="63">
        <f>1</f>
        <v>1</v>
      </c>
    </row>
    <row r="180" spans="1:9" x14ac:dyDescent="0.2">
      <c r="A180" s="88" t="s">
        <v>258</v>
      </c>
      <c r="B180" s="88"/>
      <c r="C180" s="88"/>
      <c r="D180" s="88"/>
      <c r="E180" s="88"/>
      <c r="F180" s="88"/>
      <c r="G180" s="88"/>
      <c r="H180" s="88"/>
    </row>
    <row r="181" spans="1:9" x14ac:dyDescent="0.2">
      <c r="A181" s="80">
        <v>1</v>
      </c>
      <c r="B181" s="81"/>
      <c r="C181" s="17" t="s">
        <v>261</v>
      </c>
      <c r="D181" s="16">
        <f>(2.9*4.25+1.2*1.35+1.45*1.15+2.75*2.1+1.2*1.15)*(10.764)</f>
        <v>245.06936999999999</v>
      </c>
      <c r="E181" s="16">
        <f>(2.75+2.85)*(10.764)</f>
        <v>60.278399999999991</v>
      </c>
      <c r="F181" s="16">
        <f>D181+E181</f>
        <v>305.34776999999997</v>
      </c>
      <c r="G181" s="16">
        <v>0</v>
      </c>
      <c r="H181" s="16">
        <f>F181*(($H$126)+1)+(IF(G181&lt;101,G181,IF(G181&lt;201,G181/2,IF(G181&lt;=301,G181/3,G181/4))))</f>
        <v>458.02165499999995</v>
      </c>
    </row>
    <row r="182" spans="1:9" x14ac:dyDescent="0.2">
      <c r="A182" s="80">
        <f>A181+1</f>
        <v>2</v>
      </c>
      <c r="B182" s="81"/>
      <c r="C182" s="17" t="s">
        <v>261</v>
      </c>
      <c r="D182" s="16">
        <f>(2.9*4.25+1.2*1.35+1.45*1.15+2.75*2.1+1.2*1.15)*(10.764)</f>
        <v>245.06936999999999</v>
      </c>
      <c r="E182" s="16">
        <f t="shared" ref="E182:E188" si="30">(2.75+2.85)*(10.764)</f>
        <v>60.278399999999991</v>
      </c>
      <c r="F182" s="16">
        <f t="shared" ref="F182:F188" si="31">D182+E182</f>
        <v>305.34776999999997</v>
      </c>
      <c r="G182" s="16">
        <v>0</v>
      </c>
      <c r="H182" s="16">
        <f t="shared" ref="H182:H188" si="32">F182*(($H$126)+1)+(IF(G182&lt;101,G182,IF(G182&lt;201,G182/2,IF(G182&lt;=301,G182/3,G182/4))))</f>
        <v>458.02165499999995</v>
      </c>
    </row>
    <row r="183" spans="1:9" x14ac:dyDescent="0.2">
      <c r="A183" s="80">
        <f t="shared" ref="A183:A188" si="33">A182+1</f>
        <v>3</v>
      </c>
      <c r="B183" s="81"/>
      <c r="C183" s="17" t="s">
        <v>261</v>
      </c>
      <c r="D183" s="16">
        <f>(2.9*4.25+1.2*1.35+1.45*1.15+2.75*2.1+1.2*1.15)*(10.764)</f>
        <v>245.06936999999999</v>
      </c>
      <c r="E183" s="16">
        <f t="shared" si="30"/>
        <v>60.278399999999991</v>
      </c>
      <c r="F183" s="16">
        <f t="shared" si="31"/>
        <v>305.34776999999997</v>
      </c>
      <c r="G183" s="16">
        <v>0</v>
      </c>
      <c r="H183" s="16">
        <f t="shared" si="32"/>
        <v>458.02165499999995</v>
      </c>
    </row>
    <row r="184" spans="1:9" x14ac:dyDescent="0.2">
      <c r="A184" s="80">
        <f t="shared" si="33"/>
        <v>4</v>
      </c>
      <c r="B184" s="81"/>
      <c r="C184" s="17" t="s">
        <v>261</v>
      </c>
      <c r="D184" s="16">
        <f>(2.9*4.25+1.2*1.35+1.45*1.15+2.75*2.1+1.2*1.15)*(10.764)</f>
        <v>245.06936999999999</v>
      </c>
      <c r="E184" s="16">
        <f t="shared" si="30"/>
        <v>60.278399999999991</v>
      </c>
      <c r="F184" s="16">
        <f t="shared" si="31"/>
        <v>305.34776999999997</v>
      </c>
      <c r="G184" s="16">
        <v>0</v>
      </c>
      <c r="H184" s="16">
        <f t="shared" si="32"/>
        <v>458.02165499999995</v>
      </c>
    </row>
    <row r="185" spans="1:9" x14ac:dyDescent="0.2">
      <c r="A185" s="80">
        <f t="shared" si="33"/>
        <v>5</v>
      </c>
      <c r="B185" s="81"/>
      <c r="C185" s="17" t="s">
        <v>261</v>
      </c>
      <c r="D185" s="16">
        <f>(2.9*4.25+1.2*1.35+1.45*1.15+2.75*2.1+1.2*1.15)*(10.764)</f>
        <v>245.06936999999999</v>
      </c>
      <c r="E185" s="16">
        <f t="shared" si="30"/>
        <v>60.278399999999991</v>
      </c>
      <c r="F185" s="16">
        <f t="shared" si="31"/>
        <v>305.34776999999997</v>
      </c>
      <c r="G185" s="16">
        <v>0</v>
      </c>
      <c r="H185" s="16">
        <f t="shared" si="32"/>
        <v>458.02165499999995</v>
      </c>
    </row>
    <row r="186" spans="1:9" ht="15" customHeight="1" x14ac:dyDescent="0.2">
      <c r="A186" s="80" t="s">
        <v>259</v>
      </c>
      <c r="B186" s="81"/>
      <c r="C186" s="77" t="s">
        <v>260</v>
      </c>
      <c r="D186" s="78"/>
      <c r="E186" s="78"/>
      <c r="F186" s="78"/>
      <c r="G186" s="78"/>
      <c r="H186" s="79"/>
    </row>
    <row r="187" spans="1:9" x14ac:dyDescent="0.2">
      <c r="A187" s="80">
        <f>A185+1</f>
        <v>6</v>
      </c>
      <c r="B187" s="81"/>
      <c r="C187" s="17" t="s">
        <v>261</v>
      </c>
      <c r="D187" s="16">
        <f>(2.9*4.25+1.2*1.35+1.45*1.15+2.75*2.1+1.2*1.15)*(10.764)</f>
        <v>245.06936999999999</v>
      </c>
      <c r="E187" s="16">
        <f t="shared" si="30"/>
        <v>60.278399999999991</v>
      </c>
      <c r="F187" s="16">
        <f t="shared" si="31"/>
        <v>305.34776999999997</v>
      </c>
      <c r="G187" s="16">
        <v>0</v>
      </c>
      <c r="H187" s="16">
        <f t="shared" si="32"/>
        <v>458.02165499999995</v>
      </c>
    </row>
    <row r="188" spans="1:9" ht="14.25" customHeight="1" x14ac:dyDescent="0.2">
      <c r="A188" s="80">
        <f t="shared" si="33"/>
        <v>7</v>
      </c>
      <c r="B188" s="81"/>
      <c r="C188" s="17" t="s">
        <v>261</v>
      </c>
      <c r="D188" s="16">
        <f>(2.9*4.25+1.2*1.35+1.45*1.15+2.75*2.1+1.2*1.15)*(10.764)</f>
        <v>245.06936999999999</v>
      </c>
      <c r="E188" s="16">
        <f t="shared" si="30"/>
        <v>60.278399999999991</v>
      </c>
      <c r="F188" s="16">
        <f t="shared" si="31"/>
        <v>305.34776999999997</v>
      </c>
      <c r="G188" s="16">
        <v>0</v>
      </c>
      <c r="H188" s="16">
        <f t="shared" si="32"/>
        <v>458.02165499999995</v>
      </c>
    </row>
    <row r="189" spans="1:9" x14ac:dyDescent="0.2">
      <c r="A189" s="154" t="s">
        <v>114</v>
      </c>
      <c r="B189" s="154"/>
      <c r="C189" s="154"/>
      <c r="D189" s="154"/>
      <c r="E189" s="154"/>
      <c r="F189" s="154"/>
      <c r="G189" s="154"/>
      <c r="H189" s="154"/>
    </row>
    <row r="190" spans="1:9" x14ac:dyDescent="0.2">
      <c r="A190" s="238" t="s">
        <v>115</v>
      </c>
      <c r="B190" s="239"/>
      <c r="C190" s="239"/>
      <c r="D190" s="239"/>
      <c r="E190" s="240"/>
      <c r="F190" s="238">
        <v>4600</v>
      </c>
      <c r="G190" s="239"/>
      <c r="H190" s="240"/>
    </row>
    <row r="191" spans="1:9" x14ac:dyDescent="0.2">
      <c r="A191" s="238" t="s">
        <v>116</v>
      </c>
      <c r="B191" s="239"/>
      <c r="C191" s="239"/>
      <c r="D191" s="239"/>
      <c r="E191" s="240"/>
      <c r="F191" s="238" t="s">
        <v>285</v>
      </c>
      <c r="G191" s="239"/>
      <c r="H191" s="240"/>
    </row>
    <row r="192" spans="1:9" x14ac:dyDescent="0.2">
      <c r="A192" s="85" t="s">
        <v>47</v>
      </c>
      <c r="B192" s="85"/>
      <c r="C192" s="85"/>
      <c r="D192" s="85"/>
      <c r="E192" s="85"/>
      <c r="F192" s="85"/>
      <c r="G192" s="85"/>
      <c r="H192" s="85"/>
    </row>
    <row r="193" spans="1:8" x14ac:dyDescent="0.2">
      <c r="A193" s="18">
        <v>1</v>
      </c>
      <c r="B193" s="82" t="s">
        <v>271</v>
      </c>
      <c r="C193" s="83"/>
      <c r="D193" s="83"/>
      <c r="E193" s="83"/>
      <c r="F193" s="83"/>
      <c r="G193" s="83"/>
      <c r="H193" s="84"/>
    </row>
    <row r="194" spans="1:8" x14ac:dyDescent="0.2">
      <c r="A194" s="18">
        <f t="shared" ref="A194:A204" si="34">A193+1</f>
        <v>2</v>
      </c>
      <c r="B194" s="82" t="s">
        <v>214</v>
      </c>
      <c r="C194" s="83"/>
      <c r="D194" s="83"/>
      <c r="E194" s="83"/>
      <c r="F194" s="83"/>
      <c r="G194" s="83"/>
      <c r="H194" s="84"/>
    </row>
    <row r="195" spans="1:8" ht="12.75" customHeight="1" x14ac:dyDescent="0.2">
      <c r="A195" s="18">
        <f t="shared" si="34"/>
        <v>3</v>
      </c>
      <c r="B195" s="82" t="s">
        <v>215</v>
      </c>
      <c r="C195" s="83"/>
      <c r="D195" s="83"/>
      <c r="E195" s="83"/>
      <c r="F195" s="83"/>
      <c r="G195" s="83"/>
      <c r="H195" s="84"/>
    </row>
    <row r="196" spans="1:8" x14ac:dyDescent="0.2">
      <c r="A196" s="18">
        <f t="shared" si="34"/>
        <v>4</v>
      </c>
      <c r="B196" s="82" t="s">
        <v>216</v>
      </c>
      <c r="C196" s="83"/>
      <c r="D196" s="83"/>
      <c r="E196" s="83"/>
      <c r="F196" s="83"/>
      <c r="G196" s="83"/>
      <c r="H196" s="84"/>
    </row>
    <row r="197" spans="1:8" x14ac:dyDescent="0.2">
      <c r="A197" s="18">
        <f t="shared" si="34"/>
        <v>5</v>
      </c>
      <c r="B197" s="82" t="s">
        <v>266</v>
      </c>
      <c r="C197" s="83"/>
      <c r="D197" s="83"/>
      <c r="E197" s="83"/>
      <c r="F197" s="83"/>
      <c r="G197" s="83"/>
      <c r="H197" s="84"/>
    </row>
    <row r="198" spans="1:8" x14ac:dyDescent="0.2">
      <c r="A198" s="18">
        <f t="shared" si="34"/>
        <v>6</v>
      </c>
      <c r="B198" s="82" t="s">
        <v>267</v>
      </c>
      <c r="C198" s="83"/>
      <c r="D198" s="83"/>
      <c r="E198" s="83"/>
      <c r="F198" s="69">
        <f>H126</f>
        <v>0.5</v>
      </c>
      <c r="G198" s="57"/>
      <c r="H198" s="58"/>
    </row>
    <row r="199" spans="1:8" x14ac:dyDescent="0.2">
      <c r="A199" s="18">
        <f t="shared" si="34"/>
        <v>7</v>
      </c>
      <c r="B199" s="82" t="s">
        <v>217</v>
      </c>
      <c r="C199" s="83"/>
      <c r="D199" s="83"/>
      <c r="E199" s="83"/>
      <c r="F199" s="83"/>
      <c r="G199" s="83"/>
      <c r="H199" s="84"/>
    </row>
    <row r="200" spans="1:8" ht="28.5" customHeight="1" x14ac:dyDescent="0.2">
      <c r="A200" s="18">
        <f t="shared" si="34"/>
        <v>8</v>
      </c>
      <c r="B200" s="82" t="s">
        <v>288</v>
      </c>
      <c r="C200" s="83"/>
      <c r="D200" s="83"/>
      <c r="E200" s="83"/>
      <c r="F200" s="83"/>
      <c r="G200" s="83"/>
      <c r="H200" s="84"/>
    </row>
    <row r="201" spans="1:8" x14ac:dyDescent="0.2">
      <c r="A201" s="18">
        <f t="shared" si="34"/>
        <v>9</v>
      </c>
      <c r="B201" s="82" t="s">
        <v>218</v>
      </c>
      <c r="C201" s="83"/>
      <c r="D201" s="83"/>
      <c r="E201" s="83"/>
      <c r="F201" s="83"/>
      <c r="G201" s="83"/>
      <c r="H201" s="84"/>
    </row>
    <row r="202" spans="1:8" x14ac:dyDescent="0.2">
      <c r="A202" s="18">
        <f t="shared" si="34"/>
        <v>10</v>
      </c>
      <c r="B202" s="82" t="s">
        <v>270</v>
      </c>
      <c r="C202" s="83"/>
      <c r="D202" s="83"/>
      <c r="E202" s="83"/>
      <c r="F202" s="83"/>
      <c r="G202" s="83"/>
      <c r="H202" s="84"/>
    </row>
    <row r="203" spans="1:8" x14ac:dyDescent="0.2">
      <c r="A203" s="18">
        <f t="shared" si="34"/>
        <v>11</v>
      </c>
      <c r="B203" s="82" t="s">
        <v>287</v>
      </c>
      <c r="C203" s="83"/>
      <c r="D203" s="83"/>
      <c r="E203" s="83"/>
      <c r="F203" s="83"/>
      <c r="G203" s="83"/>
      <c r="H203" s="84"/>
    </row>
    <row r="204" spans="1:8" x14ac:dyDescent="0.2">
      <c r="A204" s="18">
        <f t="shared" si="34"/>
        <v>12</v>
      </c>
      <c r="B204" s="82" t="s">
        <v>289</v>
      </c>
      <c r="C204" s="83"/>
      <c r="D204" s="83"/>
      <c r="E204" s="83"/>
      <c r="F204" s="83"/>
      <c r="G204" s="83"/>
      <c r="H204" s="84"/>
    </row>
    <row r="205" spans="1:8" x14ac:dyDescent="0.2">
      <c r="A205" s="107" t="s">
        <v>119</v>
      </c>
      <c r="B205" s="108"/>
      <c r="C205" s="107" t="str">
        <f>C7</f>
        <v>Sai Amber Residency</v>
      </c>
      <c r="D205" s="111"/>
      <c r="E205" s="111"/>
      <c r="F205" s="111"/>
      <c r="G205" s="111"/>
      <c r="H205" s="108"/>
    </row>
    <row r="206" spans="1:8" x14ac:dyDescent="0.2">
      <c r="A206" s="241"/>
      <c r="B206" s="242"/>
      <c r="C206" s="242"/>
      <c r="D206" s="242"/>
      <c r="E206" s="242"/>
      <c r="F206" s="242"/>
      <c r="G206" s="242"/>
      <c r="H206" s="243"/>
    </row>
    <row r="207" spans="1:8" x14ac:dyDescent="0.2">
      <c r="A207" s="98"/>
      <c r="B207" s="99"/>
      <c r="C207" s="99"/>
      <c r="D207" s="99"/>
      <c r="E207" s="99"/>
      <c r="F207" s="99"/>
      <c r="G207" s="99"/>
      <c r="H207" s="100"/>
    </row>
    <row r="208" spans="1:8" x14ac:dyDescent="0.2">
      <c r="A208" s="98"/>
      <c r="B208" s="99"/>
      <c r="C208" s="99"/>
      <c r="D208" s="99"/>
      <c r="E208" s="99"/>
      <c r="F208" s="99"/>
      <c r="G208" s="99"/>
      <c r="H208" s="100"/>
    </row>
    <row r="209" spans="1:8" x14ac:dyDescent="0.2">
      <c r="A209" s="98"/>
      <c r="B209" s="99"/>
      <c r="C209" s="99"/>
      <c r="D209" s="99"/>
      <c r="E209" s="99"/>
      <c r="F209" s="99"/>
      <c r="G209" s="99"/>
      <c r="H209" s="100"/>
    </row>
    <row r="210" spans="1:8" x14ac:dyDescent="0.2">
      <c r="A210" s="98"/>
      <c r="B210" s="99"/>
      <c r="C210" s="99"/>
      <c r="D210" s="99"/>
      <c r="E210" s="99"/>
      <c r="F210" s="99"/>
      <c r="G210" s="99"/>
      <c r="H210" s="100"/>
    </row>
    <row r="211" spans="1:8" x14ac:dyDescent="0.2">
      <c r="A211" s="98"/>
      <c r="B211" s="99"/>
      <c r="C211" s="99"/>
      <c r="D211" s="99"/>
      <c r="E211" s="99"/>
      <c r="F211" s="99"/>
      <c r="G211" s="99"/>
      <c r="H211" s="100"/>
    </row>
    <row r="212" spans="1:8" x14ac:dyDescent="0.2">
      <c r="A212" s="98"/>
      <c r="B212" s="99"/>
      <c r="C212" s="99"/>
      <c r="D212" s="99"/>
      <c r="E212" s="99"/>
      <c r="F212" s="99"/>
      <c r="G212" s="99"/>
      <c r="H212" s="100"/>
    </row>
    <row r="213" spans="1:8" x14ac:dyDescent="0.2">
      <c r="A213" s="98"/>
      <c r="B213" s="99"/>
      <c r="C213" s="99"/>
      <c r="D213" s="99"/>
      <c r="E213" s="99"/>
      <c r="F213" s="99"/>
      <c r="G213" s="99"/>
      <c r="H213" s="100"/>
    </row>
    <row r="214" spans="1:8" x14ac:dyDescent="0.2">
      <c r="A214" s="98"/>
      <c r="B214" s="99"/>
      <c r="C214" s="99"/>
      <c r="D214" s="99"/>
      <c r="E214" s="99"/>
      <c r="F214" s="99"/>
      <c r="G214" s="99"/>
      <c r="H214" s="100"/>
    </row>
    <row r="215" spans="1:8" x14ac:dyDescent="0.2">
      <c r="A215" s="98"/>
      <c r="B215" s="99"/>
      <c r="C215" s="99"/>
      <c r="D215" s="99"/>
      <c r="E215" s="99"/>
      <c r="F215" s="99"/>
      <c r="G215" s="99"/>
      <c r="H215" s="100"/>
    </row>
    <row r="216" spans="1:8" x14ac:dyDescent="0.2">
      <c r="A216" s="98"/>
      <c r="B216" s="99"/>
      <c r="C216" s="99"/>
      <c r="D216" s="99"/>
      <c r="E216" s="99"/>
      <c r="F216" s="99"/>
      <c r="G216" s="99"/>
      <c r="H216" s="100"/>
    </row>
    <row r="217" spans="1:8" x14ac:dyDescent="0.2">
      <c r="A217" s="98"/>
      <c r="B217" s="99"/>
      <c r="C217" s="99"/>
      <c r="D217" s="99"/>
      <c r="E217" s="99"/>
      <c r="F217" s="99"/>
      <c r="G217" s="99"/>
      <c r="H217" s="100"/>
    </row>
    <row r="218" spans="1:8" x14ac:dyDescent="0.2">
      <c r="A218" s="98"/>
      <c r="B218" s="99"/>
      <c r="C218" s="99"/>
      <c r="D218" s="99"/>
      <c r="E218" s="99"/>
      <c r="F218" s="99"/>
      <c r="G218" s="99"/>
      <c r="H218" s="100"/>
    </row>
    <row r="219" spans="1:8" x14ac:dyDescent="0.2">
      <c r="A219" s="98"/>
      <c r="B219" s="99"/>
      <c r="C219" s="99"/>
      <c r="D219" s="99"/>
      <c r="E219" s="99"/>
      <c r="F219" s="99"/>
      <c r="G219" s="99"/>
      <c r="H219" s="100"/>
    </row>
    <row r="220" spans="1:8" x14ac:dyDescent="0.2">
      <c r="A220" s="98"/>
      <c r="B220" s="99"/>
      <c r="C220" s="99"/>
      <c r="D220" s="99"/>
      <c r="E220" s="99"/>
      <c r="F220" s="99"/>
      <c r="G220" s="99"/>
      <c r="H220" s="100"/>
    </row>
    <row r="221" spans="1:8" x14ac:dyDescent="0.2">
      <c r="A221" s="98"/>
      <c r="B221" s="99"/>
      <c r="C221" s="99"/>
      <c r="D221" s="99"/>
      <c r="E221" s="99"/>
      <c r="F221" s="99"/>
      <c r="G221" s="99"/>
      <c r="H221" s="100"/>
    </row>
    <row r="222" spans="1:8" x14ac:dyDescent="0.2">
      <c r="A222" s="98"/>
      <c r="B222" s="99"/>
      <c r="C222" s="99"/>
      <c r="D222" s="99"/>
      <c r="E222" s="99"/>
      <c r="F222" s="99"/>
      <c r="G222" s="99"/>
      <c r="H222" s="100"/>
    </row>
    <row r="223" spans="1:8" x14ac:dyDescent="0.2">
      <c r="A223" s="98"/>
      <c r="B223" s="99"/>
      <c r="C223" s="99"/>
      <c r="D223" s="99"/>
      <c r="E223" s="99"/>
      <c r="F223" s="99"/>
      <c r="G223" s="99"/>
      <c r="H223" s="100"/>
    </row>
    <row r="224" spans="1:8" x14ac:dyDescent="0.2">
      <c r="A224" s="98"/>
      <c r="B224" s="99"/>
      <c r="C224" s="99"/>
      <c r="D224" s="99"/>
      <c r="E224" s="99"/>
      <c r="F224" s="99"/>
      <c r="G224" s="99"/>
      <c r="H224" s="100"/>
    </row>
    <row r="225" spans="1:8" x14ac:dyDescent="0.2">
      <c r="A225" s="98"/>
      <c r="B225" s="99"/>
      <c r="C225" s="99"/>
      <c r="D225" s="99"/>
      <c r="E225" s="99"/>
      <c r="F225" s="99"/>
      <c r="G225" s="99"/>
      <c r="H225" s="100"/>
    </row>
    <row r="226" spans="1:8" x14ac:dyDescent="0.2">
      <c r="A226" s="98"/>
      <c r="B226" s="99"/>
      <c r="C226" s="99"/>
      <c r="D226" s="99"/>
      <c r="E226" s="99"/>
      <c r="F226" s="99"/>
      <c r="G226" s="99"/>
      <c r="H226" s="100"/>
    </row>
    <row r="227" spans="1:8" x14ac:dyDescent="0.2">
      <c r="A227" s="98"/>
      <c r="B227" s="99"/>
      <c r="C227" s="99"/>
      <c r="D227" s="99"/>
      <c r="E227" s="99"/>
      <c r="F227" s="99"/>
      <c r="G227" s="99"/>
      <c r="H227" s="100"/>
    </row>
    <row r="228" spans="1:8" x14ac:dyDescent="0.2">
      <c r="A228" s="98"/>
      <c r="B228" s="99"/>
      <c r="C228" s="99"/>
      <c r="D228" s="99"/>
      <c r="E228" s="99"/>
      <c r="F228" s="99"/>
      <c r="G228" s="99"/>
      <c r="H228" s="100"/>
    </row>
    <row r="229" spans="1:8" x14ac:dyDescent="0.2">
      <c r="A229" s="98"/>
      <c r="B229" s="99"/>
      <c r="C229" s="99"/>
      <c r="D229" s="99"/>
      <c r="E229" s="99"/>
      <c r="F229" s="99"/>
      <c r="G229" s="99"/>
      <c r="H229" s="100"/>
    </row>
    <row r="230" spans="1:8" x14ac:dyDescent="0.2">
      <c r="A230" s="98"/>
      <c r="B230" s="99"/>
      <c r="C230" s="99"/>
      <c r="D230" s="99"/>
      <c r="E230" s="99"/>
      <c r="F230" s="99"/>
      <c r="G230" s="99"/>
      <c r="H230" s="100"/>
    </row>
    <row r="231" spans="1:8" x14ac:dyDescent="0.2">
      <c r="A231" s="98"/>
      <c r="B231" s="99"/>
      <c r="C231" s="99"/>
      <c r="D231" s="99"/>
      <c r="E231" s="99"/>
      <c r="F231" s="99"/>
      <c r="G231" s="99"/>
      <c r="H231" s="100"/>
    </row>
    <row r="232" spans="1:8" x14ac:dyDescent="0.2">
      <c r="A232" s="98"/>
      <c r="B232" s="99"/>
      <c r="C232" s="99"/>
      <c r="D232" s="99"/>
      <c r="E232" s="99"/>
      <c r="F232" s="99"/>
      <c r="G232" s="99"/>
      <c r="H232" s="100"/>
    </row>
    <row r="233" spans="1:8" x14ac:dyDescent="0.2">
      <c r="A233" s="98"/>
      <c r="B233" s="99"/>
      <c r="C233" s="99"/>
      <c r="D233" s="99"/>
      <c r="E233" s="99"/>
      <c r="F233" s="99"/>
      <c r="G233" s="99"/>
      <c r="H233" s="100"/>
    </row>
    <row r="234" spans="1:8" x14ac:dyDescent="0.2">
      <c r="A234" s="98"/>
      <c r="B234" s="99"/>
      <c r="C234" s="99"/>
      <c r="D234" s="99"/>
      <c r="E234" s="99"/>
      <c r="F234" s="99"/>
      <c r="G234" s="99"/>
      <c r="H234" s="100"/>
    </row>
    <row r="235" spans="1:8" x14ac:dyDescent="0.2">
      <c r="A235" s="98"/>
      <c r="B235" s="99"/>
      <c r="C235" s="99"/>
      <c r="D235" s="99"/>
      <c r="E235" s="99"/>
      <c r="F235" s="99"/>
      <c r="G235" s="99"/>
      <c r="H235" s="100"/>
    </row>
    <row r="236" spans="1:8" x14ac:dyDescent="0.2">
      <c r="A236" s="98"/>
      <c r="B236" s="99"/>
      <c r="C236" s="99"/>
      <c r="D236" s="99"/>
      <c r="E236" s="99"/>
      <c r="F236" s="99"/>
      <c r="G236" s="99"/>
      <c r="H236" s="100"/>
    </row>
    <row r="237" spans="1:8" x14ac:dyDescent="0.2">
      <c r="A237" s="98"/>
      <c r="B237" s="99"/>
      <c r="C237" s="99"/>
      <c r="D237" s="99"/>
      <c r="E237" s="99"/>
      <c r="F237" s="99"/>
      <c r="G237" s="99"/>
      <c r="H237" s="100"/>
    </row>
    <row r="238" spans="1:8" x14ac:dyDescent="0.2">
      <c r="A238" s="98"/>
      <c r="B238" s="99"/>
      <c r="C238" s="99"/>
      <c r="D238" s="99"/>
      <c r="E238" s="99"/>
      <c r="F238" s="99"/>
      <c r="G238" s="99"/>
      <c r="H238" s="100"/>
    </row>
    <row r="239" spans="1:8" x14ac:dyDescent="0.2">
      <c r="A239" s="98"/>
      <c r="B239" s="99"/>
      <c r="C239" s="99"/>
      <c r="D239" s="99"/>
      <c r="E239" s="99"/>
      <c r="F239" s="99"/>
      <c r="G239" s="99"/>
      <c r="H239" s="100"/>
    </row>
    <row r="240" spans="1:8" x14ac:dyDescent="0.2">
      <c r="A240" s="98"/>
      <c r="B240" s="99"/>
      <c r="C240" s="99"/>
      <c r="D240" s="99"/>
      <c r="E240" s="99"/>
      <c r="F240" s="99"/>
      <c r="G240" s="99"/>
      <c r="H240" s="100"/>
    </row>
    <row r="241" spans="1:8" x14ac:dyDescent="0.2">
      <c r="A241" s="98"/>
      <c r="B241" s="99"/>
      <c r="C241" s="99"/>
      <c r="D241" s="99"/>
      <c r="E241" s="99"/>
      <c r="F241" s="99"/>
      <c r="G241" s="99"/>
      <c r="H241" s="100"/>
    </row>
    <row r="242" spans="1:8" x14ac:dyDescent="0.2">
      <c r="A242" s="98"/>
      <c r="B242" s="99"/>
      <c r="C242" s="99"/>
      <c r="D242" s="99"/>
      <c r="E242" s="99"/>
      <c r="F242" s="99"/>
      <c r="G242" s="99"/>
      <c r="H242" s="100"/>
    </row>
    <row r="243" spans="1:8" x14ac:dyDescent="0.2">
      <c r="A243" s="98"/>
      <c r="B243" s="99"/>
      <c r="C243" s="99"/>
      <c r="D243" s="99"/>
      <c r="E243" s="99"/>
      <c r="F243" s="99"/>
      <c r="G243" s="99"/>
      <c r="H243" s="100"/>
    </row>
    <row r="244" spans="1:8" x14ac:dyDescent="0.2">
      <c r="A244" s="98"/>
      <c r="B244" s="99"/>
      <c r="C244" s="99"/>
      <c r="D244" s="99"/>
      <c r="E244" s="99"/>
      <c r="F244" s="99"/>
      <c r="G244" s="99"/>
      <c r="H244" s="100"/>
    </row>
    <row r="245" spans="1:8" x14ac:dyDescent="0.2">
      <c r="A245" s="98"/>
      <c r="B245" s="99"/>
      <c r="C245" s="99"/>
      <c r="D245" s="99"/>
      <c r="E245" s="99"/>
      <c r="F245" s="99"/>
      <c r="G245" s="99"/>
      <c r="H245" s="100"/>
    </row>
    <row r="246" spans="1:8" x14ac:dyDescent="0.2">
      <c r="A246" s="98"/>
      <c r="B246" s="99"/>
      <c r="C246" s="99"/>
      <c r="D246" s="99"/>
      <c r="E246" s="99"/>
      <c r="F246" s="99"/>
      <c r="G246" s="99"/>
      <c r="H246" s="100"/>
    </row>
    <row r="247" spans="1:8" x14ac:dyDescent="0.2">
      <c r="A247" s="98"/>
      <c r="B247" s="99"/>
      <c r="C247" s="99"/>
      <c r="D247" s="99"/>
      <c r="E247" s="99"/>
      <c r="F247" s="99"/>
      <c r="G247" s="99"/>
      <c r="H247" s="100"/>
    </row>
    <row r="248" spans="1:8" x14ac:dyDescent="0.2">
      <c r="A248" s="98"/>
      <c r="B248" s="99"/>
      <c r="C248" s="99"/>
      <c r="D248" s="99"/>
      <c r="E248" s="99"/>
      <c r="F248" s="99"/>
      <c r="G248" s="99"/>
      <c r="H248" s="100"/>
    </row>
    <row r="249" spans="1:8" x14ac:dyDescent="0.2">
      <c r="A249" s="98"/>
      <c r="B249" s="99"/>
      <c r="C249" s="99"/>
      <c r="D249" s="99"/>
      <c r="E249" s="99"/>
      <c r="F249" s="99"/>
      <c r="G249" s="99"/>
      <c r="H249" s="100"/>
    </row>
    <row r="250" spans="1:8" x14ac:dyDescent="0.2">
      <c r="A250" s="98"/>
      <c r="B250" s="99"/>
      <c r="C250" s="99"/>
      <c r="D250" s="99"/>
      <c r="E250" s="99"/>
      <c r="F250" s="99"/>
      <c r="G250" s="99"/>
      <c r="H250" s="100"/>
    </row>
    <row r="251" spans="1:8" x14ac:dyDescent="0.2">
      <c r="A251" s="98"/>
      <c r="B251" s="99"/>
      <c r="C251" s="99"/>
      <c r="D251" s="99"/>
      <c r="E251" s="99"/>
      <c r="F251" s="99"/>
      <c r="G251" s="99"/>
      <c r="H251" s="100"/>
    </row>
    <row r="252" spans="1:8" x14ac:dyDescent="0.2">
      <c r="A252" s="98"/>
      <c r="B252" s="99"/>
      <c r="C252" s="99"/>
      <c r="D252" s="99"/>
      <c r="E252" s="99"/>
      <c r="F252" s="99"/>
      <c r="G252" s="99"/>
      <c r="H252" s="100"/>
    </row>
    <row r="253" spans="1:8" x14ac:dyDescent="0.2">
      <c r="A253" s="98"/>
      <c r="B253" s="99"/>
      <c r="C253" s="99"/>
      <c r="D253" s="99"/>
      <c r="E253" s="99"/>
      <c r="F253" s="99"/>
      <c r="G253" s="99"/>
      <c r="H253" s="100"/>
    </row>
    <row r="254" spans="1:8" x14ac:dyDescent="0.2">
      <c r="A254" s="98"/>
      <c r="B254" s="99"/>
      <c r="C254" s="99"/>
      <c r="D254" s="99"/>
      <c r="E254" s="99"/>
      <c r="F254" s="99"/>
      <c r="G254" s="99"/>
      <c r="H254" s="100"/>
    </row>
    <row r="255" spans="1:8" ht="12.75" customHeight="1" x14ac:dyDescent="0.2">
      <c r="A255" s="98"/>
      <c r="B255" s="99"/>
      <c r="C255" s="99"/>
      <c r="D255" s="99"/>
      <c r="E255" s="99"/>
      <c r="F255" s="99"/>
      <c r="G255" s="99"/>
      <c r="H255" s="100"/>
    </row>
    <row r="256" spans="1:8" x14ac:dyDescent="0.2">
      <c r="A256" s="98"/>
      <c r="B256" s="99"/>
      <c r="C256" s="99"/>
      <c r="D256" s="99"/>
      <c r="E256" s="99"/>
      <c r="F256" s="99"/>
      <c r="G256" s="99"/>
      <c r="H256" s="100"/>
    </row>
    <row r="257" spans="1:8" x14ac:dyDescent="0.2">
      <c r="A257" s="98"/>
      <c r="B257" s="99"/>
      <c r="C257" s="99"/>
      <c r="D257" s="99"/>
      <c r="E257" s="99"/>
      <c r="F257" s="99"/>
      <c r="G257" s="99"/>
      <c r="H257" s="100"/>
    </row>
    <row r="258" spans="1:8" x14ac:dyDescent="0.2">
      <c r="A258" s="107" t="s">
        <v>140</v>
      </c>
      <c r="B258" s="108"/>
      <c r="C258" s="107"/>
      <c r="D258" s="111"/>
      <c r="E258" s="111"/>
      <c r="F258" s="111"/>
      <c r="G258" s="111"/>
      <c r="H258" s="108"/>
    </row>
    <row r="259" spans="1:8" x14ac:dyDescent="0.2">
      <c r="A259" s="98"/>
      <c r="B259" s="99"/>
      <c r="C259" s="99"/>
      <c r="D259" s="99"/>
      <c r="E259" s="99"/>
      <c r="F259" s="99"/>
      <c r="G259" s="99"/>
      <c r="H259" s="100"/>
    </row>
    <row r="260" spans="1:8" x14ac:dyDescent="0.2">
      <c r="A260" s="98"/>
      <c r="B260" s="99"/>
      <c r="C260" s="99"/>
      <c r="D260" s="99"/>
      <c r="E260" s="99"/>
      <c r="F260" s="99"/>
      <c r="G260" s="99"/>
      <c r="H260" s="100"/>
    </row>
    <row r="261" spans="1:8" x14ac:dyDescent="0.2">
      <c r="A261" s="98"/>
      <c r="B261" s="99"/>
      <c r="C261" s="99"/>
      <c r="D261" s="99"/>
      <c r="E261" s="99"/>
      <c r="F261" s="99"/>
      <c r="G261" s="99"/>
      <c r="H261" s="100"/>
    </row>
    <row r="262" spans="1:8" x14ac:dyDescent="0.2">
      <c r="A262" s="98"/>
      <c r="B262" s="99"/>
      <c r="C262" s="99"/>
      <c r="D262" s="99"/>
      <c r="E262" s="99"/>
      <c r="F262" s="99"/>
      <c r="G262" s="99"/>
      <c r="H262" s="100"/>
    </row>
    <row r="263" spans="1:8" x14ac:dyDescent="0.2">
      <c r="A263" s="98"/>
      <c r="B263" s="99"/>
      <c r="C263" s="99"/>
      <c r="D263" s="99"/>
      <c r="E263" s="99"/>
      <c r="F263" s="99"/>
      <c r="G263" s="99"/>
      <c r="H263" s="100"/>
    </row>
    <row r="264" spans="1:8" x14ac:dyDescent="0.2">
      <c r="A264" s="98"/>
      <c r="B264" s="99"/>
      <c r="C264" s="99"/>
      <c r="D264" s="99"/>
      <c r="E264" s="99"/>
      <c r="F264" s="99"/>
      <c r="G264" s="99"/>
      <c r="H264" s="100"/>
    </row>
    <row r="265" spans="1:8" x14ac:dyDescent="0.2">
      <c r="A265" s="98"/>
      <c r="B265" s="99"/>
      <c r="C265" s="99"/>
      <c r="D265" s="99"/>
      <c r="E265" s="99"/>
      <c r="F265" s="99"/>
      <c r="G265" s="99"/>
      <c r="H265" s="100"/>
    </row>
    <row r="266" spans="1:8" x14ac:dyDescent="0.2">
      <c r="A266" s="98"/>
      <c r="B266" s="99"/>
      <c r="C266" s="99"/>
      <c r="D266" s="99"/>
      <c r="E266" s="99"/>
      <c r="F266" s="99"/>
      <c r="G266" s="99"/>
      <c r="H266" s="100"/>
    </row>
    <row r="267" spans="1:8" x14ac:dyDescent="0.2">
      <c r="A267" s="98"/>
      <c r="B267" s="99"/>
      <c r="C267" s="99"/>
      <c r="D267" s="99"/>
      <c r="E267" s="99"/>
      <c r="F267" s="99"/>
      <c r="G267" s="99"/>
      <c r="H267" s="100"/>
    </row>
    <row r="268" spans="1:8" x14ac:dyDescent="0.2">
      <c r="A268" s="98"/>
      <c r="B268" s="99"/>
      <c r="C268" s="99"/>
      <c r="D268" s="99"/>
      <c r="E268" s="99"/>
      <c r="F268" s="99"/>
      <c r="G268" s="99"/>
      <c r="H268" s="100"/>
    </row>
    <row r="269" spans="1:8" x14ac:dyDescent="0.2">
      <c r="A269" s="98"/>
      <c r="B269" s="99"/>
      <c r="C269" s="99"/>
      <c r="D269" s="99"/>
      <c r="E269" s="99"/>
      <c r="F269" s="99"/>
      <c r="G269" s="99"/>
      <c r="H269" s="100"/>
    </row>
    <row r="270" spans="1:8" x14ac:dyDescent="0.2">
      <c r="A270" s="98"/>
      <c r="B270" s="99"/>
      <c r="C270" s="99"/>
      <c r="D270" s="99"/>
      <c r="E270" s="99"/>
      <c r="F270" s="99"/>
      <c r="G270" s="99"/>
      <c r="H270" s="100"/>
    </row>
    <row r="271" spans="1:8" x14ac:dyDescent="0.2">
      <c r="A271" s="98"/>
      <c r="B271" s="99"/>
      <c r="C271" s="99"/>
      <c r="D271" s="99"/>
      <c r="E271" s="99"/>
      <c r="F271" s="99"/>
      <c r="G271" s="99"/>
      <c r="H271" s="100"/>
    </row>
    <row r="272" spans="1:8" x14ac:dyDescent="0.2">
      <c r="A272" s="98"/>
      <c r="B272" s="99"/>
      <c r="C272" s="99"/>
      <c r="D272" s="99"/>
      <c r="E272" s="99"/>
      <c r="F272" s="99"/>
      <c r="G272" s="99"/>
      <c r="H272" s="100"/>
    </row>
    <row r="273" spans="1:8" x14ac:dyDescent="0.2">
      <c r="A273" s="98"/>
      <c r="B273" s="99"/>
      <c r="C273" s="99"/>
      <c r="D273" s="99"/>
      <c r="E273" s="99"/>
      <c r="F273" s="99"/>
      <c r="G273" s="99"/>
      <c r="H273" s="100"/>
    </row>
    <row r="274" spans="1:8" x14ac:dyDescent="0.2">
      <c r="A274" s="98"/>
      <c r="B274" s="99"/>
      <c r="C274" s="99"/>
      <c r="D274" s="99"/>
      <c r="E274" s="99"/>
      <c r="F274" s="99"/>
      <c r="G274" s="99"/>
      <c r="H274" s="100"/>
    </row>
    <row r="275" spans="1:8" x14ac:dyDescent="0.2">
      <c r="A275" s="98"/>
      <c r="B275" s="99"/>
      <c r="C275" s="99"/>
      <c r="D275" s="99"/>
      <c r="E275" s="99"/>
      <c r="F275" s="99"/>
      <c r="G275" s="99"/>
      <c r="H275" s="100"/>
    </row>
    <row r="276" spans="1:8" x14ac:dyDescent="0.2">
      <c r="A276" s="98"/>
      <c r="B276" s="99"/>
      <c r="C276" s="99"/>
      <c r="D276" s="99"/>
      <c r="E276" s="99"/>
      <c r="F276" s="99"/>
      <c r="G276" s="99"/>
      <c r="H276" s="100"/>
    </row>
    <row r="277" spans="1:8" x14ac:dyDescent="0.2">
      <c r="A277" s="98"/>
      <c r="B277" s="99"/>
      <c r="C277" s="99"/>
      <c r="D277" s="99"/>
      <c r="E277" s="99"/>
      <c r="F277" s="99"/>
      <c r="G277" s="99"/>
      <c r="H277" s="100"/>
    </row>
    <row r="278" spans="1:8" x14ac:dyDescent="0.2">
      <c r="A278" s="98"/>
      <c r="B278" s="99"/>
      <c r="C278" s="99"/>
      <c r="D278" s="99"/>
      <c r="E278" s="99"/>
      <c r="F278" s="99"/>
      <c r="G278" s="99"/>
      <c r="H278" s="100"/>
    </row>
    <row r="279" spans="1:8" x14ac:dyDescent="0.2">
      <c r="A279" s="98"/>
      <c r="B279" s="99"/>
      <c r="C279" s="99"/>
      <c r="D279" s="99"/>
      <c r="E279" s="99"/>
      <c r="F279" s="99"/>
      <c r="G279" s="99"/>
      <c r="H279" s="100"/>
    </row>
    <row r="280" spans="1:8" x14ac:dyDescent="0.2">
      <c r="A280" s="98"/>
      <c r="B280" s="99"/>
      <c r="C280" s="99"/>
      <c r="D280" s="99"/>
      <c r="E280" s="99"/>
      <c r="F280" s="99"/>
      <c r="G280" s="99"/>
      <c r="H280" s="100"/>
    </row>
    <row r="281" spans="1:8" x14ac:dyDescent="0.2">
      <c r="A281" s="98"/>
      <c r="B281" s="99"/>
      <c r="C281" s="99"/>
      <c r="D281" s="99"/>
      <c r="E281" s="99"/>
      <c r="F281" s="99"/>
      <c r="G281" s="99"/>
      <c r="H281" s="100"/>
    </row>
    <row r="282" spans="1:8" x14ac:dyDescent="0.2">
      <c r="A282" s="98"/>
      <c r="B282" s="99"/>
      <c r="C282" s="99"/>
      <c r="D282" s="99"/>
      <c r="E282" s="99"/>
      <c r="F282" s="99"/>
      <c r="G282" s="99"/>
      <c r="H282" s="100"/>
    </row>
    <row r="283" spans="1:8" x14ac:dyDescent="0.2">
      <c r="A283" s="98"/>
      <c r="B283" s="99"/>
      <c r="C283" s="99"/>
      <c r="D283" s="99"/>
      <c r="E283" s="99"/>
      <c r="F283" s="99"/>
      <c r="G283" s="99"/>
      <c r="H283" s="100"/>
    </row>
    <row r="284" spans="1:8" x14ac:dyDescent="0.2">
      <c r="A284" s="98"/>
      <c r="B284" s="99"/>
      <c r="C284" s="99"/>
      <c r="D284" s="99"/>
      <c r="E284" s="99"/>
      <c r="F284" s="99"/>
      <c r="G284" s="99"/>
      <c r="H284" s="100"/>
    </row>
    <row r="285" spans="1:8" x14ac:dyDescent="0.2">
      <c r="A285" s="98"/>
      <c r="B285" s="99"/>
      <c r="C285" s="99"/>
      <c r="D285" s="99"/>
      <c r="E285" s="99"/>
      <c r="F285" s="99"/>
      <c r="G285" s="99"/>
      <c r="H285" s="100"/>
    </row>
    <row r="286" spans="1:8" x14ac:dyDescent="0.2">
      <c r="A286" s="98"/>
      <c r="B286" s="99"/>
      <c r="C286" s="99"/>
      <c r="D286" s="99"/>
      <c r="E286" s="99"/>
      <c r="F286" s="99"/>
      <c r="G286" s="99"/>
      <c r="H286" s="100"/>
    </row>
    <row r="287" spans="1:8" x14ac:dyDescent="0.2">
      <c r="A287" s="98"/>
      <c r="B287" s="99"/>
      <c r="C287" s="99"/>
      <c r="D287" s="99"/>
      <c r="E287" s="99"/>
      <c r="F287" s="99"/>
      <c r="G287" s="99"/>
      <c r="H287" s="100"/>
    </row>
    <row r="288" spans="1:8" x14ac:dyDescent="0.2">
      <c r="A288" s="98"/>
      <c r="B288" s="99"/>
      <c r="C288" s="99"/>
      <c r="D288" s="99"/>
      <c r="E288" s="99"/>
      <c r="F288" s="99"/>
      <c r="G288" s="99"/>
      <c r="H288" s="100"/>
    </row>
    <row r="289" spans="1:8" x14ac:dyDescent="0.2">
      <c r="A289" s="98"/>
      <c r="B289" s="99"/>
      <c r="C289" s="99"/>
      <c r="D289" s="99"/>
      <c r="E289" s="99"/>
      <c r="F289" s="99"/>
      <c r="G289" s="99"/>
      <c r="H289" s="100"/>
    </row>
    <row r="290" spans="1:8" x14ac:dyDescent="0.2">
      <c r="A290" s="98"/>
      <c r="B290" s="99"/>
      <c r="C290" s="99"/>
      <c r="D290" s="99"/>
      <c r="E290" s="99"/>
      <c r="F290" s="99"/>
      <c r="G290" s="99"/>
      <c r="H290" s="100"/>
    </row>
    <row r="291" spans="1:8" x14ac:dyDescent="0.2">
      <c r="A291" s="98"/>
      <c r="B291" s="99"/>
      <c r="C291" s="99"/>
      <c r="D291" s="99"/>
      <c r="E291" s="99"/>
      <c r="F291" s="99"/>
      <c r="G291" s="99"/>
      <c r="H291" s="100"/>
    </row>
    <row r="292" spans="1:8" x14ac:dyDescent="0.2">
      <c r="A292" s="98"/>
      <c r="B292" s="99"/>
      <c r="C292" s="99"/>
      <c r="D292" s="99"/>
      <c r="E292" s="99"/>
      <c r="F292" s="99"/>
      <c r="G292" s="99"/>
      <c r="H292" s="100"/>
    </row>
    <row r="293" spans="1:8" x14ac:dyDescent="0.2">
      <c r="A293" s="98"/>
      <c r="B293" s="99"/>
      <c r="C293" s="99"/>
      <c r="D293" s="99"/>
      <c r="E293" s="99"/>
      <c r="F293" s="99"/>
      <c r="G293" s="99"/>
      <c r="H293" s="100"/>
    </row>
    <row r="294" spans="1:8" x14ac:dyDescent="0.2">
      <c r="A294" s="98"/>
      <c r="B294" s="99"/>
      <c r="C294" s="99"/>
      <c r="D294" s="99"/>
      <c r="E294" s="99"/>
      <c r="F294" s="99"/>
      <c r="G294" s="99"/>
      <c r="H294" s="100"/>
    </row>
    <row r="295" spans="1:8" x14ac:dyDescent="0.2">
      <c r="A295" s="98"/>
      <c r="B295" s="99"/>
      <c r="C295" s="99"/>
      <c r="D295" s="99"/>
      <c r="E295" s="99"/>
      <c r="F295" s="99"/>
      <c r="G295" s="99"/>
      <c r="H295" s="100"/>
    </row>
    <row r="296" spans="1:8" x14ac:dyDescent="0.2">
      <c r="A296" s="98"/>
      <c r="B296" s="99"/>
      <c r="C296" s="99"/>
      <c r="D296" s="99"/>
      <c r="E296" s="99"/>
      <c r="F296" s="99"/>
      <c r="G296" s="99"/>
      <c r="H296" s="100"/>
    </row>
    <row r="297" spans="1:8" x14ac:dyDescent="0.2">
      <c r="A297" s="98"/>
      <c r="B297" s="99"/>
      <c r="C297" s="99"/>
      <c r="D297" s="99"/>
      <c r="E297" s="99"/>
      <c r="F297" s="99"/>
      <c r="G297" s="99"/>
      <c r="H297" s="100"/>
    </row>
    <row r="298" spans="1:8" x14ac:dyDescent="0.2">
      <c r="A298" s="98"/>
      <c r="B298" s="99"/>
      <c r="C298" s="99"/>
      <c r="D298" s="99"/>
      <c r="E298" s="99"/>
      <c r="F298" s="99"/>
      <c r="G298" s="99"/>
      <c r="H298" s="100"/>
    </row>
    <row r="299" spans="1:8" x14ac:dyDescent="0.2">
      <c r="A299" s="98"/>
      <c r="B299" s="99"/>
      <c r="C299" s="99"/>
      <c r="D299" s="99"/>
      <c r="E299" s="99"/>
      <c r="F299" s="99"/>
      <c r="G299" s="99"/>
      <c r="H299" s="100"/>
    </row>
    <row r="300" spans="1:8" x14ac:dyDescent="0.2">
      <c r="A300" s="98"/>
      <c r="B300" s="99"/>
      <c r="C300" s="99"/>
      <c r="D300" s="99"/>
      <c r="E300" s="99"/>
      <c r="F300" s="99"/>
      <c r="G300" s="99"/>
      <c r="H300" s="100"/>
    </row>
    <row r="301" spans="1:8" x14ac:dyDescent="0.2">
      <c r="A301" s="98"/>
      <c r="B301" s="99"/>
      <c r="C301" s="99"/>
      <c r="D301" s="99"/>
      <c r="E301" s="99"/>
      <c r="F301" s="99"/>
      <c r="G301" s="99"/>
      <c r="H301" s="100"/>
    </row>
    <row r="302" spans="1:8" x14ac:dyDescent="0.2">
      <c r="A302" s="98"/>
      <c r="B302" s="99"/>
      <c r="C302" s="99"/>
      <c r="D302" s="99"/>
      <c r="E302" s="99"/>
      <c r="F302" s="99"/>
      <c r="G302" s="99"/>
      <c r="H302" s="100"/>
    </row>
    <row r="303" spans="1:8" x14ac:dyDescent="0.2">
      <c r="A303" s="98"/>
      <c r="B303" s="99"/>
      <c r="C303" s="99"/>
      <c r="D303" s="99"/>
      <c r="E303" s="99"/>
      <c r="F303" s="99"/>
      <c r="G303" s="99"/>
      <c r="H303" s="100"/>
    </row>
    <row r="304" spans="1:8" x14ac:dyDescent="0.2">
      <c r="A304" s="98"/>
      <c r="B304" s="99"/>
      <c r="C304" s="99"/>
      <c r="D304" s="99"/>
      <c r="E304" s="99"/>
      <c r="F304" s="99"/>
      <c r="G304" s="99"/>
      <c r="H304" s="100"/>
    </row>
    <row r="305" spans="1:8" x14ac:dyDescent="0.2">
      <c r="A305" s="98"/>
      <c r="B305" s="99"/>
      <c r="C305" s="99"/>
      <c r="D305" s="99"/>
      <c r="E305" s="99"/>
      <c r="F305" s="99"/>
      <c r="G305" s="99"/>
      <c r="H305" s="100"/>
    </row>
    <row r="306" spans="1:8" x14ac:dyDescent="0.2">
      <c r="A306" s="98"/>
      <c r="B306" s="99"/>
      <c r="C306" s="99"/>
      <c r="D306" s="99"/>
      <c r="E306" s="99"/>
      <c r="F306" s="99"/>
      <c r="G306" s="99"/>
      <c r="H306" s="100"/>
    </row>
    <row r="307" spans="1:8" x14ac:dyDescent="0.2">
      <c r="A307" s="98"/>
      <c r="B307" s="99"/>
      <c r="C307" s="99"/>
      <c r="D307" s="99"/>
      <c r="E307" s="99"/>
      <c r="F307" s="99"/>
      <c r="G307" s="99"/>
      <c r="H307" s="100"/>
    </row>
    <row r="308" spans="1:8" x14ac:dyDescent="0.2">
      <c r="A308" s="98"/>
      <c r="B308" s="99"/>
      <c r="C308" s="99"/>
      <c r="D308" s="99"/>
      <c r="E308" s="99"/>
      <c r="F308" s="99"/>
      <c r="G308" s="99"/>
      <c r="H308" s="100"/>
    </row>
    <row r="309" spans="1:8" x14ac:dyDescent="0.2">
      <c r="A309" s="98"/>
      <c r="B309" s="99"/>
      <c r="C309" s="99"/>
      <c r="D309" s="99"/>
      <c r="E309" s="99"/>
      <c r="F309" s="99"/>
      <c r="G309" s="99"/>
      <c r="H309" s="100"/>
    </row>
    <row r="310" spans="1:8" x14ac:dyDescent="0.2">
      <c r="A310" s="98"/>
      <c r="B310" s="99"/>
      <c r="C310" s="99"/>
      <c r="D310" s="99"/>
      <c r="E310" s="99"/>
      <c r="F310" s="99"/>
      <c r="G310" s="99"/>
      <c r="H310" s="100"/>
    </row>
    <row r="311" spans="1:8" x14ac:dyDescent="0.2">
      <c r="A311" s="247"/>
      <c r="B311" s="248"/>
      <c r="C311" s="248"/>
      <c r="D311" s="248"/>
      <c r="E311" s="248"/>
      <c r="F311" s="248"/>
      <c r="G311" s="248"/>
      <c r="H311" s="249"/>
    </row>
    <row r="312" spans="1:8" x14ac:dyDescent="0.2">
      <c r="A312" s="107" t="s">
        <v>120</v>
      </c>
      <c r="B312" s="108"/>
      <c r="C312" s="95"/>
      <c r="D312" s="109"/>
      <c r="E312" s="109"/>
      <c r="F312" s="109"/>
      <c r="G312" s="109"/>
      <c r="H312" s="96"/>
    </row>
    <row r="313" spans="1:8" x14ac:dyDescent="0.2">
      <c r="A313" s="98"/>
      <c r="B313" s="99"/>
      <c r="C313" s="99"/>
      <c r="D313" s="99"/>
      <c r="E313" s="99"/>
      <c r="F313" s="99"/>
      <c r="G313" s="99"/>
      <c r="H313" s="100"/>
    </row>
    <row r="314" spans="1:8" x14ac:dyDescent="0.2">
      <c r="A314" s="98"/>
      <c r="B314" s="99"/>
      <c r="C314" s="99"/>
      <c r="D314" s="99"/>
      <c r="E314" s="99"/>
      <c r="F314" s="99"/>
      <c r="G314" s="99"/>
      <c r="H314" s="100"/>
    </row>
    <row r="315" spans="1:8" x14ac:dyDescent="0.2">
      <c r="A315" s="98"/>
      <c r="B315" s="99"/>
      <c r="C315" s="99"/>
      <c r="D315" s="99"/>
      <c r="E315" s="99"/>
      <c r="F315" s="99"/>
      <c r="G315" s="99"/>
      <c r="H315" s="100"/>
    </row>
    <row r="316" spans="1:8" x14ac:dyDescent="0.2">
      <c r="A316" s="98"/>
      <c r="B316" s="99"/>
      <c r="C316" s="99"/>
      <c r="D316" s="99"/>
      <c r="E316" s="99"/>
      <c r="F316" s="99"/>
      <c r="G316" s="99"/>
      <c r="H316" s="100"/>
    </row>
    <row r="317" spans="1:8" x14ac:dyDescent="0.2">
      <c r="A317" s="98"/>
      <c r="B317" s="99"/>
      <c r="C317" s="99"/>
      <c r="D317" s="99"/>
      <c r="E317" s="99"/>
      <c r="F317" s="99"/>
      <c r="G317" s="99"/>
      <c r="H317" s="100"/>
    </row>
    <row r="318" spans="1:8" x14ac:dyDescent="0.2">
      <c r="A318" s="98"/>
      <c r="B318" s="99"/>
      <c r="C318" s="99"/>
      <c r="D318" s="99"/>
      <c r="E318" s="99"/>
      <c r="F318" s="99"/>
      <c r="G318" s="99"/>
      <c r="H318" s="100"/>
    </row>
    <row r="319" spans="1:8" x14ac:dyDescent="0.2">
      <c r="A319" s="98"/>
      <c r="B319" s="99"/>
      <c r="C319" s="99"/>
      <c r="D319" s="99"/>
      <c r="E319" s="99"/>
      <c r="F319" s="99"/>
      <c r="G319" s="99"/>
      <c r="H319" s="100"/>
    </row>
    <row r="320" spans="1:8" x14ac:dyDescent="0.2">
      <c r="A320" s="98"/>
      <c r="B320" s="99"/>
      <c r="C320" s="99"/>
      <c r="D320" s="99"/>
      <c r="E320" s="99"/>
      <c r="F320" s="99"/>
      <c r="G320" s="99"/>
      <c r="H320" s="100"/>
    </row>
    <row r="321" spans="1:8" x14ac:dyDescent="0.2">
      <c r="A321" s="98"/>
      <c r="B321" s="99"/>
      <c r="C321" s="99"/>
      <c r="D321" s="99"/>
      <c r="E321" s="99"/>
      <c r="F321" s="99"/>
      <c r="G321" s="99"/>
      <c r="H321" s="100"/>
    </row>
    <row r="322" spans="1:8" x14ac:dyDescent="0.2">
      <c r="A322" s="98"/>
      <c r="B322" s="99"/>
      <c r="C322" s="99"/>
      <c r="D322" s="99"/>
      <c r="E322" s="99"/>
      <c r="F322" s="99"/>
      <c r="G322" s="99"/>
      <c r="H322" s="100"/>
    </row>
    <row r="323" spans="1:8" x14ac:dyDescent="0.2">
      <c r="A323" s="98"/>
      <c r="B323" s="99"/>
      <c r="C323" s="99"/>
      <c r="D323" s="99"/>
      <c r="E323" s="99"/>
      <c r="F323" s="99"/>
      <c r="G323" s="99"/>
      <c r="H323" s="100"/>
    </row>
    <row r="324" spans="1:8" x14ac:dyDescent="0.2">
      <c r="A324" s="98"/>
      <c r="B324" s="99"/>
      <c r="C324" s="99"/>
      <c r="D324" s="99"/>
      <c r="E324" s="99"/>
      <c r="F324" s="99"/>
      <c r="G324" s="99"/>
      <c r="H324" s="100"/>
    </row>
    <row r="325" spans="1:8" x14ac:dyDescent="0.2">
      <c r="A325" s="98"/>
      <c r="B325" s="99"/>
      <c r="C325" s="99"/>
      <c r="D325" s="99"/>
      <c r="E325" s="99"/>
      <c r="F325" s="99"/>
      <c r="G325" s="99"/>
      <c r="H325" s="100"/>
    </row>
    <row r="326" spans="1:8" x14ac:dyDescent="0.2">
      <c r="A326" s="98"/>
      <c r="B326" s="99"/>
      <c r="C326" s="99"/>
      <c r="D326" s="99"/>
      <c r="E326" s="99"/>
      <c r="F326" s="99"/>
      <c r="G326" s="99"/>
      <c r="H326" s="100"/>
    </row>
    <row r="327" spans="1:8" x14ac:dyDescent="0.2">
      <c r="A327" s="98"/>
      <c r="B327" s="99"/>
      <c r="C327" s="99"/>
      <c r="D327" s="99"/>
      <c r="E327" s="99"/>
      <c r="F327" s="99"/>
      <c r="G327" s="99"/>
      <c r="H327" s="100"/>
    </row>
    <row r="328" spans="1:8" x14ac:dyDescent="0.2">
      <c r="A328" s="98"/>
      <c r="B328" s="99"/>
      <c r="C328" s="99"/>
      <c r="D328" s="99"/>
      <c r="E328" s="99"/>
      <c r="F328" s="99"/>
      <c r="G328" s="99"/>
      <c r="H328" s="100"/>
    </row>
    <row r="329" spans="1:8" x14ac:dyDescent="0.2">
      <c r="A329" s="98"/>
      <c r="B329" s="99"/>
      <c r="C329" s="99"/>
      <c r="D329" s="99"/>
      <c r="E329" s="99"/>
      <c r="F329" s="99"/>
      <c r="G329" s="99"/>
      <c r="H329" s="100"/>
    </row>
    <row r="330" spans="1:8" x14ac:dyDescent="0.2">
      <c r="A330" s="98"/>
      <c r="B330" s="99"/>
      <c r="C330" s="99"/>
      <c r="D330" s="99"/>
      <c r="E330" s="99"/>
      <c r="F330" s="99"/>
      <c r="G330" s="99"/>
      <c r="H330" s="100"/>
    </row>
    <row r="331" spans="1:8" x14ac:dyDescent="0.2">
      <c r="A331" s="98"/>
      <c r="B331" s="99"/>
      <c r="C331" s="99"/>
      <c r="D331" s="99"/>
      <c r="E331" s="99"/>
      <c r="F331" s="99"/>
      <c r="G331" s="99"/>
      <c r="H331" s="100"/>
    </row>
    <row r="332" spans="1:8" x14ac:dyDescent="0.2">
      <c r="A332" s="98"/>
      <c r="B332" s="99"/>
      <c r="C332" s="99"/>
      <c r="D332" s="99"/>
      <c r="E332" s="99"/>
      <c r="F332" s="99"/>
      <c r="G332" s="99"/>
      <c r="H332" s="100"/>
    </row>
    <row r="333" spans="1:8" x14ac:dyDescent="0.2">
      <c r="A333" s="98"/>
      <c r="B333" s="99"/>
      <c r="C333" s="99"/>
      <c r="D333" s="99"/>
      <c r="E333" s="99"/>
      <c r="F333" s="99"/>
      <c r="G333" s="99"/>
      <c r="H333" s="100"/>
    </row>
    <row r="334" spans="1:8" x14ac:dyDescent="0.2">
      <c r="A334" s="98"/>
      <c r="B334" s="99"/>
      <c r="C334" s="99"/>
      <c r="D334" s="99"/>
      <c r="E334" s="99"/>
      <c r="F334" s="99"/>
      <c r="G334" s="99"/>
      <c r="H334" s="100"/>
    </row>
    <row r="335" spans="1:8" x14ac:dyDescent="0.2">
      <c r="A335" s="98"/>
      <c r="B335" s="99"/>
      <c r="C335" s="99"/>
      <c r="D335" s="99"/>
      <c r="E335" s="99"/>
      <c r="F335" s="99"/>
      <c r="G335" s="99"/>
      <c r="H335" s="100"/>
    </row>
    <row r="336" spans="1:8" x14ac:dyDescent="0.2">
      <c r="A336" s="98"/>
      <c r="B336" s="99"/>
      <c r="C336" s="99"/>
      <c r="D336" s="99"/>
      <c r="E336" s="99"/>
      <c r="F336" s="99"/>
      <c r="G336" s="99"/>
      <c r="H336" s="100"/>
    </row>
    <row r="337" spans="1:8" x14ac:dyDescent="0.2">
      <c r="A337" s="98"/>
      <c r="B337" s="99"/>
      <c r="C337" s="99"/>
      <c r="D337" s="99"/>
      <c r="E337" s="99"/>
      <c r="F337" s="99"/>
      <c r="G337" s="99"/>
      <c r="H337" s="100"/>
    </row>
    <row r="338" spans="1:8" x14ac:dyDescent="0.2">
      <c r="A338" s="98"/>
      <c r="B338" s="99"/>
      <c r="C338" s="99"/>
      <c r="D338" s="99"/>
      <c r="E338" s="99"/>
      <c r="F338" s="99"/>
      <c r="G338" s="99"/>
      <c r="H338" s="100"/>
    </row>
    <row r="339" spans="1:8" x14ac:dyDescent="0.2">
      <c r="A339" s="98"/>
      <c r="B339" s="99"/>
      <c r="C339" s="99"/>
      <c r="D339" s="99"/>
      <c r="E339" s="99"/>
      <c r="F339" s="99"/>
      <c r="G339" s="99"/>
      <c r="H339" s="100"/>
    </row>
    <row r="340" spans="1:8" x14ac:dyDescent="0.2">
      <c r="A340" s="98"/>
      <c r="B340" s="99"/>
      <c r="C340" s="99"/>
      <c r="D340" s="99"/>
      <c r="E340" s="99"/>
      <c r="F340" s="99"/>
      <c r="G340" s="99"/>
      <c r="H340" s="100"/>
    </row>
    <row r="341" spans="1:8" x14ac:dyDescent="0.2">
      <c r="A341" s="98"/>
      <c r="B341" s="99"/>
      <c r="C341" s="99"/>
      <c r="D341" s="99"/>
      <c r="E341" s="99"/>
      <c r="F341" s="99"/>
      <c r="G341" s="99"/>
      <c r="H341" s="100"/>
    </row>
    <row r="342" spans="1:8" x14ac:dyDescent="0.2">
      <c r="A342" s="98"/>
      <c r="B342" s="99"/>
      <c r="C342" s="99"/>
      <c r="D342" s="99"/>
      <c r="E342" s="99"/>
      <c r="F342" s="99"/>
      <c r="G342" s="99"/>
      <c r="H342" s="100"/>
    </row>
    <row r="343" spans="1:8" x14ac:dyDescent="0.2">
      <c r="A343" s="98"/>
      <c r="B343" s="99"/>
      <c r="C343" s="99"/>
      <c r="D343" s="99"/>
      <c r="E343" s="99"/>
      <c r="F343" s="99"/>
      <c r="G343" s="99"/>
      <c r="H343" s="100"/>
    </row>
    <row r="344" spans="1:8" x14ac:dyDescent="0.2">
      <c r="A344" s="98"/>
      <c r="B344" s="99"/>
      <c r="C344" s="99"/>
      <c r="D344" s="99"/>
      <c r="E344" s="99"/>
      <c r="F344" s="99"/>
      <c r="G344" s="99"/>
      <c r="H344" s="100"/>
    </row>
    <row r="345" spans="1:8" x14ac:dyDescent="0.2">
      <c r="A345" s="98"/>
      <c r="B345" s="99"/>
      <c r="C345" s="99"/>
      <c r="D345" s="99"/>
      <c r="E345" s="99"/>
      <c r="F345" s="99"/>
      <c r="G345" s="99"/>
      <c r="H345" s="100"/>
    </row>
    <row r="346" spans="1:8" x14ac:dyDescent="0.2">
      <c r="A346" s="98"/>
      <c r="B346" s="99"/>
      <c r="C346" s="99"/>
      <c r="D346" s="99"/>
      <c r="E346" s="99"/>
      <c r="F346" s="99"/>
      <c r="G346" s="99"/>
      <c r="H346" s="100"/>
    </row>
    <row r="347" spans="1:8" x14ac:dyDescent="0.2">
      <c r="A347" s="98"/>
      <c r="B347" s="99"/>
      <c r="C347" s="99"/>
      <c r="D347" s="99"/>
      <c r="E347" s="99"/>
      <c r="F347" s="99"/>
      <c r="G347" s="99"/>
      <c r="H347" s="100"/>
    </row>
    <row r="348" spans="1:8" x14ac:dyDescent="0.2">
      <c r="A348" s="98"/>
      <c r="B348" s="99"/>
      <c r="C348" s="99"/>
      <c r="D348" s="99"/>
      <c r="E348" s="99"/>
      <c r="F348" s="99"/>
      <c r="G348" s="99"/>
      <c r="H348" s="100"/>
    </row>
    <row r="349" spans="1:8" x14ac:dyDescent="0.2">
      <c r="A349" s="98"/>
      <c r="B349" s="99"/>
      <c r="C349" s="99"/>
      <c r="D349" s="99"/>
      <c r="E349" s="99"/>
      <c r="F349" s="99"/>
      <c r="G349" s="99"/>
      <c r="H349" s="100"/>
    </row>
    <row r="350" spans="1:8" x14ac:dyDescent="0.2">
      <c r="A350" s="98"/>
      <c r="B350" s="99"/>
      <c r="C350" s="99"/>
      <c r="D350" s="99"/>
      <c r="E350" s="99"/>
      <c r="F350" s="99"/>
      <c r="G350" s="99"/>
      <c r="H350" s="100"/>
    </row>
    <row r="351" spans="1:8" x14ac:dyDescent="0.2">
      <c r="A351" s="98"/>
      <c r="B351" s="99"/>
      <c r="C351" s="99"/>
      <c r="D351" s="99"/>
      <c r="E351" s="99"/>
      <c r="F351" s="99"/>
      <c r="G351" s="99"/>
      <c r="H351" s="100"/>
    </row>
    <row r="352" spans="1:8" x14ac:dyDescent="0.2">
      <c r="A352" s="98"/>
      <c r="B352" s="99"/>
      <c r="C352" s="99"/>
      <c r="D352" s="99"/>
      <c r="E352" s="99"/>
      <c r="F352" s="99"/>
      <c r="G352" s="99"/>
      <c r="H352" s="100"/>
    </row>
    <row r="353" spans="1:8" x14ac:dyDescent="0.2">
      <c r="A353" s="98"/>
      <c r="B353" s="99"/>
      <c r="C353" s="99"/>
      <c r="D353" s="99"/>
      <c r="E353" s="99"/>
      <c r="F353" s="99"/>
      <c r="G353" s="99"/>
      <c r="H353" s="100"/>
    </row>
    <row r="354" spans="1:8" x14ac:dyDescent="0.2">
      <c r="A354" s="98"/>
      <c r="B354" s="99"/>
      <c r="C354" s="99"/>
      <c r="D354" s="99"/>
      <c r="E354" s="99"/>
      <c r="F354" s="99"/>
      <c r="G354" s="99"/>
      <c r="H354" s="100"/>
    </row>
    <row r="355" spans="1:8" x14ac:dyDescent="0.2">
      <c r="A355" s="98"/>
      <c r="B355" s="99"/>
      <c r="C355" s="99"/>
      <c r="D355" s="99"/>
      <c r="E355" s="99"/>
      <c r="F355" s="99"/>
      <c r="G355" s="99"/>
      <c r="H355" s="100"/>
    </row>
    <row r="356" spans="1:8" x14ac:dyDescent="0.2">
      <c r="A356" s="98"/>
      <c r="B356" s="99"/>
      <c r="C356" s="99"/>
      <c r="D356" s="99"/>
      <c r="E356" s="99"/>
      <c r="F356" s="99"/>
      <c r="G356" s="99"/>
      <c r="H356" s="100"/>
    </row>
    <row r="357" spans="1:8" x14ac:dyDescent="0.2">
      <c r="A357" s="98"/>
      <c r="B357" s="99"/>
      <c r="C357" s="99"/>
      <c r="D357" s="99"/>
      <c r="E357" s="99"/>
      <c r="F357" s="99"/>
      <c r="G357" s="99"/>
      <c r="H357" s="100"/>
    </row>
    <row r="358" spans="1:8" x14ac:dyDescent="0.2">
      <c r="A358" s="98"/>
      <c r="B358" s="99"/>
      <c r="C358" s="99"/>
      <c r="D358" s="99"/>
      <c r="E358" s="99"/>
      <c r="F358" s="99"/>
      <c r="G358" s="99"/>
      <c r="H358" s="100"/>
    </row>
    <row r="359" spans="1:8" x14ac:dyDescent="0.2">
      <c r="A359" s="98"/>
      <c r="B359" s="99"/>
      <c r="C359" s="99"/>
      <c r="D359" s="99"/>
      <c r="E359" s="99"/>
      <c r="F359" s="99"/>
      <c r="G359" s="99"/>
      <c r="H359" s="100"/>
    </row>
    <row r="360" spans="1:8" x14ac:dyDescent="0.2">
      <c r="A360" s="98"/>
      <c r="B360" s="99"/>
      <c r="C360" s="99"/>
      <c r="D360" s="99"/>
      <c r="E360" s="99"/>
      <c r="F360" s="99"/>
      <c r="G360" s="99"/>
      <c r="H360" s="100"/>
    </row>
    <row r="361" spans="1:8" x14ac:dyDescent="0.2">
      <c r="A361" s="98"/>
      <c r="B361" s="99"/>
      <c r="C361" s="99"/>
      <c r="D361" s="99"/>
      <c r="E361" s="99"/>
      <c r="F361" s="99"/>
      <c r="G361" s="99"/>
      <c r="H361" s="100"/>
    </row>
    <row r="362" spans="1:8" ht="61.5" customHeight="1" x14ac:dyDescent="0.2">
      <c r="A362" s="95" t="s">
        <v>117</v>
      </c>
      <c r="B362" s="96"/>
      <c r="C362" s="245" t="s">
        <v>269</v>
      </c>
      <c r="D362" s="246"/>
      <c r="E362" s="85" t="s">
        <v>118</v>
      </c>
      <c r="F362" s="85"/>
      <c r="G362" s="112"/>
      <c r="H362" s="112"/>
    </row>
  </sheetData>
  <mergeCells count="508">
    <mergeCell ref="I51:L51"/>
    <mergeCell ref="C258:H258"/>
    <mergeCell ref="A362:B362"/>
    <mergeCell ref="C362:D362"/>
    <mergeCell ref="A258:B258"/>
    <mergeCell ref="A185:B185"/>
    <mergeCell ref="A186:B186"/>
    <mergeCell ref="A187:B187"/>
    <mergeCell ref="A188:B188"/>
    <mergeCell ref="B193:H193"/>
    <mergeCell ref="A305:H305"/>
    <mergeCell ref="A306:H306"/>
    <mergeCell ref="A307:H307"/>
    <mergeCell ref="A308:H308"/>
    <mergeCell ref="A309:H309"/>
    <mergeCell ref="A310:H310"/>
    <mergeCell ref="A311:H311"/>
    <mergeCell ref="A287:H287"/>
    <mergeCell ref="A288:H288"/>
    <mergeCell ref="A289:H289"/>
    <mergeCell ref="A290:H290"/>
    <mergeCell ref="A291:H291"/>
    <mergeCell ref="A278:H278"/>
    <mergeCell ref="A279:H279"/>
    <mergeCell ref="A280:H280"/>
    <mergeCell ref="A281:H281"/>
    <mergeCell ref="A282:H282"/>
    <mergeCell ref="A283:H283"/>
    <mergeCell ref="A286:H286"/>
    <mergeCell ref="A259:H259"/>
    <mergeCell ref="A260:H260"/>
    <mergeCell ref="A191:E191"/>
    <mergeCell ref="F191:H191"/>
    <mergeCell ref="A206:H206"/>
    <mergeCell ref="A284:H284"/>
    <mergeCell ref="A285:H285"/>
    <mergeCell ref="A212:H212"/>
    <mergeCell ref="A213:H213"/>
    <mergeCell ref="A214:H214"/>
    <mergeCell ref="A215:H215"/>
    <mergeCell ref="A216:H216"/>
    <mergeCell ref="A217:H217"/>
    <mergeCell ref="A218:H218"/>
    <mergeCell ref="A219:H219"/>
    <mergeCell ref="A220:H220"/>
    <mergeCell ref="A221:H221"/>
    <mergeCell ref="A222:H222"/>
    <mergeCell ref="A223:H223"/>
    <mergeCell ref="A172:B172"/>
    <mergeCell ref="A173:B173"/>
    <mergeCell ref="A174:B174"/>
    <mergeCell ref="A175:B175"/>
    <mergeCell ref="A176:B176"/>
    <mergeCell ref="A177:B177"/>
    <mergeCell ref="A178:B178"/>
    <mergeCell ref="F190:H190"/>
    <mergeCell ref="A180:H180"/>
    <mergeCell ref="A179:B179"/>
    <mergeCell ref="A181:B181"/>
    <mergeCell ref="A182:B182"/>
    <mergeCell ref="A183:B183"/>
    <mergeCell ref="A190:E190"/>
    <mergeCell ref="A138:B138"/>
    <mergeCell ref="A140:B140"/>
    <mergeCell ref="A124:H124"/>
    <mergeCell ref="A113:H113"/>
    <mergeCell ref="B114:B115"/>
    <mergeCell ref="B125:B126"/>
    <mergeCell ref="A163:B163"/>
    <mergeCell ref="A128:H128"/>
    <mergeCell ref="A129:B129"/>
    <mergeCell ref="A130:B130"/>
    <mergeCell ref="A131:B131"/>
    <mergeCell ref="A132:B132"/>
    <mergeCell ref="A133:B133"/>
    <mergeCell ref="A134:B134"/>
    <mergeCell ref="A135:B135"/>
    <mergeCell ref="A136:B136"/>
    <mergeCell ref="E125:E126"/>
    <mergeCell ref="F125:F126"/>
    <mergeCell ref="A127:H127"/>
    <mergeCell ref="A121:B121"/>
    <mergeCell ref="E114:E115"/>
    <mergeCell ref="F114:F115"/>
    <mergeCell ref="A162:H162"/>
    <mergeCell ref="A147:B147"/>
    <mergeCell ref="A137:B137"/>
    <mergeCell ref="C104:D104"/>
    <mergeCell ref="C105:D105"/>
    <mergeCell ref="C107:D107"/>
    <mergeCell ref="C108:D108"/>
    <mergeCell ref="C109:D109"/>
    <mergeCell ref="C110:D110"/>
    <mergeCell ref="C111:D111"/>
    <mergeCell ref="D114:D115"/>
    <mergeCell ref="A125:A126"/>
    <mergeCell ref="C125:C126"/>
    <mergeCell ref="D125:D126"/>
    <mergeCell ref="A107:B107"/>
    <mergeCell ref="A108:B108"/>
    <mergeCell ref="A109:B109"/>
    <mergeCell ref="A110:B110"/>
    <mergeCell ref="A111:B111"/>
    <mergeCell ref="A116:H116"/>
    <mergeCell ref="C66:D66"/>
    <mergeCell ref="C67:D67"/>
    <mergeCell ref="C68:D68"/>
    <mergeCell ref="C65:H65"/>
    <mergeCell ref="A67:B67"/>
    <mergeCell ref="G103:H103"/>
    <mergeCell ref="E104:F104"/>
    <mergeCell ref="G104:H104"/>
    <mergeCell ref="E105:F105"/>
    <mergeCell ref="G105:H105"/>
    <mergeCell ref="A70:B70"/>
    <mergeCell ref="A71:B71"/>
    <mergeCell ref="C75:D75"/>
    <mergeCell ref="C76:D76"/>
    <mergeCell ref="C93:D93"/>
    <mergeCell ref="C94:D94"/>
    <mergeCell ref="C95:D95"/>
    <mergeCell ref="C96:D96"/>
    <mergeCell ref="C97:D97"/>
    <mergeCell ref="C98:D98"/>
    <mergeCell ref="C99:D99"/>
    <mergeCell ref="A77:D78"/>
    <mergeCell ref="C79:H79"/>
    <mergeCell ref="A80:B80"/>
    <mergeCell ref="A63:D64"/>
    <mergeCell ref="A53:B53"/>
    <mergeCell ref="C53:H53"/>
    <mergeCell ref="C55:F55"/>
    <mergeCell ref="A55:B56"/>
    <mergeCell ref="C56:F56"/>
    <mergeCell ref="C59:F59"/>
    <mergeCell ref="A57:B59"/>
    <mergeCell ref="C57:F58"/>
    <mergeCell ref="A13:B13"/>
    <mergeCell ref="A14:B14"/>
    <mergeCell ref="C33:D33"/>
    <mergeCell ref="A62:H62"/>
    <mergeCell ref="G61:H61"/>
    <mergeCell ref="C61:D61"/>
    <mergeCell ref="C46:F46"/>
    <mergeCell ref="C48:F48"/>
    <mergeCell ref="C54:F54"/>
    <mergeCell ref="E51:F51"/>
    <mergeCell ref="C50:D50"/>
    <mergeCell ref="C51:D51"/>
    <mergeCell ref="C52:D52"/>
    <mergeCell ref="A48:B49"/>
    <mergeCell ref="C49:H49"/>
    <mergeCell ref="A96:B96"/>
    <mergeCell ref="A97:B97"/>
    <mergeCell ref="E61:F61"/>
    <mergeCell ref="C3:E3"/>
    <mergeCell ref="C4:E4"/>
    <mergeCell ref="C5:E5"/>
    <mergeCell ref="G3:H3"/>
    <mergeCell ref="G4:H4"/>
    <mergeCell ref="G5:H5"/>
    <mergeCell ref="C31:D31"/>
    <mergeCell ref="C32:D32"/>
    <mergeCell ref="A25:B25"/>
    <mergeCell ref="A26:B26"/>
    <mergeCell ref="A27:B27"/>
    <mergeCell ref="A28:B28"/>
    <mergeCell ref="A29:B29"/>
    <mergeCell ref="A30:B30"/>
    <mergeCell ref="A31:B34"/>
    <mergeCell ref="A7:B7"/>
    <mergeCell ref="A8:B8"/>
    <mergeCell ref="A9:B9"/>
    <mergeCell ref="A10:B10"/>
    <mergeCell ref="A11:B11"/>
    <mergeCell ref="A12:B12"/>
    <mergeCell ref="A72:B72"/>
    <mergeCell ref="A73:B73"/>
    <mergeCell ref="A74:B74"/>
    <mergeCell ref="A75:B75"/>
    <mergeCell ref="A76:B76"/>
    <mergeCell ref="A91:B91"/>
    <mergeCell ref="A93:B93"/>
    <mergeCell ref="A94:B94"/>
    <mergeCell ref="A95:B95"/>
    <mergeCell ref="A35:B35"/>
    <mergeCell ref="A36:B36"/>
    <mergeCell ref="A16:B16"/>
    <mergeCell ref="A17:B17"/>
    <mergeCell ref="A18:B18"/>
    <mergeCell ref="A19:B19"/>
    <mergeCell ref="A20:B20"/>
    <mergeCell ref="A21:B21"/>
    <mergeCell ref="A22:B22"/>
    <mergeCell ref="A23:B23"/>
    <mergeCell ref="A24:B24"/>
    <mergeCell ref="A15:B15"/>
    <mergeCell ref="E110:F110"/>
    <mergeCell ref="G110:H110"/>
    <mergeCell ref="E111:F111"/>
    <mergeCell ref="G111:H111"/>
    <mergeCell ref="C29:H29"/>
    <mergeCell ref="C30:H30"/>
    <mergeCell ref="A37:B37"/>
    <mergeCell ref="A38:B38"/>
    <mergeCell ref="A40:B45"/>
    <mergeCell ref="A46:B46"/>
    <mergeCell ref="A47:B47"/>
    <mergeCell ref="A50:B52"/>
    <mergeCell ref="A54:B54"/>
    <mergeCell ref="A61:B61"/>
    <mergeCell ref="A66:B66"/>
    <mergeCell ref="C43:F43"/>
    <mergeCell ref="G43:H43"/>
    <mergeCell ref="C45:F45"/>
    <mergeCell ref="G45:H45"/>
    <mergeCell ref="G66:H66"/>
    <mergeCell ref="G67:H76"/>
    <mergeCell ref="E96:F96"/>
    <mergeCell ref="F18:H18"/>
    <mergeCell ref="A298:H298"/>
    <mergeCell ref="A299:H299"/>
    <mergeCell ref="A300:H300"/>
    <mergeCell ref="A301:H301"/>
    <mergeCell ref="A302:H302"/>
    <mergeCell ref="A303:H303"/>
    <mergeCell ref="A304:H304"/>
    <mergeCell ref="A292:H292"/>
    <mergeCell ref="A293:H293"/>
    <mergeCell ref="A294:H294"/>
    <mergeCell ref="A295:H295"/>
    <mergeCell ref="C80:D80"/>
    <mergeCell ref="G80:H80"/>
    <mergeCell ref="A81:B81"/>
    <mergeCell ref="C81:D81"/>
    <mergeCell ref="G81:H90"/>
    <mergeCell ref="A82:B82"/>
    <mergeCell ref="E362:F362"/>
    <mergeCell ref="G362:H362"/>
    <mergeCell ref="C91:H91"/>
    <mergeCell ref="A92:H92"/>
    <mergeCell ref="E93:F93"/>
    <mergeCell ref="E94:F94"/>
    <mergeCell ref="E101:F101"/>
    <mergeCell ref="A112:H112"/>
    <mergeCell ref="A261:H261"/>
    <mergeCell ref="A262:H262"/>
    <mergeCell ref="A263:H263"/>
    <mergeCell ref="A264:H264"/>
    <mergeCell ref="A265:H265"/>
    <mergeCell ref="A266:H266"/>
    <mergeCell ref="A267:H267"/>
    <mergeCell ref="A268:H268"/>
    <mergeCell ref="A269:H269"/>
    <mergeCell ref="A189:H189"/>
    <mergeCell ref="A98:B98"/>
    <mergeCell ref="A1:H1"/>
    <mergeCell ref="C23:H23"/>
    <mergeCell ref="C22:H22"/>
    <mergeCell ref="C26:H26"/>
    <mergeCell ref="C17:H17"/>
    <mergeCell ref="C16:H16"/>
    <mergeCell ref="C25:H25"/>
    <mergeCell ref="C10:H10"/>
    <mergeCell ref="A6:H6"/>
    <mergeCell ref="C20:H20"/>
    <mergeCell ref="C21:H21"/>
    <mergeCell ref="C24:H24"/>
    <mergeCell ref="A2:H2"/>
    <mergeCell ref="C7:H7"/>
    <mergeCell ref="C8:H8"/>
    <mergeCell ref="C19:H19"/>
    <mergeCell ref="C9:H9"/>
    <mergeCell ref="C13:H13"/>
    <mergeCell ref="C14:H14"/>
    <mergeCell ref="C15:H15"/>
    <mergeCell ref="C18:E18"/>
    <mergeCell ref="C11:H11"/>
    <mergeCell ref="C12:H12"/>
    <mergeCell ref="A5:B5"/>
    <mergeCell ref="C27:E27"/>
    <mergeCell ref="A60:H60"/>
    <mergeCell ref="C47:H47"/>
    <mergeCell ref="E50:H50"/>
    <mergeCell ref="G41:H41"/>
    <mergeCell ref="C37:H37"/>
    <mergeCell ref="C28:E28"/>
    <mergeCell ref="E36:F36"/>
    <mergeCell ref="G27:H27"/>
    <mergeCell ref="G28:H28"/>
    <mergeCell ref="C35:H35"/>
    <mergeCell ref="G36:H36"/>
    <mergeCell ref="A39:H39"/>
    <mergeCell ref="C40:F40"/>
    <mergeCell ref="G40:H40"/>
    <mergeCell ref="C41:F41"/>
    <mergeCell ref="C44:F44"/>
    <mergeCell ref="G44:H44"/>
    <mergeCell ref="C38:H38"/>
    <mergeCell ref="G42:H42"/>
    <mergeCell ref="E52:H52"/>
    <mergeCell ref="C34:D34"/>
    <mergeCell ref="C36:D36"/>
    <mergeCell ref="C42:F42"/>
    <mergeCell ref="A68:B68"/>
    <mergeCell ref="A69:B69"/>
    <mergeCell ref="C205:H205"/>
    <mergeCell ref="E97:F97"/>
    <mergeCell ref="E98:F98"/>
    <mergeCell ref="E99:F99"/>
    <mergeCell ref="G100:H100"/>
    <mergeCell ref="G101:H101"/>
    <mergeCell ref="E100:F100"/>
    <mergeCell ref="A103:B103"/>
    <mergeCell ref="A104:B104"/>
    <mergeCell ref="A105:B105"/>
    <mergeCell ref="C69:D69"/>
    <mergeCell ref="C70:D70"/>
    <mergeCell ref="C71:D71"/>
    <mergeCell ref="C72:D72"/>
    <mergeCell ref="C73:D73"/>
    <mergeCell ref="C74:D74"/>
    <mergeCell ref="E95:F95"/>
    <mergeCell ref="E103:F103"/>
    <mergeCell ref="C103:D103"/>
    <mergeCell ref="A99:B99"/>
    <mergeCell ref="A100:B100"/>
    <mergeCell ref="A207:H207"/>
    <mergeCell ref="A208:H208"/>
    <mergeCell ref="A209:H209"/>
    <mergeCell ref="A210:H210"/>
    <mergeCell ref="A211:H211"/>
    <mergeCell ref="A192:H192"/>
    <mergeCell ref="B194:H194"/>
    <mergeCell ref="B195:H195"/>
    <mergeCell ref="B196:H196"/>
    <mergeCell ref="B197:H197"/>
    <mergeCell ref="B199:H199"/>
    <mergeCell ref="B203:H203"/>
    <mergeCell ref="B202:H202"/>
    <mergeCell ref="A205:B205"/>
    <mergeCell ref="B198:E198"/>
    <mergeCell ref="B204:H204"/>
    <mergeCell ref="B200:H200"/>
    <mergeCell ref="A224:H224"/>
    <mergeCell ref="A225:H225"/>
    <mergeCell ref="A226:H226"/>
    <mergeCell ref="A227:H227"/>
    <mergeCell ref="A228:H228"/>
    <mergeCell ref="A229:H229"/>
    <mergeCell ref="A230:H230"/>
    <mergeCell ref="A231:H231"/>
    <mergeCell ref="A232:H232"/>
    <mergeCell ref="A233:H233"/>
    <mergeCell ref="A234:H234"/>
    <mergeCell ref="A235:H235"/>
    <mergeCell ref="A236:H236"/>
    <mergeCell ref="A237:H237"/>
    <mergeCell ref="A238:H238"/>
    <mergeCell ref="A239:H239"/>
    <mergeCell ref="A240:H240"/>
    <mergeCell ref="A241:H241"/>
    <mergeCell ref="A242:H242"/>
    <mergeCell ref="A243:H243"/>
    <mergeCell ref="A244:H244"/>
    <mergeCell ref="A245:H245"/>
    <mergeCell ref="A246:H246"/>
    <mergeCell ref="A247:H247"/>
    <mergeCell ref="A313:H313"/>
    <mergeCell ref="A314:H314"/>
    <mergeCell ref="A315:H315"/>
    <mergeCell ref="A257:H257"/>
    <mergeCell ref="A248:H248"/>
    <mergeCell ref="A249:H249"/>
    <mergeCell ref="A250:H250"/>
    <mergeCell ref="A251:H251"/>
    <mergeCell ref="A252:H252"/>
    <mergeCell ref="A253:H253"/>
    <mergeCell ref="A254:H254"/>
    <mergeCell ref="A255:H255"/>
    <mergeCell ref="A256:H256"/>
    <mergeCell ref="A270:H270"/>
    <mergeCell ref="A271:H271"/>
    <mergeCell ref="A272:H272"/>
    <mergeCell ref="A273:H273"/>
    <mergeCell ref="A274:H274"/>
    <mergeCell ref="A275:H275"/>
    <mergeCell ref="A276:H276"/>
    <mergeCell ref="A277:H277"/>
    <mergeCell ref="A296:H296"/>
    <mergeCell ref="A297:H297"/>
    <mergeCell ref="A312:B312"/>
    <mergeCell ref="A334:H334"/>
    <mergeCell ref="A335:H335"/>
    <mergeCell ref="A316:H316"/>
    <mergeCell ref="A317:H317"/>
    <mergeCell ref="A318:H318"/>
    <mergeCell ref="A319:H319"/>
    <mergeCell ref="A320:H320"/>
    <mergeCell ref="A321:H321"/>
    <mergeCell ref="A322:H322"/>
    <mergeCell ref="A323:H323"/>
    <mergeCell ref="A324:H324"/>
    <mergeCell ref="C312:H312"/>
    <mergeCell ref="A325:H325"/>
    <mergeCell ref="A326:H326"/>
    <mergeCell ref="A327:H327"/>
    <mergeCell ref="A328:H328"/>
    <mergeCell ref="A329:H329"/>
    <mergeCell ref="A330:H330"/>
    <mergeCell ref="A350:H350"/>
    <mergeCell ref="A351:H351"/>
    <mergeCell ref="A361:H361"/>
    <mergeCell ref="A352:H352"/>
    <mergeCell ref="A353:H353"/>
    <mergeCell ref="A354:H354"/>
    <mergeCell ref="A355:H355"/>
    <mergeCell ref="A356:H356"/>
    <mergeCell ref="A357:H357"/>
    <mergeCell ref="A358:H358"/>
    <mergeCell ref="A359:H359"/>
    <mergeCell ref="A360:H360"/>
    <mergeCell ref="A343:H343"/>
    <mergeCell ref="A344:H344"/>
    <mergeCell ref="A345:H345"/>
    <mergeCell ref="A346:H346"/>
    <mergeCell ref="A347:H347"/>
    <mergeCell ref="A348:H348"/>
    <mergeCell ref="A349:H349"/>
    <mergeCell ref="A336:H336"/>
    <mergeCell ref="A337:H337"/>
    <mergeCell ref="A338:H338"/>
    <mergeCell ref="A339:H339"/>
    <mergeCell ref="A340:H340"/>
    <mergeCell ref="A341:H341"/>
    <mergeCell ref="A342:H342"/>
    <mergeCell ref="A331:H331"/>
    <mergeCell ref="A332:H332"/>
    <mergeCell ref="A333:H333"/>
    <mergeCell ref="C82:D82"/>
    <mergeCell ref="A83:B83"/>
    <mergeCell ref="C83:D83"/>
    <mergeCell ref="A84:B84"/>
    <mergeCell ref="C84:D84"/>
    <mergeCell ref="A85:B85"/>
    <mergeCell ref="C85:D85"/>
    <mergeCell ref="A86:B86"/>
    <mergeCell ref="C86:D86"/>
    <mergeCell ref="A87:B87"/>
    <mergeCell ref="C87:D87"/>
    <mergeCell ref="A88:B88"/>
    <mergeCell ref="C88:D88"/>
    <mergeCell ref="A89:B89"/>
    <mergeCell ref="C89:D89"/>
    <mergeCell ref="A90:B90"/>
    <mergeCell ref="C90:D90"/>
    <mergeCell ref="A139:H139"/>
    <mergeCell ref="E108:F108"/>
    <mergeCell ref="G108:H108"/>
    <mergeCell ref="E109:F109"/>
    <mergeCell ref="A168:B168"/>
    <mergeCell ref="A169:B169"/>
    <mergeCell ref="C100:D100"/>
    <mergeCell ref="C101:D101"/>
    <mergeCell ref="A117:H117"/>
    <mergeCell ref="A118:B118"/>
    <mergeCell ref="A119:B119"/>
    <mergeCell ref="A120:B120"/>
    <mergeCell ref="A123:B123"/>
    <mergeCell ref="A106:H106"/>
    <mergeCell ref="A122:B122"/>
    <mergeCell ref="A114:A115"/>
    <mergeCell ref="C114:C115"/>
    <mergeCell ref="A101:B101"/>
    <mergeCell ref="G109:H109"/>
    <mergeCell ref="A141:B141"/>
    <mergeCell ref="A142:B142"/>
    <mergeCell ref="A143:B143"/>
    <mergeCell ref="A144:B144"/>
    <mergeCell ref="A145:B145"/>
    <mergeCell ref="A146:B146"/>
    <mergeCell ref="E107:F107"/>
    <mergeCell ref="G107:H107"/>
    <mergeCell ref="A102:H102"/>
    <mergeCell ref="C156:H156"/>
    <mergeCell ref="C186:H186"/>
    <mergeCell ref="A170:B170"/>
    <mergeCell ref="B201:H201"/>
    <mergeCell ref="A148:B148"/>
    <mergeCell ref="A149:B149"/>
    <mergeCell ref="A159:B159"/>
    <mergeCell ref="A160:B160"/>
    <mergeCell ref="A161:H161"/>
    <mergeCell ref="A150:H150"/>
    <mergeCell ref="A151:B151"/>
    <mergeCell ref="A152:B152"/>
    <mergeCell ref="A153:B153"/>
    <mergeCell ref="A154:B154"/>
    <mergeCell ref="A155:B155"/>
    <mergeCell ref="A156:B156"/>
    <mergeCell ref="A157:B157"/>
    <mergeCell ref="A158:B158"/>
    <mergeCell ref="A184:B184"/>
    <mergeCell ref="A171:H171"/>
    <mergeCell ref="A164:B164"/>
    <mergeCell ref="A165:B165"/>
    <mergeCell ref="A166:B166"/>
    <mergeCell ref="A167:B167"/>
  </mergeCells>
  <dataValidations disablePrompts="1" count="7">
    <dataValidation type="list" allowBlank="1" showInputMessage="1" showErrorMessage="1" sqref="A9:B9" xr:uid="{00000000-0002-0000-0000-000000000000}">
      <formula1>"CTS No,Survey No,Plot No,Gut No,FP No,"</formula1>
    </dataValidation>
    <dataValidation type="list" allowBlank="1" showInputMessage="1" showErrorMessage="1" sqref="B125" xr:uid="{00000000-0002-0000-0000-000001000000}">
      <formula1>"Flat No. (Sale Plan),Sale / Rehab,Sale / Mhada"</formula1>
    </dataValidation>
    <dataValidation type="list" allowBlank="1" showInputMessage="1" showErrorMessage="1" sqref="D114 D125" xr:uid="{00000000-0002-0000-0000-000002000000}">
      <formula1>"Carpet area,RERA Carpet area"</formula1>
    </dataValidation>
    <dataValidation type="list" allowBlank="1" showInputMessage="1" showErrorMessage="1" sqref="E125:E126" xr:uid="{00000000-0002-0000-0000-000003000000}">
      <formula1>"Fungible area,Balcony Area,Chajja Area,Cornice Area,AP Area,WS Area"</formula1>
    </dataValidation>
    <dataValidation type="list" allowBlank="1" showInputMessage="1" showErrorMessage="1" sqref="E114:E115" xr:uid="{00000000-0002-0000-0000-000004000000}">
      <formula1>"Attached Loft area,Attached Otla area,Attached Mezzanine area"</formula1>
    </dataValidation>
    <dataValidation type="list" allowBlank="1" showInputMessage="1" showErrorMessage="1" sqref="B114" xr:uid="{00000000-0002-0000-0000-000005000000}">
      <formula1>"Shop No. (Sale Plan),Sale / Rehab,Sale / Mhada"</formula1>
    </dataValidation>
    <dataValidation type="list" allowBlank="1" showInputMessage="1" showErrorMessage="1" sqref="H126 H115" xr:uid="{00000000-0002-0000-0000-000006000000}">
      <formula1>".45,.50,.55,.60"</formula1>
    </dataValidation>
  </dataValidations>
  <hyperlinks>
    <hyperlink ref="C19" r:id="rId1" xr:uid="{00000000-0004-0000-0000-000000000000}"/>
  </hyperlinks>
  <printOptions horizontalCentered="1"/>
  <pageMargins left="0.23622047244094491" right="0.23622047244094491" top="0.78740157480314965" bottom="0.70866141732283472" header="0.19685039370078741" footer="0.19685039370078741"/>
  <pageSetup paperSize="2" fitToHeight="0" orientation="portrait" r:id="rId2"/>
  <headerFooter>
    <oddHeader>&amp;C&amp;G</oddHeader>
    <oddFooter>&amp;L&amp;"Times New Roman,Bold"&amp;F&amp;R&amp;"Times New Roman,Bold"&amp;P</oddFooter>
  </headerFooter>
  <rowBreaks count="5" manualBreakCount="5">
    <brk id="61" max="7" man="1"/>
    <brk id="105" max="7" man="1"/>
    <brk id="204" max="7" man="1"/>
    <brk id="257" max="7" man="1"/>
    <brk id="311" max="7" man="1"/>
  </rowBreaks>
  <drawing r:id="rId3"/>
  <legacyDrawing r:id="rId4"/>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13"/>
  <sheetViews>
    <sheetView zoomScale="115" zoomScaleNormal="115" workbookViewId="0">
      <selection activeCell="C1" sqref="A1:XFD13"/>
    </sheetView>
  </sheetViews>
  <sheetFormatPr defaultRowHeight="15" x14ac:dyDescent="0.25"/>
  <cols>
    <col min="1" max="1" width="24.140625" customWidth="1"/>
    <col min="2" max="6" width="17.5703125" customWidth="1"/>
    <col min="7" max="7" width="10.42578125" customWidth="1"/>
  </cols>
  <sheetData>
    <row r="1" spans="1:8" x14ac:dyDescent="0.25">
      <c r="A1" s="250" t="s">
        <v>112</v>
      </c>
      <c r="B1" s="251"/>
      <c r="C1" s="9" t="s">
        <v>58</v>
      </c>
      <c r="D1" s="9" t="s">
        <v>59</v>
      </c>
      <c r="E1" s="9" t="s">
        <v>60</v>
      </c>
      <c r="F1" s="10" t="s">
        <v>46</v>
      </c>
    </row>
    <row r="2" spans="1:8" x14ac:dyDescent="0.25">
      <c r="A2" s="252"/>
      <c r="B2" s="253"/>
      <c r="C2" s="7">
        <v>0</v>
      </c>
      <c r="D2" s="21">
        <v>1</v>
      </c>
      <c r="E2" s="7">
        <v>0</v>
      </c>
      <c r="F2" s="8">
        <f ca="1">--TRIM(RIGHT(SUBSTITUTE(LEFT(A1,_xlfn.AGGREGATE(16,6,FIND({0,1,2,3,4,5,6,7,8,9},A1,ROW(INDIRECT("1:"&amp;LEN(A1)))),1))," ",REPT(" ",LEN(A1))),LEN(A1)))</f>
        <v>3</v>
      </c>
    </row>
    <row r="3" spans="1:8" x14ac:dyDescent="0.25">
      <c r="A3" s="2" t="s">
        <v>61</v>
      </c>
      <c r="B3" s="3" t="s">
        <v>62</v>
      </c>
      <c r="C3" s="19" t="s">
        <v>63</v>
      </c>
      <c r="D3" s="22" t="s">
        <v>56</v>
      </c>
      <c r="E3" s="254" t="s">
        <v>130</v>
      </c>
      <c r="F3" s="255"/>
      <c r="G3" s="31" t="s">
        <v>64</v>
      </c>
      <c r="H3" s="26">
        <f ca="1">F2*25%</f>
        <v>0.75</v>
      </c>
    </row>
    <row r="4" spans="1:8" x14ac:dyDescent="0.25">
      <c r="A4" s="2" t="s">
        <v>65</v>
      </c>
      <c r="B4" s="4">
        <f ca="1">H5</f>
        <v>3</v>
      </c>
      <c r="C4" s="20">
        <f ca="1">((100/F2)*B4)/100</f>
        <v>1</v>
      </c>
      <c r="D4" s="24" t="str">
        <f ca="1">IF(C13=100%,"All work Completed. Possession granted to the Building.",IF(C12=100%,"All work Completed, Waiting for OC",D10&amp;""&amp;D11&amp;""&amp;D9&amp;""&amp;D12&amp;" "&amp;D13))</f>
        <v xml:space="preserve">Excavation, Plinth, RCC Slab, Brickwork Completed </v>
      </c>
      <c r="E4" s="256" t="str">
        <f ca="1">D4</f>
        <v xml:space="preserve">Excavation, Plinth, RCC Slab, Brickwork Completed </v>
      </c>
      <c r="F4" s="257"/>
      <c r="G4" s="1" t="s">
        <v>66</v>
      </c>
      <c r="H4" s="27">
        <f ca="1">F2*50%</f>
        <v>1.5</v>
      </c>
    </row>
    <row r="5" spans="1:8" x14ac:dyDescent="0.25">
      <c r="A5" s="2" t="s">
        <v>67</v>
      </c>
      <c r="B5" s="5">
        <f ca="1">H13</f>
        <v>3</v>
      </c>
      <c r="C5" s="20">
        <f ca="1">((100/F2)*B5)/100</f>
        <v>1</v>
      </c>
      <c r="D5" s="25"/>
      <c r="E5" s="258"/>
      <c r="F5" s="259"/>
      <c r="G5" s="1" t="s">
        <v>68</v>
      </c>
      <c r="H5" s="27">
        <f ca="1">F2</f>
        <v>3</v>
      </c>
    </row>
    <row r="6" spans="1:8" x14ac:dyDescent="0.25">
      <c r="A6" s="2" t="s">
        <v>69</v>
      </c>
      <c r="B6" s="5">
        <v>4</v>
      </c>
      <c r="C6" s="20">
        <f ca="1">((100/(D2+E2+F2))*B6)/100</f>
        <v>1</v>
      </c>
      <c r="D6" s="25"/>
      <c r="E6" s="258"/>
      <c r="F6" s="259"/>
      <c r="G6" s="1" t="s">
        <v>70</v>
      </c>
      <c r="H6" s="28">
        <f ca="1">(IF(C2&gt;1,(F2/(C2+2)),F2/4))</f>
        <v>0.75</v>
      </c>
    </row>
    <row r="7" spans="1:8" x14ac:dyDescent="0.25">
      <c r="A7" s="2" t="s">
        <v>71</v>
      </c>
      <c r="B7" s="4">
        <v>3</v>
      </c>
      <c r="C7" s="20">
        <f ca="1">((100/F2)*B7)/100</f>
        <v>1</v>
      </c>
      <c r="D7" s="25"/>
      <c r="E7" s="258"/>
      <c r="F7" s="259"/>
      <c r="G7" s="1" t="s">
        <v>72</v>
      </c>
      <c r="H7" s="28">
        <f ca="1">(IF(C2&gt;1,(F2/(C2+2)+H6),F2/4+H6))</f>
        <v>1.5</v>
      </c>
    </row>
    <row r="8" spans="1:8" x14ac:dyDescent="0.25">
      <c r="A8" s="2" t="s">
        <v>73</v>
      </c>
      <c r="B8" s="4">
        <v>0</v>
      </c>
      <c r="C8" s="20">
        <f ca="1">((100/F2)*B8)/100</f>
        <v>0</v>
      </c>
      <c r="D8" s="23">
        <f ca="1">(((B5/F2*10)+(40/(D2+E2+F2)*B6)+(15/(F2)*B7)+(5/(F2)*B8)+(5/F2*B9)+(10/F2*B10)+(5/F2*B11)+(5/F2*B12)+(5/F2*B13))/100)</f>
        <v>0.65</v>
      </c>
      <c r="E8" s="258"/>
      <c r="F8" s="259"/>
      <c r="G8" s="1" t="s">
        <v>74</v>
      </c>
      <c r="H8" s="28">
        <f>(IF(C2&gt;1,(F2/(C2+2)+H7),0))</f>
        <v>0</v>
      </c>
    </row>
    <row r="9" spans="1:8" x14ac:dyDescent="0.25">
      <c r="A9" s="2" t="s">
        <v>75</v>
      </c>
      <c r="B9" s="4">
        <v>0</v>
      </c>
      <c r="C9" s="20">
        <f ca="1">((100/(F2))*B9)/100</f>
        <v>0</v>
      </c>
      <c r="D9" s="25" t="str">
        <f ca="1">(IF(B4=0,"Work not yet Started.",IF(C4=25%,"Piling work in process",IF(C4=50%,"Excavation work in process",IF(C4=100%,"","0")))))&amp;(IF(B5=0%,"",IF(B5=H6,", Footing work is process",IF(B5=H7,", Footing work Completed",IF(B5=H8,", 1st Basement Completed",IF(B5=H9,", 1st &amp; 2nd Basement Completed",IF(B5=H10,", 1st to 3rd Basement Completed",IF(B5=H11,", 1st to 4th Basement Completed",IF(B5=H12,", Plinth work is process",IF(B5=H13,"","0"))))))))))</f>
        <v/>
      </c>
      <c r="E9" s="258"/>
      <c r="F9" s="259"/>
      <c r="G9" s="1" t="s">
        <v>76</v>
      </c>
      <c r="H9" s="28">
        <f>(IF(C2&gt;2,(F2/(C2+2)+H8),0))</f>
        <v>0</v>
      </c>
    </row>
    <row r="10" spans="1:8" x14ac:dyDescent="0.25">
      <c r="A10" s="2" t="s">
        <v>77</v>
      </c>
      <c r="B10" s="4">
        <v>0</v>
      </c>
      <c r="C10" s="20">
        <f ca="1">((100/F2)*B10)/100</f>
        <v>0</v>
      </c>
      <c r="D10" s="25" t="str">
        <f ca="1">IF(C4=100%,"Excavation","")&amp;IF(C5=100%,", Plinth","")&amp;IF(C6=100%,", RCC Slab","")&amp;IF(C7=100%,", Brickwork","")&amp;IF(C8=100%,", Internal Plaster","")&amp;IF(C9=100%,", External Plaster","")&amp;IF(C10=100%,", Flooring","")&amp;IF(C11=100%,", Painting","")&amp;IF(C12=100%,", Building common Amenities","")</f>
        <v>Excavation, Plinth, RCC Slab, Brickwork</v>
      </c>
      <c r="E10" s="258"/>
      <c r="F10" s="259"/>
      <c r="G10" s="1" t="s">
        <v>78</v>
      </c>
      <c r="H10" s="29">
        <f>(IF(C2&gt;3,(F2/(C2+2)+H9),0))</f>
        <v>0</v>
      </c>
    </row>
    <row r="11" spans="1:8" x14ac:dyDescent="0.25">
      <c r="A11" s="2" t="s">
        <v>79</v>
      </c>
      <c r="B11" s="4">
        <v>0</v>
      </c>
      <c r="C11" s="20">
        <f ca="1">((100/F2)*B11)/100</f>
        <v>0</v>
      </c>
      <c r="D11" s="25" t="str">
        <f ca="1">IF(D10&lt;&gt;""," Completed","")</f>
        <v xml:space="preserve"> Completed</v>
      </c>
      <c r="E11" s="258"/>
      <c r="F11" s="259"/>
      <c r="G11" s="1" t="s">
        <v>80</v>
      </c>
      <c r="H11" s="28">
        <f>(IF(C2&gt;4,(F2/(C2+2)+H10),0))</f>
        <v>0</v>
      </c>
    </row>
    <row r="12" spans="1:8" x14ac:dyDescent="0.25">
      <c r="A12" s="2" t="s">
        <v>81</v>
      </c>
      <c r="B12" s="4">
        <v>0</v>
      </c>
      <c r="C12" s="20">
        <f ca="1">((100/(F2))*B12)/100</f>
        <v>0</v>
      </c>
      <c r="D12" s="25" t="str">
        <f ca="1">(IF(B6=(D2+E2+F2),"",IF(B6&gt;0,", RCC upto "&amp;B6&amp;" Slab","")))&amp;(IF(B7=F2,"",IF(B7&gt;0,", Brickwork upto "&amp;B7&amp;" Floor","")))&amp;(IF(B8=F2,"",IF(B8&gt;0,", Internal Plaster upto "&amp;B8&amp;" Floor","")))&amp;(IF(B9=F2,"",IF(B9&gt;0,", External Plaster upto "&amp;B9&amp;" Floor","")))&amp;(IF(B10=F2,"",IF(B10&gt;0,", Flooring upto "&amp;B10&amp;" Floor","")))&amp;(IF(B11=F2,"",IF(B11&gt;0,", Painting upto "&amp;B11&amp;" Floor","")))&amp;(IF(B12=F2,"",IF(B12&gt;0,", Finishing upto "&amp;B12&amp;" Floor","")))&amp;(IF(B13=F2,"",IF(B13&gt;0,", Possession upto "&amp;B13&amp;" Floor","")))</f>
        <v/>
      </c>
      <c r="E12" s="258"/>
      <c r="F12" s="259"/>
      <c r="G12" s="1" t="s">
        <v>82</v>
      </c>
      <c r="H12" s="28">
        <f ca="1">(IF(C2=1,(F2/(C2+3)+H7),IF(C2=0,(F2/4+H7),IF(C2&gt;1,0))))</f>
        <v>2.25</v>
      </c>
    </row>
    <row r="13" spans="1:8" ht="15.75" thickBot="1" x14ac:dyDescent="0.3">
      <c r="A13" s="33" t="s">
        <v>83</v>
      </c>
      <c r="B13" s="34">
        <v>0</v>
      </c>
      <c r="C13" s="35">
        <f ca="1">((100/(F2))*B13)/100</f>
        <v>0</v>
      </c>
      <c r="D13" s="36" t="str">
        <f ca="1">IF(D12&lt;&gt;"","Completed","")</f>
        <v/>
      </c>
      <c r="E13" s="260"/>
      <c r="F13" s="261"/>
      <c r="G13" s="32" t="s">
        <v>84</v>
      </c>
      <c r="H13" s="30">
        <f ca="1">(IF(C2&gt;1.5,(F2/(C2+2)+H7+MAX(0,H8-H7)+MAX(0,H9-H8)+MAX(0,H10-H9)+MAX(0,H11-H10)+MAX(0,H12-H11)),IF(C2=1,(F2/(C2+3)+H12),IF(C2=0,F2/4+H12))))</f>
        <v>3</v>
      </c>
    </row>
  </sheetData>
  <mergeCells count="3">
    <mergeCell ref="A1:B2"/>
    <mergeCell ref="E3:F3"/>
    <mergeCell ref="E4:F1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Report</vt:lpstr>
      <vt:lpstr>C%</vt:lpstr>
      <vt:lpstr>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MANGESH AMDEKAR</dc:creator>
  <cp:lastModifiedBy>SACHIN</cp:lastModifiedBy>
  <cp:lastPrinted>2025-08-22T09:01:34Z</cp:lastPrinted>
  <dcterms:created xsi:type="dcterms:W3CDTF">2019-01-21T04:29:02Z</dcterms:created>
  <dcterms:modified xsi:type="dcterms:W3CDTF">2025-08-22T09:05:15Z</dcterms:modified>
</cp:coreProperties>
</file>