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08-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1" l="1"/>
  <c r="C78" i="1" l="1"/>
  <c r="E162" i="1"/>
  <c r="D162" i="1"/>
  <c r="E161" i="1"/>
  <c r="D161" i="1"/>
  <c r="E160" i="1"/>
  <c r="D160" i="1"/>
  <c r="E159" i="1"/>
  <c r="D159" i="1"/>
  <c r="F159" i="1" s="1"/>
  <c r="H159" i="1" s="1"/>
  <c r="E155" i="1"/>
  <c r="D155" i="1"/>
  <c r="E153" i="1"/>
  <c r="D153" i="1"/>
  <c r="E152" i="1"/>
  <c r="D152" i="1"/>
  <c r="E151" i="1"/>
  <c r="D151" i="1"/>
  <c r="F151" i="1" s="1"/>
  <c r="H151" i="1" s="1"/>
  <c r="E150" i="1"/>
  <c r="D150" i="1"/>
  <c r="F150" i="1" s="1"/>
  <c r="H150" i="1" s="1"/>
  <c r="E147" i="1"/>
  <c r="D147" i="1"/>
  <c r="E146" i="1"/>
  <c r="D146" i="1"/>
  <c r="E144" i="1"/>
  <c r="D144" i="1"/>
  <c r="F144" i="1" s="1"/>
  <c r="H144" i="1" s="1"/>
  <c r="E143" i="1"/>
  <c r="D143" i="1"/>
  <c r="E142" i="1"/>
  <c r="D142" i="1"/>
  <c r="E141" i="1"/>
  <c r="D141" i="1"/>
  <c r="E140" i="1"/>
  <c r="D140" i="1"/>
  <c r="F140" i="1" s="1"/>
  <c r="H140" i="1" s="1"/>
  <c r="E139" i="1"/>
  <c r="D139" i="1"/>
  <c r="E138" i="1"/>
  <c r="D138" i="1"/>
  <c r="E137" i="1"/>
  <c r="D137" i="1"/>
  <c r="F137" i="1" s="1"/>
  <c r="H137" i="1" s="1"/>
  <c r="D135" i="1"/>
  <c r="D134" i="1"/>
  <c r="E135" i="1"/>
  <c r="E134" i="1"/>
  <c r="E131" i="1"/>
  <c r="D131" i="1"/>
  <c r="E130" i="1"/>
  <c r="D130" i="1"/>
  <c r="E129" i="1"/>
  <c r="D129" i="1"/>
  <c r="F129" i="1" s="1"/>
  <c r="H129" i="1" s="1"/>
  <c r="E128" i="1"/>
  <c r="D128" i="1"/>
  <c r="J147" i="1"/>
  <c r="I147" i="1"/>
  <c r="J143" i="1"/>
  <c r="I143" i="1"/>
  <c r="J142" i="1"/>
  <c r="I142" i="1"/>
  <c r="I128" i="1"/>
  <c r="I131" i="1"/>
  <c r="J128" i="1"/>
  <c r="I117" i="1"/>
  <c r="D123" i="1"/>
  <c r="F123" i="1" s="1"/>
  <c r="H123" i="1" s="1"/>
  <c r="D122" i="1"/>
  <c r="F122" i="1" s="1"/>
  <c r="H122" i="1" s="1"/>
  <c r="D121" i="1"/>
  <c r="F121" i="1" s="1"/>
  <c r="H121" i="1" s="1"/>
  <c r="D120" i="1"/>
  <c r="F120" i="1" s="1"/>
  <c r="H120" i="1" s="1"/>
  <c r="D119" i="1"/>
  <c r="F119" i="1" s="1"/>
  <c r="H119" i="1" s="1"/>
  <c r="D118" i="1"/>
  <c r="F118" i="1" s="1"/>
  <c r="H118" i="1" s="1"/>
  <c r="D117" i="1"/>
  <c r="F117" i="1" s="1"/>
  <c r="H117" i="1" s="1"/>
  <c r="D116" i="1"/>
  <c r="F116" i="1" s="1"/>
  <c r="H116" i="1" s="1"/>
  <c r="D115" i="1"/>
  <c r="F115" i="1" s="1"/>
  <c r="H115" i="1" s="1"/>
  <c r="D114" i="1"/>
  <c r="F114" i="1" s="1"/>
  <c r="H114" i="1" s="1"/>
  <c r="D113" i="1"/>
  <c r="F113" i="1" s="1"/>
  <c r="H113" i="1" s="1"/>
  <c r="K109" i="1"/>
  <c r="I112" i="1"/>
  <c r="D112" i="1"/>
  <c r="D111" i="1"/>
  <c r="D110" i="1"/>
  <c r="F131" i="1" l="1"/>
  <c r="H131" i="1" s="1"/>
  <c r="J131" i="1" s="1"/>
  <c r="F138" i="1"/>
  <c r="H138" i="1" s="1"/>
  <c r="F153" i="1"/>
  <c r="H153" i="1" s="1"/>
  <c r="F161" i="1"/>
  <c r="H161" i="1" s="1"/>
  <c r="C102" i="1"/>
  <c r="C103" i="1" s="1"/>
  <c r="C98" i="1"/>
  <c r="C99" i="1" s="1"/>
  <c r="F128" i="1"/>
  <c r="H128" i="1" s="1"/>
  <c r="F141" i="1"/>
  <c r="H141" i="1" s="1"/>
  <c r="F155" i="1"/>
  <c r="H155" i="1" s="1"/>
  <c r="F160" i="1"/>
  <c r="H160" i="1" s="1"/>
  <c r="F130" i="1"/>
  <c r="H130" i="1" s="1"/>
  <c r="F139" i="1"/>
  <c r="H139" i="1" s="1"/>
  <c r="F143" i="1"/>
  <c r="H143" i="1" s="1"/>
  <c r="F134" i="1"/>
  <c r="H134" i="1" s="1"/>
  <c r="F135" i="1"/>
  <c r="H135" i="1" s="1"/>
  <c r="F142" i="1"/>
  <c r="H142" i="1" s="1"/>
  <c r="F162" i="1"/>
  <c r="H162" i="1" s="1"/>
  <c r="F152" i="1"/>
  <c r="H152" i="1" s="1"/>
  <c r="B165" i="1"/>
  <c r="F111" i="1" l="1"/>
  <c r="H111" i="1" s="1"/>
  <c r="F112" i="1"/>
  <c r="H112" i="1" s="1"/>
  <c r="F110" i="1"/>
  <c r="H110" i="1" l="1"/>
  <c r="G98" i="1" s="1"/>
  <c r="G99" i="1" s="1"/>
  <c r="E98" i="1"/>
  <c r="E99" i="1" s="1"/>
  <c r="S33" i="1" l="1"/>
  <c r="F11" i="5" l="1"/>
  <c r="G11" i="5" s="1"/>
  <c r="F10" i="5"/>
  <c r="G10" i="5" s="1"/>
  <c r="F9" i="5"/>
  <c r="G9" i="5" s="1"/>
  <c r="F8" i="5"/>
  <c r="G8" i="5" s="1"/>
  <c r="F7" i="5"/>
  <c r="G7" i="5" s="1"/>
  <c r="F6" i="5"/>
  <c r="G6" i="5" s="1"/>
  <c r="F5" i="5"/>
  <c r="G5" i="5" s="1"/>
  <c r="G12" i="5" s="1"/>
  <c r="D188" i="1"/>
  <c r="B166" i="1"/>
  <c r="F147" i="1"/>
  <c r="H147" i="1" s="1"/>
  <c r="F146" i="1"/>
  <c r="A111" i="1"/>
  <c r="A112" i="1" s="1"/>
  <c r="A113" i="1" s="1"/>
  <c r="A114" i="1" s="1"/>
  <c r="A115" i="1" s="1"/>
  <c r="A116" i="1" s="1"/>
  <c r="A117" i="1" s="1"/>
  <c r="A118" i="1" s="1"/>
  <c r="A119" i="1" s="1"/>
  <c r="A120" i="1" s="1"/>
  <c r="A121" i="1" s="1"/>
  <c r="A122" i="1" s="1"/>
  <c r="A123" i="1" s="1"/>
  <c r="C104" i="1"/>
  <c r="F95" i="1"/>
  <c r="C69" i="1"/>
  <c r="D63" i="1"/>
  <c r="D58" i="1"/>
  <c r="C51" i="1"/>
  <c r="E44" i="1"/>
  <c r="E45" i="1" s="1"/>
  <c r="E31" i="1"/>
  <c r="E28" i="1"/>
  <c r="E26" i="1"/>
  <c r="C16" i="1"/>
  <c r="I15" i="1"/>
  <c r="Z13" i="1"/>
  <c r="E8" i="1"/>
  <c r="E3" i="1"/>
  <c r="H70" i="1"/>
  <c r="H146" i="1" l="1"/>
  <c r="G102" i="1" s="1"/>
  <c r="G103" i="1" s="1"/>
  <c r="G104" i="1" s="1"/>
  <c r="E102" i="1"/>
  <c r="E103" i="1" s="1"/>
  <c r="E104" i="1" s="1"/>
  <c r="J69" i="1"/>
  <c r="J71" i="1" s="1"/>
  <c r="J72" i="1"/>
  <c r="J73" i="1"/>
  <c r="J74" i="1"/>
  <c r="C73" i="1" s="1"/>
  <c r="D77" i="1"/>
  <c r="D79" i="1"/>
  <c r="D78" i="1"/>
  <c r="D82" i="1"/>
  <c r="D76" i="1"/>
  <c r="D81" i="1"/>
  <c r="D75" i="1"/>
  <c r="D80" i="1"/>
  <c r="B70" i="1"/>
  <c r="J75" i="1" s="1"/>
  <c r="D73" i="1" l="1"/>
  <c r="J79" i="1"/>
  <c r="J77" i="1"/>
  <c r="J78" i="1"/>
  <c r="J76" i="1"/>
  <c r="J80" i="1"/>
  <c r="J81" i="1" l="1"/>
  <c r="J82" i="1" s="1"/>
  <c r="C74" i="1" s="1"/>
  <c r="D74" i="1" l="1"/>
  <c r="I70" i="1" s="1"/>
  <c r="I71" i="1" s="1"/>
  <c r="E73" i="1"/>
  <c r="J70" i="1"/>
  <c r="G73" i="1"/>
  <c r="D67" i="1" s="1"/>
  <c r="D68" i="1" s="1"/>
  <c r="I69" i="1" l="1"/>
  <c r="C71" i="1" s="1"/>
  <c r="F68"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D58"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8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<sst xmlns="http://schemas.openxmlformats.org/spreadsheetml/2006/main" count="565" uniqueCount="353">
  <si>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</si>
  <si>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</si>
  <si>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</si>
  <si>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</si>
  <si>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</si>
  <si>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</si>
  <si>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</si>
  <si>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</si>
  <si>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</si>
  <si>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</si>
  <si>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</si>
  <si>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</si>
  <si>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</si>
  <si>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</si>
  <si>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</si>
  <si>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</si>
  <si>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</si>
  <si>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</si>
  <si>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</si>
  <si>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</si>
  <si>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</si>
  <si>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</si>
  <si>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</si>
  <si>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</si>
  <si>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</si>
  <si>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</si>
  <si>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</si>
  <si>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</si>
  <si>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</si>
  <si>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</si>
  <si>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</si>
  <si>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</si>
  <si>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</si>
  <si>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</si>
  <si>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</si>
  <si>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</si>
  <si>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</si>
  <si>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</si>
  <si>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</si>
  <si>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</si>
  <si>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</si>
  <si>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</si>
  <si>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</si>
  <si>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</si>
  <si>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</si>
  <si>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</si>
  <si>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</si>
  <si>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</si>
  <si>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</si>
  <si>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</si>
  <si>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</si>
  <si>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</si>
  <si>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</si>
  <si>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</si>
  <si>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</si>
  <si>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</si>
  <si>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</si>
  <si>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</si>
  <si>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</si>
  <si>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</si>
  <si>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</si>
  <si>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</si>
  <si>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</si>
  <si>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</si>
  <si>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</si>
  <si>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</si>
  <si>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</si>
  <si>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</si>
  <si>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</si>
  <si>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</si>
  <si>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</si>
  <si>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</si>
  <si>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</si>
  <si>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</si>
  <si>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</si>
  <si>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</si>
  <si>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</si>
  <si>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</si>
  <si>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</si>
  <si>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</si>
  <si>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</si>
  <si>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</si>
  <si>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</si>
  <si>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</si>
  <si>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</si>
  <si>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</si>
  <si>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</si>
  <si>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</si>
  <si>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</si>
  <si>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</si>
  <si>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</si>
  <si>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</si>
  <si>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</si>
  <si>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</si>
  <si>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</si>
  <si>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</si>
  <si>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</si>
  <si>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</si>
  <si>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</si>
  <si>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</si>
  <si>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</si>
  <si>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</si>
  <si>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</si>
  <si>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</si>
  <si>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</si>
  <si>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</si>
  <si>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</si>
  <si>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</si>
  <si>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</si>
  <si>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</si>
  <si>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</si>
  <si>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</si>
  <si>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</si>
  <si>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</si>
  <si>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</si>
  <si>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</si>
  <si>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</si>
  <si>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</si>
  <si>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</si>
  <si>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</si>
  <si>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</si>
  <si>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</si>
  <si>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</si>
  <si>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</si>
  <si>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</si>
  <si>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</si>
  <si>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</si>
  <si>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</si>
  <si>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</si>
  <si>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</si>
  <si>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</si>
  <si>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</si>
  <si>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</si>
  <si>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</si>
  <si>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</si>
  <si>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</si>
  <si>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</si>
  <si>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</si>
  <si>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</si>
  <si>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</si>
  <si>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</si>
  <si>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</si>
  <si>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</si>
  <si>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</si>
  <si>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</si>
  <si>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</si>
  <si>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</si>
  <si>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</si>
  <si>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</si>
  <si>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</si>
  <si>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</si>
  <si>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</si>
  <si>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</si>
  <si>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</si>
  <si>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</si>
  <si>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</si>
  <si>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</si>
  <si>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</si>
  <si>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</si>
  <si>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</si>
  <si>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</si>
  <si>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</si>
  <si>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</si>
  <si>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</si>
  <si>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</si>
  <si>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</si>
  <si>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</si>
  <si>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</si>
  <si>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</si>
  <si>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</si>
  <si>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</si>
  <si>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</si>
  <si>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</si>
  <si>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</si>
  <si>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</si>
  <si>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</si>
  <si>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</si>
  <si>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</si>
  <si>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</si>
  <si>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</si>
  <si>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</si>
  <si>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</si>
  <si>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</si>
  <si>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</si>
  <si>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</si>
  <si>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</si>
  <si>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</si>
  <si>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</si>
  <si>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</si>
  <si>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</si>
  <si>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</si>
  <si>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</si>
  <si>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</si>
  <si>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</si>
  <si>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</si>
  <si>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</si>
  <si>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</si>
  <si>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</si>
  <si>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</si>
  <si>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</si>
  <si>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</si>
  <si>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</si>
  <si>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</si>
  <si>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</si>
  <si>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</si>
  <si>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</si>
  <si>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</si>
  <si>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</si>
  <si>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</si>
  <si>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</si>
  <si>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</si>
  <si>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</si>
  <si>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</si>
  <si>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</si>
  <si>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</si>
  <si>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</si>
  <si>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</si>
  <si>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</si>
  <si>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</si>
  <si>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</si>
  <si>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</si>
  <si>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</si>
  <si>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</si>
  <si>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</si>
  <si>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</si>
  <si>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</si>
  <si>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</si>
  <si>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</si>
  <si>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</si>
  <si>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</si>
  <si>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</si>
  <si>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</si>
  <si>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</si>
  <si>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</si>
  <si>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</si>
  <si>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</si>
  <si>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</si>
  <si>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</si>
  <si>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</si>
  <si>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</si>
  <si>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</si>
  <si>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</si>
  <si>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</si>
  <si>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</si>
  <si>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</si>
  <si>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</si>
  <si>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</si>
  <si>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</si>
  <si>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</si>
  <si>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</si>
  <si>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</si>
  <si>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</si>
  <si>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</si>
  <si>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</si>
  <si>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</si>
  <si>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</si>
  <si>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</si>
  <si>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</si>
  <si>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</si>
  <si>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</si>
  <si>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</si>
  <si>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</si>
  <si>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</si>
  <si>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</si>
  <si>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</si>
  <si>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</si>
  <si>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</si>
  <si>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</si>
  <si>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</si>
  <si>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</si>
  <si>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</si>
  <si>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</si>
  <si>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</si>
  <si>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</si>
  <si>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</si>
  <si>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</si>
  <si>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</si>
  <si>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</si>
  <si>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</si>
  <si>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</si>
  <si>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</si>
  <si>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</si>
  <si>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</si>
  <si>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</si>
  <si>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</si>
  <si>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</si>
  <si>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</si>
  <si>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</si>
  <si>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</si>
  <si>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</si>
  <si>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</si>
  <si>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</si>
  <si>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</si>
  <si>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</si>
  <si>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</si>
  <si>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</si>
  <si>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</si>
  <si>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</si>
  <si>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</si>
  <si>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</si>
  <si>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</si>
  <si>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Agastya Infra</t>
  </si>
  <si>
    <t>Signature</t>
  </si>
  <si>
    <t>9823230080/7020548341</t>
  </si>
  <si>
    <t>P51800052112</t>
  </si>
  <si>
    <t>Hariyali</t>
  </si>
  <si>
    <t>Kannamwar Nagar</t>
  </si>
  <si>
    <t>Sambhaji Maidan Circle Road</t>
  </si>
  <si>
    <t>Vikroli East</t>
  </si>
  <si>
    <t>Building No.236 (Vikroli Swadham CHSL)</t>
  </si>
  <si>
    <t>1.7 KM from Vikroli Railway Station</t>
  </si>
  <si>
    <t>Dharmveer chatrapati shree Sambhaji maharaj Maidan</t>
  </si>
  <si>
    <t>Other Plot (Building No. 238)</t>
  </si>
  <si>
    <t>Other Plot (Building No. 234)</t>
  </si>
  <si>
    <t>12.20 M W Road</t>
  </si>
  <si>
    <t>Sai Laxmi Residency</t>
  </si>
  <si>
    <t>Intelligentia Horizon by Haware Properties</t>
  </si>
  <si>
    <t>19.1171412,72.9386695</t>
  </si>
  <si>
    <t>https://maps.app.goo.gl/ttVD7CQQKQn3t1AZ9</t>
  </si>
  <si>
    <t>Mhada-9/1277/2023</t>
  </si>
  <si>
    <t>As per RERA - 28/04/2026</t>
  </si>
  <si>
    <t xml:space="preserve">G + 1st to 23rd Floor
</t>
  </si>
  <si>
    <t>G + 1st to 23rd Floor</t>
  </si>
  <si>
    <t>Play Scape, Skyward Park, Yogik Work Desk, Serene Sitting Area, Gazebo, Basket Ball Hoop, Open Gym, Indoor Game, Sand Playlot, Multipurpose Hall, Fit Track, etc.</t>
  </si>
  <si>
    <t>Ground Floor For Commercial, Electric Room, Parking &amp; Lobby</t>
  </si>
  <si>
    <t>Shop</t>
  </si>
  <si>
    <t>1st Floor For Residential, Fitness Centre &amp; Society Office</t>
  </si>
  <si>
    <t>2BHK</t>
  </si>
  <si>
    <t>1BHK</t>
  </si>
  <si>
    <t>-</t>
  </si>
  <si>
    <t>Fitness Centre / Society Office</t>
  </si>
  <si>
    <t>2nd to 7th, 9th to 14th &amp; 16th to 23rd Floor For Residential</t>
  </si>
  <si>
    <t>8th Floor For Residential (Part Refuge Area)</t>
  </si>
  <si>
    <t>Refuge Area</t>
  </si>
  <si>
    <t>15th Floor For Residential (Part Refuge Area)</t>
  </si>
  <si>
    <t>Shops</t>
  </si>
  <si>
    <t>Flats</t>
  </si>
  <si>
    <t>We considered Gross carpet area = Net carpet + Balcony</t>
  </si>
  <si>
    <t>Approved Plans, CC, Sale Plans, Cost Sheet</t>
  </si>
  <si>
    <t>356 (Pt), Redevelopement of "Building No.236 (Vikroli Swadham CHSL) "</t>
  </si>
  <si>
    <r>
      <t xml:space="preserve">Proposed Amenities :                                                                                                                                                                                                                         </t>
    </r>
    <r>
      <rPr>
        <b/>
        <sz val="12"/>
        <rFont val="Times New Roman"/>
        <family val="1"/>
      </rPr>
      <t xml:space="preserve">                                               </t>
    </r>
  </si>
  <si>
    <t>Flats - 177, Shops - 14</t>
  </si>
  <si>
    <t>Basement (-4.10 mtrs) for pump room + Ground floor part for
shops &amp; part on stilt for car parking + 1st to 23rd upper residential floors with
a total height of 69.89 mtrs</t>
  </si>
  <si>
    <t>P-16681/2023/(356(pt) )/S Ward/
HARIYALI-E/MHADA-CFO/1/New.</t>
  </si>
  <si>
    <t>Mr. Nidhish Gandhi  9503608751</t>
  </si>
  <si>
    <t>Construction work is in process at the time of Visit. Internal photographs was not allowed.</t>
  </si>
  <si>
    <t>Pooja Kawale</t>
  </si>
  <si>
    <t>Rate 14K by SMITH VERBAL on 26/02/2025</t>
  </si>
  <si>
    <t>Recommended Rates / Other charges of the Property have been revised on 26/02/2025.</t>
  </si>
  <si>
    <t>MH/EE/(BP)/GM/MHADA-9/1277/2025/FCC/3/Amend</t>
  </si>
  <si>
    <t>This Full C.C. is issued for building comprising of Basement for Pump room + Stilt (Part)for Parking and Ground(Part) for shops and for utility services + 1st to 23rd upper floors for residential use having height 69.89 mtr. upto terrace level with parking tower+ OHT &amp; LMR as per approved amended plans dated 9/11/2023.</t>
  </si>
  <si>
    <t>We have updated latest CC from Mhada site (On 13/02/2025 &amp; 14/05/2025).</t>
  </si>
  <si>
    <t>Uday Kumar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</si>
</sst>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9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0" borderId="19" xfId="0" applyFont="1" applyBorder="1"/>
    <xf numFmtId="0" fontId="25" fillId="0" borderId="4" xfId="0" applyFont="1" applyBorder="1"/>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9" fontId="13" fillId="0" borderId="1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3" fillId="0" borderId="1" xfId="8" applyFont="1" applyFill="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24" fillId="2" borderId="10" xfId="0" applyFont="1" applyFill="1" applyBorder="1"/>
    <xf numFmtId="0" fontId="7" fillId="0" borderId="0" xfId="1" applyFont="1" applyAlignment="1">
      <alignment horizontal="center" vertical="center"/>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3"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4" fillId="0" borderId="1"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1" fontId="8"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1" fontId="8" fillId="0" borderId="22" xfId="0" applyNumberFormat="1" applyFont="1" applyBorder="1" applyAlignment="1" applyProtection="1">
      <alignment horizontal="center" vertical="top" wrapText="1"/>
      <protection locked="0"/>
    </xf>
    <xf numFmtId="0" fontId="6" fillId="0" borderId="5" xfId="1" applyFont="1" applyBorder="1" applyAlignment="1" applyProtection="1">
      <alignment vertical="top" wrapText="1"/>
      <protection locked="0"/>
    </xf>
    <xf numFmtId="0" fontId="6" fillId="0" borderId="16"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3" fillId="0" borderId="5" xfId="1" applyFont="1" applyBorder="1" applyAlignment="1" applyProtection="1">
      <alignment horizontal="center" vertical="top"/>
      <protection locked="0"/>
    </xf>
    <xf numFmtId="0" fontId="13" fillId="0" borderId="16" xfId="1" applyFont="1" applyBorder="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1" fontId="8" fillId="0" borderId="20" xfId="0" applyNumberFormat="1" applyFont="1" applyBorder="1" applyAlignment="1" applyProtection="1">
      <alignment horizontal="center" vertical="center" wrapText="1"/>
      <protection locked="0"/>
    </xf>
    <xf numFmtId="1" fontId="8" fillId="0" borderId="21" xfId="0" applyNumberFormat="1" applyFont="1" applyBorder="1" applyAlignment="1" applyProtection="1">
      <alignment horizontal="center" vertical="center" wrapText="1"/>
      <protection locked="0"/>
    </xf>
    <xf numFmtId="1" fontId="10" fillId="0" borderId="21" xfId="0" applyNumberFormat="1" applyFont="1" applyBorder="1" applyAlignment="1" applyProtection="1">
      <alignment horizontal="center" vertical="center"/>
      <protection locked="0"/>
    </xf>
    <xf numFmtId="1" fontId="10" fillId="0" borderId="2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1"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1" xfId="0" applyNumberFormat="1" applyFont="1" applyBorder="1" applyAlignment="1" applyProtection="1">
      <alignment vertical="top" wrapText="1"/>
      <protection locked="0"/>
    </xf>
    <xf numFmtId="1" fontId="6" fillId="0" borderId="16" xfId="1" applyNumberFormat="1" applyFont="1" applyBorder="1" applyAlignment="1" applyProtection="1">
      <alignment horizontal="center" vertical="center" wrapText="1"/>
      <protection locked="0"/>
    </xf>
    <xf numFmtId="0" fontId="7" fillId="0" borderId="18" xfId="1" applyFont="1" applyBorder="1" applyAlignment="1">
      <alignment horizontal="center"/>
    </xf>
    <xf numFmtId="0" fontId="7" fillId="0" borderId="0" xfId="1" applyFont="1" applyAlignment="1">
      <alignment horizontal="center"/>
    </xf>
    <xf numFmtId="14" fontId="6" fillId="0" borderId="5" xfId="1" applyNumberFormat="1" applyFont="1" applyBorder="1" applyAlignment="1" applyProtection="1">
      <alignment horizontal="left" vertical="top" wrapText="1"/>
      <protection locked="0"/>
    </xf>
    <xf numFmtId="0" fontId="8" fillId="0" borderId="5"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3" fillId="0" borderId="1" xfId="1" applyFont="1" applyBorder="1" applyAlignment="1" applyProtection="1">
      <alignment horizontal="center" vertical="top"/>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1" xfId="1" applyFont="1" applyBorder="1" applyAlignment="1" applyProtection="1">
      <alignment horizontal="center" vertical="top"/>
      <protection locked="0"/>
    </xf>
    <xf numFmtId="0" fontId="9" fillId="0" borderId="1" xfId="5" applyFont="1" applyBorder="1" applyAlignment="1">
      <alignment horizontal="left"/>
    </xf>
    <xf numFmtId="0" fontId="25" fillId="0" borderId="6" xfId="0" applyFont="1" applyBorder="1"/>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692150</xdr:colOff>
      <xdr:row>230</xdr:row>
      <xdr:rowOff>95250</xdr:rowOff>
    </xdr:from>
    <xdr:to>
      <xdr:col>7</xdr:col>
      <xdr:colOff>184326</xdr:colOff>
      <xdr:row>252</xdr:row>
      <xdr:rowOff>14701</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92150" y="59559825"/>
          <a:ext cx="5073826" cy="4320000"/>
        </a:xfrm>
        <a:prstGeom prst="rect">
          <a:avLst/>
        </a:prstGeom>
        <a:ln>
          <a:solidFill>
            <a:schemeClr val="tx1"/>
          </a:solidFill>
        </a:ln>
      </xdr:spPr>
    </xdr:pic>
    <xdr:clientData/>
  </xdr:twoCellAnchor>
  <xdr:twoCellAnchor editAs="oneCell">
    <xdr:from>
      <xdr:col>0</xdr:col>
      <xdr:colOff>590550</xdr:colOff>
      <xdr:row>253</xdr:row>
      <xdr:rowOff>3175</xdr:rowOff>
    </xdr:from>
    <xdr:to>
      <xdr:col>7</xdr:col>
      <xdr:colOff>162126</xdr:colOff>
      <xdr:row>271</xdr:row>
      <xdr:rowOff>2725</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90550" y="64068325"/>
          <a:ext cx="5153226" cy="3600000"/>
        </a:xfrm>
        <a:prstGeom prst="rect">
          <a:avLst/>
        </a:prstGeom>
        <a:ln>
          <a:solidFill>
            <a:schemeClr val="tx1"/>
          </a:solidFill>
        </a:ln>
      </xdr:spPr>
    </xdr:pic>
    <xdr:clientData/>
  </xdr:twoCellAnchor>
  <xdr:oneCellAnchor>
    <xdr:from>
      <xdr:col>3</xdr:col>
      <xdr:colOff>209550</xdr:colOff>
      <xdr:row>237</xdr:row>
      <xdr:rowOff>95250</xdr:rowOff>
    </xdr:from>
    <xdr:ext cx="295275" cy="533400"/>
    <xdr:sp macro="" textlink="">
      <xdr:nvSpPr>
        <xdr:cNvPr id="4" name="TextBox 3"/>
        <xdr:cNvSpPr txBox="1"/>
      </xdr:nvSpPr>
      <xdr:spPr>
        <a:xfrm>
          <a:off x="2619375" y="60960000"/>
          <a:ext cx="295275" cy="533400"/>
        </a:xfrm>
        <a:prstGeom prst="rect">
          <a:avLst/>
        </a:prstGeom>
        <a:noFill/>
        <a:ln w="28575">
          <a:solidFill>
            <a:srgbClr val="FFFF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IN" sz="1100"/>
        </a:p>
      </xdr:txBody>
    </xdr:sp>
    <xdr:clientData/>
  </xdr:oneCellAnchor>
  <xdr:twoCellAnchor>
    <xdr:from>
      <xdr:col>2</xdr:col>
      <xdr:colOff>638175</xdr:colOff>
      <xdr:row>237</xdr:row>
      <xdr:rowOff>161924</xdr:rowOff>
    </xdr:from>
    <xdr:to>
      <xdr:col>3</xdr:col>
      <xdr:colOff>504825</xdr:colOff>
      <xdr:row>239</xdr:row>
      <xdr:rowOff>95249</xdr:rowOff>
    </xdr:to>
    <xdr:sp macro="" textlink="">
      <xdr:nvSpPr>
        <xdr:cNvPr id="5" name="TextBox 4"/>
        <xdr:cNvSpPr txBox="1"/>
      </xdr:nvSpPr>
      <xdr:spPr>
        <a:xfrm>
          <a:off x="2200275" y="61026674"/>
          <a:ext cx="714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rPr>
            <a:t>Site</a:t>
          </a:r>
        </a:p>
      </xdr:txBody>
    </xdr:sp>
    <xdr:clientData/>
  </xdr:twoCellAnchor>
  <xdr:twoCellAnchor>
    <xdr:from>
      <xdr:col>1</xdr:col>
      <xdr:colOff>342900</xdr:colOff>
      <xdr:row>255</xdr:row>
      <xdr:rowOff>19050</xdr:rowOff>
    </xdr:from>
    <xdr:to>
      <xdr:col>1</xdr:col>
      <xdr:colOff>352425</xdr:colOff>
      <xdr:row>257</xdr:row>
      <xdr:rowOff>161925</xdr:rowOff>
    </xdr:to>
    <xdr:cxnSp macro="">
      <xdr:nvCxnSpPr>
        <xdr:cNvPr id="7" name="Straight Arrow Connector 6"/>
        <xdr:cNvCxnSpPr/>
      </xdr:nvCxnSpPr>
      <xdr:spPr>
        <a:xfrm flipH="1" flipV="1">
          <a:off x="1104900" y="64484250"/>
          <a:ext cx="9525" cy="5429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253</xdr:row>
      <xdr:rowOff>66675</xdr:rowOff>
    </xdr:from>
    <xdr:to>
      <xdr:col>1</xdr:col>
      <xdr:colOff>447675</xdr:colOff>
      <xdr:row>255</xdr:row>
      <xdr:rowOff>9525</xdr:rowOff>
    </xdr:to>
    <xdr:sp macro="" textlink="">
      <xdr:nvSpPr>
        <xdr:cNvPr id="10" name="TextBox 9"/>
        <xdr:cNvSpPr txBox="1"/>
      </xdr:nvSpPr>
      <xdr:spPr>
        <a:xfrm>
          <a:off x="914400" y="64131825"/>
          <a:ext cx="295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N</a:t>
          </a:r>
        </a:p>
      </xdr:txBody>
    </xdr:sp>
    <xdr:clientData/>
  </xdr:twoCellAnchor>
  <xdr:twoCellAnchor>
    <xdr:from>
      <xdr:col>1</xdr:col>
      <xdr:colOff>352425</xdr:colOff>
      <xdr:row>231</xdr:row>
      <xdr:rowOff>142875</xdr:rowOff>
    </xdr:from>
    <xdr:to>
      <xdr:col>2</xdr:col>
      <xdr:colOff>114301</xdr:colOff>
      <xdr:row>231</xdr:row>
      <xdr:rowOff>152401</xdr:rowOff>
    </xdr:to>
    <xdr:cxnSp macro="">
      <xdr:nvCxnSpPr>
        <xdr:cNvPr id="11" name="Straight Arrow Connector 10"/>
        <xdr:cNvCxnSpPr/>
      </xdr:nvCxnSpPr>
      <xdr:spPr>
        <a:xfrm flipH="1" flipV="1">
          <a:off x="1114425" y="59807475"/>
          <a:ext cx="561976" cy="95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230</xdr:row>
      <xdr:rowOff>123825</xdr:rowOff>
    </xdr:from>
    <xdr:to>
      <xdr:col>1</xdr:col>
      <xdr:colOff>333375</xdr:colOff>
      <xdr:row>232</xdr:row>
      <xdr:rowOff>66675</xdr:rowOff>
    </xdr:to>
    <xdr:sp macro="" textlink="">
      <xdr:nvSpPr>
        <xdr:cNvPr id="12" name="TextBox 11"/>
        <xdr:cNvSpPr txBox="1"/>
      </xdr:nvSpPr>
      <xdr:spPr>
        <a:xfrm>
          <a:off x="800100" y="59588400"/>
          <a:ext cx="295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N</a:t>
          </a:r>
        </a:p>
      </xdr:txBody>
    </xdr:sp>
    <xdr:clientData/>
  </xdr:twoCellAnchor>
  <xdr:twoCellAnchor editAs="oneCell">
    <xdr:from>
      <xdr:col>0</xdr:col>
      <xdr:colOff>609600</xdr:colOff>
      <xdr:row>274</xdr:row>
      <xdr:rowOff>85725</xdr:rowOff>
    </xdr:from>
    <xdr:to>
      <xdr:col>6</xdr:col>
      <xdr:colOff>707926</xdr:colOff>
      <xdr:row>294</xdr:row>
      <xdr:rowOff>45224</xdr:rowOff>
    </xdr:to>
    <xdr:pic>
      <xdr:nvPicPr>
        <xdr:cNvPr id="14" name="Picture 13"/>
        <xdr:cNvPicPr>
          <a:picLocks noChangeAspect="1"/>
        </xdr:cNvPicPr>
      </xdr:nvPicPr>
      <xdr:blipFill>
        <a:blip xmlns:r="http://schemas.openxmlformats.org/officeDocument/2006/relationships" r:embed="rId3"/>
        <a:stretch>
          <a:fillRect/>
        </a:stretch>
      </xdr:blipFill>
      <xdr:spPr>
        <a:xfrm>
          <a:off x="609600" y="68351400"/>
          <a:ext cx="4946551" cy="3960000"/>
        </a:xfrm>
        <a:prstGeom prst="rect">
          <a:avLst/>
        </a:prstGeom>
        <a:ln>
          <a:solidFill>
            <a:schemeClr val="tx1"/>
          </a:solidFill>
        </a:ln>
      </xdr:spPr>
    </xdr:pic>
    <xdr:clientData/>
  </xdr:twoCellAnchor>
  <xdr:twoCellAnchor editAs="oneCell">
    <xdr:from>
      <xdr:col>0</xdr:col>
      <xdr:colOff>742950</xdr:colOff>
      <xdr:row>295</xdr:row>
      <xdr:rowOff>9525</xdr:rowOff>
    </xdr:from>
    <xdr:to>
      <xdr:col>6</xdr:col>
      <xdr:colOff>600075</xdr:colOff>
      <xdr:row>316</xdr:row>
      <xdr:rowOff>152400</xdr:rowOff>
    </xdr:to>
    <xdr:pic>
      <xdr:nvPicPr>
        <xdr:cNvPr id="15" name="Picture 14"/>
        <xdr:cNvPicPr>
          <a:picLocks noChangeAspect="1"/>
        </xdr:cNvPicPr>
      </xdr:nvPicPr>
      <xdr:blipFill>
        <a:blip xmlns:r="http://schemas.openxmlformats.org/officeDocument/2006/relationships" r:embed="rId4"/>
        <a:stretch>
          <a:fillRect/>
        </a:stretch>
      </xdr:blipFill>
      <xdr:spPr>
        <a:xfrm>
          <a:off x="742950" y="72475725"/>
          <a:ext cx="4705350" cy="4343400"/>
        </a:xfrm>
        <a:prstGeom prst="rect">
          <a:avLst/>
        </a:prstGeom>
        <a:ln>
          <a:solidFill>
            <a:schemeClr val="tx1"/>
          </a:solidFill>
        </a:ln>
      </xdr:spPr>
    </xdr:pic>
    <xdr:clientData/>
  </xdr:twoCellAnchor>
  <xdr:twoCellAnchor>
    <xdr:from>
      <xdr:col>2</xdr:col>
      <xdr:colOff>733425</xdr:colOff>
      <xdr:row>304</xdr:row>
      <xdr:rowOff>0</xdr:rowOff>
    </xdr:from>
    <xdr:to>
      <xdr:col>4</xdr:col>
      <xdr:colOff>542925</xdr:colOff>
      <xdr:row>307</xdr:row>
      <xdr:rowOff>9525</xdr:rowOff>
    </xdr:to>
    <xdr:sp macro="" textlink="">
      <xdr:nvSpPr>
        <xdr:cNvPr id="16" name="Rectangle 15"/>
        <xdr:cNvSpPr/>
      </xdr:nvSpPr>
      <xdr:spPr>
        <a:xfrm rot="1224669">
          <a:off x="2295525" y="74266425"/>
          <a:ext cx="1571625" cy="6096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352425</xdr:colOff>
      <xdr:row>189</xdr:row>
      <xdr:rowOff>41275</xdr:rowOff>
    </xdr:from>
    <xdr:to>
      <xdr:col>15</xdr:col>
      <xdr:colOff>513950</xdr:colOff>
      <xdr:row>218</xdr:row>
      <xdr:rowOff>33968</xdr:rowOff>
    </xdr:to>
    <xdr:grpSp>
      <xdr:nvGrpSpPr>
        <xdr:cNvPr id="6" name="Group 5"/>
        <xdr:cNvGrpSpPr/>
      </xdr:nvGrpSpPr>
      <xdr:grpSpPr>
        <a:xfrm>
          <a:off x="7566025" y="41989375"/>
          <a:ext cx="6435325" cy="5694993"/>
          <a:chOff x="76200" y="43351450"/>
          <a:chExt cx="6152750" cy="5783893"/>
        </a:xfrm>
      </xdr:grpSpPr>
      <xdr:pic>
        <xdr:nvPicPr>
          <xdr:cNvPr id="28" name="Picture 2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271326" y="46390893"/>
            <a:ext cx="1957624" cy="274445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6200" y="46390893"/>
            <a:ext cx="1954449" cy="274445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7"/>
          <a:stretch>
            <a:fillRect/>
          </a:stretch>
        </xdr:blipFill>
        <xdr:spPr>
          <a:xfrm>
            <a:off x="235226" y="43351450"/>
            <a:ext cx="3658591" cy="292445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046203" y="43351450"/>
            <a:ext cx="2054900" cy="292445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01806" y="46390893"/>
            <a:ext cx="1907888" cy="2744450"/>
          </a:xfrm>
          <a:prstGeom prst="rect">
            <a:avLst/>
          </a:prstGeom>
          <a:ln>
            <a:solidFill>
              <a:schemeClr val="tx1"/>
            </a:solidFill>
          </a:ln>
        </xdr:spPr>
      </xdr:pic>
    </xdr:grpSp>
    <xdr:clientData/>
  </xdr:twoCellAnchor>
  <xdr:twoCellAnchor>
    <xdr:from>
      <xdr:col>0</xdr:col>
      <xdr:colOff>622300</xdr:colOff>
      <xdr:row>188</xdr:row>
      <xdr:rowOff>82550</xdr:rowOff>
    </xdr:from>
    <xdr:to>
      <xdr:col>7</xdr:col>
      <xdr:colOff>860177</xdr:colOff>
      <xdr:row>228</xdr:row>
      <xdr:rowOff>38100</xdr:rowOff>
    </xdr:to>
    <xdr:grpSp>
      <xdr:nvGrpSpPr>
        <xdr:cNvPr id="9" name="Group 8"/>
        <xdr:cNvGrpSpPr/>
      </xdr:nvGrpSpPr>
      <xdr:grpSpPr>
        <a:xfrm>
          <a:off x="622300" y="41833800"/>
          <a:ext cx="6092577" cy="7823200"/>
          <a:chOff x="622300" y="41833800"/>
          <a:chExt cx="6092577" cy="7823200"/>
        </a:xfrm>
      </xdr:grpSpPr>
      <xdr:pic>
        <xdr:nvPicPr>
          <xdr:cNvPr id="25" name="Picture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863348" y="48242260"/>
            <a:ext cx="1618313" cy="141474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22300" y="41833800"/>
            <a:ext cx="2966907" cy="39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625480" y="45938030"/>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101216" y="45938030"/>
            <a:ext cx="161831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863348" y="45938030"/>
            <a:ext cx="161831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747970" y="4183380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15</xdr:col>
      <xdr:colOff>101974</xdr:colOff>
      <xdr:row>53</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8687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tVD7CQQKQn3t1AZ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4"/>
  <sheetViews>
    <sheetView tabSelected="1" view="pageBreakPreview" topLeftCell="A196" zoomScaleNormal="100" zoomScaleSheetLayoutView="100" zoomScalePageLayoutView="85" workbookViewId="0">
      <selection activeCell="L79" sqref="L79"/>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1.7265625" style="36" customWidth="1"/>
    <col min="6" max="6" width="11.1796875" style="36" customWidth="1"/>
    <col min="7" max="7" width="11" style="36" customWidth="1"/>
    <col min="8" max="8" width="19.453125" style="36" customWidth="1"/>
    <col min="9" max="9" width="17.453125" style="17" customWidth="1"/>
    <col min="10" max="10" width="11.453125" style="17" customWidth="1"/>
    <col min="11" max="11" width="10.5429687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47" t="s">
        <v>164</v>
      </c>
      <c r="B1" s="147"/>
      <c r="C1" s="147"/>
      <c r="D1" s="147"/>
      <c r="E1" s="147"/>
      <c r="F1" s="147"/>
      <c r="G1" s="147"/>
      <c r="H1" s="147"/>
    </row>
    <row r="2" spans="1:26" ht="16.5" customHeight="1" x14ac:dyDescent="0.35">
      <c r="A2" s="148" t="s">
        <v>0</v>
      </c>
      <c r="B2" s="148"/>
      <c r="C2" s="148"/>
      <c r="D2" s="148"/>
      <c r="E2" s="148"/>
      <c r="F2" s="148"/>
      <c r="G2" s="148"/>
      <c r="H2" s="148"/>
    </row>
    <row r="3" spans="1:26" x14ac:dyDescent="0.35">
      <c r="A3" s="109" t="s">
        <v>1</v>
      </c>
      <c r="B3" s="109"/>
      <c r="C3" s="109"/>
      <c r="D3" s="109"/>
      <c r="E3" s="109" t="str">
        <f ca="1">TEXT(TODAY(),"DD/MM/YYYY")</f>
        <v>08/08/2025</v>
      </c>
      <c r="F3" s="109"/>
      <c r="G3" s="109"/>
      <c r="H3" s="109"/>
      <c r="K3" s="48" t="s">
        <v>238</v>
      </c>
      <c r="L3" s="45" t="s">
        <v>236</v>
      </c>
      <c r="M3" s="45" t="s">
        <v>241</v>
      </c>
      <c r="N3" s="45" t="s">
        <v>239</v>
      </c>
      <c r="O3" s="45" t="s">
        <v>240</v>
      </c>
      <c r="P3" s="45" t="s">
        <v>242</v>
      </c>
    </row>
    <row r="4" spans="1:26" ht="15" customHeight="1" x14ac:dyDescent="0.35">
      <c r="A4" s="109" t="s">
        <v>235</v>
      </c>
      <c r="B4" s="109"/>
      <c r="C4" s="109"/>
      <c r="D4" s="109"/>
      <c r="E4" s="109" t="s">
        <v>236</v>
      </c>
      <c r="F4" s="109"/>
      <c r="G4" s="109"/>
      <c r="H4" s="109"/>
      <c r="K4" s="44" t="s">
        <v>237</v>
      </c>
      <c r="L4" s="45" t="s">
        <v>170</v>
      </c>
      <c r="M4" s="45" t="s">
        <v>246</v>
      </c>
      <c r="N4" s="45" t="s">
        <v>248</v>
      </c>
      <c r="O4" s="45" t="s">
        <v>250</v>
      </c>
      <c r="P4" s="45"/>
    </row>
    <row r="5" spans="1:26" ht="15" customHeight="1" x14ac:dyDescent="0.35">
      <c r="A5" s="109" t="s">
        <v>2</v>
      </c>
      <c r="B5" s="109"/>
      <c r="C5" s="109"/>
      <c r="D5" s="109"/>
      <c r="E5" s="109" t="s">
        <v>245</v>
      </c>
      <c r="F5" s="109"/>
      <c r="G5" s="109"/>
      <c r="H5" s="109"/>
      <c r="K5" s="44"/>
      <c r="L5" s="45" t="s">
        <v>243</v>
      </c>
      <c r="M5" s="45" t="s">
        <v>247</v>
      </c>
      <c r="N5" s="45" t="s">
        <v>249</v>
      </c>
      <c r="O5" s="45" t="s">
        <v>251</v>
      </c>
      <c r="P5" s="45"/>
    </row>
    <row r="6" spans="1:26" x14ac:dyDescent="0.35">
      <c r="A6" s="109" t="s">
        <v>3</v>
      </c>
      <c r="B6" s="109"/>
      <c r="C6" s="109"/>
      <c r="D6" s="109"/>
      <c r="E6" s="149">
        <v>45877</v>
      </c>
      <c r="F6" s="109"/>
      <c r="G6" s="109"/>
      <c r="H6" s="109"/>
      <c r="K6" s="44"/>
      <c r="L6" s="45" t="s">
        <v>244</v>
      </c>
      <c r="M6" s="45"/>
      <c r="N6" s="45"/>
      <c r="O6" s="45" t="s">
        <v>252</v>
      </c>
      <c r="P6" s="45"/>
    </row>
    <row r="7" spans="1:26" ht="16.5" customHeight="1" x14ac:dyDescent="0.35">
      <c r="A7" s="109" t="s">
        <v>4</v>
      </c>
      <c r="B7" s="109"/>
      <c r="C7" s="109"/>
      <c r="D7" s="109"/>
      <c r="E7" s="109" t="s">
        <v>301</v>
      </c>
      <c r="F7" s="109"/>
      <c r="G7" s="109"/>
      <c r="H7" s="109"/>
      <c r="K7" s="44"/>
      <c r="L7" s="45" t="s">
        <v>245</v>
      </c>
      <c r="M7" s="45"/>
      <c r="N7" s="45"/>
      <c r="O7" s="45" t="s">
        <v>252</v>
      </c>
      <c r="P7" s="45"/>
    </row>
    <row r="8" spans="1:26" ht="15" customHeight="1" x14ac:dyDescent="0.35">
      <c r="A8" s="109" t="s">
        <v>5</v>
      </c>
      <c r="B8" s="109"/>
      <c r="C8" s="109"/>
      <c r="D8" s="109"/>
      <c r="E8" s="109" t="str">
        <f>E7</f>
        <v>Agastya Infra</v>
      </c>
      <c r="F8" s="109"/>
      <c r="G8" s="109"/>
      <c r="H8" s="109"/>
      <c r="K8" s="44"/>
      <c r="L8" s="45"/>
      <c r="M8" s="45"/>
      <c r="N8" s="45"/>
      <c r="O8" s="45" t="s">
        <v>253</v>
      </c>
      <c r="P8" s="45"/>
    </row>
    <row r="9" spans="1:26" x14ac:dyDescent="0.35">
      <c r="A9" s="109" t="s">
        <v>6</v>
      </c>
      <c r="B9" s="109"/>
      <c r="C9" s="109"/>
      <c r="D9" s="109"/>
      <c r="E9" s="119" t="s">
        <v>302</v>
      </c>
      <c r="F9" s="119"/>
      <c r="G9" s="119"/>
      <c r="H9" s="119"/>
      <c r="K9" s="44"/>
      <c r="L9" s="45"/>
      <c r="M9" s="45"/>
      <c r="N9" s="45"/>
      <c r="O9" s="45" t="s">
        <v>254</v>
      </c>
      <c r="P9" s="45"/>
    </row>
    <row r="10" spans="1:26" x14ac:dyDescent="0.35">
      <c r="A10" s="109" t="s">
        <v>167</v>
      </c>
      <c r="B10" s="109"/>
      <c r="C10" s="109"/>
      <c r="D10" s="109"/>
      <c r="E10" s="109" t="s">
        <v>303</v>
      </c>
      <c r="F10" s="109"/>
      <c r="G10" s="109"/>
      <c r="H10" s="109"/>
      <c r="K10" s="44"/>
      <c r="L10" s="45"/>
      <c r="M10" s="45"/>
      <c r="N10" s="45"/>
      <c r="O10" s="45"/>
      <c r="P10" s="45"/>
    </row>
    <row r="11" spans="1:26" x14ac:dyDescent="0.35">
      <c r="A11" s="109" t="s">
        <v>168</v>
      </c>
      <c r="B11" s="109"/>
      <c r="C11" s="109"/>
      <c r="D11" s="109"/>
      <c r="E11" s="109" t="s">
        <v>344</v>
      </c>
      <c r="F11" s="109"/>
      <c r="G11" s="109"/>
      <c r="H11" s="109"/>
    </row>
    <row r="12" spans="1:26" x14ac:dyDescent="0.35">
      <c r="A12" s="109" t="s">
        <v>7</v>
      </c>
      <c r="B12" s="109"/>
      <c r="C12" s="109"/>
      <c r="D12" s="109"/>
      <c r="E12" s="109" t="s">
        <v>119</v>
      </c>
      <c r="F12" s="109"/>
      <c r="G12" s="109"/>
      <c r="H12" s="109"/>
    </row>
    <row r="13" spans="1:26" x14ac:dyDescent="0.35">
      <c r="A13" s="109" t="s">
        <v>171</v>
      </c>
      <c r="B13" s="109"/>
      <c r="C13" s="109"/>
      <c r="D13" s="109"/>
      <c r="E13" s="109" t="s">
        <v>309</v>
      </c>
      <c r="F13" s="109"/>
      <c r="G13" s="109"/>
      <c r="H13" s="109"/>
      <c r="S13" s="45" t="s">
        <v>180</v>
      </c>
      <c r="T13" s="45" t="s">
        <v>190</v>
      </c>
      <c r="U13" s="45" t="s">
        <v>172</v>
      </c>
      <c r="V13" s="45" t="s">
        <v>195</v>
      </c>
      <c r="W13" s="45" t="s">
        <v>213</v>
      </c>
      <c r="X13"/>
      <c r="Y13" t="s">
        <v>195</v>
      </c>
      <c r="Z13" t="e">
        <f ca="1">OFFSET($S$13,1,MATCH($G20,$S$13:$W$13,0)-1,15,1)</f>
        <v>#VALUE!</v>
      </c>
    </row>
    <row r="14" spans="1:26" x14ac:dyDescent="0.35">
      <c r="A14" s="91" t="s">
        <v>281</v>
      </c>
      <c r="B14" s="91"/>
      <c r="C14" s="91"/>
      <c r="D14" s="91"/>
      <c r="E14" s="87" t="s">
        <v>338</v>
      </c>
      <c r="F14" s="87"/>
      <c r="G14" s="87"/>
      <c r="H14" s="87"/>
      <c r="S14" s="45" t="s">
        <v>181</v>
      </c>
      <c r="T14" s="45" t="s">
        <v>188</v>
      </c>
      <c r="U14" s="45" t="s">
        <v>210</v>
      </c>
      <c r="V14" s="45" t="s">
        <v>196</v>
      </c>
      <c r="W14" s="45" t="s">
        <v>214</v>
      </c>
      <c r="X14"/>
      <c r="Y14"/>
      <c r="Z14"/>
    </row>
    <row r="15" spans="1:26" x14ac:dyDescent="0.35">
      <c r="A15" s="91" t="s">
        <v>8</v>
      </c>
      <c r="B15" s="91"/>
      <c r="C15" s="91"/>
      <c r="D15" s="91"/>
      <c r="E15" s="87" t="s">
        <v>304</v>
      </c>
      <c r="F15" s="109"/>
      <c r="G15" s="109"/>
      <c r="H15" s="109"/>
      <c r="I15" s="173" t="e">
        <f ca="1">OFFSET($D$5,1,MATCH($J13,$D$5:$H$5,0)-1,15,1)</f>
        <v>#N/A</v>
      </c>
      <c r="J15" s="174"/>
      <c r="K15" s="174"/>
      <c r="L15" s="174"/>
      <c r="M15" s="174"/>
      <c r="N15" s="174"/>
      <c r="O15" s="174"/>
      <c r="P15" s="174"/>
      <c r="S15" s="45" t="s">
        <v>182</v>
      </c>
      <c r="T15" s="45" t="s">
        <v>189</v>
      </c>
      <c r="U15" s="45" t="s">
        <v>211</v>
      </c>
      <c r="V15" s="45" t="s">
        <v>197</v>
      </c>
      <c r="W15" s="45" t="s">
        <v>227</v>
      </c>
      <c r="X15"/>
      <c r="Y15"/>
      <c r="Z15"/>
    </row>
    <row r="16" spans="1:26" ht="49.5" customHeight="1" x14ac:dyDescent="0.35">
      <c r="A16" s="86" t="s">
        <v>9</v>
      </c>
      <c r="B16" s="86"/>
      <c r="C16" s="86" t="str">
        <f>CONCATENATE((IF(OR(E9="",E9="NA"),"",E9)),", ",(IF(OR(A17="",A17="NA"),"",A17)),".",(IF(OR(C17="",C17="NA"),"",C17)),", near ",(IF(OR(C22="",C22="NA"),"",C22)),", ",(IF(OR(C19="",C19="NA"),"",C19)),", ",(IF(OR(C18="",C18="NA"),"",C18)),", ",(IF(OR(G19="",G19="NA"),"",G19)),", ",(IF(OR(C20="",C20="NA"),"",C20)),", ",(IF(OR(C21="",C21="NA"),"",C21)),", ",(IF(OR(G20="",G20="NA"),"",G20))," - ",(IF(OR(G21="",G21="NA"),"",G21)),".")</f>
        <v>Signature, CTS No.356 (Pt), Redevelopement of "Building No.236 (Vikroli Swadham CHSL) ", near Dharmveer chatrapati shree Sambhaji maharaj Maidan, Sambhaji Maidan Circle Road, Hariyali, Kannamwar Nagar, Vikroli East, Kurla, Mumbai - 400083.</v>
      </c>
      <c r="D16" s="86"/>
      <c r="E16" s="86"/>
      <c r="F16" s="86"/>
      <c r="G16" s="86"/>
      <c r="H16" s="86"/>
      <c r="S16" s="45" t="s">
        <v>183</v>
      </c>
      <c r="T16" s="45" t="s">
        <v>191</v>
      </c>
      <c r="U16" s="45" t="s">
        <v>212</v>
      </c>
      <c r="V16" s="45" t="s">
        <v>198</v>
      </c>
      <c r="W16" s="45" t="s">
        <v>215</v>
      </c>
      <c r="X16"/>
      <c r="Y16"/>
      <c r="Z16"/>
    </row>
    <row r="17" spans="1:26" ht="18" customHeight="1" x14ac:dyDescent="0.35">
      <c r="A17" s="87" t="s">
        <v>176</v>
      </c>
      <c r="B17" s="87"/>
      <c r="C17" s="87" t="s">
        <v>339</v>
      </c>
      <c r="D17" s="87"/>
      <c r="E17" s="87"/>
      <c r="F17" s="87"/>
      <c r="G17" s="87"/>
      <c r="H17" s="87"/>
      <c r="S17" s="45" t="s">
        <v>184</v>
      </c>
      <c r="T17" s="45" t="s">
        <v>192</v>
      </c>
      <c r="U17" s="45" t="s">
        <v>172</v>
      </c>
      <c r="V17" s="45" t="s">
        <v>199</v>
      </c>
      <c r="W17" s="45" t="s">
        <v>216</v>
      </c>
      <c r="X17"/>
      <c r="Y17"/>
      <c r="Z17"/>
    </row>
    <row r="18" spans="1:26" ht="15.75" customHeight="1" x14ac:dyDescent="0.35">
      <c r="A18" s="87" t="s">
        <v>162</v>
      </c>
      <c r="B18" s="87"/>
      <c r="C18" s="87" t="s">
        <v>305</v>
      </c>
      <c r="D18" s="87"/>
      <c r="E18" s="87"/>
      <c r="F18" s="87"/>
      <c r="G18" s="87"/>
      <c r="H18" s="87"/>
      <c r="S18" s="45" t="s">
        <v>185</v>
      </c>
      <c r="T18" s="45" t="s">
        <v>190</v>
      </c>
      <c r="U18" s="45"/>
      <c r="V18" s="45" t="s">
        <v>200</v>
      </c>
      <c r="W18" s="45" t="s">
        <v>217</v>
      </c>
      <c r="X18"/>
      <c r="Y18"/>
      <c r="Z18"/>
    </row>
    <row r="19" spans="1:26" ht="30.75" customHeight="1" x14ac:dyDescent="0.35">
      <c r="A19" s="86" t="s">
        <v>10</v>
      </c>
      <c r="B19" s="86"/>
      <c r="C19" s="87" t="s">
        <v>307</v>
      </c>
      <c r="D19" s="87"/>
      <c r="E19" s="86" t="s">
        <v>70</v>
      </c>
      <c r="F19" s="86"/>
      <c r="G19" s="87" t="s">
        <v>306</v>
      </c>
      <c r="H19" s="87"/>
      <c r="S19" s="45" t="s">
        <v>186</v>
      </c>
      <c r="T19" s="45" t="s">
        <v>193</v>
      </c>
      <c r="U19" s="45"/>
      <c r="V19" s="45" t="s">
        <v>201</v>
      </c>
      <c r="W19" s="45" t="s">
        <v>218</v>
      </c>
      <c r="X19"/>
      <c r="Y19"/>
      <c r="Z19"/>
    </row>
    <row r="20" spans="1:26" x14ac:dyDescent="0.35">
      <c r="A20" s="91" t="s">
        <v>12</v>
      </c>
      <c r="B20" s="91"/>
      <c r="C20" s="87" t="s">
        <v>308</v>
      </c>
      <c r="D20" s="87"/>
      <c r="E20" s="86" t="s">
        <v>11</v>
      </c>
      <c r="F20" s="86"/>
      <c r="G20" s="184" t="s">
        <v>172</v>
      </c>
      <c r="H20" s="184"/>
      <c r="S20" s="45" t="s">
        <v>187</v>
      </c>
      <c r="T20" s="45" t="s">
        <v>194</v>
      </c>
      <c r="U20" s="45"/>
      <c r="V20" s="45" t="s">
        <v>202</v>
      </c>
      <c r="W20" s="45" t="s">
        <v>219</v>
      </c>
      <c r="X20"/>
      <c r="Y20"/>
      <c r="Z20"/>
    </row>
    <row r="21" spans="1:26" x14ac:dyDescent="0.35">
      <c r="A21" s="91" t="s">
        <v>71</v>
      </c>
      <c r="B21" s="91"/>
      <c r="C21" s="87" t="s">
        <v>212</v>
      </c>
      <c r="D21" s="87"/>
      <c r="E21" s="86" t="s">
        <v>13</v>
      </c>
      <c r="F21" s="86"/>
      <c r="G21" s="87">
        <v>400083</v>
      </c>
      <c r="H21" s="87"/>
      <c r="S21" s="45"/>
      <c r="T21" s="45"/>
      <c r="U21" s="45"/>
      <c r="V21" s="45" t="s">
        <v>203</v>
      </c>
      <c r="W21" s="45" t="s">
        <v>220</v>
      </c>
      <c r="X21"/>
      <c r="Y21"/>
      <c r="Z21"/>
    </row>
    <row r="22" spans="1:26" ht="32.25" customHeight="1" x14ac:dyDescent="0.35">
      <c r="A22" s="91" t="s">
        <v>121</v>
      </c>
      <c r="B22" s="91"/>
      <c r="C22" s="87" t="s">
        <v>311</v>
      </c>
      <c r="D22" s="87"/>
      <c r="E22" s="86" t="s">
        <v>14</v>
      </c>
      <c r="F22" s="86"/>
      <c r="G22" s="87" t="s">
        <v>310</v>
      </c>
      <c r="H22" s="87"/>
      <c r="S22" s="45"/>
      <c r="T22" s="45"/>
      <c r="U22" s="45"/>
      <c r="V22" s="45" t="s">
        <v>204</v>
      </c>
      <c r="W22" s="45" t="s">
        <v>221</v>
      </c>
      <c r="X22"/>
      <c r="Y22"/>
      <c r="Z22"/>
    </row>
    <row r="23" spans="1:26" ht="15" customHeight="1" x14ac:dyDescent="0.35">
      <c r="A23" s="86" t="s">
        <v>73</v>
      </c>
      <c r="B23" s="86"/>
      <c r="C23" s="86"/>
      <c r="D23" s="86"/>
      <c r="E23" s="109" t="s">
        <v>15</v>
      </c>
      <c r="F23" s="109"/>
      <c r="G23" s="109"/>
      <c r="H23" s="109"/>
      <c r="S23" s="45"/>
      <c r="T23" s="45"/>
      <c r="U23" s="45"/>
      <c r="V23" s="45" t="s">
        <v>205</v>
      </c>
      <c r="W23" s="45" t="s">
        <v>222</v>
      </c>
      <c r="X23"/>
      <c r="Y23"/>
      <c r="Z23"/>
    </row>
    <row r="24" spans="1:26" ht="18.75" customHeight="1" x14ac:dyDescent="0.35">
      <c r="A24" s="86"/>
      <c r="B24" s="86"/>
      <c r="C24" s="86"/>
      <c r="D24" s="86"/>
      <c r="E24" s="109"/>
      <c r="F24" s="109"/>
      <c r="G24" s="109"/>
      <c r="H24" s="109"/>
      <c r="S24" s="45"/>
      <c r="T24" s="45"/>
      <c r="U24" s="45"/>
      <c r="V24" s="45" t="s">
        <v>206</v>
      </c>
      <c r="W24" s="45" t="s">
        <v>223</v>
      </c>
      <c r="X24"/>
      <c r="Y24"/>
      <c r="Z24"/>
    </row>
    <row r="25" spans="1:26" ht="15" customHeight="1" x14ac:dyDescent="0.35">
      <c r="A25" s="86" t="s">
        <v>16</v>
      </c>
      <c r="B25" s="86"/>
      <c r="C25" s="86"/>
      <c r="D25" s="86"/>
      <c r="E25" s="87" t="s">
        <v>17</v>
      </c>
      <c r="F25" s="87"/>
      <c r="G25" s="87"/>
      <c r="H25" s="87"/>
      <c r="S25" s="45"/>
      <c r="T25" s="45"/>
      <c r="U25" s="45"/>
      <c r="V25" s="45" t="s">
        <v>207</v>
      </c>
      <c r="W25" s="45" t="s">
        <v>224</v>
      </c>
      <c r="X25"/>
      <c r="Y25"/>
      <c r="Z25"/>
    </row>
    <row r="26" spans="1:26" ht="15" customHeight="1" x14ac:dyDescent="0.35">
      <c r="A26" s="91" t="s">
        <v>18</v>
      </c>
      <c r="B26" s="91"/>
      <c r="C26" s="91"/>
      <c r="D26" s="91"/>
      <c r="E26" s="87" t="str">
        <f>IF(AND(G20="Mumbai"),"Upper Class","Middle Class")</f>
        <v>Upper Class</v>
      </c>
      <c r="F26" s="87"/>
      <c r="G26" s="87"/>
      <c r="H26" s="87"/>
      <c r="S26" s="45"/>
      <c r="T26" s="45"/>
      <c r="U26" s="45"/>
      <c r="V26" s="45" t="s">
        <v>208</v>
      </c>
      <c r="W26" s="45" t="s">
        <v>225</v>
      </c>
      <c r="X26"/>
      <c r="Y26"/>
      <c r="Z26"/>
    </row>
    <row r="27" spans="1:26" x14ac:dyDescent="0.35">
      <c r="A27" s="91" t="s">
        <v>19</v>
      </c>
      <c r="B27" s="91"/>
      <c r="C27" s="91"/>
      <c r="D27" s="91"/>
      <c r="E27" s="87" t="s">
        <v>20</v>
      </c>
      <c r="F27" s="87"/>
      <c r="G27" s="87"/>
      <c r="H27" s="87"/>
      <c r="S27" s="45"/>
      <c r="T27" s="45"/>
      <c r="U27" s="45"/>
      <c r="V27" s="45" t="s">
        <v>209</v>
      </c>
      <c r="W27" s="45" t="s">
        <v>226</v>
      </c>
      <c r="X27"/>
      <c r="Y27"/>
      <c r="Z27"/>
    </row>
    <row r="28" spans="1:26" ht="15.75" customHeight="1" x14ac:dyDescent="0.35">
      <c r="A28" s="91" t="s">
        <v>21</v>
      </c>
      <c r="B28" s="91"/>
      <c r="C28" s="91"/>
      <c r="D28" s="91"/>
      <c r="E28" s="87" t="str">
        <f>IF(AND(G20="Mumbai"),"Developed","Developing")</f>
        <v>Developed</v>
      </c>
      <c r="F28" s="87"/>
      <c r="G28" s="87"/>
      <c r="H28" s="87"/>
    </row>
    <row r="29" spans="1:26" x14ac:dyDescent="0.35">
      <c r="A29" s="91" t="s">
        <v>22</v>
      </c>
      <c r="B29" s="91"/>
      <c r="C29" s="91"/>
      <c r="D29" s="91"/>
      <c r="E29" s="87" t="s">
        <v>23</v>
      </c>
      <c r="F29" s="87"/>
      <c r="G29" s="87"/>
      <c r="H29" s="87"/>
    </row>
    <row r="30" spans="1:26" ht="15.75" customHeight="1" x14ac:dyDescent="0.35">
      <c r="A30" s="91" t="s">
        <v>78</v>
      </c>
      <c r="B30" s="91"/>
      <c r="C30" s="91"/>
      <c r="D30" s="91"/>
      <c r="E30" s="87" t="s">
        <v>79</v>
      </c>
      <c r="F30" s="87"/>
      <c r="G30" s="87"/>
      <c r="H30" s="87"/>
    </row>
    <row r="31" spans="1:26" ht="15" customHeight="1" x14ac:dyDescent="0.35">
      <c r="A31" s="91" t="s">
        <v>30</v>
      </c>
      <c r="B31" s="91"/>
      <c r="C31" s="91"/>
      <c r="D31" s="91"/>
      <c r="E31" s="87"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87"/>
      <c r="G31" s="87"/>
      <c r="H31" s="87"/>
    </row>
    <row r="32" spans="1:26" ht="15.75" customHeight="1" x14ac:dyDescent="0.35">
      <c r="A32" s="91" t="s">
        <v>90</v>
      </c>
      <c r="B32" s="91"/>
      <c r="C32" s="91"/>
      <c r="D32" s="91"/>
      <c r="E32" s="87" t="s">
        <v>31</v>
      </c>
      <c r="F32" s="87"/>
      <c r="G32" s="87"/>
      <c r="H32" s="87"/>
    </row>
    <row r="33" spans="1:19" s="18" customFormat="1" x14ac:dyDescent="0.35">
      <c r="A33" s="145" t="s">
        <v>91</v>
      </c>
      <c r="B33" s="145"/>
      <c r="C33" s="142" t="s">
        <v>173</v>
      </c>
      <c r="D33" s="143"/>
      <c r="E33" s="144"/>
      <c r="F33" s="142" t="s">
        <v>29</v>
      </c>
      <c r="G33" s="143"/>
      <c r="H33" s="144"/>
      <c r="S33" s="18" t="e">
        <f ca="1">OFFSET($S$13,1,MATCH($G20,$S$13:$W$13,0)-1,15,1)</f>
        <v>#VALUE!</v>
      </c>
    </row>
    <row r="34" spans="1:19" s="18" customFormat="1" ht="31.5" customHeight="1" x14ac:dyDescent="0.35">
      <c r="A34" s="132" t="s">
        <v>24</v>
      </c>
      <c r="B34" s="132" t="s">
        <v>28</v>
      </c>
      <c r="C34" s="133" t="s">
        <v>313</v>
      </c>
      <c r="D34" s="133"/>
      <c r="E34" s="133"/>
      <c r="F34" s="146" t="s">
        <v>316</v>
      </c>
      <c r="G34" s="146"/>
      <c r="H34" s="146"/>
    </row>
    <row r="35" spans="1:19" x14ac:dyDescent="0.35">
      <c r="A35" s="132" t="s">
        <v>25</v>
      </c>
      <c r="B35" s="132" t="s">
        <v>28</v>
      </c>
      <c r="C35" s="133" t="s">
        <v>314</v>
      </c>
      <c r="D35" s="133"/>
      <c r="E35" s="133"/>
      <c r="F35" s="133" t="s">
        <v>10</v>
      </c>
      <c r="G35" s="133"/>
      <c r="H35" s="133"/>
    </row>
    <row r="36" spans="1:19" s="18" customFormat="1" x14ac:dyDescent="0.35">
      <c r="A36" s="132" t="s">
        <v>27</v>
      </c>
      <c r="B36" s="132" t="s">
        <v>28</v>
      </c>
      <c r="C36" s="133" t="s">
        <v>312</v>
      </c>
      <c r="D36" s="133"/>
      <c r="E36" s="133"/>
      <c r="F36" s="133" t="s">
        <v>315</v>
      </c>
      <c r="G36" s="133"/>
      <c r="H36" s="133"/>
    </row>
    <row r="37" spans="1:19" x14ac:dyDescent="0.35">
      <c r="A37" s="132" t="s">
        <v>26</v>
      </c>
      <c r="B37" s="132" t="s">
        <v>28</v>
      </c>
      <c r="C37" s="133" t="s">
        <v>314</v>
      </c>
      <c r="D37" s="133"/>
      <c r="E37" s="133"/>
      <c r="F37" s="133" t="s">
        <v>307</v>
      </c>
      <c r="G37" s="133"/>
      <c r="H37" s="133"/>
    </row>
    <row r="38" spans="1:19" x14ac:dyDescent="0.35">
      <c r="A38" s="91" t="s">
        <v>282</v>
      </c>
      <c r="B38" s="91"/>
      <c r="C38" s="91"/>
      <c r="D38" s="91"/>
      <c r="E38" s="91"/>
      <c r="F38" s="91"/>
      <c r="G38" s="91"/>
      <c r="H38" s="91"/>
    </row>
    <row r="39" spans="1:19" ht="15.75" customHeight="1" x14ac:dyDescent="0.35">
      <c r="A39" s="91" t="s">
        <v>165</v>
      </c>
      <c r="B39" s="91"/>
      <c r="C39" s="105" t="s">
        <v>317</v>
      </c>
      <c r="D39" s="105"/>
      <c r="E39" s="105"/>
      <c r="F39" s="105"/>
      <c r="G39" s="105"/>
      <c r="H39" s="105"/>
    </row>
    <row r="40" spans="1:19" x14ac:dyDescent="0.35">
      <c r="A40" s="91" t="s">
        <v>161</v>
      </c>
      <c r="B40" s="91"/>
      <c r="C40" s="110" t="s">
        <v>318</v>
      </c>
      <c r="D40" s="87"/>
      <c r="E40" s="87"/>
      <c r="F40" s="87"/>
      <c r="G40" s="87"/>
      <c r="H40" s="87"/>
    </row>
    <row r="41" spans="1:19" x14ac:dyDescent="0.35">
      <c r="A41" s="105" t="s">
        <v>32</v>
      </c>
      <c r="B41" s="105"/>
      <c r="C41" s="105"/>
      <c r="D41" s="105"/>
      <c r="E41" s="105"/>
      <c r="F41" s="105"/>
      <c r="G41" s="105"/>
      <c r="H41" s="105"/>
    </row>
    <row r="42" spans="1:19" x14ac:dyDescent="0.35">
      <c r="A42" s="91" t="s">
        <v>33</v>
      </c>
      <c r="B42" s="91"/>
      <c r="C42" s="91"/>
      <c r="D42" s="91"/>
      <c r="E42" s="134">
        <v>1101.26</v>
      </c>
      <c r="F42" s="134"/>
      <c r="G42" s="134"/>
      <c r="H42" s="134"/>
    </row>
    <row r="43" spans="1:19" x14ac:dyDescent="0.35">
      <c r="A43" s="91" t="s">
        <v>34</v>
      </c>
      <c r="B43" s="91"/>
      <c r="C43" s="91"/>
      <c r="D43" s="91"/>
      <c r="E43" s="136">
        <v>3</v>
      </c>
      <c r="F43" s="136"/>
      <c r="G43" s="136"/>
      <c r="H43" s="136"/>
    </row>
    <row r="44" spans="1:19" x14ac:dyDescent="0.35">
      <c r="A44" s="91" t="s">
        <v>35</v>
      </c>
      <c r="B44" s="91"/>
      <c r="C44" s="91"/>
      <c r="D44" s="91"/>
      <c r="E44" s="136">
        <f>E46/E42-E43</f>
        <v>3.4033743166917896</v>
      </c>
      <c r="F44" s="136"/>
      <c r="G44" s="136"/>
      <c r="H44" s="136"/>
    </row>
    <row r="45" spans="1:19" x14ac:dyDescent="0.35">
      <c r="A45" s="91" t="s">
        <v>36</v>
      </c>
      <c r="B45" s="91"/>
      <c r="C45" s="91"/>
      <c r="D45" s="91"/>
      <c r="E45" s="136">
        <f>E43+E44</f>
        <v>6.4033743166917896</v>
      </c>
      <c r="F45" s="136"/>
      <c r="G45" s="136"/>
      <c r="H45" s="136"/>
    </row>
    <row r="46" spans="1:19" x14ac:dyDescent="0.35">
      <c r="A46" s="91" t="s">
        <v>89</v>
      </c>
      <c r="B46" s="91"/>
      <c r="C46" s="91"/>
      <c r="D46" s="91"/>
      <c r="E46" s="137">
        <v>7051.78</v>
      </c>
      <c r="F46" s="137"/>
      <c r="G46" s="137"/>
      <c r="H46" s="137"/>
    </row>
    <row r="47" spans="1:19" x14ac:dyDescent="0.35">
      <c r="A47" s="109" t="s">
        <v>37</v>
      </c>
      <c r="B47" s="109"/>
      <c r="C47" s="109"/>
      <c r="D47" s="109"/>
      <c r="E47" s="109" t="s">
        <v>119</v>
      </c>
      <c r="F47" s="109"/>
      <c r="G47" s="109"/>
      <c r="H47" s="109"/>
    </row>
    <row r="48" spans="1:19" x14ac:dyDescent="0.35">
      <c r="A48" s="105" t="s">
        <v>38</v>
      </c>
      <c r="B48" s="105"/>
      <c r="C48" s="105"/>
      <c r="D48" s="105"/>
      <c r="E48" s="105"/>
      <c r="F48" s="105"/>
      <c r="G48" s="105"/>
      <c r="H48" s="105"/>
    </row>
    <row r="49" spans="1:24" ht="33.75" customHeight="1" x14ac:dyDescent="0.35">
      <c r="A49" s="127" t="s">
        <v>150</v>
      </c>
      <c r="B49" s="128"/>
      <c r="C49" s="129" t="s">
        <v>258</v>
      </c>
      <c r="D49" s="130"/>
      <c r="E49" s="130"/>
      <c r="F49" s="130"/>
      <c r="G49" s="130"/>
      <c r="H49" s="131"/>
      <c r="R49" t="s">
        <v>255</v>
      </c>
      <c r="S49" t="s">
        <v>172</v>
      </c>
      <c r="T49" t="s">
        <v>180</v>
      </c>
      <c r="U49" t="s">
        <v>195</v>
      </c>
      <c r="V49" t="s">
        <v>190</v>
      </c>
    </row>
    <row r="50" spans="1:24" ht="15.75" customHeight="1" x14ac:dyDescent="0.35">
      <c r="A50" s="127" t="s">
        <v>39</v>
      </c>
      <c r="B50" s="128"/>
      <c r="C50" s="127" t="s">
        <v>319</v>
      </c>
      <c r="D50" s="138"/>
      <c r="E50" s="128"/>
      <c r="F50" s="15" t="s">
        <v>40</v>
      </c>
      <c r="G50" s="175">
        <v>45239</v>
      </c>
      <c r="H50" s="128"/>
      <c r="R50"/>
      <c r="S50" t="s">
        <v>256</v>
      </c>
      <c r="T50" t="s">
        <v>261</v>
      </c>
      <c r="U50" t="s">
        <v>272</v>
      </c>
      <c r="V50" t="s">
        <v>277</v>
      </c>
    </row>
    <row r="51" spans="1:24" x14ac:dyDescent="0.35">
      <c r="A51" s="127" t="s">
        <v>41</v>
      </c>
      <c r="B51" s="128"/>
      <c r="C51" s="127" t="str">
        <f>C50</f>
        <v>Mhada-9/1277/2023</v>
      </c>
      <c r="D51" s="138"/>
      <c r="E51" s="128"/>
      <c r="F51" s="15" t="s">
        <v>40</v>
      </c>
      <c r="G51" s="175">
        <v>45239</v>
      </c>
      <c r="H51" s="128"/>
      <c r="R51"/>
      <c r="S51" t="s">
        <v>257</v>
      </c>
      <c r="T51" t="s">
        <v>262</v>
      </c>
      <c r="U51" t="s">
        <v>270</v>
      </c>
      <c r="V51" t="s">
        <v>278</v>
      </c>
    </row>
    <row r="52" spans="1:24" s="19" customFormat="1" ht="32.25" customHeight="1" x14ac:dyDescent="0.35">
      <c r="A52" s="180" t="s">
        <v>154</v>
      </c>
      <c r="B52" s="181"/>
      <c r="C52" s="127" t="s">
        <v>349</v>
      </c>
      <c r="D52" s="138"/>
      <c r="E52" s="128"/>
      <c r="F52" s="15" t="s">
        <v>40</v>
      </c>
      <c r="G52" s="175">
        <v>45790</v>
      </c>
      <c r="H52" s="128"/>
      <c r="R52"/>
      <c r="S52" t="s">
        <v>258</v>
      </c>
      <c r="T52" t="s">
        <v>263</v>
      </c>
      <c r="U52" t="s">
        <v>260</v>
      </c>
      <c r="V52" t="s">
        <v>279</v>
      </c>
    </row>
    <row r="53" spans="1:24" s="19" customFormat="1" ht="126.5" customHeight="1" x14ac:dyDescent="0.35">
      <c r="A53" s="182"/>
      <c r="B53" s="183"/>
      <c r="C53" s="127" t="s">
        <v>350</v>
      </c>
      <c r="D53" s="138"/>
      <c r="E53" s="128"/>
      <c r="F53" s="15" t="s">
        <v>120</v>
      </c>
      <c r="G53" s="175">
        <v>45807</v>
      </c>
      <c r="H53" s="128"/>
      <c r="R53"/>
      <c r="S53" t="s">
        <v>259</v>
      </c>
      <c r="T53" t="s">
        <v>266</v>
      </c>
      <c r="U53" t="s">
        <v>273</v>
      </c>
    </row>
    <row r="54" spans="1:24" s="19" customFormat="1" ht="30.75" customHeight="1" x14ac:dyDescent="0.35">
      <c r="A54" s="124" t="s">
        <v>283</v>
      </c>
      <c r="B54" s="126"/>
      <c r="C54" s="127" t="s">
        <v>343</v>
      </c>
      <c r="D54" s="138"/>
      <c r="E54" s="128"/>
      <c r="F54" s="15" t="s">
        <v>40</v>
      </c>
      <c r="G54" s="175">
        <v>45132</v>
      </c>
      <c r="H54" s="128"/>
      <c r="R54"/>
      <c r="S54" t="s">
        <v>258</v>
      </c>
      <c r="T54" t="s">
        <v>263</v>
      </c>
      <c r="U54" t="s">
        <v>260</v>
      </c>
      <c r="V54" t="s">
        <v>279</v>
      </c>
    </row>
    <row r="55" spans="1:24" s="19" customFormat="1" ht="51" customHeight="1" x14ac:dyDescent="0.35">
      <c r="A55" s="178"/>
      <c r="B55" s="179"/>
      <c r="C55" s="116" t="s">
        <v>342</v>
      </c>
      <c r="D55" s="117"/>
      <c r="E55" s="117"/>
      <c r="F55" s="117"/>
      <c r="G55" s="117"/>
      <c r="H55" s="118"/>
      <c r="R55"/>
      <c r="S55" t="s">
        <v>260</v>
      </c>
      <c r="T55" t="s">
        <v>264</v>
      </c>
      <c r="U55" t="s">
        <v>274</v>
      </c>
      <c r="V55" s="17"/>
      <c r="W55" s="17"/>
      <c r="X55" s="17"/>
    </row>
    <row r="56" spans="1:24" x14ac:dyDescent="0.35">
      <c r="A56" s="186" t="s">
        <v>42</v>
      </c>
      <c r="B56" s="187"/>
      <c r="C56" s="186" t="s">
        <v>103</v>
      </c>
      <c r="D56" s="188"/>
      <c r="E56" s="187"/>
      <c r="F56" s="38" t="s">
        <v>40</v>
      </c>
      <c r="G56" s="176" t="s">
        <v>28</v>
      </c>
      <c r="H56" s="177"/>
      <c r="R56"/>
      <c r="T56" t="s">
        <v>271</v>
      </c>
    </row>
    <row r="57" spans="1:24" x14ac:dyDescent="0.35">
      <c r="A57" s="170" t="s">
        <v>44</v>
      </c>
      <c r="B57" s="170"/>
      <c r="C57" s="170"/>
      <c r="D57" s="170"/>
      <c r="E57" s="170"/>
      <c r="F57" s="170"/>
      <c r="G57" s="170"/>
      <c r="H57" s="170"/>
      <c r="T57" t="s">
        <v>280</v>
      </c>
    </row>
    <row r="58" spans="1:24" x14ac:dyDescent="0.35">
      <c r="A58" s="86" t="s">
        <v>88</v>
      </c>
      <c r="B58" s="86"/>
      <c r="C58" s="86"/>
      <c r="D58" s="91">
        <f>E46</f>
        <v>7051.78</v>
      </c>
      <c r="E58" s="91"/>
      <c r="F58" s="91"/>
      <c r="G58" s="91"/>
      <c r="H58" s="91"/>
      <c r="R58"/>
    </row>
    <row r="59" spans="1:24" x14ac:dyDescent="0.35">
      <c r="A59" s="87" t="s">
        <v>45</v>
      </c>
      <c r="B59" s="109"/>
      <c r="C59" s="109"/>
      <c r="D59" s="109" t="s">
        <v>341</v>
      </c>
      <c r="E59" s="109"/>
      <c r="F59" s="109"/>
      <c r="G59" s="109"/>
      <c r="H59" s="109"/>
      <c r="I59" s="20"/>
      <c r="R59"/>
    </row>
    <row r="60" spans="1:24" x14ac:dyDescent="0.35">
      <c r="A60" s="124" t="s">
        <v>46</v>
      </c>
      <c r="B60" s="125"/>
      <c r="C60" s="126"/>
      <c r="D60" s="122" t="s">
        <v>321</v>
      </c>
      <c r="E60" s="123"/>
      <c r="F60" s="123"/>
      <c r="G60" s="123"/>
      <c r="H60" s="123"/>
      <c r="R60"/>
    </row>
    <row r="61" spans="1:24" ht="15.75" customHeight="1" x14ac:dyDescent="0.35">
      <c r="A61" s="124" t="s">
        <v>86</v>
      </c>
      <c r="B61" s="125"/>
      <c r="C61" s="125"/>
      <c r="D61" s="139" t="s">
        <v>322</v>
      </c>
      <c r="E61" s="140"/>
      <c r="F61" s="140"/>
      <c r="G61" s="140"/>
      <c r="H61" s="141"/>
      <c r="R61"/>
    </row>
    <row r="62" spans="1:24" ht="15.75" customHeight="1" x14ac:dyDescent="0.35">
      <c r="A62" s="91" t="s">
        <v>43</v>
      </c>
      <c r="B62" s="91"/>
      <c r="C62" s="91"/>
      <c r="D62" s="86" t="s">
        <v>320</v>
      </c>
      <c r="E62" s="86"/>
      <c r="F62" s="86"/>
      <c r="G62" s="86"/>
      <c r="H62" s="86"/>
      <c r="J62" s="21"/>
      <c r="K62" s="20"/>
      <c r="N62" s="20"/>
      <c r="S62"/>
    </row>
    <row r="63" spans="1:24" ht="15.75" customHeight="1" x14ac:dyDescent="0.35">
      <c r="A63" s="91" t="s">
        <v>84</v>
      </c>
      <c r="B63" s="91"/>
      <c r="C63" s="91"/>
      <c r="D63" s="135" t="str">
        <f>(IF(G56="NA","60 Years After Completion",IF(G56&lt;&gt;"NA",""&amp;60-ROUNDDOWN((E3-G56)/360,0)&amp;" Years"," ")))</f>
        <v>60 Years After Completion</v>
      </c>
      <c r="E63" s="135"/>
      <c r="F63" s="135"/>
      <c r="G63" s="135"/>
      <c r="H63" s="135"/>
      <c r="N63" s="20"/>
      <c r="S63"/>
    </row>
    <row r="64" spans="1:24" ht="15.75" customHeight="1" x14ac:dyDescent="0.35">
      <c r="A64" s="91" t="s">
        <v>85</v>
      </c>
      <c r="B64" s="91"/>
      <c r="C64" s="91"/>
      <c r="D64" s="86" t="s">
        <v>23</v>
      </c>
      <c r="E64" s="86"/>
      <c r="F64" s="86"/>
      <c r="G64" s="86"/>
      <c r="H64" s="86"/>
      <c r="J64" s="22"/>
      <c r="K64" s="22"/>
      <c r="S64"/>
    </row>
    <row r="65" spans="1:19" ht="48" customHeight="1" x14ac:dyDescent="0.35">
      <c r="A65" s="109" t="s">
        <v>340</v>
      </c>
      <c r="B65" s="109"/>
      <c r="C65" s="109"/>
      <c r="D65" s="87" t="s">
        <v>323</v>
      </c>
      <c r="E65" s="86"/>
      <c r="F65" s="86"/>
      <c r="G65" s="86"/>
      <c r="H65" s="86"/>
      <c r="S65"/>
    </row>
    <row r="66" spans="1:19" x14ac:dyDescent="0.35">
      <c r="A66" s="86" t="s">
        <v>147</v>
      </c>
      <c r="B66" s="86"/>
      <c r="C66" s="86"/>
      <c r="D66" s="86" t="s">
        <v>28</v>
      </c>
      <c r="E66" s="86"/>
      <c r="F66" s="86"/>
      <c r="G66" s="86"/>
      <c r="H66" s="86"/>
      <c r="I66" s="23"/>
      <c r="J66" s="23"/>
      <c r="K66" s="23"/>
      <c r="L66" s="23"/>
      <c r="M66" s="23"/>
      <c r="N66" s="23"/>
    </row>
    <row r="67" spans="1:19" ht="15.75" customHeight="1" x14ac:dyDescent="0.35">
      <c r="A67" s="91" t="s">
        <v>83</v>
      </c>
      <c r="B67" s="91"/>
      <c r="C67" s="91"/>
      <c r="D67" s="87" t="str">
        <f ca="1">(IF(G73&gt;95%,"Nothing",IF(G73&gt;0%,"Cement, Aggregate, Steel, etc",IF(G73=0%,"Work not yet Started"))))</f>
        <v>Cement, Aggregate, Steel, etc</v>
      </c>
      <c r="E67" s="87"/>
      <c r="F67" s="87"/>
      <c r="G67" s="87"/>
      <c r="H67" s="87"/>
      <c r="J67" s="22"/>
      <c r="S67"/>
    </row>
    <row r="68" spans="1:19" ht="33.75" customHeight="1" thickBot="1" x14ac:dyDescent="0.4">
      <c r="A68" s="86" t="s">
        <v>116</v>
      </c>
      <c r="B68" s="86"/>
      <c r="C68" s="86"/>
      <c r="D68" s="87" t="str">
        <f ca="1">(IF(D67="Nothing","Yes",IF(D67="Cement, Aggregate, Steel, etc","Under Construction",IF(D67="Work not yet Started","Work not yet Started"))))</f>
        <v>Under Construction</v>
      </c>
      <c r="E68" s="87"/>
      <c r="F68" s="87" t="str">
        <f ca="1">(IF(D67="Nothing","Yes",IF(D67="Cement, Aggregate, Steel, etc","Under Construction",IF(D67="Work not yet Started","Work not yet Started"))))</f>
        <v>Under Construction</v>
      </c>
      <c r="G68" s="87"/>
      <c r="H68" s="87"/>
      <c r="S68"/>
    </row>
    <row r="69" spans="1:19" ht="15.75" customHeight="1" x14ac:dyDescent="0.35">
      <c r="A69" s="120" t="s">
        <v>139</v>
      </c>
      <c r="B69" s="120"/>
      <c r="C69" s="120" t="str">
        <f>D61</f>
        <v>G + 1st to 23rd Floor</v>
      </c>
      <c r="D69" s="120"/>
      <c r="E69" s="120"/>
      <c r="F69" s="120"/>
      <c r="G69" s="120"/>
      <c r="H69" s="120"/>
      <c r="I69" s="74" t="str">
        <f ca="1">IF(D82=100%,"All work Completed. Possession granted to the Building.",IF(D81=100%,"All work Completed, Waiting for OC",I70&amp;""&amp;I71&amp;""&amp;J70&amp;""&amp;J69&amp;" "&amp;J71))</f>
        <v>Excavation, Plinth, RCC Slab, Brickwork, Internal Plaster Completed, External Plaster upto 16.1 Floor, Flooring upto 5 Floor Completed</v>
      </c>
      <c r="J69" s="41"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External Plaster upto 16.1 Floor, Flooring upto 5 Floor</v>
      </c>
      <c r="S69"/>
    </row>
    <row r="70" spans="1:19" x14ac:dyDescent="0.35">
      <c r="A70" s="71" t="s">
        <v>141</v>
      </c>
      <c r="B70" s="71">
        <f>IF(AND(ISNUMBER(SEARCH("1B",C69))),1,IF(AND(ISNUMBER(SEARCH("2B",C69))),2,IF(AND(ISNUMBER(SEARCH("3B",C69))),3,IF(AND(ISNUMBER(SEARCH("4B",C69))),4,IF(ISNUMBER(SEARCH("5B",C69)),5,0)))))</f>
        <v>0</v>
      </c>
      <c r="C70" s="71" t="s">
        <v>69</v>
      </c>
      <c r="D70" s="71">
        <v>1</v>
      </c>
      <c r="E70" s="71" t="s">
        <v>68</v>
      </c>
      <c r="F70" s="71">
        <v>0</v>
      </c>
      <c r="G70" s="40" t="s">
        <v>77</v>
      </c>
      <c r="H70" s="71">
        <f ca="1">--TRIM(RIGHT(SUBSTITUTE(LEFT(C69,_xlfn.AGGREGATE(16,6,FIND({0,1,2,3,4,5,6,7,8,9},C69,ROW(INDIRECT("1:"&amp;LEN(C69)))),1))," ",REPT(" ",LEN(C69))),LEN(C69)))</f>
        <v>23</v>
      </c>
      <c r="I70" s="191" t="str">
        <f ca="1">IF(D73=100%,"Excavation","")&amp;IF(D74=100%,", Plinth","")&amp;IF(D75=100%,", RCC Slab","")&amp;IF(D76=100%,", Brickwork","")&amp;IF(D77=100%,", Internal Plaster","")&amp;IF(D78=100%,", External Plaster","")&amp;IF(D79=100%,", Flooring","")&amp;IF(D80=100%,", Painting","")&amp;IF(D81=100%,", Building common Amenities","")</f>
        <v>Excavation, Plinth, RCC Slab, Brickwork, Internal Plaster</v>
      </c>
      <c r="J70" s="42"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c r="S70"/>
    </row>
    <row r="71" spans="1:19" ht="32.5" customHeight="1" x14ac:dyDescent="0.35">
      <c r="A71" s="119" t="s">
        <v>87</v>
      </c>
      <c r="B71" s="119"/>
      <c r="C71" s="121" t="str">
        <f ca="1">I69</f>
        <v>Excavation, Plinth, RCC Slab, Brickwork, Internal Plaster Completed, External Plaster upto 16.1 Floor, Flooring upto 5 Floor Completed</v>
      </c>
      <c r="D71" s="121"/>
      <c r="E71" s="121"/>
      <c r="F71" s="121"/>
      <c r="G71" s="121"/>
      <c r="H71" s="121"/>
      <c r="I71" s="191" t="str">
        <f ca="1">IF(I70&lt;&gt;""," Completed","")</f>
        <v xml:space="preserve"> Completed</v>
      </c>
      <c r="J71" s="42" t="str">
        <f ca="1">IF(J69&lt;&gt;"","Completed","")</f>
        <v>Completed</v>
      </c>
      <c r="S71"/>
    </row>
    <row r="72" spans="1:19" ht="15.75" customHeight="1" x14ac:dyDescent="0.35">
      <c r="A72" s="85" t="s">
        <v>47</v>
      </c>
      <c r="B72" s="85"/>
      <c r="C72" s="70" t="s">
        <v>138</v>
      </c>
      <c r="D72" s="70" t="s">
        <v>80</v>
      </c>
      <c r="E72" s="85" t="s">
        <v>82</v>
      </c>
      <c r="F72" s="85"/>
      <c r="G72" s="85" t="s">
        <v>81</v>
      </c>
      <c r="H72" s="85"/>
      <c r="I72" s="13" t="s">
        <v>140</v>
      </c>
      <c r="J72" s="24">
        <f ca="1">H70*25%</f>
        <v>5.75</v>
      </c>
      <c r="S72"/>
    </row>
    <row r="73" spans="1:19" x14ac:dyDescent="0.35">
      <c r="A73" s="85" t="s">
        <v>127</v>
      </c>
      <c r="B73" s="85"/>
      <c r="C73" s="72">
        <f ca="1">J74</f>
        <v>23</v>
      </c>
      <c r="D73" s="16">
        <f ca="1">((100/H70)*C73)/100</f>
        <v>1</v>
      </c>
      <c r="E73" s="192">
        <f ca="1">(((C74/H70*10)+(40/(D70+F70+H70)*C75)+(7.5/(H70)*C76)+(7.5/(H70)*C77)+(10/H70*C78)+(10/H70*C79)+(5/H70*C80)+(5/H70*C81)+(5/H70*C82))/100)</f>
        <v>0.74173913043478268</v>
      </c>
      <c r="F73" s="192"/>
      <c r="G73" s="192">
        <f ca="1">((((C73/H70)*20)+((C74/H70)*25)+(30/(H70+F70+D70)*C75)+(5/H70*C76)+(5/H70*C77)+(5/H70*C78)+(5/H70*C79)+(0/H70*C80)+(0/H70*C81)+(5/H70*C82))/100)</f>
        <v>0.89586956521739125</v>
      </c>
      <c r="H73" s="192"/>
      <c r="I73" s="13" t="s">
        <v>98</v>
      </c>
      <c r="J73" s="25">
        <f ca="1">H70*50%</f>
        <v>11.5</v>
      </c>
    </row>
    <row r="74" spans="1:19" x14ac:dyDescent="0.35">
      <c r="A74" s="85" t="s">
        <v>48</v>
      </c>
      <c r="B74" s="85"/>
      <c r="C74" s="64">
        <f ca="1">J82</f>
        <v>23</v>
      </c>
      <c r="D74" s="16">
        <f ca="1">((100/H70)*C74)/100</f>
        <v>1</v>
      </c>
      <c r="E74" s="192"/>
      <c r="F74" s="192"/>
      <c r="G74" s="192"/>
      <c r="H74" s="192"/>
      <c r="I74" s="13" t="s">
        <v>99</v>
      </c>
      <c r="J74" s="25">
        <f ca="1">H70</f>
        <v>23</v>
      </c>
      <c r="S74"/>
    </row>
    <row r="75" spans="1:19" ht="15.75" customHeight="1" x14ac:dyDescent="0.35">
      <c r="A75" s="85" t="s">
        <v>128</v>
      </c>
      <c r="B75" s="85"/>
      <c r="C75" s="70">
        <v>24</v>
      </c>
      <c r="D75" s="16">
        <f ca="1">((100/(D70+F70+H70))*C75)/100</f>
        <v>1</v>
      </c>
      <c r="E75" s="192"/>
      <c r="F75" s="192"/>
      <c r="G75" s="192"/>
      <c r="H75" s="192"/>
      <c r="I75" s="13" t="s">
        <v>100</v>
      </c>
      <c r="J75" s="26">
        <f ca="1">(IF(B70&gt;1,(H70/(B70+2)),H70/4))</f>
        <v>5.75</v>
      </c>
      <c r="S75"/>
    </row>
    <row r="76" spans="1:19" ht="15.75" customHeight="1" x14ac:dyDescent="0.35">
      <c r="A76" s="85" t="s">
        <v>135</v>
      </c>
      <c r="B76" s="85" t="s">
        <v>129</v>
      </c>
      <c r="C76" s="70">
        <f>C75-1</f>
        <v>23</v>
      </c>
      <c r="D76" s="16">
        <f ca="1">((100/H70)*C76)/100</f>
        <v>1</v>
      </c>
      <c r="E76" s="192"/>
      <c r="F76" s="192"/>
      <c r="G76" s="192"/>
      <c r="H76" s="192"/>
      <c r="I76" s="13" t="s">
        <v>101</v>
      </c>
      <c r="J76" s="26">
        <f ca="1">(IF(B70&gt;1,(H70/(B70+2)+J75),H70/4+J75))</f>
        <v>11.5</v>
      </c>
    </row>
    <row r="77" spans="1:19" ht="15.75" customHeight="1" x14ac:dyDescent="0.35">
      <c r="A77" s="85" t="s">
        <v>136</v>
      </c>
      <c r="B77" s="85" t="s">
        <v>129</v>
      </c>
      <c r="C77" s="64">
        <v>23</v>
      </c>
      <c r="D77" s="16">
        <f ca="1">((100/H70)*C77)/100</f>
        <v>1</v>
      </c>
      <c r="E77" s="192"/>
      <c r="F77" s="192"/>
      <c r="G77" s="192"/>
      <c r="H77" s="192"/>
      <c r="I77" s="13" t="s">
        <v>145</v>
      </c>
      <c r="J77" s="26">
        <f>(IF(B70&gt;1,(H70/(B70+2)+J76),0))</f>
        <v>0</v>
      </c>
    </row>
    <row r="78" spans="1:19" ht="15" customHeight="1" x14ac:dyDescent="0.35">
      <c r="A78" s="85" t="s">
        <v>134</v>
      </c>
      <c r="B78" s="85" t="s">
        <v>131</v>
      </c>
      <c r="C78" s="64">
        <f>C76*0.7</f>
        <v>16.099999999999998</v>
      </c>
      <c r="D78" s="16">
        <f ca="1">((100/(H70))*C78)/100</f>
        <v>0.69999999999999984</v>
      </c>
      <c r="E78" s="192"/>
      <c r="F78" s="192"/>
      <c r="G78" s="192"/>
      <c r="H78" s="192"/>
      <c r="I78" s="13" t="s">
        <v>142</v>
      </c>
      <c r="J78" s="26">
        <f>(IF(B70&gt;2,(H70/(B70+2)+J77),0))</f>
        <v>0</v>
      </c>
    </row>
    <row r="79" spans="1:19" ht="15.75" customHeight="1" x14ac:dyDescent="0.35">
      <c r="A79" s="85" t="s">
        <v>130</v>
      </c>
      <c r="B79" s="85" t="s">
        <v>130</v>
      </c>
      <c r="C79" s="70">
        <v>5</v>
      </c>
      <c r="D79" s="16">
        <f ca="1">((100/H70)*C79)/100</f>
        <v>0.21739130434782608</v>
      </c>
      <c r="E79" s="192"/>
      <c r="F79" s="192"/>
      <c r="G79" s="192"/>
      <c r="H79" s="192"/>
      <c r="I79" s="13" t="s">
        <v>143</v>
      </c>
      <c r="J79" s="27">
        <f>(IF(B70&gt;3,(H70/(B70+2)+J78),0))</f>
        <v>0</v>
      </c>
    </row>
    <row r="80" spans="1:19" ht="15.75" customHeight="1" x14ac:dyDescent="0.35">
      <c r="A80" s="85" t="s">
        <v>137</v>
      </c>
      <c r="B80" s="85"/>
      <c r="C80" s="70">
        <v>0</v>
      </c>
      <c r="D80" s="16">
        <f ca="1">((100/H70)*C80)/100</f>
        <v>0</v>
      </c>
      <c r="E80" s="192"/>
      <c r="F80" s="192"/>
      <c r="G80" s="192"/>
      <c r="H80" s="192"/>
      <c r="I80" s="13" t="s">
        <v>144</v>
      </c>
      <c r="J80" s="26">
        <f>(IF(B70&gt;4,(H70/(B70+2)+J79),0))</f>
        <v>0</v>
      </c>
    </row>
    <row r="81" spans="1:22" ht="15.75" customHeight="1" x14ac:dyDescent="0.35">
      <c r="A81" s="85" t="s">
        <v>132</v>
      </c>
      <c r="B81" s="85" t="s">
        <v>132</v>
      </c>
      <c r="C81" s="70">
        <v>0</v>
      </c>
      <c r="D81" s="16">
        <f ca="1">((100/(H70))*C81)/100</f>
        <v>0</v>
      </c>
      <c r="E81" s="192"/>
      <c r="F81" s="192"/>
      <c r="G81" s="192"/>
      <c r="H81" s="192"/>
      <c r="I81" s="13" t="s">
        <v>146</v>
      </c>
      <c r="J81" s="26">
        <f ca="1">(IF(B70=1,(H70/(B70+3)+J76),IF(B70=0,(H70/4+J76),IF(B70&gt;1,0))))</f>
        <v>17.25</v>
      </c>
    </row>
    <row r="82" spans="1:22" ht="16" thickBot="1" x14ac:dyDescent="0.4">
      <c r="A82" s="85" t="s">
        <v>133</v>
      </c>
      <c r="B82" s="85"/>
      <c r="C82" s="70">
        <v>0</v>
      </c>
      <c r="D82" s="16">
        <f ca="1">((100/(H70))*C82)/100</f>
        <v>0</v>
      </c>
      <c r="E82" s="192"/>
      <c r="F82" s="192"/>
      <c r="G82" s="192"/>
      <c r="H82" s="192"/>
      <c r="I82" s="14" t="s">
        <v>102</v>
      </c>
      <c r="J82" s="28">
        <f ca="1">(IF(B70&gt;1.5,(H70/(B70+2)+J76+MAX(0,J77-J76)+MAX(0,J78-J77)+MAX(0,J79-J78)+MAX(0,J80-J79)+MAX(0,J81-J80)),IF(B70=1,(H70/(B70+3)+J81),IF(B70=0,H70/4+J81))))</f>
        <v>23</v>
      </c>
    </row>
    <row r="83" spans="1:22" x14ac:dyDescent="0.35">
      <c r="A83" s="102" t="s">
        <v>156</v>
      </c>
      <c r="B83" s="102"/>
      <c r="C83" s="102"/>
      <c r="D83" s="102"/>
      <c r="E83" s="102"/>
      <c r="F83" s="189" t="s">
        <v>160</v>
      </c>
      <c r="G83" s="189"/>
      <c r="H83" s="189"/>
      <c r="R83" t="s">
        <v>255</v>
      </c>
      <c r="S83" t="s">
        <v>172</v>
      </c>
      <c r="T83" t="s">
        <v>180</v>
      </c>
      <c r="U83" t="s">
        <v>195</v>
      </c>
      <c r="V83" t="s">
        <v>190</v>
      </c>
    </row>
    <row r="84" spans="1:22" x14ac:dyDescent="0.35">
      <c r="A84" s="91" t="s">
        <v>158</v>
      </c>
      <c r="B84" s="91"/>
      <c r="C84" s="91"/>
      <c r="D84" s="91"/>
      <c r="E84" s="91"/>
      <c r="F84" s="103">
        <v>14000</v>
      </c>
      <c r="G84" s="103"/>
      <c r="H84" s="103"/>
      <c r="I84" s="17" t="s">
        <v>347</v>
      </c>
      <c r="R84"/>
      <c r="S84">
        <v>800000</v>
      </c>
      <c r="T84">
        <v>150000</v>
      </c>
      <c r="U84">
        <v>100000</v>
      </c>
      <c r="V84">
        <v>100000</v>
      </c>
    </row>
    <row r="85" spans="1:22" x14ac:dyDescent="0.35">
      <c r="A85" s="91" t="s">
        <v>157</v>
      </c>
      <c r="B85" s="91"/>
      <c r="C85" s="91"/>
      <c r="D85" s="91"/>
      <c r="E85" s="91"/>
      <c r="F85" s="103">
        <v>22000</v>
      </c>
      <c r="G85" s="103"/>
      <c r="H85" s="103"/>
      <c r="R85"/>
      <c r="S85">
        <v>900000</v>
      </c>
      <c r="T85">
        <v>200000</v>
      </c>
      <c r="U85">
        <v>150000</v>
      </c>
      <c r="V85">
        <v>150000</v>
      </c>
    </row>
    <row r="86" spans="1:22" hidden="1" x14ac:dyDescent="0.35">
      <c r="A86" s="91" t="s">
        <v>159</v>
      </c>
      <c r="B86" s="91"/>
      <c r="C86" s="91"/>
      <c r="D86" s="91"/>
      <c r="E86" s="91"/>
      <c r="F86" s="103"/>
      <c r="G86" s="103"/>
      <c r="H86" s="103"/>
      <c r="R86"/>
      <c r="S86">
        <v>1000000</v>
      </c>
      <c r="T86">
        <v>250000</v>
      </c>
      <c r="U86">
        <v>200000</v>
      </c>
      <c r="V86">
        <v>200000</v>
      </c>
    </row>
    <row r="87" spans="1:22" s="29" customFormat="1" hidden="1" x14ac:dyDescent="0.35">
      <c r="A87" s="91" t="s">
        <v>175</v>
      </c>
      <c r="B87" s="91"/>
      <c r="C87" s="91"/>
      <c r="D87" s="91"/>
      <c r="E87" s="91"/>
      <c r="F87" s="103"/>
      <c r="G87" s="103"/>
      <c r="H87" s="103"/>
      <c r="R87"/>
      <c r="S87">
        <v>1100000</v>
      </c>
      <c r="T87">
        <v>300000</v>
      </c>
      <c r="U87">
        <v>250000</v>
      </c>
      <c r="V87" s="19">
        <v>250000</v>
      </c>
    </row>
    <row r="88" spans="1:22" s="29" customFormat="1" hidden="1" x14ac:dyDescent="0.35">
      <c r="A88" s="91" t="s">
        <v>92</v>
      </c>
      <c r="B88" s="91"/>
      <c r="C88" s="91"/>
      <c r="D88" s="91"/>
      <c r="E88" s="91"/>
      <c r="F88" s="103"/>
      <c r="G88" s="103"/>
      <c r="H88" s="103"/>
      <c r="R88"/>
      <c r="S88">
        <v>1200000</v>
      </c>
      <c r="T88">
        <v>350000</v>
      </c>
      <c r="U88">
        <v>300000</v>
      </c>
      <c r="V88">
        <v>300000</v>
      </c>
    </row>
    <row r="89" spans="1:22" s="29" customFormat="1" hidden="1" x14ac:dyDescent="0.35">
      <c r="A89" s="91" t="s">
        <v>93</v>
      </c>
      <c r="B89" s="91"/>
      <c r="C89" s="91"/>
      <c r="D89" s="91"/>
      <c r="E89" s="91"/>
      <c r="F89" s="103"/>
      <c r="G89" s="103"/>
      <c r="H89" s="103"/>
      <c r="R89"/>
      <c r="S89">
        <v>1300000</v>
      </c>
      <c r="T89">
        <v>400000</v>
      </c>
      <c r="U89">
        <v>350000</v>
      </c>
      <c r="V89" s="19">
        <v>400000</v>
      </c>
    </row>
    <row r="90" spans="1:22" s="29" customFormat="1" hidden="1" x14ac:dyDescent="0.35">
      <c r="A90" s="91" t="s">
        <v>94</v>
      </c>
      <c r="B90" s="91"/>
      <c r="C90" s="91"/>
      <c r="D90" s="91"/>
      <c r="E90" s="91"/>
      <c r="F90" s="103"/>
      <c r="G90" s="103"/>
      <c r="H90" s="103"/>
      <c r="R90"/>
      <c r="S90">
        <v>1400000</v>
      </c>
      <c r="T90">
        <v>500000</v>
      </c>
      <c r="U90">
        <v>400000</v>
      </c>
      <c r="V90"/>
    </row>
    <row r="91" spans="1:22" s="29" customFormat="1" hidden="1" x14ac:dyDescent="0.35">
      <c r="A91" s="91" t="s">
        <v>95</v>
      </c>
      <c r="B91" s="91"/>
      <c r="C91" s="91"/>
      <c r="D91" s="91"/>
      <c r="E91" s="91"/>
      <c r="F91" s="103"/>
      <c r="G91" s="103"/>
      <c r="H91" s="103"/>
      <c r="R91"/>
      <c r="S91">
        <v>1500000</v>
      </c>
      <c r="T91">
        <v>600000</v>
      </c>
      <c r="U91">
        <v>500000</v>
      </c>
      <c r="V91" s="19"/>
    </row>
    <row r="92" spans="1:22" s="29" customFormat="1" hidden="1" x14ac:dyDescent="0.35">
      <c r="A92" s="91" t="s">
        <v>96</v>
      </c>
      <c r="B92" s="91"/>
      <c r="C92" s="91"/>
      <c r="D92" s="91"/>
      <c r="E92" s="91"/>
      <c r="F92" s="103"/>
      <c r="G92" s="103"/>
      <c r="H92" s="103"/>
      <c r="R92"/>
      <c r="S92">
        <v>1600000</v>
      </c>
      <c r="T92">
        <v>700000</v>
      </c>
      <c r="U92">
        <v>600000</v>
      </c>
      <c r="V92"/>
    </row>
    <row r="93" spans="1:22" s="29" customFormat="1" hidden="1" x14ac:dyDescent="0.35">
      <c r="A93" s="91" t="s">
        <v>97</v>
      </c>
      <c r="B93" s="91"/>
      <c r="C93" s="91"/>
      <c r="D93" s="91"/>
      <c r="E93" s="91"/>
      <c r="F93" s="103"/>
      <c r="G93" s="103"/>
      <c r="H93" s="103"/>
      <c r="R93"/>
      <c r="S93">
        <v>1700000</v>
      </c>
      <c r="T93">
        <v>800000</v>
      </c>
      <c r="U93"/>
      <c r="V93" s="19"/>
    </row>
    <row r="94" spans="1:22" x14ac:dyDescent="0.35">
      <c r="A94" s="91" t="s">
        <v>49</v>
      </c>
      <c r="B94" s="91"/>
      <c r="C94" s="91"/>
      <c r="D94" s="91"/>
      <c r="E94" s="91"/>
      <c r="F94" s="103">
        <v>800000</v>
      </c>
      <c r="G94" s="103"/>
      <c r="H94" s="103"/>
      <c r="R94"/>
      <c r="S94">
        <v>1800000</v>
      </c>
      <c r="T94">
        <v>900000</v>
      </c>
      <c r="U94"/>
    </row>
    <row r="95" spans="1:22" s="30" customFormat="1" x14ac:dyDescent="0.35">
      <c r="A95" s="105" t="s">
        <v>50</v>
      </c>
      <c r="B95" s="105"/>
      <c r="C95" s="105"/>
      <c r="D95" s="105"/>
      <c r="E95" s="105"/>
      <c r="F95" s="103">
        <f>F84*0.8</f>
        <v>11200</v>
      </c>
      <c r="G95" s="103"/>
      <c r="H95" s="103"/>
      <c r="R95" s="17"/>
      <c r="S95" s="17"/>
      <c r="T95">
        <v>1000000</v>
      </c>
      <c r="U95"/>
      <c r="V95" s="17"/>
    </row>
    <row r="96" spans="1:22" s="31" customFormat="1" ht="15.75" customHeight="1" x14ac:dyDescent="0.35">
      <c r="A96" s="97" t="s">
        <v>72</v>
      </c>
      <c r="B96" s="97"/>
      <c r="C96" s="97"/>
      <c r="D96" s="97"/>
      <c r="E96" s="97"/>
      <c r="F96" s="97"/>
      <c r="G96" s="97"/>
      <c r="H96" s="97"/>
      <c r="R96"/>
      <c r="S96" s="17"/>
      <c r="T96"/>
      <c r="U96"/>
      <c r="V96" s="17"/>
    </row>
    <row r="97" spans="1:22" s="31" customFormat="1" ht="15.75" customHeight="1" x14ac:dyDescent="0.35">
      <c r="A97" s="108" t="s">
        <v>51</v>
      </c>
      <c r="B97" s="108"/>
      <c r="C97" s="166" t="s">
        <v>75</v>
      </c>
      <c r="D97" s="166"/>
      <c r="E97" s="96" t="s">
        <v>52</v>
      </c>
      <c r="F97" s="96"/>
      <c r="G97" s="108" t="s">
        <v>53</v>
      </c>
      <c r="H97" s="108"/>
      <c r="R97"/>
      <c r="S97" s="17"/>
      <c r="T97"/>
      <c r="U97" s="17"/>
      <c r="V97" s="17"/>
    </row>
    <row r="98" spans="1:22" s="31" customFormat="1" x14ac:dyDescent="0.35">
      <c r="A98" s="107" t="s">
        <v>335</v>
      </c>
      <c r="B98" s="107"/>
      <c r="C98" s="112">
        <f>COUNT(D110:D123)</f>
        <v>14</v>
      </c>
      <c r="D98" s="113"/>
      <c r="E98" s="112">
        <f>SUM(F110:F123)</f>
        <v>2599</v>
      </c>
      <c r="F98" s="113"/>
      <c r="G98" s="112">
        <f>SUM(H110:H123)</f>
        <v>3898.5</v>
      </c>
      <c r="H98" s="113"/>
      <c r="R98"/>
      <c r="S98" s="17"/>
      <c r="T98"/>
      <c r="U98" s="17"/>
      <c r="V98" s="17"/>
    </row>
    <row r="99" spans="1:22" s="31" customFormat="1" x14ac:dyDescent="0.35">
      <c r="A99" s="97" t="s">
        <v>149</v>
      </c>
      <c r="B99" s="97"/>
      <c r="C99" s="95">
        <f>SUM(C98)</f>
        <v>14</v>
      </c>
      <c r="D99" s="96"/>
      <c r="E99" s="95">
        <f>SUM(E98)</f>
        <v>2599</v>
      </c>
      <c r="F99" s="96"/>
      <c r="G99" s="95">
        <f>SUM(G98)</f>
        <v>3898.5</v>
      </c>
      <c r="H99" s="96"/>
      <c r="R99"/>
      <c r="S99" s="17"/>
      <c r="T99"/>
      <c r="U99" s="17"/>
      <c r="V99" s="17"/>
    </row>
    <row r="100" spans="1:22" s="31" customFormat="1" x14ac:dyDescent="0.35">
      <c r="A100" s="97" t="s">
        <v>67</v>
      </c>
      <c r="B100" s="97"/>
      <c r="C100" s="97"/>
      <c r="D100" s="97"/>
      <c r="E100" s="97"/>
      <c r="F100" s="97"/>
      <c r="G100" s="97"/>
      <c r="H100" s="97"/>
      <c r="T100"/>
    </row>
    <row r="101" spans="1:22" s="31" customFormat="1" ht="15.75" customHeight="1" x14ac:dyDescent="0.35">
      <c r="A101" s="108" t="s">
        <v>51</v>
      </c>
      <c r="B101" s="108"/>
      <c r="C101" s="166" t="s">
        <v>75</v>
      </c>
      <c r="D101" s="166"/>
      <c r="E101" s="96" t="s">
        <v>52</v>
      </c>
      <c r="F101" s="96"/>
      <c r="G101" s="108" t="s">
        <v>53</v>
      </c>
      <c r="H101" s="108"/>
      <c r="T101"/>
    </row>
    <row r="102" spans="1:22" s="31" customFormat="1" x14ac:dyDescent="0.35">
      <c r="A102" s="107" t="s">
        <v>336</v>
      </c>
      <c r="B102" s="107"/>
      <c r="C102" s="112">
        <f>COUNT(D128:D131)+COUNT(D134:D135)+COUNT(D137:D144)*20+COUNT(D146:D147)+COUNT(D150:D153)+COUNT(D155)+COUNT(D159:D162)</f>
        <v>177</v>
      </c>
      <c r="D102" s="112"/>
      <c r="E102" s="112">
        <f>SUM(F128:F131)+SUM(F134:F135)+SUM(F137:F144)*20+SUM(F146:F147)+SUM(F150:F153)+SUM(F155)+SUM(F159:F162)</f>
        <v>89999.741519999996</v>
      </c>
      <c r="F102" s="112"/>
      <c r="G102" s="112">
        <f>SUM(H128:H131)+SUM(H134:H135)+SUM(H137:H144)*20+SUM(H146:H147)+SUM(H150:H153)+SUM(H155)+SUM(H159:H162)</f>
        <v>134999.61227999997</v>
      </c>
      <c r="H102" s="112"/>
      <c r="T102"/>
    </row>
    <row r="103" spans="1:22" s="31" customFormat="1" ht="16" thickBot="1" x14ac:dyDescent="0.4">
      <c r="A103" s="92" t="s">
        <v>149</v>
      </c>
      <c r="B103" s="92"/>
      <c r="C103" s="93">
        <f>SUM(C102)</f>
        <v>177</v>
      </c>
      <c r="D103" s="94"/>
      <c r="E103" s="93">
        <f>SUM(E102)</f>
        <v>89999.741519999996</v>
      </c>
      <c r="F103" s="94"/>
      <c r="G103" s="93">
        <f>SUM(G102)</f>
        <v>134999.61227999997</v>
      </c>
      <c r="H103" s="94"/>
      <c r="T103"/>
    </row>
    <row r="104" spans="1:22" s="31" customFormat="1" x14ac:dyDescent="0.35">
      <c r="A104" s="154" t="s">
        <v>166</v>
      </c>
      <c r="B104" s="155"/>
      <c r="C104" s="156">
        <f>C99+C103</f>
        <v>191</v>
      </c>
      <c r="D104" s="156"/>
      <c r="E104" s="157">
        <f>E99+E103</f>
        <v>92598.741519999996</v>
      </c>
      <c r="F104" s="157"/>
      <c r="G104" s="114">
        <f>G99+G103</f>
        <v>138898.11227999997</v>
      </c>
      <c r="H104" s="115"/>
      <c r="T104"/>
    </row>
    <row r="105" spans="1:22" s="30" customFormat="1" x14ac:dyDescent="0.35">
      <c r="A105" s="148" t="s">
        <v>54</v>
      </c>
      <c r="B105" s="148"/>
      <c r="C105" s="148"/>
      <c r="D105" s="148"/>
      <c r="E105" s="148"/>
      <c r="F105" s="148"/>
      <c r="G105" s="148"/>
      <c r="H105" s="148"/>
      <c r="T105" s="31"/>
    </row>
    <row r="106" spans="1:22" x14ac:dyDescent="0.35">
      <c r="A106" s="185" t="s">
        <v>174</v>
      </c>
      <c r="B106" s="185"/>
      <c r="C106" s="185"/>
      <c r="D106" s="185"/>
      <c r="E106" s="185"/>
      <c r="F106" s="185"/>
      <c r="G106" s="185"/>
      <c r="H106" s="185"/>
      <c r="T106" s="31"/>
    </row>
    <row r="107" spans="1:22" ht="47.25" customHeight="1" x14ac:dyDescent="0.35">
      <c r="A107" s="111" t="s">
        <v>117</v>
      </c>
      <c r="B107" s="111" t="s">
        <v>177</v>
      </c>
      <c r="C107" s="111" t="s">
        <v>55</v>
      </c>
      <c r="D107" s="160" t="s">
        <v>234</v>
      </c>
      <c r="E107" s="104" t="s">
        <v>155</v>
      </c>
      <c r="F107" s="111" t="s">
        <v>56</v>
      </c>
      <c r="G107" s="104" t="s">
        <v>57</v>
      </c>
      <c r="H107" s="68" t="s">
        <v>148</v>
      </c>
      <c r="T107" s="31"/>
    </row>
    <row r="108" spans="1:22" s="33" customFormat="1" x14ac:dyDescent="0.35">
      <c r="A108" s="111"/>
      <c r="B108" s="111"/>
      <c r="C108" s="111"/>
      <c r="D108" s="160"/>
      <c r="E108" s="104"/>
      <c r="F108" s="111"/>
      <c r="G108" s="104"/>
      <c r="H108" s="67">
        <v>0.5</v>
      </c>
      <c r="T108" s="31"/>
    </row>
    <row r="109" spans="1:22" s="33" customFormat="1" x14ac:dyDescent="0.35">
      <c r="A109" s="106" t="s">
        <v>324</v>
      </c>
      <c r="B109" s="106"/>
      <c r="C109" s="106"/>
      <c r="D109" s="106"/>
      <c r="E109" s="106"/>
      <c r="F109" s="106"/>
      <c r="G109" s="106"/>
      <c r="H109" s="106"/>
      <c r="J109" s="32"/>
      <c r="K109" s="63">
        <f>10.764</f>
        <v>10.763999999999999</v>
      </c>
      <c r="T109" s="31"/>
    </row>
    <row r="110" spans="1:22" s="33" customFormat="1" ht="15.75" customHeight="1" x14ac:dyDescent="0.35">
      <c r="A110" s="78">
        <v>1</v>
      </c>
      <c r="B110" s="78"/>
      <c r="C110" s="69" t="s">
        <v>325</v>
      </c>
      <c r="D110" s="69">
        <f>405</f>
        <v>405</v>
      </c>
      <c r="E110" s="69">
        <v>0</v>
      </c>
      <c r="F110" s="69">
        <f>D110+(IF(E110&lt;201,E110,IF(E110&lt;301,E110/2,E110/3)))</f>
        <v>405</v>
      </c>
      <c r="G110" s="53">
        <v>0</v>
      </c>
      <c r="H110" s="69">
        <f>(F110+(IF(G110&lt;101,G110,IF(G110&lt;201,G110/2,IF(G110&lt;=301,G110/3,G110/4)))))*(($H$108)+1)</f>
        <v>607.5</v>
      </c>
      <c r="I110" s="32"/>
      <c r="L110" s="75"/>
      <c r="M110" s="75"/>
      <c r="N110" s="32"/>
      <c r="T110" s="31"/>
    </row>
    <row r="111" spans="1:22" s="33" customFormat="1" ht="15.75" customHeight="1" x14ac:dyDescent="0.35">
      <c r="A111" s="78">
        <f>A110+1</f>
        <v>2</v>
      </c>
      <c r="B111" s="78"/>
      <c r="C111" s="69" t="s">
        <v>325</v>
      </c>
      <c r="D111" s="69">
        <f>199</f>
        <v>199</v>
      </c>
      <c r="E111" s="69">
        <v>0</v>
      </c>
      <c r="F111" s="69">
        <f t="shared" ref="F111:F123" si="0">D111+(IF(E111&lt;201,E111,IF(E111&lt;301,E111/2,E111/3)))</f>
        <v>199</v>
      </c>
      <c r="G111" s="69">
        <v>0</v>
      </c>
      <c r="H111" s="69">
        <f t="shared" ref="H111:H123" si="1">(F111+(IF(G111&lt;101,G111,IF(G111&lt;201,G111/2,IF(G111&lt;=301,G111/3,G111/4)))))*(($H$108)+1)</f>
        <v>298.5</v>
      </c>
      <c r="I111" s="32"/>
      <c r="L111" s="75"/>
      <c r="M111" s="75"/>
      <c r="N111" s="32"/>
      <c r="T111" s="30"/>
    </row>
    <row r="112" spans="1:22" s="33" customFormat="1" ht="15.75" customHeight="1" x14ac:dyDescent="0.35">
      <c r="A112" s="78">
        <f>A111+1</f>
        <v>3</v>
      </c>
      <c r="B112" s="78"/>
      <c r="C112" s="69" t="s">
        <v>325</v>
      </c>
      <c r="D112" s="69">
        <f>176</f>
        <v>176</v>
      </c>
      <c r="E112" s="69">
        <v>0</v>
      </c>
      <c r="F112" s="69">
        <f t="shared" si="0"/>
        <v>176</v>
      </c>
      <c r="G112" s="69">
        <v>0</v>
      </c>
      <c r="H112" s="69">
        <f t="shared" si="1"/>
        <v>264</v>
      </c>
      <c r="I112" s="32">
        <f>(5.05*2.75+1.86*1.2)*(10.764)</f>
        <v>173.51029799999998</v>
      </c>
      <c r="L112" s="75"/>
      <c r="M112" s="75"/>
      <c r="N112" s="32"/>
      <c r="T112" s="17"/>
    </row>
    <row r="113" spans="1:20" s="33" customFormat="1" ht="15.75" customHeight="1" x14ac:dyDescent="0.35">
      <c r="A113" s="78">
        <f>A112+1</f>
        <v>4</v>
      </c>
      <c r="B113" s="78"/>
      <c r="C113" s="69" t="s">
        <v>325</v>
      </c>
      <c r="D113" s="69">
        <f>145</f>
        <v>145</v>
      </c>
      <c r="E113" s="69">
        <v>0</v>
      </c>
      <c r="F113" s="69">
        <f t="shared" si="0"/>
        <v>145</v>
      </c>
      <c r="G113" s="69">
        <v>0</v>
      </c>
      <c r="H113" s="69">
        <f t="shared" si="1"/>
        <v>217.5</v>
      </c>
      <c r="I113" s="32"/>
      <c r="L113" s="75"/>
      <c r="M113" s="75"/>
      <c r="N113" s="32"/>
      <c r="T113" s="17"/>
    </row>
    <row r="114" spans="1:20" s="62" customFormat="1" ht="15.75" customHeight="1" x14ac:dyDescent="0.35">
      <c r="A114" s="78">
        <f t="shared" ref="A114:A121" si="2">A113+1</f>
        <v>5</v>
      </c>
      <c r="B114" s="78"/>
      <c r="C114" s="69" t="s">
        <v>325</v>
      </c>
      <c r="D114" s="69">
        <f>159</f>
        <v>159</v>
      </c>
      <c r="E114" s="69">
        <v>0</v>
      </c>
      <c r="F114" s="69">
        <f t="shared" si="0"/>
        <v>159</v>
      </c>
      <c r="G114" s="69">
        <v>0</v>
      </c>
      <c r="H114" s="69">
        <f t="shared" si="1"/>
        <v>238.5</v>
      </c>
      <c r="I114" s="32"/>
      <c r="N114" s="32"/>
      <c r="T114" s="17"/>
    </row>
    <row r="115" spans="1:20" s="62" customFormat="1" ht="15.75" customHeight="1" x14ac:dyDescent="0.35">
      <c r="A115" s="78">
        <f t="shared" si="2"/>
        <v>6</v>
      </c>
      <c r="B115" s="78"/>
      <c r="C115" s="69" t="s">
        <v>325</v>
      </c>
      <c r="D115" s="69">
        <f>115</f>
        <v>115</v>
      </c>
      <c r="E115" s="69">
        <v>0</v>
      </c>
      <c r="F115" s="69">
        <f t="shared" si="0"/>
        <v>115</v>
      </c>
      <c r="G115" s="69">
        <v>0</v>
      </c>
      <c r="H115" s="69">
        <f t="shared" si="1"/>
        <v>172.5</v>
      </c>
      <c r="I115" s="32"/>
      <c r="N115" s="32"/>
      <c r="T115" s="17"/>
    </row>
    <row r="116" spans="1:20" s="62" customFormat="1" ht="15.75" customHeight="1" x14ac:dyDescent="0.35">
      <c r="A116" s="78">
        <f t="shared" si="2"/>
        <v>7</v>
      </c>
      <c r="B116" s="78"/>
      <c r="C116" s="69" t="s">
        <v>325</v>
      </c>
      <c r="D116" s="69">
        <f>115</f>
        <v>115</v>
      </c>
      <c r="E116" s="69">
        <v>0</v>
      </c>
      <c r="F116" s="69">
        <f t="shared" si="0"/>
        <v>115</v>
      </c>
      <c r="G116" s="69">
        <v>0</v>
      </c>
      <c r="H116" s="69">
        <f t="shared" si="1"/>
        <v>172.5</v>
      </c>
      <c r="I116" s="32"/>
      <c r="N116" s="32"/>
      <c r="T116" s="17"/>
    </row>
    <row r="117" spans="1:20" s="62" customFormat="1" ht="15.75" customHeight="1" x14ac:dyDescent="0.35">
      <c r="A117" s="78">
        <f t="shared" si="2"/>
        <v>8</v>
      </c>
      <c r="B117" s="78"/>
      <c r="C117" s="69" t="s">
        <v>325</v>
      </c>
      <c r="D117" s="69">
        <f>159</f>
        <v>159</v>
      </c>
      <c r="E117" s="69">
        <v>0</v>
      </c>
      <c r="F117" s="69">
        <f t="shared" si="0"/>
        <v>159</v>
      </c>
      <c r="G117" s="69">
        <v>0</v>
      </c>
      <c r="H117" s="69">
        <f t="shared" si="1"/>
        <v>238.5</v>
      </c>
      <c r="I117" s="32">
        <f>(2.7*5.5-0.1*1.9)*(10.764)</f>
        <v>157.80024</v>
      </c>
      <c r="N117" s="32"/>
      <c r="T117" s="17"/>
    </row>
    <row r="118" spans="1:20" s="62" customFormat="1" ht="15.75" customHeight="1" x14ac:dyDescent="0.35">
      <c r="A118" s="78">
        <f t="shared" si="2"/>
        <v>9</v>
      </c>
      <c r="B118" s="78"/>
      <c r="C118" s="69" t="s">
        <v>325</v>
      </c>
      <c r="D118" s="69">
        <f>145</f>
        <v>145</v>
      </c>
      <c r="E118" s="69">
        <v>0</v>
      </c>
      <c r="F118" s="69">
        <f t="shared" si="0"/>
        <v>145</v>
      </c>
      <c r="G118" s="69">
        <v>0</v>
      </c>
      <c r="H118" s="69">
        <f t="shared" si="1"/>
        <v>217.5</v>
      </c>
      <c r="I118" s="32"/>
      <c r="N118" s="32"/>
      <c r="T118" s="17"/>
    </row>
    <row r="119" spans="1:20" s="62" customFormat="1" ht="15.75" customHeight="1" x14ac:dyDescent="0.35">
      <c r="A119" s="78">
        <f t="shared" si="2"/>
        <v>10</v>
      </c>
      <c r="B119" s="78"/>
      <c r="C119" s="69" t="s">
        <v>325</v>
      </c>
      <c r="D119" s="69">
        <f>176</f>
        <v>176</v>
      </c>
      <c r="E119" s="69">
        <v>0</v>
      </c>
      <c r="F119" s="69">
        <f t="shared" si="0"/>
        <v>176</v>
      </c>
      <c r="G119" s="69">
        <v>0</v>
      </c>
      <c r="H119" s="69">
        <f t="shared" si="1"/>
        <v>264</v>
      </c>
      <c r="I119" s="32"/>
      <c r="N119" s="32"/>
      <c r="T119" s="17"/>
    </row>
    <row r="120" spans="1:20" s="62" customFormat="1" ht="15.75" customHeight="1" x14ac:dyDescent="0.35">
      <c r="A120" s="78">
        <f t="shared" si="2"/>
        <v>11</v>
      </c>
      <c r="B120" s="78"/>
      <c r="C120" s="69" t="s">
        <v>325</v>
      </c>
      <c r="D120" s="69">
        <f>199</f>
        <v>199</v>
      </c>
      <c r="E120" s="69">
        <v>0</v>
      </c>
      <c r="F120" s="69">
        <f t="shared" si="0"/>
        <v>199</v>
      </c>
      <c r="G120" s="69">
        <v>0</v>
      </c>
      <c r="H120" s="69">
        <f t="shared" si="1"/>
        <v>298.5</v>
      </c>
      <c r="I120" s="32"/>
      <c r="N120" s="32"/>
      <c r="T120" s="17"/>
    </row>
    <row r="121" spans="1:20" s="62" customFormat="1" ht="15.75" customHeight="1" x14ac:dyDescent="0.35">
      <c r="A121" s="78">
        <f t="shared" si="2"/>
        <v>12</v>
      </c>
      <c r="B121" s="78"/>
      <c r="C121" s="69" t="s">
        <v>325</v>
      </c>
      <c r="D121" s="69">
        <f>230</f>
        <v>230</v>
      </c>
      <c r="E121" s="69">
        <v>0</v>
      </c>
      <c r="F121" s="69">
        <f t="shared" si="0"/>
        <v>230</v>
      </c>
      <c r="G121" s="69">
        <v>0</v>
      </c>
      <c r="H121" s="69">
        <f t="shared" si="1"/>
        <v>345</v>
      </c>
      <c r="I121" s="32"/>
      <c r="N121" s="32"/>
      <c r="T121" s="17"/>
    </row>
    <row r="122" spans="1:20" s="62" customFormat="1" ht="15.75" customHeight="1" x14ac:dyDescent="0.35">
      <c r="A122" s="76">
        <f t="shared" ref="A122:A123" si="3">A121+1</f>
        <v>13</v>
      </c>
      <c r="B122" s="77"/>
      <c r="C122" s="61" t="s">
        <v>325</v>
      </c>
      <c r="D122" s="61">
        <f>169</f>
        <v>169</v>
      </c>
      <c r="E122" s="61">
        <v>0</v>
      </c>
      <c r="F122" s="61">
        <f t="shared" si="0"/>
        <v>169</v>
      </c>
      <c r="G122" s="61">
        <v>0</v>
      </c>
      <c r="H122" s="61">
        <f t="shared" si="1"/>
        <v>253.5</v>
      </c>
      <c r="I122" s="32"/>
      <c r="N122" s="32"/>
      <c r="T122" s="17"/>
    </row>
    <row r="123" spans="1:20" s="62" customFormat="1" ht="15.75" customHeight="1" x14ac:dyDescent="0.35">
      <c r="A123" s="76">
        <f t="shared" si="3"/>
        <v>14</v>
      </c>
      <c r="B123" s="77"/>
      <c r="C123" s="61" t="s">
        <v>325</v>
      </c>
      <c r="D123" s="61">
        <f>207</f>
        <v>207</v>
      </c>
      <c r="E123" s="61">
        <v>0</v>
      </c>
      <c r="F123" s="61">
        <f t="shared" si="0"/>
        <v>207</v>
      </c>
      <c r="G123" s="61">
        <v>0</v>
      </c>
      <c r="H123" s="61">
        <f t="shared" si="1"/>
        <v>310.5</v>
      </c>
      <c r="I123" s="32"/>
      <c r="N123" s="32"/>
      <c r="T123" s="17"/>
    </row>
    <row r="124" spans="1:20" s="33" customFormat="1" x14ac:dyDescent="0.35">
      <c r="A124" s="76"/>
      <c r="B124" s="172"/>
      <c r="C124" s="172"/>
      <c r="D124" s="172"/>
      <c r="E124" s="172"/>
      <c r="F124" s="172"/>
      <c r="G124" s="172"/>
      <c r="H124" s="77"/>
      <c r="I124" s="32"/>
      <c r="N124" s="32"/>
    </row>
    <row r="125" spans="1:20" ht="47.25" customHeight="1" x14ac:dyDescent="0.35">
      <c r="A125" s="150" t="s">
        <v>118</v>
      </c>
      <c r="B125" s="152" t="s">
        <v>178</v>
      </c>
      <c r="C125" s="152" t="s">
        <v>55</v>
      </c>
      <c r="D125" s="164" t="s">
        <v>234</v>
      </c>
      <c r="E125" s="152" t="s">
        <v>233</v>
      </c>
      <c r="F125" s="152" t="s">
        <v>56</v>
      </c>
      <c r="G125" s="158" t="s">
        <v>57</v>
      </c>
      <c r="H125" s="58" t="s">
        <v>148</v>
      </c>
      <c r="I125" s="32"/>
      <c r="T125" s="33"/>
    </row>
    <row r="126" spans="1:20" s="33" customFormat="1" x14ac:dyDescent="0.35">
      <c r="A126" s="151"/>
      <c r="B126" s="153"/>
      <c r="C126" s="153"/>
      <c r="D126" s="165"/>
      <c r="E126" s="153"/>
      <c r="F126" s="153"/>
      <c r="G126" s="159"/>
      <c r="H126" s="65">
        <v>0.5</v>
      </c>
      <c r="I126" s="32"/>
    </row>
    <row r="127" spans="1:20" s="62" customFormat="1" x14ac:dyDescent="0.35">
      <c r="A127" s="106" t="s">
        <v>326</v>
      </c>
      <c r="B127" s="106"/>
      <c r="C127" s="106"/>
      <c r="D127" s="106"/>
      <c r="E127" s="106"/>
      <c r="F127" s="106"/>
      <c r="G127" s="106"/>
      <c r="H127" s="106"/>
      <c r="I127" s="32"/>
      <c r="L127" s="75"/>
      <c r="M127" s="75"/>
    </row>
    <row r="128" spans="1:20" s="62" customFormat="1" x14ac:dyDescent="0.35">
      <c r="A128" s="76">
        <v>1</v>
      </c>
      <c r="B128" s="77"/>
      <c r="C128" s="59" t="s">
        <v>327</v>
      </c>
      <c r="D128" s="63">
        <f>(52.18)*(10.764)</f>
        <v>561.66552000000001</v>
      </c>
      <c r="E128" s="63">
        <f>(4.95)*(10.764)</f>
        <v>53.281799999999997</v>
      </c>
      <c r="F128" s="60">
        <f>D128+E128</f>
        <v>614.94731999999999</v>
      </c>
      <c r="G128" s="61">
        <v>0</v>
      </c>
      <c r="H128" s="61">
        <f>F128*(($H$126)+1)+(IF(G128&lt;101,G128,IF(G128&lt;201,G128/2,IF(G128&lt;=301,G128/3,G128/4))))</f>
        <v>922.42097999999999</v>
      </c>
      <c r="I128" s="32">
        <f>(2.75*4.45+2.05*2.2+1.95*3+2.7*3+2.75*4+1.85*1.2+1.85*1.2+1*2.9)</f>
        <v>49.037500000000001</v>
      </c>
      <c r="J128" s="32">
        <f>0.9*(2.75+2.75)</f>
        <v>4.95</v>
      </c>
      <c r="N128" s="32"/>
    </row>
    <row r="129" spans="1:14" s="62" customFormat="1" x14ac:dyDescent="0.35">
      <c r="A129" s="76">
        <v>2</v>
      </c>
      <c r="B129" s="77"/>
      <c r="C129" s="59" t="s">
        <v>327</v>
      </c>
      <c r="D129" s="63">
        <f>(57.11)*(10.764)</f>
        <v>614.73203999999998</v>
      </c>
      <c r="E129" s="63">
        <f>(4.35)*(10.764)</f>
        <v>46.823399999999992</v>
      </c>
      <c r="F129" s="60">
        <f>D129+E129</f>
        <v>661.55543999999998</v>
      </c>
      <c r="G129" s="61">
        <v>0</v>
      </c>
      <c r="H129" s="61">
        <f>F129*(($H$126)+1)+(IF(G129&lt;101,G129,IF(G129&lt;201,G129/2,IF(G129&lt;=301,G129/3,G129/4))))</f>
        <v>992.33315999999991</v>
      </c>
      <c r="I129" s="32"/>
      <c r="N129" s="32"/>
    </row>
    <row r="130" spans="1:14" s="62" customFormat="1" x14ac:dyDescent="0.35">
      <c r="A130" s="76">
        <v>3</v>
      </c>
      <c r="B130" s="77"/>
      <c r="C130" s="59" t="s">
        <v>328</v>
      </c>
      <c r="D130" s="63">
        <f>(35.16)*(10.764)</f>
        <v>378.46223999999995</v>
      </c>
      <c r="E130" s="63">
        <f>(2.2)*(10.764)</f>
        <v>23.680800000000001</v>
      </c>
      <c r="F130" s="60">
        <f>D130+E130</f>
        <v>402.14303999999993</v>
      </c>
      <c r="G130" s="61">
        <v>0</v>
      </c>
      <c r="H130" s="61">
        <f>F130*(($H$126)+1)+(IF(G130&lt;101,G130,IF(G130&lt;201,G130/2,IF(G130&lt;=301,G130/3,G130/4))))</f>
        <v>603.21455999999989</v>
      </c>
      <c r="I130" s="32"/>
      <c r="N130" s="32"/>
    </row>
    <row r="131" spans="1:14" s="62" customFormat="1" x14ac:dyDescent="0.35">
      <c r="A131" s="76">
        <v>4</v>
      </c>
      <c r="B131" s="77"/>
      <c r="C131" s="59" t="s">
        <v>328</v>
      </c>
      <c r="D131" s="63">
        <f>(31.46)*(10.764)</f>
        <v>338.63544000000002</v>
      </c>
      <c r="E131" s="63">
        <f>0*(10.764)</f>
        <v>0</v>
      </c>
      <c r="F131" s="60">
        <f>D131+E131</f>
        <v>338.63544000000002</v>
      </c>
      <c r="G131" s="61">
        <v>0</v>
      </c>
      <c r="H131" s="61">
        <f>F131*(($H$126)+1)+(IF(G131&lt;101,G131,IF(G131&lt;201,G131/2,IF(G131&lt;=301,G131/3,G131/4))))</f>
        <v>507.95316000000003</v>
      </c>
      <c r="I131" s="32">
        <f>(2.75*4.25+2.1*2.7+2.85*2.7+1.1*2.05+1.7*0.8+1.2*1.15)</f>
        <v>30.047499999999999</v>
      </c>
      <c r="J131" s="62">
        <f>66810000/H131</f>
        <v>131527.87552301082</v>
      </c>
      <c r="N131" s="32"/>
    </row>
    <row r="132" spans="1:14" s="62" customFormat="1" ht="15.75" customHeight="1" x14ac:dyDescent="0.35">
      <c r="A132" s="76">
        <v>5</v>
      </c>
      <c r="B132" s="77"/>
      <c r="C132" s="61" t="s">
        <v>329</v>
      </c>
      <c r="D132" s="79" t="s">
        <v>330</v>
      </c>
      <c r="E132" s="80"/>
      <c r="F132" s="80"/>
      <c r="G132" s="80"/>
      <c r="H132" s="81"/>
      <c r="I132" s="32"/>
      <c r="N132" s="32"/>
    </row>
    <row r="133" spans="1:14" s="62" customFormat="1" x14ac:dyDescent="0.35">
      <c r="A133" s="76">
        <v>6</v>
      </c>
      <c r="B133" s="77"/>
      <c r="C133" s="61" t="s">
        <v>329</v>
      </c>
      <c r="D133" s="82"/>
      <c r="E133" s="83"/>
      <c r="F133" s="83"/>
      <c r="G133" s="83"/>
      <c r="H133" s="84"/>
      <c r="I133" s="32"/>
      <c r="N133" s="32"/>
    </row>
    <row r="134" spans="1:14" s="62" customFormat="1" x14ac:dyDescent="0.35">
      <c r="A134" s="76">
        <v>7</v>
      </c>
      <c r="B134" s="77"/>
      <c r="C134" s="59" t="s">
        <v>327</v>
      </c>
      <c r="D134" s="63">
        <f>(57.11)*(10.764)</f>
        <v>614.73203999999998</v>
      </c>
      <c r="E134" s="63">
        <f>(4.35)*(10.764)</f>
        <v>46.823399999999992</v>
      </c>
      <c r="F134" s="60">
        <f t="shared" ref="F134" si="4">D134+E134</f>
        <v>661.55543999999998</v>
      </c>
      <c r="G134" s="61">
        <v>0</v>
      </c>
      <c r="H134" s="61">
        <f t="shared" ref="H134:H135" si="5">F134*(($H$126)+1)+(IF(G134&lt;101,G134,IF(G134&lt;201,G134/2,IF(G134&lt;=301,G134/3,G134/4))))</f>
        <v>992.33315999999991</v>
      </c>
      <c r="I134" s="32"/>
      <c r="N134" s="32"/>
    </row>
    <row r="135" spans="1:14" s="62" customFormat="1" x14ac:dyDescent="0.35">
      <c r="A135" s="76">
        <v>8</v>
      </c>
      <c r="B135" s="77"/>
      <c r="C135" s="59" t="s">
        <v>327</v>
      </c>
      <c r="D135" s="63">
        <f>(52.18)*(10.764)</f>
        <v>561.66552000000001</v>
      </c>
      <c r="E135" s="63">
        <f>(4.95)*(10.764)</f>
        <v>53.281799999999997</v>
      </c>
      <c r="F135" s="60">
        <f>D135+E135</f>
        <v>614.94731999999999</v>
      </c>
      <c r="G135" s="61">
        <v>0</v>
      </c>
      <c r="H135" s="61">
        <f t="shared" si="5"/>
        <v>922.42097999999999</v>
      </c>
      <c r="I135" s="32"/>
      <c r="N135" s="32"/>
    </row>
    <row r="136" spans="1:14" s="62" customFormat="1" ht="15.75" customHeight="1" x14ac:dyDescent="0.35">
      <c r="A136" s="167" t="s">
        <v>331</v>
      </c>
      <c r="B136" s="168"/>
      <c r="C136" s="168"/>
      <c r="D136" s="168"/>
      <c r="E136" s="168"/>
      <c r="F136" s="168"/>
      <c r="G136" s="168"/>
      <c r="H136" s="169"/>
      <c r="I136" s="32"/>
    </row>
    <row r="137" spans="1:14" s="62" customFormat="1" ht="15.75" customHeight="1" x14ac:dyDescent="0.35">
      <c r="A137" s="76">
        <v>1</v>
      </c>
      <c r="B137" s="77"/>
      <c r="C137" s="59" t="s">
        <v>327</v>
      </c>
      <c r="D137" s="63">
        <f>(52.18)*(10.764)</f>
        <v>561.66552000000001</v>
      </c>
      <c r="E137" s="63">
        <f>(4.95)*(10.764)</f>
        <v>53.281799999999997</v>
      </c>
      <c r="F137" s="60">
        <f>D137+E137</f>
        <v>614.94731999999999</v>
      </c>
      <c r="G137" s="61">
        <v>0</v>
      </c>
      <c r="H137" s="61">
        <f>F137*(($H$126)+1)+(IF(G137&lt;101,G137,IF(G137&lt;201,G137/2,IF(G137&lt;=301,G137/3,G137/4))))</f>
        <v>922.42097999999999</v>
      </c>
      <c r="I137" s="32"/>
    </row>
    <row r="138" spans="1:14" s="62" customFormat="1" ht="15.75" customHeight="1" x14ac:dyDescent="0.35">
      <c r="A138" s="76">
        <v>2</v>
      </c>
      <c r="B138" s="77"/>
      <c r="C138" s="59" t="s">
        <v>327</v>
      </c>
      <c r="D138" s="63">
        <f>(57.11)*(10.764)</f>
        <v>614.73203999999998</v>
      </c>
      <c r="E138" s="63">
        <f>(4.35)*(10.764)</f>
        <v>46.823399999999992</v>
      </c>
      <c r="F138" s="60">
        <f>D138+E138</f>
        <v>661.55543999999998</v>
      </c>
      <c r="G138" s="61">
        <v>0</v>
      </c>
      <c r="H138" s="61">
        <f>F138*(($H$126)+1)+(IF(G138&lt;101,G138,IF(G138&lt;201,G138/2,IF(G138&lt;=301,G138/3,G138/4))))</f>
        <v>992.33315999999991</v>
      </c>
      <c r="I138" s="32"/>
    </row>
    <row r="139" spans="1:14" s="62" customFormat="1" ht="15.75" customHeight="1" x14ac:dyDescent="0.35">
      <c r="A139" s="76">
        <v>3</v>
      </c>
      <c r="B139" s="77"/>
      <c r="C139" s="59" t="s">
        <v>328</v>
      </c>
      <c r="D139" s="63">
        <f>(35.16)*(10.764)</f>
        <v>378.46223999999995</v>
      </c>
      <c r="E139" s="63">
        <f>(2.2)*(10.764)</f>
        <v>23.680800000000001</v>
      </c>
      <c r="F139" s="60">
        <f>D139+E139</f>
        <v>402.14303999999993</v>
      </c>
      <c r="G139" s="61">
        <v>0</v>
      </c>
      <c r="H139" s="61">
        <f>F139*(($H$126)+1)+(IF(G139&lt;101,G139,IF(G139&lt;201,G139/2,IF(G139&lt;=301,G139/3,G139/4))))</f>
        <v>603.21455999999989</v>
      </c>
      <c r="I139" s="32"/>
    </row>
    <row r="140" spans="1:14" s="62" customFormat="1" ht="15.75" customHeight="1" x14ac:dyDescent="0.35">
      <c r="A140" s="76">
        <v>4</v>
      </c>
      <c r="B140" s="77"/>
      <c r="C140" s="59" t="s">
        <v>328</v>
      </c>
      <c r="D140" s="63">
        <f>(31.46)*(10.764)</f>
        <v>338.63544000000002</v>
      </c>
      <c r="E140" s="63">
        <f>0*(10.764)</f>
        <v>0</v>
      </c>
      <c r="F140" s="60">
        <f>D140+E140</f>
        <v>338.63544000000002</v>
      </c>
      <c r="G140" s="61">
        <v>0</v>
      </c>
      <c r="H140" s="61">
        <f>F140*(($H$126)+1)+(IF(G140&lt;101,G140,IF(G140&lt;201,G140/2,IF(G140&lt;=301,G140/3,G140/4))))</f>
        <v>507.95316000000003</v>
      </c>
      <c r="I140" s="32"/>
    </row>
    <row r="141" spans="1:14" s="62" customFormat="1" ht="15.75" customHeight="1" x14ac:dyDescent="0.35">
      <c r="A141" s="76">
        <v>5</v>
      </c>
      <c r="B141" s="77"/>
      <c r="C141" s="59" t="s">
        <v>328</v>
      </c>
      <c r="D141" s="63">
        <f>(33.75)*(10.764)</f>
        <v>363.28499999999997</v>
      </c>
      <c r="E141" s="63">
        <f>0*(10.764)</f>
        <v>0</v>
      </c>
      <c r="F141" s="60">
        <f t="shared" ref="F141:F144" si="6">D141+E141</f>
        <v>363.28499999999997</v>
      </c>
      <c r="G141" s="61">
        <v>0</v>
      </c>
      <c r="H141" s="61">
        <f t="shared" ref="H141:H144" si="7">F141*(($H$126)+1)+(IF(G141&lt;101,G141,IF(G141&lt;201,G141/2,IF(G141&lt;=301,G141/3,G141/4))))</f>
        <v>544.92750000000001</v>
      </c>
      <c r="I141" s="32"/>
    </row>
    <row r="142" spans="1:14" s="62" customFormat="1" ht="15.75" customHeight="1" x14ac:dyDescent="0.35">
      <c r="A142" s="76">
        <v>6</v>
      </c>
      <c r="B142" s="77"/>
      <c r="C142" s="59" t="s">
        <v>328</v>
      </c>
      <c r="D142" s="63">
        <f>(33.91)*(10.764)</f>
        <v>365.00723999999997</v>
      </c>
      <c r="E142" s="63">
        <f>(2.2)*(10.764)</f>
        <v>23.680800000000001</v>
      </c>
      <c r="F142" s="60">
        <f t="shared" si="6"/>
        <v>388.68803999999994</v>
      </c>
      <c r="G142" s="61">
        <v>0</v>
      </c>
      <c r="H142" s="61">
        <f t="shared" si="7"/>
        <v>583.03205999999989</v>
      </c>
      <c r="I142" s="32">
        <f>(2.75*4.6+1.8*3.45+2.75*3.2+1.1*2+1.8*1.25)</f>
        <v>32.11</v>
      </c>
      <c r="J142" s="32">
        <f>2.75*0.8</f>
        <v>2.2000000000000002</v>
      </c>
    </row>
    <row r="143" spans="1:14" s="62" customFormat="1" ht="15.75" customHeight="1" x14ac:dyDescent="0.35">
      <c r="A143" s="76">
        <v>7</v>
      </c>
      <c r="B143" s="77"/>
      <c r="C143" s="59" t="s">
        <v>327</v>
      </c>
      <c r="D143" s="63">
        <f>(57.11)*(10.764)</f>
        <v>614.73203999999998</v>
      </c>
      <c r="E143" s="63">
        <f>(4.35)*(10.764)</f>
        <v>46.823399999999992</v>
      </c>
      <c r="F143" s="60">
        <f t="shared" si="6"/>
        <v>661.55543999999998</v>
      </c>
      <c r="G143" s="61">
        <v>0</v>
      </c>
      <c r="H143" s="61">
        <f t="shared" si="7"/>
        <v>992.33315999999991</v>
      </c>
      <c r="I143" s="32">
        <f>(2.9*5.36+1.1*1.55+2.15*2.3+2.5*2.3+3.05*3.1+3.05*3.2+1.25*1.05+1.1*2.05+1.1*2.25)</f>
        <v>53.201500000000003</v>
      </c>
      <c r="J143" s="32">
        <f>0.9*2.9+0.75*2.3</f>
        <v>4.335</v>
      </c>
    </row>
    <row r="144" spans="1:14" s="62" customFormat="1" ht="15.75" customHeight="1" x14ac:dyDescent="0.35">
      <c r="A144" s="76">
        <v>8</v>
      </c>
      <c r="B144" s="77"/>
      <c r="C144" s="59" t="s">
        <v>327</v>
      </c>
      <c r="D144" s="63">
        <f>(52.18)*(10.764)</f>
        <v>561.66552000000001</v>
      </c>
      <c r="E144" s="63">
        <f>(4.95)*(10.764)</f>
        <v>53.281799999999997</v>
      </c>
      <c r="F144" s="60">
        <f t="shared" si="6"/>
        <v>614.94731999999999</v>
      </c>
      <c r="G144" s="61">
        <v>0</v>
      </c>
      <c r="H144" s="61">
        <f t="shared" si="7"/>
        <v>922.42097999999999</v>
      </c>
      <c r="I144" s="32"/>
    </row>
    <row r="145" spans="1:14" s="33" customFormat="1" x14ac:dyDescent="0.35">
      <c r="A145" s="106" t="s">
        <v>332</v>
      </c>
      <c r="B145" s="106"/>
      <c r="C145" s="106"/>
      <c r="D145" s="106"/>
      <c r="E145" s="106"/>
      <c r="F145" s="106"/>
      <c r="G145" s="106"/>
      <c r="H145" s="106"/>
      <c r="I145" s="32"/>
      <c r="L145" s="75"/>
      <c r="M145" s="75"/>
    </row>
    <row r="146" spans="1:14" s="33" customFormat="1" x14ac:dyDescent="0.35">
      <c r="A146" s="76">
        <v>1</v>
      </c>
      <c r="B146" s="77"/>
      <c r="C146" s="61" t="s">
        <v>327</v>
      </c>
      <c r="D146" s="63">
        <f>(52.18)*(10.764)</f>
        <v>561.66552000000001</v>
      </c>
      <c r="E146" s="63">
        <f>(4.95)*(10.764)</f>
        <v>53.281799999999997</v>
      </c>
      <c r="F146" s="46">
        <f>D146+E146</f>
        <v>614.94731999999999</v>
      </c>
      <c r="G146" s="46">
        <v>0</v>
      </c>
      <c r="H146" s="46">
        <f>F146*(($H$126)+1)+(IF(G146&lt;101,G146,IF(G146&lt;201,G146/2,IF(G146&lt;=301,G146/3,G146/4))))</f>
        <v>922.42097999999999</v>
      </c>
      <c r="I146" s="32"/>
      <c r="N146" s="32"/>
    </row>
    <row r="147" spans="1:14" s="33" customFormat="1" x14ac:dyDescent="0.35">
      <c r="A147" s="76">
        <v>2</v>
      </c>
      <c r="B147" s="77"/>
      <c r="C147" s="61" t="s">
        <v>328</v>
      </c>
      <c r="D147" s="63">
        <f>(42.47)*(10.764)</f>
        <v>457.14707999999996</v>
      </c>
      <c r="E147" s="63">
        <f>(4.35)*(10.764)</f>
        <v>46.823399999999992</v>
      </c>
      <c r="F147" s="46">
        <f>D147+E147</f>
        <v>503.97047999999995</v>
      </c>
      <c r="G147" s="46">
        <v>0</v>
      </c>
      <c r="H147" s="46">
        <f>F147*(($H$126)+1)+(IF(G147&lt;101,G147,IF(G147&lt;201,G147/2,IF(G147&lt;=301,G147/3,G147/4))))</f>
        <v>755.95571999999993</v>
      </c>
      <c r="I147" s="32">
        <f>(2.9*5.35+1.1*1.55+2.15*2.3+2.6*2.3+3.05*3.1+1.1*2.25)</f>
        <v>40.075000000000003</v>
      </c>
      <c r="J147" s="32">
        <f>2.9*0.9+0.75*2.3</f>
        <v>4.335</v>
      </c>
      <c r="N147" s="32"/>
    </row>
    <row r="148" spans="1:14" s="33" customFormat="1" x14ac:dyDescent="0.35">
      <c r="A148" s="78">
        <v>3</v>
      </c>
      <c r="B148" s="78"/>
      <c r="C148" s="61" t="s">
        <v>329</v>
      </c>
      <c r="D148" s="78" t="s">
        <v>333</v>
      </c>
      <c r="E148" s="78"/>
      <c r="F148" s="78"/>
      <c r="G148" s="78"/>
      <c r="H148" s="78"/>
      <c r="I148" s="32"/>
      <c r="N148" s="32"/>
    </row>
    <row r="149" spans="1:14" s="33" customFormat="1" x14ac:dyDescent="0.35">
      <c r="A149" s="78">
        <v>4</v>
      </c>
      <c r="B149" s="78"/>
      <c r="C149" s="61" t="s">
        <v>329</v>
      </c>
      <c r="D149" s="78"/>
      <c r="E149" s="78"/>
      <c r="F149" s="78"/>
      <c r="G149" s="78"/>
      <c r="H149" s="78"/>
      <c r="I149" s="32"/>
      <c r="N149" s="32"/>
    </row>
    <row r="150" spans="1:14" s="33" customFormat="1" x14ac:dyDescent="0.35">
      <c r="A150" s="78">
        <v>5</v>
      </c>
      <c r="B150" s="78"/>
      <c r="C150" s="61" t="s">
        <v>328</v>
      </c>
      <c r="D150" s="63">
        <f>(33.75)*(10.764)</f>
        <v>363.28499999999997</v>
      </c>
      <c r="E150" s="63">
        <f>0*(10.764)</f>
        <v>0</v>
      </c>
      <c r="F150" s="61">
        <f t="shared" ref="F150:F153" si="8">D150+E150</f>
        <v>363.28499999999997</v>
      </c>
      <c r="G150" s="61">
        <v>0</v>
      </c>
      <c r="H150" s="61">
        <f t="shared" ref="H150:H153" si="9">F150*(($H$126)+1)+(IF(G150&lt;101,G150,IF(G150&lt;201,G150/2,IF(G150&lt;=301,G150/3,G150/4))))</f>
        <v>544.92750000000001</v>
      </c>
      <c r="I150" s="32"/>
      <c r="N150" s="32"/>
    </row>
    <row r="151" spans="1:14" s="62" customFormat="1" x14ac:dyDescent="0.35">
      <c r="A151" s="78">
        <v>6</v>
      </c>
      <c r="B151" s="78"/>
      <c r="C151" s="61" t="s">
        <v>328</v>
      </c>
      <c r="D151" s="63">
        <f>(33.91)*(10.764)</f>
        <v>365.00723999999997</v>
      </c>
      <c r="E151" s="63">
        <f>(2.2)*(10.764)</f>
        <v>23.680800000000001</v>
      </c>
      <c r="F151" s="61">
        <f t="shared" si="8"/>
        <v>388.68803999999994</v>
      </c>
      <c r="G151" s="61">
        <v>0</v>
      </c>
      <c r="H151" s="61">
        <f t="shared" si="9"/>
        <v>583.03205999999989</v>
      </c>
      <c r="I151" s="32"/>
      <c r="N151" s="32"/>
    </row>
    <row r="152" spans="1:14" s="62" customFormat="1" x14ac:dyDescent="0.35">
      <c r="A152" s="78">
        <v>7</v>
      </c>
      <c r="B152" s="78"/>
      <c r="C152" s="61" t="s">
        <v>327</v>
      </c>
      <c r="D152" s="63">
        <f>(57.11)*(10.764)</f>
        <v>614.73203999999998</v>
      </c>
      <c r="E152" s="63">
        <f>(4.35)*(10.764)</f>
        <v>46.823399999999992</v>
      </c>
      <c r="F152" s="61">
        <f t="shared" si="8"/>
        <v>661.55543999999998</v>
      </c>
      <c r="G152" s="61">
        <v>0</v>
      </c>
      <c r="H152" s="61">
        <f t="shared" si="9"/>
        <v>992.33315999999991</v>
      </c>
      <c r="I152" s="32"/>
      <c r="N152" s="32"/>
    </row>
    <row r="153" spans="1:14" s="62" customFormat="1" x14ac:dyDescent="0.35">
      <c r="A153" s="78">
        <v>8</v>
      </c>
      <c r="B153" s="78"/>
      <c r="C153" s="61" t="s">
        <v>327</v>
      </c>
      <c r="D153" s="63">
        <f>(52.18)*(10.764)</f>
        <v>561.66552000000001</v>
      </c>
      <c r="E153" s="63">
        <f>(4.95)*(10.764)</f>
        <v>53.281799999999997</v>
      </c>
      <c r="F153" s="61">
        <f t="shared" si="8"/>
        <v>614.94731999999999</v>
      </c>
      <c r="G153" s="61">
        <v>0</v>
      </c>
      <c r="H153" s="61">
        <f t="shared" si="9"/>
        <v>922.42097999999999</v>
      </c>
      <c r="I153" s="32"/>
      <c r="N153" s="32"/>
    </row>
    <row r="154" spans="1:14" s="62" customFormat="1" x14ac:dyDescent="0.35">
      <c r="A154" s="106" t="s">
        <v>334</v>
      </c>
      <c r="B154" s="106"/>
      <c r="C154" s="106"/>
      <c r="D154" s="106"/>
      <c r="E154" s="106"/>
      <c r="F154" s="106"/>
      <c r="G154" s="106"/>
      <c r="H154" s="106"/>
      <c r="I154" s="32"/>
      <c r="L154" s="75"/>
      <c r="M154" s="75"/>
    </row>
    <row r="155" spans="1:14" s="62" customFormat="1" x14ac:dyDescent="0.35">
      <c r="A155" s="78">
        <v>1</v>
      </c>
      <c r="B155" s="78"/>
      <c r="C155" s="69" t="s">
        <v>327</v>
      </c>
      <c r="D155" s="63">
        <f>(52.18)*(10.764)</f>
        <v>561.66552000000001</v>
      </c>
      <c r="E155" s="63">
        <f>(4.95)*(10.764)</f>
        <v>53.281799999999997</v>
      </c>
      <c r="F155" s="69">
        <f>D155+E155</f>
        <v>614.94731999999999</v>
      </c>
      <c r="G155" s="69">
        <v>0</v>
      </c>
      <c r="H155" s="69">
        <f>F155*(($H$126)+1)+(IF(G155&lt;101,G155,IF(G155&lt;201,G155/2,IF(G155&lt;=301,G155/3,G155/4))))</f>
        <v>922.42097999999999</v>
      </c>
      <c r="I155" s="32"/>
      <c r="N155" s="32"/>
    </row>
    <row r="156" spans="1:14" s="62" customFormat="1" x14ac:dyDescent="0.35">
      <c r="A156" s="78">
        <v>2</v>
      </c>
      <c r="B156" s="78"/>
      <c r="C156" s="69" t="s">
        <v>329</v>
      </c>
      <c r="D156" s="78" t="s">
        <v>333</v>
      </c>
      <c r="E156" s="78"/>
      <c r="F156" s="78"/>
      <c r="G156" s="78"/>
      <c r="H156" s="78"/>
      <c r="I156" s="32"/>
      <c r="J156" s="32"/>
      <c r="N156" s="32"/>
    </row>
    <row r="157" spans="1:14" s="62" customFormat="1" x14ac:dyDescent="0.35">
      <c r="A157" s="78">
        <v>3</v>
      </c>
      <c r="B157" s="78"/>
      <c r="C157" s="69" t="s">
        <v>329</v>
      </c>
      <c r="D157" s="78"/>
      <c r="E157" s="78"/>
      <c r="F157" s="78"/>
      <c r="G157" s="78"/>
      <c r="H157" s="78"/>
      <c r="I157" s="32"/>
      <c r="N157" s="32"/>
    </row>
    <row r="158" spans="1:14" s="62" customFormat="1" x14ac:dyDescent="0.35">
      <c r="A158" s="78">
        <v>4</v>
      </c>
      <c r="B158" s="78"/>
      <c r="C158" s="69" t="s">
        <v>329</v>
      </c>
      <c r="D158" s="78"/>
      <c r="E158" s="78"/>
      <c r="F158" s="78"/>
      <c r="G158" s="78"/>
      <c r="H158" s="78"/>
      <c r="I158" s="32"/>
      <c r="N158" s="32"/>
    </row>
    <row r="159" spans="1:14" s="62" customFormat="1" x14ac:dyDescent="0.35">
      <c r="A159" s="78">
        <v>5</v>
      </c>
      <c r="B159" s="78"/>
      <c r="C159" s="69" t="s">
        <v>328</v>
      </c>
      <c r="D159" s="63">
        <f>(33.75)*(10.764)</f>
        <v>363.28499999999997</v>
      </c>
      <c r="E159" s="63">
        <f>0*(10.764)</f>
        <v>0</v>
      </c>
      <c r="F159" s="69">
        <f t="shared" ref="F159:F162" si="10">D159+E159</f>
        <v>363.28499999999997</v>
      </c>
      <c r="G159" s="69">
        <v>0</v>
      </c>
      <c r="H159" s="69">
        <f t="shared" ref="H159:H162" si="11">F159*(($H$126)+1)+(IF(G159&lt;101,G159,IF(G159&lt;201,G159/2,IF(G159&lt;=301,G159/3,G159/4))))</f>
        <v>544.92750000000001</v>
      </c>
      <c r="I159" s="32"/>
      <c r="N159" s="32"/>
    </row>
    <row r="160" spans="1:14" s="62" customFormat="1" x14ac:dyDescent="0.35">
      <c r="A160" s="78">
        <v>6</v>
      </c>
      <c r="B160" s="78"/>
      <c r="C160" s="69" t="s">
        <v>328</v>
      </c>
      <c r="D160" s="63">
        <f>(33.91)*(10.764)</f>
        <v>365.00723999999997</v>
      </c>
      <c r="E160" s="63">
        <f>(2.2)*(10.764)</f>
        <v>23.680800000000001</v>
      </c>
      <c r="F160" s="69">
        <f t="shared" si="10"/>
        <v>388.68803999999994</v>
      </c>
      <c r="G160" s="69">
        <v>0</v>
      </c>
      <c r="H160" s="69">
        <f t="shared" si="11"/>
        <v>583.03205999999989</v>
      </c>
      <c r="I160" s="32"/>
      <c r="N160" s="32"/>
    </row>
    <row r="161" spans="1:20" s="62" customFormat="1" x14ac:dyDescent="0.35">
      <c r="A161" s="78">
        <v>7</v>
      </c>
      <c r="B161" s="78"/>
      <c r="C161" s="69" t="s">
        <v>327</v>
      </c>
      <c r="D161" s="63">
        <f>(57.11)*(10.764)</f>
        <v>614.73203999999998</v>
      </c>
      <c r="E161" s="63">
        <f>(4.35)*(10.764)</f>
        <v>46.823399999999992</v>
      </c>
      <c r="F161" s="69">
        <f t="shared" si="10"/>
        <v>661.55543999999998</v>
      </c>
      <c r="G161" s="69">
        <v>0</v>
      </c>
      <c r="H161" s="69">
        <f t="shared" si="11"/>
        <v>992.33315999999991</v>
      </c>
      <c r="I161" s="32"/>
      <c r="N161" s="32"/>
    </row>
    <row r="162" spans="1:20" s="62" customFormat="1" x14ac:dyDescent="0.35">
      <c r="A162" s="78">
        <v>8</v>
      </c>
      <c r="B162" s="78"/>
      <c r="C162" s="69" t="s">
        <v>327</v>
      </c>
      <c r="D162" s="63">
        <f>(52.18)*(10.764)</f>
        <v>561.66552000000001</v>
      </c>
      <c r="E162" s="63">
        <f>(4.95)*(10.764)</f>
        <v>53.281799999999997</v>
      </c>
      <c r="F162" s="69">
        <f t="shared" si="10"/>
        <v>614.94731999999999</v>
      </c>
      <c r="G162" s="69">
        <v>0</v>
      </c>
      <c r="H162" s="69">
        <f t="shared" si="11"/>
        <v>922.42097999999999</v>
      </c>
      <c r="I162" s="32"/>
      <c r="N162" s="32"/>
    </row>
    <row r="163" spans="1:20" s="31" customFormat="1" x14ac:dyDescent="0.35">
      <c r="A163" s="101" t="s">
        <v>65</v>
      </c>
      <c r="B163" s="101"/>
      <c r="C163" s="101"/>
      <c r="D163" s="101"/>
      <c r="E163" s="101"/>
      <c r="F163" s="101"/>
      <c r="G163" s="101"/>
      <c r="H163" s="101"/>
      <c r="T163" s="33"/>
    </row>
    <row r="164" spans="1:20" s="31" customFormat="1" x14ac:dyDescent="0.35">
      <c r="A164" s="73" t="s">
        <v>152</v>
      </c>
      <c r="B164" s="171" t="s">
        <v>345</v>
      </c>
      <c r="C164" s="171"/>
      <c r="D164" s="171"/>
      <c r="E164" s="171"/>
      <c r="F164" s="171"/>
      <c r="G164" s="171"/>
      <c r="H164" s="171"/>
      <c r="T164" s="33"/>
    </row>
    <row r="165" spans="1:20" s="31" customFormat="1" x14ac:dyDescent="0.35">
      <c r="A165" s="73" t="s">
        <v>152</v>
      </c>
      <c r="B165" s="171" t="str">
        <f>(IF(H125="Saleable area Loading :","We have considered Saleable area of Flats as per our Calculation.","We considered Saleable area of Flat as per Builder area Sheet."))</f>
        <v>We have considered Saleable area of Flats as per our Calculation.</v>
      </c>
      <c r="C165" s="171"/>
      <c r="D165" s="171"/>
      <c r="E165" s="171"/>
      <c r="F165" s="171"/>
      <c r="G165" s="171"/>
      <c r="H165" s="171"/>
      <c r="T165" s="33"/>
    </row>
    <row r="166" spans="1:20" s="31" customFormat="1" x14ac:dyDescent="0.35">
      <c r="A166" s="39" t="s">
        <v>152</v>
      </c>
      <c r="B166" s="88" t="str">
        <f>(IF(H107="Saleable area Loading :","We have considered Saleable area of Commercial as per our Calculation.","We considered Saleable area of Commercial as per Builder area Sheet."))</f>
        <v>We have considered Saleable area of Commercial as per our Calculation.</v>
      </c>
      <c r="C166" s="89"/>
      <c r="D166" s="89"/>
      <c r="E166" s="89"/>
      <c r="F166" s="89"/>
      <c r="G166" s="89"/>
      <c r="H166" s="90"/>
      <c r="T166" s="33"/>
    </row>
    <row r="167" spans="1:20" s="31" customFormat="1" x14ac:dyDescent="0.35">
      <c r="A167" s="39" t="s">
        <v>152</v>
      </c>
      <c r="B167" s="98" t="s">
        <v>122</v>
      </c>
      <c r="C167" s="99"/>
      <c r="D167" s="99"/>
      <c r="E167" s="99"/>
      <c r="F167" s="99"/>
      <c r="G167" s="99"/>
      <c r="H167" s="100"/>
      <c r="T167" s="33"/>
    </row>
    <row r="168" spans="1:20" s="31" customFormat="1" x14ac:dyDescent="0.35">
      <c r="A168" s="39" t="s">
        <v>152</v>
      </c>
      <c r="B168" s="98" t="s">
        <v>337</v>
      </c>
      <c r="C168" s="99"/>
      <c r="D168" s="99"/>
      <c r="E168" s="99"/>
      <c r="F168" s="99"/>
      <c r="G168" s="99"/>
      <c r="H168" s="100"/>
      <c r="T168" s="33"/>
    </row>
    <row r="169" spans="1:20" s="31" customFormat="1" x14ac:dyDescent="0.35">
      <c r="A169" s="39" t="s">
        <v>152</v>
      </c>
      <c r="B169" s="98" t="s">
        <v>151</v>
      </c>
      <c r="C169" s="99"/>
      <c r="D169" s="99"/>
      <c r="E169" s="99"/>
      <c r="F169" s="99"/>
      <c r="G169" s="99"/>
      <c r="H169" s="100"/>
    </row>
    <row r="170" spans="1:20" s="31" customFormat="1" x14ac:dyDescent="0.35">
      <c r="A170" s="39" t="s">
        <v>152</v>
      </c>
      <c r="B170" s="98" t="s">
        <v>123</v>
      </c>
      <c r="C170" s="99"/>
      <c r="D170" s="99"/>
      <c r="E170" s="99"/>
      <c r="F170" s="99"/>
      <c r="G170" s="99"/>
      <c r="H170" s="100"/>
    </row>
    <row r="171" spans="1:20" s="31" customFormat="1" ht="34.5" customHeight="1" x14ac:dyDescent="0.35">
      <c r="A171" s="39" t="s">
        <v>152</v>
      </c>
      <c r="B171" s="98" t="s">
        <v>153</v>
      </c>
      <c r="C171" s="99"/>
      <c r="D171" s="99"/>
      <c r="E171" s="99"/>
      <c r="F171" s="99"/>
      <c r="G171" s="99"/>
      <c r="H171" s="100"/>
    </row>
    <row r="172" spans="1:20" s="31" customFormat="1" x14ac:dyDescent="0.35">
      <c r="A172" s="39" t="s">
        <v>152</v>
      </c>
      <c r="B172" s="98" t="s">
        <v>124</v>
      </c>
      <c r="C172" s="99"/>
      <c r="D172" s="99"/>
      <c r="E172" s="99"/>
      <c r="F172" s="99"/>
      <c r="G172" s="99"/>
      <c r="H172" s="100"/>
    </row>
    <row r="173" spans="1:20" s="31" customFormat="1" ht="32.25" customHeight="1" x14ac:dyDescent="0.35">
      <c r="A173" s="43" t="s">
        <v>152</v>
      </c>
      <c r="B173" s="88" t="s">
        <v>179</v>
      </c>
      <c r="C173" s="89"/>
      <c r="D173" s="89"/>
      <c r="E173" s="89"/>
      <c r="F173" s="89"/>
      <c r="G173" s="89"/>
      <c r="H173" s="90"/>
    </row>
    <row r="174" spans="1:20" s="31" customFormat="1" x14ac:dyDescent="0.35">
      <c r="A174" s="47" t="s">
        <v>152</v>
      </c>
      <c r="B174" s="88" t="s">
        <v>351</v>
      </c>
      <c r="C174" s="89"/>
      <c r="D174" s="89"/>
      <c r="E174" s="89"/>
      <c r="F174" s="89"/>
      <c r="G174" s="89"/>
      <c r="H174" s="90"/>
    </row>
    <row r="175" spans="1:20" s="31" customFormat="1" x14ac:dyDescent="0.35">
      <c r="A175" s="66" t="s">
        <v>152</v>
      </c>
      <c r="B175" s="88" t="s">
        <v>348</v>
      </c>
      <c r="C175" s="89"/>
      <c r="D175" s="89"/>
      <c r="E175" s="89"/>
      <c r="F175" s="89"/>
      <c r="G175" s="89"/>
      <c r="H175" s="90"/>
    </row>
    <row r="176" spans="1:20" x14ac:dyDescent="0.35">
      <c r="A176" s="170" t="s">
        <v>58</v>
      </c>
      <c r="B176" s="170"/>
      <c r="C176" s="170"/>
      <c r="D176" s="170"/>
      <c r="E176" s="170"/>
      <c r="F176" s="170"/>
      <c r="G176" s="170"/>
      <c r="H176" s="170"/>
      <c r="T176" s="31"/>
    </row>
    <row r="177" spans="1:20" x14ac:dyDescent="0.35">
      <c r="A177" s="91" t="s">
        <v>59</v>
      </c>
      <c r="B177" s="91"/>
      <c r="C177" s="91"/>
      <c r="D177" s="91"/>
      <c r="E177" s="91"/>
      <c r="F177" s="91"/>
      <c r="G177" s="91"/>
      <c r="H177" s="91"/>
      <c r="T177" s="31"/>
    </row>
    <row r="178" spans="1:20" ht="15.75" customHeight="1" x14ac:dyDescent="0.35">
      <c r="A178" s="163" t="s">
        <v>60</v>
      </c>
      <c r="B178" s="163"/>
      <c r="C178" s="163"/>
      <c r="D178" s="163"/>
      <c r="E178" s="163"/>
      <c r="F178" s="163"/>
      <c r="G178" s="163"/>
      <c r="H178" s="163"/>
      <c r="T178" s="31"/>
    </row>
    <row r="179" spans="1:20" x14ac:dyDescent="0.35">
      <c r="A179" s="91" t="s">
        <v>61</v>
      </c>
      <c r="B179" s="91"/>
      <c r="C179" s="91"/>
      <c r="D179" s="91"/>
      <c r="E179" s="91"/>
      <c r="F179" s="91"/>
      <c r="G179" s="91"/>
      <c r="H179" s="91"/>
      <c r="T179" s="31"/>
    </row>
    <row r="180" spans="1:20" x14ac:dyDescent="0.35">
      <c r="A180" s="91" t="s">
        <v>62</v>
      </c>
      <c r="B180" s="91"/>
      <c r="C180" s="91"/>
      <c r="D180" s="91"/>
      <c r="E180" s="91"/>
      <c r="F180" s="91"/>
      <c r="G180" s="91"/>
      <c r="H180" s="91"/>
      <c r="T180" s="31"/>
    </row>
    <row r="181" spans="1:20" x14ac:dyDescent="0.35">
      <c r="A181" s="91" t="s">
        <v>125</v>
      </c>
      <c r="B181" s="91"/>
      <c r="C181" s="91"/>
      <c r="D181" s="91"/>
      <c r="E181" s="91"/>
      <c r="F181" s="91"/>
      <c r="G181" s="91"/>
      <c r="H181" s="91"/>
      <c r="T181" s="31"/>
    </row>
    <row r="182" spans="1:20" ht="34" customHeight="1" x14ac:dyDescent="0.35">
      <c r="A182" s="86" t="s">
        <v>126</v>
      </c>
      <c r="B182" s="86"/>
      <c r="C182" s="86"/>
      <c r="D182" s="86"/>
      <c r="E182" s="86"/>
      <c r="F182" s="86"/>
      <c r="G182" s="86"/>
      <c r="H182" s="86"/>
    </row>
    <row r="183" spans="1:20" x14ac:dyDescent="0.35">
      <c r="A183" s="162" t="s">
        <v>74</v>
      </c>
      <c r="B183" s="162"/>
      <c r="C183" s="162" t="s">
        <v>352</v>
      </c>
      <c r="D183" s="162"/>
      <c r="E183" s="162" t="s">
        <v>104</v>
      </c>
      <c r="F183" s="162"/>
      <c r="G183" s="162" t="s">
        <v>346</v>
      </c>
      <c r="H183" s="162"/>
    </row>
    <row r="184" spans="1:20" x14ac:dyDescent="0.35">
      <c r="A184" s="161" t="s">
        <v>76</v>
      </c>
      <c r="B184" s="161"/>
      <c r="C184" s="161"/>
      <c r="D184" s="161"/>
      <c r="E184" s="161"/>
      <c r="F184" s="161"/>
      <c r="G184" s="161"/>
      <c r="H184" s="161"/>
    </row>
    <row r="185" spans="1:20" x14ac:dyDescent="0.35">
      <c r="A185" s="161"/>
      <c r="B185" s="161"/>
      <c r="C185" s="161"/>
      <c r="D185" s="161"/>
      <c r="E185" s="161"/>
      <c r="F185" s="161"/>
      <c r="G185" s="161"/>
      <c r="H185" s="161"/>
    </row>
    <row r="186" spans="1:20" x14ac:dyDescent="0.35">
      <c r="A186" s="161"/>
      <c r="B186" s="161"/>
      <c r="C186" s="161"/>
      <c r="D186" s="161"/>
      <c r="E186" s="161"/>
      <c r="F186" s="161"/>
      <c r="G186" s="161"/>
      <c r="H186" s="161"/>
    </row>
    <row r="187" spans="1:20" x14ac:dyDescent="0.35">
      <c r="A187" s="161"/>
      <c r="B187" s="161"/>
      <c r="C187" s="161"/>
      <c r="D187" s="161"/>
      <c r="E187" s="161"/>
      <c r="F187" s="161"/>
      <c r="G187" s="161"/>
      <c r="H187" s="161"/>
    </row>
    <row r="188" spans="1:20" x14ac:dyDescent="0.35">
      <c r="A188" s="34" t="s">
        <v>63</v>
      </c>
      <c r="B188" s="35"/>
      <c r="C188" s="35"/>
      <c r="D188" s="34" t="str">
        <f>E9</f>
        <v>Signature</v>
      </c>
      <c r="F188" s="35"/>
      <c r="G188" s="35"/>
      <c r="H188" s="35"/>
    </row>
    <row r="189" spans="1:20" x14ac:dyDescent="0.35">
      <c r="A189" s="35"/>
      <c r="B189" s="35"/>
      <c r="C189" s="35"/>
      <c r="D189" s="35"/>
      <c r="E189" s="35"/>
      <c r="F189" s="35"/>
      <c r="G189" s="35"/>
      <c r="H189" s="35"/>
    </row>
    <row r="190" spans="1:20" x14ac:dyDescent="0.35">
      <c r="A190" s="35"/>
      <c r="B190" s="35"/>
      <c r="C190" s="35"/>
      <c r="D190" s="35"/>
      <c r="E190" s="35"/>
      <c r="F190" s="35"/>
      <c r="G190" s="35"/>
      <c r="H190" s="35"/>
    </row>
    <row r="191" spans="1:20" ht="15" customHeight="1" x14ac:dyDescent="0.35"/>
    <row r="230" spans="1:1" x14ac:dyDescent="0.35">
      <c r="A230" s="37" t="s">
        <v>163</v>
      </c>
    </row>
    <row r="274" spans="1:1" x14ac:dyDescent="0.35">
      <c r="A274" s="37" t="s">
        <v>64</v>
      </c>
    </row>
  </sheetData>
  <mergeCells count="324">
    <mergeCell ref="A106:H106"/>
    <mergeCell ref="G97:H97"/>
    <mergeCell ref="A92:E92"/>
    <mergeCell ref="A111:B111"/>
    <mergeCell ref="A56:B56"/>
    <mergeCell ref="C56:E56"/>
    <mergeCell ref="D58:H58"/>
    <mergeCell ref="F92:H92"/>
    <mergeCell ref="E97:F97"/>
    <mergeCell ref="A97:B97"/>
    <mergeCell ref="C101:D101"/>
    <mergeCell ref="D66:H66"/>
    <mergeCell ref="A67:C67"/>
    <mergeCell ref="A78:B78"/>
    <mergeCell ref="A94:E94"/>
    <mergeCell ref="F94:H94"/>
    <mergeCell ref="A89:E89"/>
    <mergeCell ref="F89:H89"/>
    <mergeCell ref="A91:E91"/>
    <mergeCell ref="F86:H86"/>
    <mergeCell ref="A90:E90"/>
    <mergeCell ref="F83:H83"/>
    <mergeCell ref="F88:H88"/>
    <mergeCell ref="A96:H96"/>
    <mergeCell ref="I15:P15"/>
    <mergeCell ref="F93:H93"/>
    <mergeCell ref="F91:H91"/>
    <mergeCell ref="E43:H43"/>
    <mergeCell ref="A43:D43"/>
    <mergeCell ref="A50:B50"/>
    <mergeCell ref="G53:H53"/>
    <mergeCell ref="G50:H50"/>
    <mergeCell ref="G52:H52"/>
    <mergeCell ref="A51:B51"/>
    <mergeCell ref="A57:H57"/>
    <mergeCell ref="A58:C58"/>
    <mergeCell ref="A59:C59"/>
    <mergeCell ref="D59:H59"/>
    <mergeCell ref="G56:H56"/>
    <mergeCell ref="A54:B55"/>
    <mergeCell ref="C54:E54"/>
    <mergeCell ref="G54:H54"/>
    <mergeCell ref="G51:H51"/>
    <mergeCell ref="A52:B53"/>
    <mergeCell ref="E20:F20"/>
    <mergeCell ref="G20:H20"/>
    <mergeCell ref="A21:B21"/>
    <mergeCell ref="C21:D21"/>
    <mergeCell ref="D125:D126"/>
    <mergeCell ref="E125:E126"/>
    <mergeCell ref="F84:H84"/>
    <mergeCell ref="G98:H98"/>
    <mergeCell ref="F90:H90"/>
    <mergeCell ref="C97:D97"/>
    <mergeCell ref="A136:H136"/>
    <mergeCell ref="A180:H180"/>
    <mergeCell ref="A176:H176"/>
    <mergeCell ref="G101:H101"/>
    <mergeCell ref="C107:C108"/>
    <mergeCell ref="B125:B126"/>
    <mergeCell ref="A177:H177"/>
    <mergeCell ref="B170:H170"/>
    <mergeCell ref="B166:H166"/>
    <mergeCell ref="B164:H164"/>
    <mergeCell ref="A120:B120"/>
    <mergeCell ref="A121:B121"/>
    <mergeCell ref="A122:B122"/>
    <mergeCell ref="A123:B123"/>
    <mergeCell ref="A113:B113"/>
    <mergeCell ref="A112:B112"/>
    <mergeCell ref="A124:H124"/>
    <mergeCell ref="E101:F101"/>
    <mergeCell ref="A162:B162"/>
    <mergeCell ref="A184:H187"/>
    <mergeCell ref="A183:B183"/>
    <mergeCell ref="E183:F183"/>
    <mergeCell ref="C183:D183"/>
    <mergeCell ref="G183:H183"/>
    <mergeCell ref="A154:H154"/>
    <mergeCell ref="D156:H158"/>
    <mergeCell ref="A181:H181"/>
    <mergeCell ref="A178:H178"/>
    <mergeCell ref="A179:H179"/>
    <mergeCell ref="B175:H175"/>
    <mergeCell ref="A100:H100"/>
    <mergeCell ref="A182:H182"/>
    <mergeCell ref="A105:H105"/>
    <mergeCell ref="A125:A126"/>
    <mergeCell ref="F125:F126"/>
    <mergeCell ref="A110:B110"/>
    <mergeCell ref="B173:H173"/>
    <mergeCell ref="A104:B104"/>
    <mergeCell ref="C104:D104"/>
    <mergeCell ref="E104:F104"/>
    <mergeCell ref="C125:C126"/>
    <mergeCell ref="G125:G126"/>
    <mergeCell ref="B169:H169"/>
    <mergeCell ref="D107:D108"/>
    <mergeCell ref="B172:H172"/>
    <mergeCell ref="A152:B152"/>
    <mergeCell ref="A153:B153"/>
    <mergeCell ref="A127:H127"/>
    <mergeCell ref="A156:B156"/>
    <mergeCell ref="A157:B157"/>
    <mergeCell ref="A158:B158"/>
    <mergeCell ref="A159:B159"/>
    <mergeCell ref="A160:B160"/>
    <mergeCell ref="A161:B16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2:C62"/>
    <mergeCell ref="A63:C63"/>
    <mergeCell ref="D62:H62"/>
    <mergeCell ref="D63:H63"/>
    <mergeCell ref="A44:D44"/>
    <mergeCell ref="E44:H44"/>
    <mergeCell ref="E45:H45"/>
    <mergeCell ref="E46:H46"/>
    <mergeCell ref="E47:H47"/>
    <mergeCell ref="F37:H37"/>
    <mergeCell ref="C52:E52"/>
    <mergeCell ref="A61:C61"/>
    <mergeCell ref="D61:H61"/>
    <mergeCell ref="C51:E51"/>
    <mergeCell ref="C50:E50"/>
    <mergeCell ref="C53:E53"/>
    <mergeCell ref="A39:B39"/>
    <mergeCell ref="C39:H39"/>
    <mergeCell ref="A46:D46"/>
    <mergeCell ref="L113:M113"/>
    <mergeCell ref="L112:M112"/>
    <mergeCell ref="L111:M111"/>
    <mergeCell ref="L110:M110"/>
    <mergeCell ref="A80:B80"/>
    <mergeCell ref="C102:D102"/>
    <mergeCell ref="E102:F102"/>
    <mergeCell ref="G102:H102"/>
    <mergeCell ref="A84:E84"/>
    <mergeCell ref="A109:H109"/>
    <mergeCell ref="E107:E108"/>
    <mergeCell ref="A47:D47"/>
    <mergeCell ref="A48:H48"/>
    <mergeCell ref="D60:H60"/>
    <mergeCell ref="A60:C60"/>
    <mergeCell ref="A79:B79"/>
    <mergeCell ref="A74:B74"/>
    <mergeCell ref="A68:C68"/>
    <mergeCell ref="D68:H68"/>
    <mergeCell ref="A49:B49"/>
    <mergeCell ref="C49:H49"/>
    <mergeCell ref="F85:H85"/>
    <mergeCell ref="A85:E85"/>
    <mergeCell ref="A45:D45"/>
    <mergeCell ref="E73:F82"/>
    <mergeCell ref="G73:H82"/>
    <mergeCell ref="A65:C65"/>
    <mergeCell ref="D65:H65"/>
    <mergeCell ref="A40:B40"/>
    <mergeCell ref="C40:H40"/>
    <mergeCell ref="F107:F108"/>
    <mergeCell ref="C98:D98"/>
    <mergeCell ref="E98:F98"/>
    <mergeCell ref="B107:B108"/>
    <mergeCell ref="A107:A108"/>
    <mergeCell ref="G104:H104"/>
    <mergeCell ref="C55:H55"/>
    <mergeCell ref="A72:B72"/>
    <mergeCell ref="A81:B81"/>
    <mergeCell ref="A82:B82"/>
    <mergeCell ref="A71:B71"/>
    <mergeCell ref="A69:B69"/>
    <mergeCell ref="C69:H69"/>
    <mergeCell ref="A77:B77"/>
    <mergeCell ref="A64:C64"/>
    <mergeCell ref="D64:H64"/>
    <mergeCell ref="C71:H71"/>
    <mergeCell ref="A87:E87"/>
    <mergeCell ref="A86:E86"/>
    <mergeCell ref="A83:E83"/>
    <mergeCell ref="F87:H87"/>
    <mergeCell ref="G107:G108"/>
    <mergeCell ref="A75:B75"/>
    <mergeCell ref="A150:B150"/>
    <mergeCell ref="A147:B147"/>
    <mergeCell ref="A148:B148"/>
    <mergeCell ref="A138:B138"/>
    <mergeCell ref="A139:B139"/>
    <mergeCell ref="A140:B140"/>
    <mergeCell ref="A76:B76"/>
    <mergeCell ref="A116:B116"/>
    <mergeCell ref="A117:B117"/>
    <mergeCell ref="A118:B118"/>
    <mergeCell ref="A119:B119"/>
    <mergeCell ref="A95:E95"/>
    <mergeCell ref="F95:H95"/>
    <mergeCell ref="A145:H145"/>
    <mergeCell ref="A102:B102"/>
    <mergeCell ref="A98:B98"/>
    <mergeCell ref="A146:B146"/>
    <mergeCell ref="A101:B101"/>
    <mergeCell ref="E72:F72"/>
    <mergeCell ref="A66:C66"/>
    <mergeCell ref="D67:H67"/>
    <mergeCell ref="A73:B73"/>
    <mergeCell ref="G72:H72"/>
    <mergeCell ref="B174:H174"/>
    <mergeCell ref="A88:E88"/>
    <mergeCell ref="A103:B103"/>
    <mergeCell ref="E103:F103"/>
    <mergeCell ref="A93:E93"/>
    <mergeCell ref="G103:H103"/>
    <mergeCell ref="C99:D99"/>
    <mergeCell ref="G99:H99"/>
    <mergeCell ref="A99:B99"/>
    <mergeCell ref="E99:F99"/>
    <mergeCell ref="C103:D103"/>
    <mergeCell ref="B171:H171"/>
    <mergeCell ref="A149:B149"/>
    <mergeCell ref="B165:H165"/>
    <mergeCell ref="B167:H167"/>
    <mergeCell ref="B168:H168"/>
    <mergeCell ref="A163:H163"/>
    <mergeCell ref="A114:B114"/>
    <mergeCell ref="A115:B115"/>
    <mergeCell ref="L127:M127"/>
    <mergeCell ref="A128:B128"/>
    <mergeCell ref="A129:B129"/>
    <mergeCell ref="A130:B130"/>
    <mergeCell ref="A131:B131"/>
    <mergeCell ref="A132:B132"/>
    <mergeCell ref="A133:B133"/>
    <mergeCell ref="L154:M154"/>
    <mergeCell ref="A155:B155"/>
    <mergeCell ref="A134:B134"/>
    <mergeCell ref="A135:B135"/>
    <mergeCell ref="A137:B137"/>
    <mergeCell ref="A141:B141"/>
    <mergeCell ref="A142:B142"/>
    <mergeCell ref="A143:B143"/>
    <mergeCell ref="A144:B144"/>
    <mergeCell ref="A151:B151"/>
    <mergeCell ref="L145:M145"/>
    <mergeCell ref="D148:H149"/>
    <mergeCell ref="D132:H13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7:E108">
      <formula1>"Attached Loft area,Attached Otla area,Attached Mezzanine area"</formula1>
    </dataValidation>
    <dataValidation type="list" allowBlank="1" showInputMessage="1" showErrorMessage="1" sqref="G183:H183">
      <formula1>"Kunal Kadam,Pranita Mhatre,Shruti Fule,Pooja Kawale,Neha Dhokale,Shruti Tathare, Hitakshi Mhatre, Sachin Sawant"</formula1>
    </dataValidation>
    <dataValidation type="list" allowBlank="1" showInputMessage="1" showErrorMessage="1" sqref="F83:H83">
      <formula1>"On Saleable Area,On Builtup Area,On Carpet Area,On Plot Area"</formula1>
    </dataValidation>
    <dataValidation type="list" allowBlank="1" showInputMessage="1" showErrorMessage="1" sqref="F94:H94">
      <formula1>OFFSET($S$83,1,MATCH($G20,$S$83:$W$83,0)-1,15,1)</formula1>
    </dataValidation>
    <dataValidation type="list" allowBlank="1" showInputMessage="1" showErrorMessage="1" sqref="B107:B108">
      <formula1>"Shop No. (Sale Plan),Sale / Rehab,Sale / Mhada"</formula1>
    </dataValidation>
    <dataValidation type="list" allowBlank="1" showInputMessage="1" showErrorMessage="1" sqref="B125:B12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5:E126">
      <formula1>"Fungible area,Balcony Area,Chajja Area,Cornice Area,AP Area,WS Area"</formula1>
    </dataValidation>
    <dataValidation type="list" allowBlank="1" showInputMessage="1" showErrorMessage="1" sqref="H108 H12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78">
      <formula1>0</formula1>
      <formula2>H70</formula2>
    </dataValidation>
    <dataValidation type="list" allowBlank="1" showInputMessage="1" showErrorMessage="1" sqref="H107 H125">
      <formula1>"Saleable area Loading :,Builder Saleable Area"</formula1>
    </dataValidation>
    <dataValidation type="list" allowBlank="1" showInputMessage="1" showErrorMessage="1" sqref="D107:D108 D125:D126">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5" fitToHeight="0" orientation="portrait" r:id="rId2"/>
  <headerFooter>
    <oddHeader>&amp;C&amp;G</oddHeader>
    <oddFooter>&amp;L&amp;"Times New Roman,Bold"&amp;12Ref No: &amp;F&amp;C&amp;G&amp;R&amp;"Times New Roman,Bold"&amp;12&amp;P</oddFooter>
  </headerFooter>
  <rowBreaks count="3" manualBreakCount="3">
    <brk id="187" max="16383" man="1"/>
    <brk id="229"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6" sqref="B1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0" t="s">
        <v>105</v>
      </c>
      <c r="C3" s="190"/>
      <c r="D3" s="190"/>
      <c r="E3" s="190"/>
      <c r="F3" s="190"/>
      <c r="G3" s="190"/>
      <c r="H3" s="190"/>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180</v>
      </c>
      <c r="E4" s="45" t="s">
        <v>190</v>
      </c>
      <c r="F4" s="45" t="s">
        <v>172</v>
      </c>
      <c r="G4" s="45" t="s">
        <v>195</v>
      </c>
      <c r="H4" s="45" t="s">
        <v>213</v>
      </c>
      <c r="J4" t="s">
        <v>195</v>
      </c>
      <c r="K4" t="s">
        <v>211</v>
      </c>
    </row>
    <row r="5" spans="2:11" x14ac:dyDescent="0.35">
      <c r="B5" s="44"/>
      <c r="C5" s="44"/>
      <c r="D5" s="45" t="s">
        <v>181</v>
      </c>
      <c r="E5" s="45" t="s">
        <v>188</v>
      </c>
      <c r="F5" s="45" t="s">
        <v>210</v>
      </c>
      <c r="G5" s="45" t="s">
        <v>196</v>
      </c>
      <c r="H5" s="45" t="s">
        <v>214</v>
      </c>
    </row>
    <row r="6" spans="2:11" x14ac:dyDescent="0.35">
      <c r="B6" s="44"/>
      <c r="C6" s="44"/>
      <c r="D6" s="45" t="s">
        <v>182</v>
      </c>
      <c r="E6" s="45" t="s">
        <v>189</v>
      </c>
      <c r="F6" s="45" t="s">
        <v>211</v>
      </c>
      <c r="G6" s="45" t="s">
        <v>197</v>
      </c>
      <c r="H6" s="45" t="s">
        <v>227</v>
      </c>
    </row>
    <row r="7" spans="2:11" x14ac:dyDescent="0.35">
      <c r="B7" s="44"/>
      <c r="C7" s="44"/>
      <c r="D7" s="45" t="s">
        <v>183</v>
      </c>
      <c r="E7" s="45" t="s">
        <v>191</v>
      </c>
      <c r="F7" s="45" t="s">
        <v>212</v>
      </c>
      <c r="G7" s="45" t="s">
        <v>198</v>
      </c>
      <c r="H7" s="45" t="s">
        <v>215</v>
      </c>
    </row>
    <row r="8" spans="2:11" x14ac:dyDescent="0.35">
      <c r="B8" s="44"/>
      <c r="C8" s="44"/>
      <c r="D8" s="45" t="s">
        <v>184</v>
      </c>
      <c r="E8" s="45" t="s">
        <v>192</v>
      </c>
      <c r="F8" s="45"/>
      <c r="G8" s="45" t="s">
        <v>199</v>
      </c>
      <c r="H8" s="45" t="s">
        <v>216</v>
      </c>
    </row>
    <row r="9" spans="2:11" x14ac:dyDescent="0.35">
      <c r="B9" s="44"/>
      <c r="C9" s="44"/>
      <c r="D9" s="45" t="s">
        <v>185</v>
      </c>
      <c r="E9" s="45" t="s">
        <v>190</v>
      </c>
      <c r="F9" s="45"/>
      <c r="G9" s="45" t="s">
        <v>200</v>
      </c>
      <c r="H9" s="45" t="s">
        <v>217</v>
      </c>
    </row>
    <row r="10" spans="2:11" x14ac:dyDescent="0.35">
      <c r="B10" s="44"/>
      <c r="C10" s="44"/>
      <c r="D10" s="45" t="s">
        <v>186</v>
      </c>
      <c r="E10" s="45" t="s">
        <v>193</v>
      </c>
      <c r="F10" s="45"/>
      <c r="G10" s="45" t="s">
        <v>201</v>
      </c>
      <c r="H10" s="45" t="s">
        <v>218</v>
      </c>
    </row>
    <row r="11" spans="2:11" x14ac:dyDescent="0.35">
      <c r="B11" s="44"/>
      <c r="C11" s="44"/>
      <c r="D11" s="45" t="s">
        <v>187</v>
      </c>
      <c r="E11" s="45" t="s">
        <v>194</v>
      </c>
      <c r="F11" s="45"/>
      <c r="G11" s="45" t="s">
        <v>202</v>
      </c>
      <c r="H11" s="45" t="s">
        <v>219</v>
      </c>
    </row>
    <row r="12" spans="2:11" x14ac:dyDescent="0.35">
      <c r="B12" s="44"/>
      <c r="C12" s="44"/>
      <c r="D12" s="45"/>
      <c r="E12" s="45"/>
      <c r="F12" s="45"/>
      <c r="G12" s="45" t="s">
        <v>203</v>
      </c>
      <c r="H12" s="45" t="s">
        <v>220</v>
      </c>
    </row>
    <row r="13" spans="2:11" x14ac:dyDescent="0.35">
      <c r="B13" s="44"/>
      <c r="C13" s="44"/>
      <c r="D13" s="45"/>
      <c r="E13" s="45"/>
      <c r="F13" s="45"/>
      <c r="G13" s="45" t="s">
        <v>204</v>
      </c>
      <c r="H13" s="45" t="s">
        <v>221</v>
      </c>
    </row>
    <row r="14" spans="2:11" x14ac:dyDescent="0.35">
      <c r="B14" s="44"/>
      <c r="C14" s="44"/>
      <c r="D14" s="45"/>
      <c r="E14" s="45"/>
      <c r="F14" s="45"/>
      <c r="G14" s="45" t="s">
        <v>205</v>
      </c>
      <c r="H14" s="45" t="s">
        <v>222</v>
      </c>
    </row>
    <row r="15" spans="2:11" x14ac:dyDescent="0.35">
      <c r="B15" s="44"/>
      <c r="C15" s="44"/>
      <c r="D15" s="45"/>
      <c r="E15" s="45"/>
      <c r="F15" s="45"/>
      <c r="G15" s="45" t="s">
        <v>206</v>
      </c>
      <c r="H15" s="45" t="s">
        <v>223</v>
      </c>
    </row>
    <row r="16" spans="2:11" x14ac:dyDescent="0.35">
      <c r="B16" s="44"/>
      <c r="C16" s="44"/>
      <c r="D16" s="45"/>
      <c r="E16" s="45"/>
      <c r="F16" s="45"/>
      <c r="G16" s="45" t="s">
        <v>207</v>
      </c>
      <c r="H16" s="45" t="s">
        <v>224</v>
      </c>
    </row>
    <row r="17" spans="2:8" x14ac:dyDescent="0.35">
      <c r="B17" s="44"/>
      <c r="C17" s="44"/>
      <c r="D17" s="45"/>
      <c r="E17" s="45"/>
      <c r="F17" s="45"/>
      <c r="G17" s="45" t="s">
        <v>208</v>
      </c>
      <c r="H17" s="45" t="s">
        <v>225</v>
      </c>
    </row>
    <row r="18" spans="2:8" x14ac:dyDescent="0.35">
      <c r="B18" s="44"/>
      <c r="C18" s="44"/>
      <c r="D18" s="45"/>
      <c r="E18" s="45"/>
      <c r="F18" s="45"/>
      <c r="G18" s="45" t="s">
        <v>209</v>
      </c>
      <c r="H18" s="45" t="s">
        <v>226</v>
      </c>
    </row>
    <row r="24" spans="2:8" x14ac:dyDescent="0.35">
      <c r="C24" t="s">
        <v>169</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169</v>
      </c>
    </row>
    <row r="33" spans="3:11" x14ac:dyDescent="0.35">
      <c r="J33">
        <v>1</v>
      </c>
      <c r="K33">
        <v>2</v>
      </c>
    </row>
    <row r="34" spans="3:11" x14ac:dyDescent="0.35">
      <c r="C34" s="48" t="s">
        <v>238</v>
      </c>
      <c r="D34" s="45" t="s">
        <v>236</v>
      </c>
      <c r="E34" s="45" t="s">
        <v>241</v>
      </c>
      <c r="F34" s="45" t="s">
        <v>239</v>
      </c>
      <c r="G34" s="45" t="s">
        <v>240</v>
      </c>
      <c r="H34" s="45" t="s">
        <v>242</v>
      </c>
      <c r="J34" t="s">
        <v>195</v>
      </c>
      <c r="K34" t="s">
        <v>211</v>
      </c>
    </row>
    <row r="35" spans="3:11" x14ac:dyDescent="0.35">
      <c r="C35" s="44" t="s">
        <v>237</v>
      </c>
      <c r="D35" s="45" t="s">
        <v>170</v>
      </c>
      <c r="E35" s="45" t="s">
        <v>246</v>
      </c>
      <c r="F35" s="45" t="s">
        <v>248</v>
      </c>
      <c r="G35" s="45" t="s">
        <v>250</v>
      </c>
      <c r="H35" s="45"/>
    </row>
    <row r="36" spans="3:11" x14ac:dyDescent="0.35">
      <c r="C36" s="44"/>
      <c r="D36" s="45" t="s">
        <v>243</v>
      </c>
      <c r="E36" s="45" t="s">
        <v>247</v>
      </c>
      <c r="F36" s="45" t="s">
        <v>249</v>
      </c>
      <c r="G36" s="45" t="s">
        <v>251</v>
      </c>
      <c r="H36" s="45"/>
    </row>
    <row r="37" spans="3:11" x14ac:dyDescent="0.35">
      <c r="C37" s="44"/>
      <c r="D37" s="45" t="s">
        <v>244</v>
      </c>
      <c r="E37" s="45"/>
      <c r="F37" s="45"/>
      <c r="G37" s="45" t="s">
        <v>252</v>
      </c>
      <c r="H37" s="45"/>
    </row>
    <row r="38" spans="3:11" x14ac:dyDescent="0.35">
      <c r="C38" s="44"/>
      <c r="D38" s="45" t="s">
        <v>245</v>
      </c>
      <c r="E38" s="45"/>
      <c r="F38" s="45"/>
      <c r="G38" s="45" t="s">
        <v>252</v>
      </c>
      <c r="H38" s="45"/>
    </row>
    <row r="39" spans="3:11" x14ac:dyDescent="0.35">
      <c r="C39" s="44"/>
      <c r="D39" s="45"/>
      <c r="E39" s="45"/>
      <c r="F39" s="45"/>
      <c r="G39" s="45" t="s">
        <v>253</v>
      </c>
      <c r="H39" s="45"/>
    </row>
    <row r="40" spans="3:11" x14ac:dyDescent="0.35">
      <c r="C40" s="44"/>
      <c r="D40" s="45"/>
      <c r="E40" s="45"/>
      <c r="F40" s="45"/>
      <c r="G40" s="45" t="s">
        <v>254</v>
      </c>
      <c r="H40" s="45"/>
    </row>
    <row r="41" spans="3:11" x14ac:dyDescent="0.35">
      <c r="C41" s="44"/>
      <c r="D41" s="45"/>
      <c r="E41" s="45"/>
      <c r="F41" s="45"/>
      <c r="G41" s="45"/>
      <c r="H41" s="45"/>
    </row>
    <row r="43" spans="3:11" x14ac:dyDescent="0.35">
      <c r="C43" t="s">
        <v>255</v>
      </c>
    </row>
    <row r="44" spans="3:11" x14ac:dyDescent="0.35">
      <c r="C44" t="s">
        <v>172</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180</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195</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190</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49">
        <v>1</v>
      </c>
      <c r="C2" s="52" t="s">
        <v>284</v>
      </c>
    </row>
    <row r="3" spans="2:3" x14ac:dyDescent="0.35">
      <c r="B3" s="49">
        <v>2</v>
      </c>
      <c r="C3" s="50" t="s">
        <v>285</v>
      </c>
    </row>
    <row r="4" spans="2:3" x14ac:dyDescent="0.35">
      <c r="B4" s="49">
        <v>3</v>
      </c>
      <c r="C4" s="51" t="s">
        <v>286</v>
      </c>
    </row>
    <row r="5" spans="2:3" x14ac:dyDescent="0.35">
      <c r="B5" s="49">
        <v>4</v>
      </c>
      <c r="C5" s="50" t="s">
        <v>287</v>
      </c>
    </row>
    <row r="6" spans="2:3" x14ac:dyDescent="0.35">
      <c r="B6" s="49">
        <v>5</v>
      </c>
      <c r="C6" s="51" t="s">
        <v>288</v>
      </c>
    </row>
    <row r="7" spans="2:3" ht="29" x14ac:dyDescent="0.35">
      <c r="B7" s="49">
        <v>6</v>
      </c>
      <c r="C7" s="50" t="s">
        <v>289</v>
      </c>
    </row>
    <row r="8" spans="2:3" ht="72.5" x14ac:dyDescent="0.35">
      <c r="B8" s="49">
        <v>7</v>
      </c>
      <c r="C8" s="50" t="s">
        <v>290</v>
      </c>
    </row>
    <row r="9" spans="2:3" x14ac:dyDescent="0.35">
      <c r="B9" s="49">
        <v>8</v>
      </c>
      <c r="C9" s="51" t="s">
        <v>291</v>
      </c>
    </row>
    <row r="10" spans="2:3" x14ac:dyDescent="0.35">
      <c r="B10" s="49">
        <v>9</v>
      </c>
      <c r="C10" s="51" t="s">
        <v>292</v>
      </c>
    </row>
    <row r="11" spans="2:3" x14ac:dyDescent="0.35">
      <c r="B11" s="49">
        <v>10</v>
      </c>
      <c r="C11" s="51" t="s">
        <v>293</v>
      </c>
    </row>
    <row r="12" spans="2:3" x14ac:dyDescent="0.35">
      <c r="B12" s="49">
        <v>11</v>
      </c>
      <c r="C12" s="51" t="s">
        <v>294</v>
      </c>
    </row>
    <row r="13" spans="2:3" x14ac:dyDescent="0.35">
      <c r="B13" s="49">
        <v>12</v>
      </c>
      <c r="C13" s="51" t="s">
        <v>295</v>
      </c>
    </row>
    <row r="14" spans="2:3" x14ac:dyDescent="0.35">
      <c r="B14" s="49">
        <v>13</v>
      </c>
      <c r="C14" s="51" t="s">
        <v>296</v>
      </c>
    </row>
    <row r="15" spans="2:3" x14ac:dyDescent="0.35">
      <c r="B15" s="49">
        <v>14</v>
      </c>
      <c r="C15" s="51" t="s">
        <v>286</v>
      </c>
    </row>
    <row r="16" spans="2:3" x14ac:dyDescent="0.35">
      <c r="B16" s="49">
        <v>15</v>
      </c>
      <c r="C16" s="51" t="s">
        <v>297</v>
      </c>
    </row>
    <row r="17" spans="2:3" ht="31.5" customHeight="1" x14ac:dyDescent="0.35">
      <c r="B17" s="54">
        <v>16</v>
      </c>
      <c r="C17" s="56" t="s">
        <v>298</v>
      </c>
    </row>
    <row r="18" spans="2:3" x14ac:dyDescent="0.35">
      <c r="B18" s="55">
        <v>17</v>
      </c>
      <c r="C18" s="56" t="s">
        <v>299</v>
      </c>
    </row>
    <row r="19" spans="2:3" x14ac:dyDescent="0.35">
      <c r="B19" s="54">
        <v>18</v>
      </c>
      <c r="C19" s="49" t="s">
        <v>300</v>
      </c>
    </row>
    <row r="20" spans="2:3" x14ac:dyDescent="0.35">
      <c r="B20" s="55">
        <v>19</v>
      </c>
      <c r="C20" s="49"/>
    </row>
    <row r="21" spans="2:3" x14ac:dyDescent="0.35">
      <c r="B21" s="57">
        <v>20</v>
      </c>
      <c r="C21" s="49"/>
    </row>
    <row r="22" spans="2:3" x14ac:dyDescent="0.35">
      <c r="B22" s="49"/>
      <c r="C22" s="49"/>
    </row>
    <row r="23" spans="2:3" x14ac:dyDescent="0.35">
      <c r="B23" s="49"/>
      <c r="C23" s="49"/>
    </row>
    <row r="24" spans="2:3" x14ac:dyDescent="0.35">
      <c r="B24" s="49"/>
      <c r="C24" s="49"/>
    </row>
    <row r="25" spans="2:3" x14ac:dyDescent="0.35">
      <c r="B25" s="49"/>
      <c r="C25" s="49"/>
    </row>
    <row r="26" spans="2:3" x14ac:dyDescent="0.3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2025-08-08T09:25:55Z</cp:lastPrinted>
  <dcterms:created xsi:type="dcterms:W3CDTF">2019-07-16T09:29:46Z</dcterms:created>
  <dcterms:modified xsi:type="dcterms:W3CDTF">2025-08-08T09:28:00Z</dcterms:modified>
</cp:coreProperties>
</file>