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1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F183" i="1"/>
  <c r="L183" i="1" s="1"/>
  <c r="L179" i="1" l="1"/>
  <c r="L186" i="1"/>
  <c r="L200" i="1" l="1"/>
  <c r="L199" i="1"/>
  <c r="L198" i="1"/>
  <c r="L197" i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1" i="1"/>
  <c r="F201" i="1" s="1"/>
  <c r="L201" i="1" s="1"/>
  <c r="D196" i="1"/>
  <c r="F196" i="1" s="1"/>
  <c r="L196" i="1" s="1"/>
  <c r="D195" i="1"/>
  <c r="F195" i="1" s="1"/>
  <c r="D194" i="1"/>
  <c r="F194" i="1" s="1"/>
  <c r="D193" i="1"/>
  <c r="F193" i="1" s="1"/>
  <c r="D192" i="1"/>
  <c r="F192" i="1" s="1"/>
  <c r="J205" i="1"/>
  <c r="I205" i="1"/>
  <c r="J203" i="1"/>
  <c r="I203" i="1"/>
  <c r="I194" i="1"/>
  <c r="I193" i="1"/>
  <c r="I192" i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193" i="1"/>
  <c r="A194" i="1" s="1"/>
  <c r="A195" i="1" s="1"/>
  <c r="A196" i="1" s="1"/>
  <c r="A201" i="1" s="1"/>
  <c r="D189" i="1"/>
  <c r="F189" i="1" s="1"/>
  <c r="L189" i="1" s="1"/>
  <c r="G192" i="1"/>
  <c r="G203" i="1"/>
  <c r="P203" i="1"/>
  <c r="O203" i="1"/>
  <c r="G124" i="1" l="1"/>
  <c r="C124" i="1"/>
  <c r="L192" i="1"/>
  <c r="E124" i="1"/>
  <c r="L193" i="1"/>
  <c r="L194" i="1"/>
  <c r="L195" i="1"/>
  <c r="N203" i="1"/>
  <c r="O204" i="1"/>
  <c r="O205" i="1" s="1"/>
  <c r="O206" i="1" s="1"/>
  <c r="P204" i="1"/>
  <c r="P205" i="1" s="1"/>
  <c r="P206" i="1" s="1"/>
  <c r="P207" i="1" s="1"/>
  <c r="P208" i="1" s="1"/>
  <c r="P209" i="1" s="1"/>
  <c r="P210" i="1" s="1"/>
  <c r="P211" i="1" s="1"/>
  <c r="P212" i="1" s="1"/>
  <c r="P213" i="1" s="1"/>
  <c r="I207" i="1"/>
  <c r="I213" i="1"/>
  <c r="E40" i="1"/>
  <c r="N204" i="1" l="1"/>
  <c r="O207" i="1"/>
  <c r="N206" i="1"/>
  <c r="N205" i="1"/>
  <c r="C14" i="1"/>
  <c r="O208" i="1" l="1"/>
  <c r="N207" i="1"/>
  <c r="N208" i="1" l="1"/>
  <c r="O209" i="1"/>
  <c r="D188" i="1"/>
  <c r="F188" i="1" s="1"/>
  <c r="L188" i="1" s="1"/>
  <c r="D187" i="1"/>
  <c r="F187" i="1" s="1"/>
  <c r="L187" i="1" s="1"/>
  <c r="D185" i="1"/>
  <c r="F185" i="1" s="1"/>
  <c r="L185" i="1" s="1"/>
  <c r="D184" i="1"/>
  <c r="F184" i="1" s="1"/>
  <c r="L184" i="1" s="1"/>
  <c r="D182" i="1"/>
  <c r="F182" i="1" s="1"/>
  <c r="L182" i="1" s="1"/>
  <c r="D181" i="1"/>
  <c r="F181" i="1" s="1"/>
  <c r="L181" i="1" s="1"/>
  <c r="D180" i="1"/>
  <c r="F180" i="1" s="1"/>
  <c r="L180" i="1" s="1"/>
  <c r="D141" i="1"/>
  <c r="F141" i="1" s="1"/>
  <c r="D140" i="1"/>
  <c r="F140" i="1" s="1"/>
  <c r="L140" i="1" s="1"/>
  <c r="D139" i="1"/>
  <c r="D138" i="1"/>
  <c r="D137" i="1"/>
  <c r="D136" i="1"/>
  <c r="D135" i="1"/>
  <c r="F135" i="1" s="1"/>
  <c r="D134" i="1"/>
  <c r="F134" i="1" s="1"/>
  <c r="L134" i="1" s="1"/>
  <c r="D178" i="1"/>
  <c r="F178" i="1" s="1"/>
  <c r="L178" i="1" s="1"/>
  <c r="D177" i="1"/>
  <c r="F177" i="1" s="1"/>
  <c r="L177" i="1" s="1"/>
  <c r="D176" i="1"/>
  <c r="F176" i="1" s="1"/>
  <c r="D154" i="1"/>
  <c r="F154" i="1" s="1"/>
  <c r="L154" i="1" s="1"/>
  <c r="E172" i="1"/>
  <c r="E173" i="1"/>
  <c r="E171" i="1"/>
  <c r="E170" i="1"/>
  <c r="D172" i="1"/>
  <c r="D171" i="1"/>
  <c r="D173" i="1"/>
  <c r="G170" i="1"/>
  <c r="D170" i="1"/>
  <c r="F170" i="1" s="1"/>
  <c r="L170" i="1" s="1"/>
  <c r="G161" i="1"/>
  <c r="G152" i="1"/>
  <c r="D167" i="1"/>
  <c r="F167" i="1" s="1"/>
  <c r="L167" i="1" s="1"/>
  <c r="D166" i="1"/>
  <c r="F166" i="1" s="1"/>
  <c r="L166" i="1" s="1"/>
  <c r="D165" i="1"/>
  <c r="F165" i="1" s="1"/>
  <c r="L165" i="1" s="1"/>
  <c r="D164" i="1"/>
  <c r="F164" i="1" s="1"/>
  <c r="L164" i="1" s="1"/>
  <c r="D163" i="1"/>
  <c r="F163" i="1" s="1"/>
  <c r="L163" i="1" s="1"/>
  <c r="D168" i="1"/>
  <c r="F168" i="1" s="1"/>
  <c r="L168" i="1" s="1"/>
  <c r="D162" i="1"/>
  <c r="F162" i="1" s="1"/>
  <c r="L162" i="1" s="1"/>
  <c r="D161" i="1"/>
  <c r="D159" i="1"/>
  <c r="F159" i="1" s="1"/>
  <c r="L159" i="1" s="1"/>
  <c r="D158" i="1"/>
  <c r="F158" i="1" s="1"/>
  <c r="L158" i="1" s="1"/>
  <c r="D153" i="1"/>
  <c r="F153" i="1" s="1"/>
  <c r="L153" i="1" s="1"/>
  <c r="D152" i="1"/>
  <c r="F152" i="1" s="1"/>
  <c r="L152" i="1" s="1"/>
  <c r="D143" i="1"/>
  <c r="F143" i="1" s="1"/>
  <c r="L143" i="1" s="1"/>
  <c r="J143" i="1"/>
  <c r="D157" i="1"/>
  <c r="F157" i="1" s="1"/>
  <c r="L157" i="1" s="1"/>
  <c r="D156" i="1"/>
  <c r="F156" i="1" s="1"/>
  <c r="L156" i="1" s="1"/>
  <c r="D155" i="1"/>
  <c r="F155" i="1" s="1"/>
  <c r="L155" i="1" s="1"/>
  <c r="F137" i="1" l="1"/>
  <c r="L137" i="1" s="1"/>
  <c r="L176" i="1"/>
  <c r="G123" i="1"/>
  <c r="F171" i="1"/>
  <c r="L171" i="1" s="1"/>
  <c r="F161" i="1"/>
  <c r="L161" i="1" s="1"/>
  <c r="F136" i="1"/>
  <c r="L136" i="1" s="1"/>
  <c r="F173" i="1"/>
  <c r="L173" i="1" s="1"/>
  <c r="F139" i="1"/>
  <c r="L139" i="1" s="1"/>
  <c r="F172" i="1"/>
  <c r="L172" i="1" s="1"/>
  <c r="F138" i="1"/>
  <c r="J135" i="1"/>
  <c r="L135" i="1"/>
  <c r="N209" i="1"/>
  <c r="O210" i="1"/>
  <c r="E123" i="1"/>
  <c r="C123" i="1"/>
  <c r="L138" i="1" l="1"/>
  <c r="J161" i="1"/>
  <c r="O211" i="1"/>
  <c r="N210" i="1"/>
  <c r="J134" i="1"/>
  <c r="C47" i="1"/>
  <c r="O212" i="1" l="1"/>
  <c r="N211" i="1"/>
  <c r="G180" i="1"/>
  <c r="G176" i="1"/>
  <c r="D150" i="1"/>
  <c r="F150" i="1" s="1"/>
  <c r="D149" i="1"/>
  <c r="F149" i="1" s="1"/>
  <c r="L149" i="1" s="1"/>
  <c r="D148" i="1"/>
  <c r="F148" i="1" s="1"/>
  <c r="L148" i="1" s="1"/>
  <c r="D147" i="1"/>
  <c r="F147" i="1" s="1"/>
  <c r="L147" i="1" s="1"/>
  <c r="D146" i="1"/>
  <c r="F146" i="1" s="1"/>
  <c r="L146" i="1" s="1"/>
  <c r="D145" i="1"/>
  <c r="F145" i="1" s="1"/>
  <c r="L145" i="1" s="1"/>
  <c r="D144" i="1"/>
  <c r="F144" i="1" s="1"/>
  <c r="G143" i="1"/>
  <c r="P180" i="1"/>
  <c r="O180" i="1"/>
  <c r="L144" i="1" l="1"/>
  <c r="G122" i="1"/>
  <c r="G125" i="1" s="1"/>
  <c r="N212" i="1"/>
  <c r="O213" i="1"/>
  <c r="N213" i="1" s="1"/>
  <c r="C122" i="1"/>
  <c r="C125" i="1" s="1"/>
  <c r="E122" i="1"/>
  <c r="E125" i="1" s="1"/>
  <c r="P181" i="1"/>
  <c r="P182" i="1" s="1"/>
  <c r="P183" i="1" s="1"/>
  <c r="P184" i="1" s="1"/>
  <c r="P185" i="1" s="1"/>
  <c r="P186" i="1" s="1"/>
  <c r="P187" i="1" s="1"/>
  <c r="P188" i="1" s="1"/>
  <c r="P189" i="1" s="1"/>
  <c r="O181" i="1"/>
  <c r="N180" i="1"/>
  <c r="D59" i="1"/>
  <c r="O182" i="1" l="1"/>
  <c r="N181" i="1"/>
  <c r="C62" i="1"/>
  <c r="J101" i="1"/>
  <c r="J100" i="1"/>
  <c r="J87" i="1"/>
  <c r="J86" i="1"/>
  <c r="J73" i="1"/>
  <c r="J72" i="1"/>
  <c r="H91" i="1"/>
  <c r="H63" i="1"/>
  <c r="H77" i="1"/>
  <c r="O183" i="1" l="1"/>
  <c r="N182" i="1"/>
  <c r="D103" i="1"/>
  <c r="D99" i="1"/>
  <c r="J95" i="1"/>
  <c r="C94" i="1" s="1"/>
  <c r="J93" i="1"/>
  <c r="D98" i="1"/>
  <c r="D102" i="1"/>
  <c r="J96" i="1"/>
  <c r="J97" i="1" s="1"/>
  <c r="J102" i="1" s="1"/>
  <c r="J94" i="1"/>
  <c r="D97" i="1"/>
  <c r="D101" i="1"/>
  <c r="D100" i="1"/>
  <c r="D96" i="1"/>
  <c r="D82" i="1"/>
  <c r="J80" i="1"/>
  <c r="J82" i="1"/>
  <c r="J83" i="1" s="1"/>
  <c r="D89" i="1"/>
  <c r="D85" i="1"/>
  <c r="J81" i="1"/>
  <c r="C80" i="1" s="1"/>
  <c r="D80" i="1" s="1"/>
  <c r="J79" i="1"/>
  <c r="D87" i="1"/>
  <c r="D83" i="1"/>
  <c r="D86" i="1"/>
  <c r="D88" i="1"/>
  <c r="D84" i="1"/>
  <c r="D68" i="1"/>
  <c r="D74" i="1"/>
  <c r="J66" i="1"/>
  <c r="D75" i="1"/>
  <c r="D71" i="1"/>
  <c r="J67" i="1"/>
  <c r="C66" i="1" s="1"/>
  <c r="D66" i="1" s="1"/>
  <c r="J65" i="1"/>
  <c r="D70" i="1"/>
  <c r="D73" i="1"/>
  <c r="D69" i="1"/>
  <c r="J68" i="1"/>
  <c r="J69" i="1" s="1"/>
  <c r="J74" i="1" s="1"/>
  <c r="D72" i="1"/>
  <c r="G47" i="1"/>
  <c r="G48" i="1" s="1"/>
  <c r="O134" i="1"/>
  <c r="J88" i="1" l="1"/>
  <c r="O184" i="1"/>
  <c r="N183" i="1"/>
  <c r="J98" i="1"/>
  <c r="J99" i="1" s="1"/>
  <c r="J84" i="1"/>
  <c r="J85" i="1" s="1"/>
  <c r="J70" i="1"/>
  <c r="J71" i="1" s="1"/>
  <c r="A216" i="1"/>
  <c r="A217" i="1" s="1"/>
  <c r="A218" i="1" s="1"/>
  <c r="A219" i="1" s="1"/>
  <c r="A220" i="1" s="1"/>
  <c r="A221" i="1" l="1"/>
  <c r="A224" i="1" s="1"/>
  <c r="A225" i="1" s="1"/>
  <c r="A223" i="1"/>
  <c r="O185" i="1"/>
  <c r="N184" i="1"/>
  <c r="J103" i="1"/>
  <c r="J89" i="1"/>
  <c r="C81" i="1" s="1"/>
  <c r="J75" i="1"/>
  <c r="C67" i="1" s="1"/>
  <c r="P134" i="1"/>
  <c r="D94" i="1" l="1"/>
  <c r="C95" i="1"/>
  <c r="E94" i="1" s="1"/>
  <c r="O186" i="1"/>
  <c r="N185" i="1"/>
  <c r="E80" i="1"/>
  <c r="D81" i="1"/>
  <c r="G80" i="1"/>
  <c r="D61" i="1" s="1"/>
  <c r="E66" i="1"/>
  <c r="I62" i="1" s="1"/>
  <c r="C64" i="1" s="1"/>
  <c r="D67" i="1"/>
  <c r="G66" i="1"/>
  <c r="N134" i="1"/>
  <c r="I76" i="1" l="1"/>
  <c r="C78" i="1" s="1"/>
  <c r="D95" i="1"/>
  <c r="G94" i="1"/>
  <c r="I90" i="1"/>
  <c r="C92" i="1" s="1"/>
  <c r="O187" i="1"/>
  <c r="O188" i="1" s="1"/>
  <c r="O189" i="1" s="1"/>
  <c r="N189" i="1" s="1"/>
  <c r="N186" i="1"/>
  <c r="N188" i="1" l="1"/>
  <c r="N187" i="1"/>
  <c r="F104" i="1" l="1"/>
  <c r="E41" i="1" l="1"/>
  <c r="E42" i="1" s="1"/>
  <c r="G134" i="1" l="1"/>
  <c r="E3" i="1"/>
  <c r="O135" i="1" l="1"/>
  <c r="A134" i="1" l="1"/>
  <c r="P135" i="1"/>
  <c r="P136" i="1" s="1"/>
  <c r="P137" i="1" s="1"/>
  <c r="P138" i="1" s="1"/>
  <c r="P139" i="1" s="1"/>
  <c r="P140" i="1" s="1"/>
  <c r="P141" i="1" s="1"/>
  <c r="O136" i="1"/>
  <c r="E25" i="1"/>
  <c r="E23" i="1"/>
  <c r="N136" i="1" l="1"/>
  <c r="A136" i="1" s="1"/>
  <c r="N135" i="1"/>
  <c r="A135" i="1" s="1"/>
  <c r="O137" i="1"/>
  <c r="N137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38" i="1" l="1"/>
  <c r="N138" i="1" s="1"/>
  <c r="A137" i="1"/>
  <c r="G12" i="5"/>
  <c r="O139" i="1" l="1"/>
  <c r="A138" i="1"/>
  <c r="N139" i="1" l="1"/>
  <c r="A139" i="1" s="1"/>
  <c r="O140" i="1"/>
  <c r="N140" i="1" l="1"/>
  <c r="A140" i="1" s="1"/>
  <c r="O141" i="1"/>
  <c r="N141" i="1" s="1"/>
  <c r="A141" i="1" s="1"/>
  <c r="E7" i="1"/>
  <c r="D238" i="1" l="1"/>
  <c r="F119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<sst xmlns="http://schemas.openxmlformats.org/spreadsheetml/2006/main" count="446" uniqueCount="257">
  <si>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</si>
  <si>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</si>
  <si>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</si>
  <si>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</si>
  <si>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</si>
  <si>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</si>
  <si>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</si>
  <si>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</si>
  <si>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</si>
  <si>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</si>
  <si>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</si>
  <si>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</si>
  <si>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</si>
  <si>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</si>
  <si>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</si>
  <si>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</si>
  <si>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</si>
  <si>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</si>
  <si>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</si>
  <si>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</si>
  <si>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</si>
  <si>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</si>
  <si>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</si>
  <si>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</si>
  <si>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</si>
  <si>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</si>
  <si>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</si>
  <si>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</si>
  <si>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</si>
  <si>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</si>
  <si>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</si>
  <si>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</si>
  <si>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</si>
  <si>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</si>
  <si>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</si>
  <si>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</si>
  <si>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</si>
  <si>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</si>
  <si>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</si>
  <si>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</si>
  <si>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</si>
  <si>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</si>
  <si>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</si>
  <si>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</si>
  <si>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</si>
  <si>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</si>
  <si>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</si>
  <si>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</si>
  <si>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</si>
  <si>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</si>
  <si>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</si>
  <si>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</si>
  <si>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</si>
  <si>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</si>
  <si>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</si>
  <si>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</si>
  <si>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</si>
  <si>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</si>
  <si>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</si>
  <si>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</si>
  <si>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</si>
  <si>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</si>
  <si>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</si>
  <si>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</si>
  <si>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</si>
  <si>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</si>
  <si>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</si>
  <si>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</si>
  <si>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</si>
  <si>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</si>
  <si>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</si>
  <si>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</si>
  <si>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</si>
  <si>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</si>
  <si>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</si>
  <si>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</si>
  <si>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</si>
  <si>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</si>
  <si>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</si>
  <si>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</si>
  <si>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</si>
  <si>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</si>
  <si>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</si>
  <si>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</si>
  <si>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</si>
  <si>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</si>
  <si>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</si>
  <si>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</si>
  <si>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</si>
  <si>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</si>
  <si>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</si>
  <si>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</si>
  <si>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</si>
  <si>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</si>
  <si>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</si>
  <si>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</si>
  <si>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</si>
  <si>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</si>
  <si>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</si>
  <si>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</si>
  <si>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</si>
  <si>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</si>
  <si>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</si>
  <si>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</si>
  <si>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</si>
  <si>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</si>
  <si>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</si>
  <si>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</si>
  <si>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</si>
  <si>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</si>
  <si>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</si>
  <si>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</si>
  <si>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</si>
  <si>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</si>
  <si>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</si>
  <si>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</si>
  <si>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</si>
  <si>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</si>
  <si>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</si>
  <si>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</si>
  <si>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</si>
  <si>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</si>
  <si>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</si>
  <si>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</si>
  <si>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</si>
  <si>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</si>
  <si>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</si>
  <si>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</si>
  <si>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</si>
  <si>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</si>
  <si>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</si>
  <si>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</si>
  <si>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</si>
  <si>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</si>
  <si>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</si>
  <si>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</si>
  <si>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</si>
  <si>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</si>
  <si>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</si>
  <si>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</si>
  <si>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</si>
  <si>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</si>
  <si>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</si>
  <si>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</si>
  <si>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</si>
  <si>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</si>
  <si>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</si>
  <si>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</si>
  <si>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</si>
  <si>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</si>
  <si>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</si>
  <si>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</si>
  <si>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</si>
  <si>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</si>
  <si>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</si>
  <si>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</si>
  <si>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</si>
  <si>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</si>
  <si>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</si>
  <si>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</si>
  <si>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</si>
  <si>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</si>
  <si>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</si>
  <si>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</si>
  <si>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</si>
  <si>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</si>
  <si>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</si>
  <si>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</si>
  <si>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</si>
  <si>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</si>
  <si>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</si>
  <si>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</si>
  <si>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</si>
  <si>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</si>
  <si>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</si>
  <si>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</si>
  <si>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</si>
  <si>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</si>
  <si>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</si>
  <si>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</si>
  <si>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</si>
  <si>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</si>
  <si>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</si>
  <si>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</si>
  <si>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</si>
  <si>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M/s.Vardhaman Enterprises</t>
  </si>
  <si>
    <t>Vardhaman Vatika</t>
  </si>
  <si>
    <t>Survey No</t>
  </si>
  <si>
    <t>42 &amp; Hissa No.2</t>
  </si>
  <si>
    <t>Bandhiwali</t>
  </si>
  <si>
    <t>Karjat</t>
  </si>
  <si>
    <t>Raigad</t>
  </si>
  <si>
    <t>Ground floor for Residential &amp; Parking</t>
  </si>
  <si>
    <t>1 BHK</t>
  </si>
  <si>
    <t>1 RK</t>
  </si>
  <si>
    <t>1RK</t>
  </si>
  <si>
    <t xml:space="preserve">2nd Floor </t>
  </si>
  <si>
    <t xml:space="preserve">4th Floor </t>
  </si>
  <si>
    <t>1st &amp; 3rd Floor for Residential</t>
  </si>
  <si>
    <t>Residential</t>
  </si>
  <si>
    <t>As per RERA - 30/06/2027</t>
  </si>
  <si>
    <t>30,000/-</t>
  </si>
  <si>
    <t>We considered Gross carpet area = Net carpet + Enclose balcony + C.B Area + W.S Area.</t>
  </si>
  <si>
    <t>1,00,000/-</t>
  </si>
  <si>
    <t>Open Plot</t>
  </si>
  <si>
    <r>
      <rPr>
        <sz val="12"/>
        <rFont val="Times New Roman"/>
        <family val="1"/>
      </rPr>
      <t>P52000028543</t>
    </r>
    <r>
      <rPr>
        <sz val="12"/>
        <color rgb="FFFF0000"/>
        <rFont val="Times New Roman"/>
        <family val="1"/>
      </rPr>
      <t xml:space="preserve">
</t>
    </r>
  </si>
  <si>
    <t>Shelu Road</t>
  </si>
  <si>
    <t>Shelu</t>
  </si>
  <si>
    <t>Old Grampachayat</t>
  </si>
  <si>
    <t>On Site, we meet Mr.Pravin (9004357771).</t>
  </si>
  <si>
    <t>Project consist of A, B, C Wing but on RERA only A &amp; B wing is registered.</t>
  </si>
  <si>
    <t>Grill Charges</t>
  </si>
  <si>
    <t xml:space="preserve">1,85,000/-
 </t>
  </si>
  <si>
    <t xml:space="preserve">40,000/-
 </t>
  </si>
  <si>
    <t xml:space="preserve">5th Floor </t>
  </si>
  <si>
    <t>Wing B</t>
  </si>
  <si>
    <t>Wing A</t>
  </si>
  <si>
    <t xml:space="preserve">6th Floor </t>
  </si>
  <si>
    <t>1st to 7th Floor for Residential</t>
  </si>
  <si>
    <t>B Wing = G/St + 1st to 7th Floor</t>
  </si>
  <si>
    <t>MS/LNA-1/PK/28/2021</t>
  </si>
  <si>
    <t>Ground floor for Parking &amp; Society Office</t>
  </si>
  <si>
    <t>A Wing = G/St + 1st to 6th Floor</t>
  </si>
  <si>
    <t>We have considered construction percent as per proposed no of floor</t>
  </si>
  <si>
    <t>We have updated Revised approved plans &amp; CC (on 28/06/2022).</t>
  </si>
  <si>
    <t>Latitude,Longitude</t>
  </si>
  <si>
    <t>Location Link</t>
  </si>
  <si>
    <t>Site Person - Contact Details ( Name &amp; Contact No.)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</si>
  <si>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
E mail : vsjcapf@gmail.com. Web site : www.vsjadon.com
</t>
  </si>
  <si>
    <t>Naynesh</t>
  </si>
  <si>
    <t>Wing A, B &amp; C</t>
  </si>
  <si>
    <t>19.066446,73.320394</t>
  </si>
  <si>
    <t>https://maps.app.goo.gl/6N4ccEHNESEriVUr6</t>
  </si>
  <si>
    <t>S.No. 42/1</t>
  </si>
  <si>
    <t>S.No. 43</t>
  </si>
  <si>
    <t>S.No. 52</t>
  </si>
  <si>
    <t>Road/S.No. 53</t>
  </si>
  <si>
    <t>Internal Road</t>
  </si>
  <si>
    <t>Houses</t>
  </si>
  <si>
    <t>03 Wings</t>
  </si>
  <si>
    <t>Wing A = G/St + 1st to 6th Floor
Wing B &amp; C = G/St + 1st to 7th Floor</t>
  </si>
  <si>
    <t>C Wing = G/St + 1st to 7th Floor</t>
  </si>
  <si>
    <t>MS/L.N.A.1(A)/Token No. 15368/
P.R.28/2021</t>
  </si>
  <si>
    <t>Wing C</t>
  </si>
  <si>
    <t>Wing  C</t>
  </si>
  <si>
    <t>1BHK</t>
  </si>
  <si>
    <t>Layout :</t>
  </si>
  <si>
    <t>Flats - 200</t>
  </si>
  <si>
    <t>Parking</t>
  </si>
  <si>
    <t>-</t>
  </si>
  <si>
    <t xml:space="preserve">Commencement Certificate No.
Valid Up to: </t>
  </si>
  <si>
    <t>500M from Shelu Railway Station</t>
  </si>
  <si>
    <t>Wing A = All work completed. Please provide OC.
Wing B &amp; C = Construction work is in process at the time of Visit .</t>
  </si>
  <si>
    <t>We have updated approved plans &amp; CC for Wing C (on 25/02/2025).</t>
  </si>
  <si>
    <t>We have considered saleable area as per our calculation, due to the differences in saleable area provided by the builder.</t>
  </si>
  <si>
    <t>Pooja</t>
  </si>
  <si>
    <t>Mr. Ashutosh : 8530759045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</si>
</sst>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21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2" fillId="0" borderId="1" xfId="8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3" fillId="0" borderId="29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0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235</xdr:row>
      <xdr:rowOff>190500</xdr:rowOff>
    </xdr:from>
    <xdr:to>
      <xdr:col>16</xdr:col>
      <xdr:colOff>590550</xdr:colOff>
      <xdr:row>238</xdr:row>
      <xdr:rowOff>133350</xdr:rowOff>
    </xdr:to>
    <xdr:sp macro="" textlink="">
      <xdr:nvSpPr>
        <xdr:cNvPr id="19" name="Rectangle 18"/>
        <xdr:cNvSpPr/>
      </xdr:nvSpPr>
      <xdr:spPr>
        <a:xfrm>
          <a:off x="10391775" y="40043100"/>
          <a:ext cx="1285875" cy="54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16</xdr:col>
      <xdr:colOff>342893</xdr:colOff>
      <xdr:row>233</xdr:row>
      <xdr:rowOff>88900</xdr:rowOff>
    </xdr:from>
    <xdr:to>
      <xdr:col>17</xdr:col>
      <xdr:colOff>507993</xdr:colOff>
      <xdr:row>235</xdr:row>
      <xdr:rowOff>44450</xdr:rowOff>
    </xdr:to>
    <xdr:sp macro="" textlink="">
      <xdr:nvSpPr>
        <xdr:cNvPr id="38" name="Rectangle 37"/>
        <xdr:cNvSpPr/>
      </xdr:nvSpPr>
      <xdr:spPr>
        <a:xfrm>
          <a:off x="11957043" y="39166800"/>
          <a:ext cx="806450" cy="349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 Wing</a:t>
          </a:r>
        </a:p>
      </xdr:txBody>
    </xdr:sp>
    <xdr:clientData/>
  </xdr:twoCellAnchor>
  <xdr:twoCellAnchor editAs="oneCell">
    <xdr:from>
      <xdr:col>8</xdr:col>
      <xdr:colOff>701040</xdr:colOff>
      <xdr:row>194</xdr:row>
      <xdr:rowOff>60960</xdr:rowOff>
    </xdr:from>
    <xdr:to>
      <xdr:col>17</xdr:col>
      <xdr:colOff>151860</xdr:colOff>
      <xdr:row>215</xdr:row>
      <xdr:rowOff>286570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1460" y="39669720"/>
          <a:ext cx="4320000" cy="4607110"/>
        </a:xfrm>
        <a:prstGeom prst="rect">
          <a:avLst/>
        </a:prstGeom>
      </xdr:spPr>
    </xdr:pic>
    <xdr:clientData/>
  </xdr:twoCellAnchor>
  <xdr:twoCellAnchor>
    <xdr:from>
      <xdr:col>1</xdr:col>
      <xdr:colOff>129540</xdr:colOff>
      <xdr:row>285</xdr:row>
      <xdr:rowOff>22860</xdr:rowOff>
    </xdr:from>
    <xdr:to>
      <xdr:col>7</xdr:col>
      <xdr:colOff>706080</xdr:colOff>
      <xdr:row>325</xdr:row>
      <xdr:rowOff>147886</xdr:rowOff>
    </xdr:to>
    <xdr:grpSp>
      <xdr:nvGrpSpPr>
        <xdr:cNvPr id="31" name="Group 30"/>
        <xdr:cNvGrpSpPr/>
      </xdr:nvGrpSpPr>
      <xdr:grpSpPr>
        <a:xfrm>
          <a:off x="929640" y="57642760"/>
          <a:ext cx="5605740" cy="7999026"/>
          <a:chOff x="499812" y="0"/>
          <a:chExt cx="5400000" cy="8049826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9812" y="0"/>
            <a:ext cx="5400000" cy="446443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79812" y="4576012"/>
            <a:ext cx="3240000" cy="347381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3"/>
          <xdr:cNvSpPr txBox="1"/>
        </xdr:nvSpPr>
        <xdr:spPr>
          <a:xfrm>
            <a:off x="2022589" y="1859440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C</a:t>
            </a:r>
            <a:endParaRPr lang="en-IN" sz="1400" b="1"/>
          </a:p>
        </xdr:txBody>
      </xdr:sp>
      <xdr:sp macro="" textlink="">
        <xdr:nvSpPr>
          <xdr:cNvPr id="35" name="TextBox 4"/>
          <xdr:cNvSpPr txBox="1"/>
        </xdr:nvSpPr>
        <xdr:spPr>
          <a:xfrm>
            <a:off x="4570717" y="817024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36" name="TextBox 5"/>
          <xdr:cNvSpPr txBox="1"/>
        </xdr:nvSpPr>
        <xdr:spPr>
          <a:xfrm>
            <a:off x="1579812" y="710665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731520</xdr:colOff>
      <xdr:row>329</xdr:row>
      <xdr:rowOff>175260</xdr:rowOff>
    </xdr:from>
    <xdr:to>
      <xdr:col>7</xdr:col>
      <xdr:colOff>784860</xdr:colOff>
      <xdr:row>370</xdr:row>
      <xdr:rowOff>38100</xdr:rowOff>
    </xdr:to>
    <xdr:grpSp>
      <xdr:nvGrpSpPr>
        <xdr:cNvPr id="51" name="Group 50"/>
        <xdr:cNvGrpSpPr/>
      </xdr:nvGrpSpPr>
      <xdr:grpSpPr>
        <a:xfrm>
          <a:off x="731520" y="66456560"/>
          <a:ext cx="5882640" cy="7933690"/>
          <a:chOff x="609600" y="182880"/>
          <a:chExt cx="5760000" cy="8477464"/>
        </a:xfrm>
      </xdr:grpSpPr>
      <xdr:pic>
        <xdr:nvPicPr>
          <xdr:cNvPr id="52" name="Picture 51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28416" t="31629" r="37750" b="24370"/>
          <a:stretch/>
        </xdr:blipFill>
        <xdr:spPr>
          <a:xfrm>
            <a:off x="609600" y="182880"/>
            <a:ext cx="5760000" cy="42135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3" name="Group 52"/>
          <xdr:cNvGrpSpPr/>
        </xdr:nvGrpSpPr>
        <xdr:grpSpPr>
          <a:xfrm>
            <a:off x="609600" y="4541520"/>
            <a:ext cx="5760000" cy="4118824"/>
            <a:chOff x="609600" y="4541520"/>
            <a:chExt cx="5760000" cy="4118824"/>
          </a:xfrm>
        </xdr:grpSpPr>
        <xdr:pic>
          <xdr:nvPicPr>
            <xdr:cNvPr id="54" name="Picture 5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/>
            <a:srcRect l="29000" t="23185" r="25667" b="19186"/>
            <a:stretch/>
          </xdr:blipFill>
          <xdr:spPr>
            <a:xfrm>
              <a:off x="609600" y="4541520"/>
              <a:ext cx="5760000" cy="411882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55" name="Straight Connector 54"/>
            <xdr:cNvCxnSpPr/>
          </xdr:nvCxnSpPr>
          <xdr:spPr>
            <a:xfrm flipV="1">
              <a:off x="2077720" y="5628640"/>
              <a:ext cx="254000" cy="58928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/>
            <xdr:cNvCxnSpPr/>
          </xdr:nvCxnSpPr>
          <xdr:spPr>
            <a:xfrm>
              <a:off x="2326640" y="5633720"/>
              <a:ext cx="2336800" cy="4013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56"/>
            <xdr:cNvCxnSpPr/>
          </xdr:nvCxnSpPr>
          <xdr:spPr>
            <a:xfrm>
              <a:off x="4663440" y="6035040"/>
              <a:ext cx="0" cy="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Straight Connector 57"/>
            <xdr:cNvCxnSpPr/>
          </xdr:nvCxnSpPr>
          <xdr:spPr>
            <a:xfrm flipH="1">
              <a:off x="4572000" y="6035040"/>
              <a:ext cx="91440" cy="786384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/>
            <xdr:cNvCxnSpPr/>
          </xdr:nvCxnSpPr>
          <xdr:spPr>
            <a:xfrm flipH="1">
              <a:off x="3493008" y="6809232"/>
              <a:ext cx="1078992" cy="323088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/>
            <xdr:cNvCxnSpPr/>
          </xdr:nvCxnSpPr>
          <xdr:spPr>
            <a:xfrm flipH="1">
              <a:off x="3188208" y="7150608"/>
              <a:ext cx="316992" cy="603504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/>
            <xdr:cNvCxnSpPr/>
          </xdr:nvCxnSpPr>
          <xdr:spPr>
            <a:xfrm>
              <a:off x="2077720" y="6217920"/>
              <a:ext cx="330200" cy="505968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/>
            <xdr:cNvCxnSpPr/>
          </xdr:nvCxnSpPr>
          <xdr:spPr>
            <a:xfrm>
              <a:off x="2407920" y="6717792"/>
              <a:ext cx="0" cy="896112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/>
            <xdr:cNvCxnSpPr/>
          </xdr:nvCxnSpPr>
          <xdr:spPr>
            <a:xfrm>
              <a:off x="2407920" y="7626096"/>
              <a:ext cx="780288" cy="128016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oneCellAnchor>
    <xdr:from>
      <xdr:col>9</xdr:col>
      <xdr:colOff>234950</xdr:colOff>
      <xdr:row>239</xdr:row>
      <xdr:rowOff>190500</xdr:rowOff>
    </xdr:from>
    <xdr:ext cx="702693" cy="311496"/>
    <xdr:sp macro="" textlink="">
      <xdr:nvSpPr>
        <xdr:cNvPr id="2" name="TextBox 1"/>
        <xdr:cNvSpPr txBox="1"/>
      </xdr:nvSpPr>
      <xdr:spPr>
        <a:xfrm>
          <a:off x="8769350" y="48761650"/>
          <a:ext cx="7026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twoCellAnchor>
    <xdr:from>
      <xdr:col>0</xdr:col>
      <xdr:colOff>361950</xdr:colOff>
      <xdr:row>238</xdr:row>
      <xdr:rowOff>69850</xdr:rowOff>
    </xdr:from>
    <xdr:to>
      <xdr:col>7</xdr:col>
      <xdr:colOff>1047667</xdr:colOff>
      <xdr:row>270</xdr:row>
      <xdr:rowOff>176150</xdr:rowOff>
    </xdr:to>
    <xdr:grpSp>
      <xdr:nvGrpSpPr>
        <xdr:cNvPr id="4" name="Group 3"/>
        <xdr:cNvGrpSpPr/>
      </xdr:nvGrpSpPr>
      <xdr:grpSpPr>
        <a:xfrm>
          <a:off x="361950" y="48444150"/>
          <a:ext cx="6515017" cy="6399150"/>
          <a:chOff x="361950" y="48444150"/>
          <a:chExt cx="6515017" cy="6399150"/>
        </a:xfrm>
      </xdr:grpSpPr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9569" y="52791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9570" y="484759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1158" y="484759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1157" y="52791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0364" y="484759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2" y="484759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1" y="506336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52791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0363" y="506336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9569" y="506336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1157" y="506336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0362" y="52791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1" name="TextBox 80"/>
          <xdr:cNvSpPr txBox="1"/>
        </xdr:nvSpPr>
        <xdr:spPr>
          <a:xfrm>
            <a:off x="2275158" y="4844415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>
            <a:off x="3686714" y="4863465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83" name="TextBox 82"/>
          <xdr:cNvSpPr txBox="1"/>
        </xdr:nvSpPr>
        <xdr:spPr>
          <a:xfrm>
            <a:off x="463552" y="484759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14</xdr:col>
      <xdr:colOff>411372</xdr:colOff>
      <xdr:row>63</xdr:row>
      <xdr:rowOff>172882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20000"/>
          <a:ext cx="8545722" cy="45543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N4ccEHNESEriVUr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29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81640625" style="16" customWidth="1"/>
    <col min="4" max="4" width="14.1796875" style="16" customWidth="1"/>
    <col min="5" max="5" width="7.81640625" style="16" customWidth="1"/>
    <col min="6" max="6" width="13.36328125" style="16" customWidth="1"/>
    <col min="7" max="7" width="11.81640625" style="16" customWidth="1"/>
    <col min="8" max="8" width="20.269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81640625" style="8" customWidth="1"/>
    <col min="249" max="249" width="9.81640625" style="8" customWidth="1"/>
    <col min="250" max="250" width="14.453125" style="8" customWidth="1"/>
    <col min="251" max="251" width="7.179687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81640625" style="8" customWidth="1"/>
    <col min="505" max="505" width="9.81640625" style="8" customWidth="1"/>
    <col min="506" max="506" width="14.453125" style="8" customWidth="1"/>
    <col min="507" max="507" width="7.179687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81640625" style="8" customWidth="1"/>
    <col min="761" max="761" width="9.81640625" style="8" customWidth="1"/>
    <col min="762" max="762" width="14.453125" style="8" customWidth="1"/>
    <col min="763" max="763" width="7.179687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81640625" style="8" customWidth="1"/>
    <col min="1017" max="1017" width="9.81640625" style="8" customWidth="1"/>
    <col min="1018" max="1018" width="14.453125" style="8" customWidth="1"/>
    <col min="1019" max="1019" width="7.179687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81640625" style="8" customWidth="1"/>
    <col min="1273" max="1273" width="9.81640625" style="8" customWidth="1"/>
    <col min="1274" max="1274" width="14.453125" style="8" customWidth="1"/>
    <col min="1275" max="1275" width="7.179687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81640625" style="8" customWidth="1"/>
    <col min="1529" max="1529" width="9.81640625" style="8" customWidth="1"/>
    <col min="1530" max="1530" width="14.453125" style="8" customWidth="1"/>
    <col min="1531" max="1531" width="7.179687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81640625" style="8" customWidth="1"/>
    <col min="1785" max="1785" width="9.81640625" style="8" customWidth="1"/>
    <col min="1786" max="1786" width="14.453125" style="8" customWidth="1"/>
    <col min="1787" max="1787" width="7.179687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81640625" style="8" customWidth="1"/>
    <col min="2041" max="2041" width="9.81640625" style="8" customWidth="1"/>
    <col min="2042" max="2042" width="14.453125" style="8" customWidth="1"/>
    <col min="2043" max="2043" width="7.179687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81640625" style="8" customWidth="1"/>
    <col min="2297" max="2297" width="9.81640625" style="8" customWidth="1"/>
    <col min="2298" max="2298" width="14.453125" style="8" customWidth="1"/>
    <col min="2299" max="2299" width="7.179687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81640625" style="8" customWidth="1"/>
    <col min="2553" max="2553" width="9.81640625" style="8" customWidth="1"/>
    <col min="2554" max="2554" width="14.453125" style="8" customWidth="1"/>
    <col min="2555" max="2555" width="7.179687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81640625" style="8" customWidth="1"/>
    <col min="2809" max="2809" width="9.81640625" style="8" customWidth="1"/>
    <col min="2810" max="2810" width="14.453125" style="8" customWidth="1"/>
    <col min="2811" max="2811" width="7.179687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81640625" style="8" customWidth="1"/>
    <col min="3065" max="3065" width="9.81640625" style="8" customWidth="1"/>
    <col min="3066" max="3066" width="14.453125" style="8" customWidth="1"/>
    <col min="3067" max="3067" width="7.179687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81640625" style="8" customWidth="1"/>
    <col min="3321" max="3321" width="9.81640625" style="8" customWidth="1"/>
    <col min="3322" max="3322" width="14.453125" style="8" customWidth="1"/>
    <col min="3323" max="3323" width="7.179687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81640625" style="8" customWidth="1"/>
    <col min="3577" max="3577" width="9.81640625" style="8" customWidth="1"/>
    <col min="3578" max="3578" width="14.453125" style="8" customWidth="1"/>
    <col min="3579" max="3579" width="7.179687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81640625" style="8" customWidth="1"/>
    <col min="3833" max="3833" width="9.81640625" style="8" customWidth="1"/>
    <col min="3834" max="3834" width="14.453125" style="8" customWidth="1"/>
    <col min="3835" max="3835" width="7.179687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81640625" style="8" customWidth="1"/>
    <col min="4089" max="4089" width="9.81640625" style="8" customWidth="1"/>
    <col min="4090" max="4090" width="14.453125" style="8" customWidth="1"/>
    <col min="4091" max="4091" width="7.179687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81640625" style="8" customWidth="1"/>
    <col min="4345" max="4345" width="9.81640625" style="8" customWidth="1"/>
    <col min="4346" max="4346" width="14.453125" style="8" customWidth="1"/>
    <col min="4347" max="4347" width="7.179687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81640625" style="8" customWidth="1"/>
    <col min="4601" max="4601" width="9.81640625" style="8" customWidth="1"/>
    <col min="4602" max="4602" width="14.453125" style="8" customWidth="1"/>
    <col min="4603" max="4603" width="7.179687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81640625" style="8" customWidth="1"/>
    <col min="4857" max="4857" width="9.81640625" style="8" customWidth="1"/>
    <col min="4858" max="4858" width="14.453125" style="8" customWidth="1"/>
    <col min="4859" max="4859" width="7.179687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81640625" style="8" customWidth="1"/>
    <col min="5113" max="5113" width="9.81640625" style="8" customWidth="1"/>
    <col min="5114" max="5114" width="14.453125" style="8" customWidth="1"/>
    <col min="5115" max="5115" width="7.179687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81640625" style="8" customWidth="1"/>
    <col min="5369" max="5369" width="9.81640625" style="8" customWidth="1"/>
    <col min="5370" max="5370" width="14.453125" style="8" customWidth="1"/>
    <col min="5371" max="5371" width="7.179687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81640625" style="8" customWidth="1"/>
    <col min="5625" max="5625" width="9.81640625" style="8" customWidth="1"/>
    <col min="5626" max="5626" width="14.453125" style="8" customWidth="1"/>
    <col min="5627" max="5627" width="7.179687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81640625" style="8" customWidth="1"/>
    <col min="5881" max="5881" width="9.81640625" style="8" customWidth="1"/>
    <col min="5882" max="5882" width="14.453125" style="8" customWidth="1"/>
    <col min="5883" max="5883" width="7.179687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81640625" style="8" customWidth="1"/>
    <col min="6137" max="6137" width="9.81640625" style="8" customWidth="1"/>
    <col min="6138" max="6138" width="14.453125" style="8" customWidth="1"/>
    <col min="6139" max="6139" width="7.179687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81640625" style="8" customWidth="1"/>
    <col min="6393" max="6393" width="9.81640625" style="8" customWidth="1"/>
    <col min="6394" max="6394" width="14.453125" style="8" customWidth="1"/>
    <col min="6395" max="6395" width="7.179687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81640625" style="8" customWidth="1"/>
    <col min="6649" max="6649" width="9.81640625" style="8" customWidth="1"/>
    <col min="6650" max="6650" width="14.453125" style="8" customWidth="1"/>
    <col min="6651" max="6651" width="7.179687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81640625" style="8" customWidth="1"/>
    <col min="6905" max="6905" width="9.81640625" style="8" customWidth="1"/>
    <col min="6906" max="6906" width="14.453125" style="8" customWidth="1"/>
    <col min="6907" max="6907" width="7.179687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81640625" style="8" customWidth="1"/>
    <col min="7161" max="7161" width="9.81640625" style="8" customWidth="1"/>
    <col min="7162" max="7162" width="14.453125" style="8" customWidth="1"/>
    <col min="7163" max="7163" width="7.179687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81640625" style="8" customWidth="1"/>
    <col min="7417" max="7417" width="9.81640625" style="8" customWidth="1"/>
    <col min="7418" max="7418" width="14.453125" style="8" customWidth="1"/>
    <col min="7419" max="7419" width="7.179687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81640625" style="8" customWidth="1"/>
    <col min="7673" max="7673" width="9.81640625" style="8" customWidth="1"/>
    <col min="7674" max="7674" width="14.453125" style="8" customWidth="1"/>
    <col min="7675" max="7675" width="7.179687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81640625" style="8" customWidth="1"/>
    <col min="7929" max="7929" width="9.81640625" style="8" customWidth="1"/>
    <col min="7930" max="7930" width="14.453125" style="8" customWidth="1"/>
    <col min="7931" max="7931" width="7.179687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81640625" style="8" customWidth="1"/>
    <col min="8185" max="8185" width="9.81640625" style="8" customWidth="1"/>
    <col min="8186" max="8186" width="14.453125" style="8" customWidth="1"/>
    <col min="8187" max="8187" width="7.179687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81640625" style="8" customWidth="1"/>
    <col min="8441" max="8441" width="9.81640625" style="8" customWidth="1"/>
    <col min="8442" max="8442" width="14.453125" style="8" customWidth="1"/>
    <col min="8443" max="8443" width="7.179687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81640625" style="8" customWidth="1"/>
    <col min="8697" max="8697" width="9.81640625" style="8" customWidth="1"/>
    <col min="8698" max="8698" width="14.453125" style="8" customWidth="1"/>
    <col min="8699" max="8699" width="7.179687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81640625" style="8" customWidth="1"/>
    <col min="8953" max="8953" width="9.81640625" style="8" customWidth="1"/>
    <col min="8954" max="8954" width="14.453125" style="8" customWidth="1"/>
    <col min="8955" max="8955" width="7.179687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81640625" style="8" customWidth="1"/>
    <col min="9209" max="9209" width="9.81640625" style="8" customWidth="1"/>
    <col min="9210" max="9210" width="14.453125" style="8" customWidth="1"/>
    <col min="9211" max="9211" width="7.179687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81640625" style="8" customWidth="1"/>
    <col min="9465" max="9465" width="9.81640625" style="8" customWidth="1"/>
    <col min="9466" max="9466" width="14.453125" style="8" customWidth="1"/>
    <col min="9467" max="9467" width="7.179687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81640625" style="8" customWidth="1"/>
    <col min="9721" max="9721" width="9.81640625" style="8" customWidth="1"/>
    <col min="9722" max="9722" width="14.453125" style="8" customWidth="1"/>
    <col min="9723" max="9723" width="7.179687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81640625" style="8" customWidth="1"/>
    <col min="9977" max="9977" width="9.81640625" style="8" customWidth="1"/>
    <col min="9978" max="9978" width="14.453125" style="8" customWidth="1"/>
    <col min="9979" max="9979" width="7.179687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81640625" style="8" customWidth="1"/>
    <col min="10233" max="10233" width="9.81640625" style="8" customWidth="1"/>
    <col min="10234" max="10234" width="14.453125" style="8" customWidth="1"/>
    <col min="10235" max="10235" width="7.179687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81640625" style="8" customWidth="1"/>
    <col min="10489" max="10489" width="9.81640625" style="8" customWidth="1"/>
    <col min="10490" max="10490" width="14.453125" style="8" customWidth="1"/>
    <col min="10491" max="10491" width="7.179687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81640625" style="8" customWidth="1"/>
    <col min="10745" max="10745" width="9.81640625" style="8" customWidth="1"/>
    <col min="10746" max="10746" width="14.453125" style="8" customWidth="1"/>
    <col min="10747" max="10747" width="7.179687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81640625" style="8" customWidth="1"/>
    <col min="11001" max="11001" width="9.81640625" style="8" customWidth="1"/>
    <col min="11002" max="11002" width="14.453125" style="8" customWidth="1"/>
    <col min="11003" max="11003" width="7.179687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81640625" style="8" customWidth="1"/>
    <col min="11257" max="11257" width="9.81640625" style="8" customWidth="1"/>
    <col min="11258" max="11258" width="14.453125" style="8" customWidth="1"/>
    <col min="11259" max="11259" width="7.179687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81640625" style="8" customWidth="1"/>
    <col min="11513" max="11513" width="9.81640625" style="8" customWidth="1"/>
    <col min="11514" max="11514" width="14.453125" style="8" customWidth="1"/>
    <col min="11515" max="11515" width="7.179687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81640625" style="8" customWidth="1"/>
    <col min="11769" max="11769" width="9.81640625" style="8" customWidth="1"/>
    <col min="11770" max="11770" width="14.453125" style="8" customWidth="1"/>
    <col min="11771" max="11771" width="7.179687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81640625" style="8" customWidth="1"/>
    <col min="12025" max="12025" width="9.81640625" style="8" customWidth="1"/>
    <col min="12026" max="12026" width="14.453125" style="8" customWidth="1"/>
    <col min="12027" max="12027" width="7.179687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81640625" style="8" customWidth="1"/>
    <col min="12281" max="12281" width="9.81640625" style="8" customWidth="1"/>
    <col min="12282" max="12282" width="14.453125" style="8" customWidth="1"/>
    <col min="12283" max="12283" width="7.179687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81640625" style="8" customWidth="1"/>
    <col min="12537" max="12537" width="9.81640625" style="8" customWidth="1"/>
    <col min="12538" max="12538" width="14.453125" style="8" customWidth="1"/>
    <col min="12539" max="12539" width="7.179687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81640625" style="8" customWidth="1"/>
    <col min="12793" max="12793" width="9.81640625" style="8" customWidth="1"/>
    <col min="12794" max="12794" width="14.453125" style="8" customWidth="1"/>
    <col min="12795" max="12795" width="7.179687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81640625" style="8" customWidth="1"/>
    <col min="13049" max="13049" width="9.81640625" style="8" customWidth="1"/>
    <col min="13050" max="13050" width="14.453125" style="8" customWidth="1"/>
    <col min="13051" max="13051" width="7.179687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81640625" style="8" customWidth="1"/>
    <col min="13305" max="13305" width="9.81640625" style="8" customWidth="1"/>
    <col min="13306" max="13306" width="14.453125" style="8" customWidth="1"/>
    <col min="13307" max="13307" width="7.179687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81640625" style="8" customWidth="1"/>
    <col min="13561" max="13561" width="9.81640625" style="8" customWidth="1"/>
    <col min="13562" max="13562" width="14.453125" style="8" customWidth="1"/>
    <col min="13563" max="13563" width="7.179687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81640625" style="8" customWidth="1"/>
    <col min="13817" max="13817" width="9.81640625" style="8" customWidth="1"/>
    <col min="13818" max="13818" width="14.453125" style="8" customWidth="1"/>
    <col min="13819" max="13819" width="7.179687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81640625" style="8" customWidth="1"/>
    <col min="14073" max="14073" width="9.81640625" style="8" customWidth="1"/>
    <col min="14074" max="14074" width="14.453125" style="8" customWidth="1"/>
    <col min="14075" max="14075" width="7.179687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81640625" style="8" customWidth="1"/>
    <col min="14329" max="14329" width="9.81640625" style="8" customWidth="1"/>
    <col min="14330" max="14330" width="14.453125" style="8" customWidth="1"/>
    <col min="14331" max="14331" width="7.179687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81640625" style="8" customWidth="1"/>
    <col min="14585" max="14585" width="9.81640625" style="8" customWidth="1"/>
    <col min="14586" max="14586" width="14.453125" style="8" customWidth="1"/>
    <col min="14587" max="14587" width="7.179687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81640625" style="8" customWidth="1"/>
    <col min="14841" max="14841" width="9.81640625" style="8" customWidth="1"/>
    <col min="14842" max="14842" width="14.453125" style="8" customWidth="1"/>
    <col min="14843" max="14843" width="7.179687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81640625" style="8" customWidth="1"/>
    <col min="15097" max="15097" width="9.81640625" style="8" customWidth="1"/>
    <col min="15098" max="15098" width="14.453125" style="8" customWidth="1"/>
    <col min="15099" max="15099" width="7.179687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81640625" style="8" customWidth="1"/>
    <col min="15353" max="15353" width="9.81640625" style="8" customWidth="1"/>
    <col min="15354" max="15354" width="14.453125" style="8" customWidth="1"/>
    <col min="15355" max="15355" width="7.179687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81640625" style="8" customWidth="1"/>
    <col min="15609" max="15609" width="9.81640625" style="8" customWidth="1"/>
    <col min="15610" max="15610" width="14.453125" style="8" customWidth="1"/>
    <col min="15611" max="15611" width="7.179687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81640625" style="8" customWidth="1"/>
    <col min="15865" max="15865" width="9.81640625" style="8" customWidth="1"/>
    <col min="15866" max="15866" width="14.453125" style="8" customWidth="1"/>
    <col min="15867" max="15867" width="7.179687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81640625" style="8" customWidth="1"/>
    <col min="16121" max="16121" width="9.81640625" style="8" customWidth="1"/>
    <col min="16122" max="16122" width="14.453125" style="8" customWidth="1"/>
    <col min="16123" max="16123" width="7.179687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77" t="s">
        <v>228</v>
      </c>
      <c r="B1" s="177"/>
      <c r="C1" s="177"/>
      <c r="D1" s="177"/>
      <c r="E1" s="177"/>
      <c r="F1" s="177"/>
      <c r="G1" s="177"/>
      <c r="H1" s="177"/>
    </row>
    <row r="2" spans="1:8" ht="16.5" customHeight="1" x14ac:dyDescent="0.35">
      <c r="A2" s="178" t="s">
        <v>0</v>
      </c>
      <c r="B2" s="178"/>
      <c r="C2" s="178"/>
      <c r="D2" s="178"/>
      <c r="E2" s="178"/>
      <c r="F2" s="178"/>
      <c r="G2" s="178"/>
      <c r="H2" s="178"/>
    </row>
    <row r="3" spans="1:8" x14ac:dyDescent="0.35">
      <c r="A3" s="171" t="s">
        <v>1</v>
      </c>
      <c r="B3" s="171"/>
      <c r="C3" s="171"/>
      <c r="D3" s="171"/>
      <c r="E3" s="179" t="str">
        <f ca="1">TEXT(TODAY(),"DD/MM/YYYY")</f>
        <v>11/08/2025</v>
      </c>
      <c r="F3" s="179"/>
      <c r="G3" s="179"/>
      <c r="H3" s="179"/>
    </row>
    <row r="4" spans="1:8" ht="15" customHeight="1" x14ac:dyDescent="0.35">
      <c r="A4" s="171" t="s">
        <v>2</v>
      </c>
      <c r="B4" s="171"/>
      <c r="C4" s="171"/>
      <c r="D4" s="171"/>
      <c r="E4" s="168" t="s">
        <v>184</v>
      </c>
      <c r="F4" s="168"/>
      <c r="G4" s="168"/>
      <c r="H4" s="168"/>
    </row>
    <row r="5" spans="1:8" x14ac:dyDescent="0.35">
      <c r="A5" s="171" t="s">
        <v>3</v>
      </c>
      <c r="B5" s="171"/>
      <c r="C5" s="171"/>
      <c r="D5" s="171"/>
      <c r="E5" s="182">
        <v>45877</v>
      </c>
      <c r="F5" s="182"/>
      <c r="G5" s="182"/>
      <c r="H5" s="182"/>
    </row>
    <row r="6" spans="1:8" ht="16.5" customHeight="1" x14ac:dyDescent="0.35">
      <c r="A6" s="171" t="s">
        <v>4</v>
      </c>
      <c r="B6" s="171"/>
      <c r="C6" s="171"/>
      <c r="D6" s="171"/>
      <c r="E6" s="174" t="s">
        <v>185</v>
      </c>
      <c r="F6" s="174"/>
      <c r="G6" s="174"/>
      <c r="H6" s="174"/>
    </row>
    <row r="7" spans="1:8" ht="15" customHeight="1" x14ac:dyDescent="0.35">
      <c r="A7" s="171" t="s">
        <v>5</v>
      </c>
      <c r="B7" s="171"/>
      <c r="C7" s="171"/>
      <c r="D7" s="171"/>
      <c r="E7" s="174" t="str">
        <f>E6</f>
        <v>M/s.Vardhaman Enterprises</v>
      </c>
      <c r="F7" s="174"/>
      <c r="G7" s="174"/>
      <c r="H7" s="174"/>
    </row>
    <row r="8" spans="1:8" x14ac:dyDescent="0.35">
      <c r="A8" s="171" t="s">
        <v>6</v>
      </c>
      <c r="B8" s="171"/>
      <c r="C8" s="171"/>
      <c r="D8" s="171"/>
      <c r="E8" s="180" t="s">
        <v>186</v>
      </c>
      <c r="F8" s="180"/>
      <c r="G8" s="180"/>
      <c r="H8" s="180"/>
    </row>
    <row r="9" spans="1:8" ht="15" customHeight="1" x14ac:dyDescent="0.35">
      <c r="A9" s="171" t="s">
        <v>157</v>
      </c>
      <c r="B9" s="171"/>
      <c r="C9" s="171"/>
      <c r="D9" s="171"/>
      <c r="E9" s="171">
        <v>9870485005</v>
      </c>
      <c r="F9" s="171"/>
      <c r="G9" s="171"/>
      <c r="H9" s="171"/>
    </row>
    <row r="10" spans="1:8" x14ac:dyDescent="0.35">
      <c r="A10" s="171" t="s">
        <v>227</v>
      </c>
      <c r="B10" s="171"/>
      <c r="C10" s="171"/>
      <c r="D10" s="171"/>
      <c r="E10" s="171" t="s">
        <v>256</v>
      </c>
      <c r="F10" s="171"/>
      <c r="G10" s="171"/>
      <c r="H10" s="171"/>
    </row>
    <row r="11" spans="1:8" x14ac:dyDescent="0.35">
      <c r="A11" s="181" t="s">
        <v>7</v>
      </c>
      <c r="B11" s="181"/>
      <c r="C11" s="181"/>
      <c r="D11" s="181"/>
      <c r="E11" s="181" t="s">
        <v>230</v>
      </c>
      <c r="F11" s="181"/>
      <c r="G11" s="181"/>
      <c r="H11" s="181"/>
    </row>
    <row r="12" spans="1:8" ht="32.25" customHeight="1" x14ac:dyDescent="0.35">
      <c r="A12" s="171" t="s">
        <v>8</v>
      </c>
      <c r="B12" s="171"/>
      <c r="C12" s="171"/>
      <c r="D12" s="171"/>
      <c r="E12" s="183" t="s">
        <v>139</v>
      </c>
      <c r="F12" s="183"/>
      <c r="G12" s="183"/>
      <c r="H12" s="183"/>
    </row>
    <row r="13" spans="1:8" x14ac:dyDescent="0.35">
      <c r="A13" s="171" t="s">
        <v>9</v>
      </c>
      <c r="B13" s="171"/>
      <c r="C13" s="171"/>
      <c r="D13" s="171"/>
      <c r="E13" s="172" t="s">
        <v>205</v>
      </c>
      <c r="F13" s="173"/>
      <c r="G13" s="173"/>
      <c r="H13" s="173"/>
    </row>
    <row r="14" spans="1:8" ht="36.75" customHeight="1" x14ac:dyDescent="0.35">
      <c r="A14" s="174" t="s">
        <v>10</v>
      </c>
      <c r="B14" s="174"/>
      <c r="C14" s="17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Vardhaman Vatika, Survey No.42 &amp; Hissa No.2, near Old Grampachayat, Shelu Road, Bandhiwali, Shelu, Karjat, Raigad - 410101.</v>
      </c>
      <c r="D14" s="174"/>
      <c r="E14" s="174"/>
      <c r="F14" s="174"/>
      <c r="G14" s="174"/>
      <c r="H14" s="174"/>
    </row>
    <row r="15" spans="1:8" x14ac:dyDescent="0.35">
      <c r="A15" s="140" t="s">
        <v>187</v>
      </c>
      <c r="B15" s="140"/>
      <c r="C15" s="141" t="s">
        <v>188</v>
      </c>
      <c r="D15" s="141"/>
      <c r="E15" s="141"/>
      <c r="F15" s="141"/>
      <c r="G15" s="141"/>
      <c r="H15" s="141"/>
    </row>
    <row r="16" spans="1:8" ht="15.75" customHeight="1" x14ac:dyDescent="0.35">
      <c r="A16" s="140" t="s">
        <v>11</v>
      </c>
      <c r="B16" s="140"/>
      <c r="C16" s="142" t="s">
        <v>206</v>
      </c>
      <c r="D16" s="142"/>
      <c r="E16" s="140" t="s">
        <v>101</v>
      </c>
      <c r="F16" s="140"/>
      <c r="G16" s="141" t="s">
        <v>189</v>
      </c>
      <c r="H16" s="141"/>
    </row>
    <row r="17" spans="1:8" x14ac:dyDescent="0.35">
      <c r="A17" s="112" t="s">
        <v>13</v>
      </c>
      <c r="B17" s="112"/>
      <c r="C17" s="141" t="s">
        <v>207</v>
      </c>
      <c r="D17" s="141"/>
      <c r="E17" s="140" t="s">
        <v>12</v>
      </c>
      <c r="F17" s="140"/>
      <c r="G17" s="175" t="s">
        <v>191</v>
      </c>
      <c r="H17" s="175"/>
    </row>
    <row r="18" spans="1:8" x14ac:dyDescent="0.35">
      <c r="A18" s="112" t="s">
        <v>102</v>
      </c>
      <c r="B18" s="112"/>
      <c r="C18" s="141" t="s">
        <v>190</v>
      </c>
      <c r="D18" s="141"/>
      <c r="E18" s="140" t="s">
        <v>14</v>
      </c>
      <c r="F18" s="140"/>
      <c r="G18" s="141">
        <v>410101</v>
      </c>
      <c r="H18" s="141"/>
    </row>
    <row r="19" spans="1:8" ht="32.25" customHeight="1" x14ac:dyDescent="0.35">
      <c r="A19" s="112" t="s">
        <v>158</v>
      </c>
      <c r="B19" s="112"/>
      <c r="C19" s="176" t="s">
        <v>208</v>
      </c>
      <c r="D19" s="176"/>
      <c r="E19" s="140" t="s">
        <v>15</v>
      </c>
      <c r="F19" s="140"/>
      <c r="G19" s="141" t="s">
        <v>251</v>
      </c>
      <c r="H19" s="141"/>
    </row>
    <row r="20" spans="1:8" ht="15" customHeight="1" x14ac:dyDescent="0.35">
      <c r="A20" s="140" t="s">
        <v>106</v>
      </c>
      <c r="B20" s="140"/>
      <c r="C20" s="140"/>
      <c r="D20" s="140"/>
      <c r="E20" s="142" t="s">
        <v>16</v>
      </c>
      <c r="F20" s="142"/>
      <c r="G20" s="142"/>
      <c r="H20" s="142"/>
    </row>
    <row r="21" spans="1:8" ht="18.75" customHeight="1" x14ac:dyDescent="0.35">
      <c r="A21" s="140"/>
      <c r="B21" s="140"/>
      <c r="C21" s="140"/>
      <c r="D21" s="140"/>
      <c r="E21" s="142"/>
      <c r="F21" s="142"/>
      <c r="G21" s="142"/>
      <c r="H21" s="142"/>
    </row>
    <row r="22" spans="1:8" ht="15" customHeight="1" x14ac:dyDescent="0.35">
      <c r="A22" s="140" t="s">
        <v>17</v>
      </c>
      <c r="B22" s="140"/>
      <c r="C22" s="140"/>
      <c r="D22" s="140"/>
      <c r="E22" s="141" t="s">
        <v>18</v>
      </c>
      <c r="F22" s="141"/>
      <c r="G22" s="141"/>
      <c r="H22" s="141"/>
    </row>
    <row r="23" spans="1:8" ht="15" customHeight="1" x14ac:dyDescent="0.35">
      <c r="A23" s="112" t="s">
        <v>19</v>
      </c>
      <c r="B23" s="112"/>
      <c r="C23" s="112"/>
      <c r="D23" s="112"/>
      <c r="E23" s="141" t="str">
        <f>IF(AND(G17="Mumbai"),"Upper Class","Middle Class")</f>
        <v>Middle Class</v>
      </c>
      <c r="F23" s="141"/>
      <c r="G23" s="141"/>
      <c r="H23" s="141"/>
    </row>
    <row r="24" spans="1:8" x14ac:dyDescent="0.35">
      <c r="A24" s="112" t="s">
        <v>20</v>
      </c>
      <c r="B24" s="112"/>
      <c r="C24" s="112"/>
      <c r="D24" s="112"/>
      <c r="E24" s="141" t="s">
        <v>21</v>
      </c>
      <c r="F24" s="141"/>
      <c r="G24" s="141"/>
      <c r="H24" s="141"/>
    </row>
    <row r="25" spans="1:8" ht="15.75" customHeight="1" x14ac:dyDescent="0.35">
      <c r="A25" s="112" t="s">
        <v>22</v>
      </c>
      <c r="B25" s="112"/>
      <c r="C25" s="112"/>
      <c r="D25" s="112"/>
      <c r="E25" s="141" t="str">
        <f>IF(AND(G17="Mumbai"),"Developed","Developing")</f>
        <v>Developing</v>
      </c>
      <c r="F25" s="141"/>
      <c r="G25" s="141"/>
      <c r="H25" s="141"/>
    </row>
    <row r="26" spans="1:8" x14ac:dyDescent="0.35">
      <c r="A26" s="112" t="s">
        <v>23</v>
      </c>
      <c r="B26" s="112"/>
      <c r="C26" s="112"/>
      <c r="D26" s="112"/>
      <c r="E26" s="141" t="s">
        <v>24</v>
      </c>
      <c r="F26" s="141"/>
      <c r="G26" s="141"/>
      <c r="H26" s="141"/>
    </row>
    <row r="27" spans="1:8" x14ac:dyDescent="0.35">
      <c r="A27" s="112" t="s">
        <v>113</v>
      </c>
      <c r="B27" s="112"/>
      <c r="C27" s="112"/>
      <c r="D27" s="112"/>
      <c r="E27" s="141" t="s">
        <v>114</v>
      </c>
      <c r="F27" s="141"/>
      <c r="G27" s="141"/>
      <c r="H27" s="141"/>
    </row>
    <row r="28" spans="1:8" ht="15" customHeight="1" x14ac:dyDescent="0.35">
      <c r="A28" s="140" t="s">
        <v>33</v>
      </c>
      <c r="B28" s="140"/>
      <c r="C28" s="140"/>
      <c r="D28" s="140"/>
      <c r="E28" s="168" t="s">
        <v>199</v>
      </c>
      <c r="F28" s="168"/>
      <c r="G28" s="168"/>
      <c r="H28" s="168"/>
    </row>
    <row r="29" spans="1:8" x14ac:dyDescent="0.35">
      <c r="A29" s="140" t="s">
        <v>125</v>
      </c>
      <c r="B29" s="140"/>
      <c r="C29" s="140"/>
      <c r="D29" s="140"/>
      <c r="E29" s="140" t="s">
        <v>34</v>
      </c>
      <c r="F29" s="140"/>
      <c r="G29" s="140"/>
      <c r="H29" s="140"/>
    </row>
    <row r="30" spans="1:8" s="11" customFormat="1" x14ac:dyDescent="0.35">
      <c r="A30" s="170" t="s">
        <v>126</v>
      </c>
      <c r="B30" s="170"/>
      <c r="C30" s="169" t="s">
        <v>29</v>
      </c>
      <c r="D30" s="169"/>
      <c r="E30" s="169"/>
      <c r="F30" s="169" t="s">
        <v>31</v>
      </c>
      <c r="G30" s="169"/>
      <c r="H30" s="169"/>
    </row>
    <row r="31" spans="1:8" s="11" customFormat="1" x14ac:dyDescent="0.35">
      <c r="A31" s="160" t="s">
        <v>25</v>
      </c>
      <c r="B31" s="160" t="s">
        <v>30</v>
      </c>
      <c r="C31" s="146" t="s">
        <v>235</v>
      </c>
      <c r="D31" s="146"/>
      <c r="E31" s="146"/>
      <c r="F31" s="146" t="s">
        <v>238</v>
      </c>
      <c r="G31" s="146"/>
      <c r="H31" s="146"/>
    </row>
    <row r="32" spans="1:8" x14ac:dyDescent="0.35">
      <c r="A32" s="160" t="s">
        <v>26</v>
      </c>
      <c r="B32" s="160" t="s">
        <v>30</v>
      </c>
      <c r="C32" s="146" t="s">
        <v>236</v>
      </c>
      <c r="D32" s="146"/>
      <c r="E32" s="146"/>
      <c r="F32" s="146" t="s">
        <v>237</v>
      </c>
      <c r="G32" s="146"/>
      <c r="H32" s="146"/>
    </row>
    <row r="33" spans="1:8" s="11" customFormat="1" x14ac:dyDescent="0.35">
      <c r="A33" s="160" t="s">
        <v>28</v>
      </c>
      <c r="B33" s="160" t="s">
        <v>30</v>
      </c>
      <c r="C33" s="146" t="s">
        <v>233</v>
      </c>
      <c r="D33" s="146"/>
      <c r="E33" s="146"/>
      <c r="F33" s="146" t="s">
        <v>204</v>
      </c>
      <c r="G33" s="146"/>
      <c r="H33" s="146"/>
    </row>
    <row r="34" spans="1:8" x14ac:dyDescent="0.35">
      <c r="A34" s="160" t="s">
        <v>27</v>
      </c>
      <c r="B34" s="160" t="s">
        <v>30</v>
      </c>
      <c r="C34" s="146" t="s">
        <v>234</v>
      </c>
      <c r="D34" s="146"/>
      <c r="E34" s="146"/>
      <c r="F34" s="146" t="s">
        <v>238</v>
      </c>
      <c r="G34" s="146"/>
      <c r="H34" s="146"/>
    </row>
    <row r="35" spans="1:8" x14ac:dyDescent="0.35">
      <c r="A35" s="112" t="s">
        <v>32</v>
      </c>
      <c r="B35" s="112"/>
      <c r="C35" s="112"/>
      <c r="D35" s="112"/>
      <c r="E35" s="112"/>
      <c r="F35" s="112"/>
      <c r="G35" s="112"/>
      <c r="H35" s="112"/>
    </row>
    <row r="36" spans="1:8" ht="15.75" customHeight="1" x14ac:dyDescent="0.35">
      <c r="A36" s="112" t="s">
        <v>225</v>
      </c>
      <c r="B36" s="112"/>
      <c r="C36" s="163" t="s">
        <v>231</v>
      </c>
      <c r="D36" s="163"/>
      <c r="E36" s="163"/>
      <c r="F36" s="163"/>
      <c r="G36" s="163"/>
      <c r="H36" s="163"/>
    </row>
    <row r="37" spans="1:8" ht="15.75" customHeight="1" x14ac:dyDescent="0.35">
      <c r="A37" s="112" t="s">
        <v>226</v>
      </c>
      <c r="B37" s="112"/>
      <c r="C37" s="148" t="s">
        <v>232</v>
      </c>
      <c r="D37" s="149"/>
      <c r="E37" s="149"/>
      <c r="F37" s="149"/>
      <c r="G37" s="149"/>
      <c r="H37" s="149"/>
    </row>
    <row r="38" spans="1:8" x14ac:dyDescent="0.35">
      <c r="A38" s="147" t="s">
        <v>35</v>
      </c>
      <c r="B38" s="147"/>
      <c r="C38" s="147"/>
      <c r="D38" s="147"/>
      <c r="E38" s="147"/>
      <c r="F38" s="147"/>
      <c r="G38" s="147"/>
      <c r="H38" s="147"/>
    </row>
    <row r="39" spans="1:8" x14ac:dyDescent="0.35">
      <c r="A39" s="112" t="s">
        <v>36</v>
      </c>
      <c r="B39" s="112"/>
      <c r="C39" s="112"/>
      <c r="D39" s="112"/>
      <c r="E39" s="145">
        <v>3192.65</v>
      </c>
      <c r="F39" s="145"/>
      <c r="G39" s="145"/>
      <c r="H39" s="145"/>
    </row>
    <row r="40" spans="1:8" x14ac:dyDescent="0.35">
      <c r="A40" s="112" t="s">
        <v>37</v>
      </c>
      <c r="B40" s="112"/>
      <c r="C40" s="112"/>
      <c r="D40" s="112"/>
      <c r="E40" s="162">
        <f>3511.92/E39</f>
        <v>1.1000015660971294</v>
      </c>
      <c r="F40" s="162"/>
      <c r="G40" s="162"/>
      <c r="H40" s="162"/>
    </row>
    <row r="41" spans="1:8" x14ac:dyDescent="0.35">
      <c r="A41" s="112" t="s">
        <v>38</v>
      </c>
      <c r="B41" s="112"/>
      <c r="C41" s="112"/>
      <c r="D41" s="112"/>
      <c r="E41" s="162">
        <f>E43/E39-E40</f>
        <v>1.0939282414295333</v>
      </c>
      <c r="F41" s="162"/>
      <c r="G41" s="162"/>
      <c r="H41" s="162"/>
    </row>
    <row r="42" spans="1:8" x14ac:dyDescent="0.35">
      <c r="A42" s="112" t="s">
        <v>39</v>
      </c>
      <c r="B42" s="112"/>
      <c r="C42" s="112"/>
      <c r="D42" s="112"/>
      <c r="E42" s="162">
        <f>E40+E41</f>
        <v>2.1939298075266627</v>
      </c>
      <c r="F42" s="162"/>
      <c r="G42" s="162"/>
      <c r="H42" s="162"/>
    </row>
    <row r="43" spans="1:8" x14ac:dyDescent="0.35">
      <c r="A43" s="112" t="s">
        <v>124</v>
      </c>
      <c r="B43" s="112"/>
      <c r="C43" s="112"/>
      <c r="D43" s="112"/>
      <c r="E43" s="164">
        <v>7004.45</v>
      </c>
      <c r="F43" s="164"/>
      <c r="G43" s="164"/>
      <c r="H43" s="164"/>
    </row>
    <row r="44" spans="1:8" x14ac:dyDescent="0.35">
      <c r="A44" s="142" t="s">
        <v>40</v>
      </c>
      <c r="B44" s="142"/>
      <c r="C44" s="142"/>
      <c r="D44" s="142"/>
      <c r="E44" s="142" t="s">
        <v>239</v>
      </c>
      <c r="F44" s="142"/>
      <c r="G44" s="142"/>
      <c r="H44" s="142"/>
    </row>
    <row r="45" spans="1:8" x14ac:dyDescent="0.35">
      <c r="A45" s="147" t="s">
        <v>41</v>
      </c>
      <c r="B45" s="147"/>
      <c r="C45" s="147"/>
      <c r="D45" s="147"/>
      <c r="E45" s="147"/>
      <c r="F45" s="147"/>
      <c r="G45" s="147"/>
      <c r="H45" s="147"/>
    </row>
    <row r="46" spans="1:8" x14ac:dyDescent="0.35">
      <c r="A46" s="140" t="s">
        <v>42</v>
      </c>
      <c r="B46" s="140"/>
      <c r="C46" s="113" t="s">
        <v>220</v>
      </c>
      <c r="D46" s="113"/>
      <c r="E46" s="113"/>
      <c r="F46" s="83" t="s">
        <v>43</v>
      </c>
      <c r="G46" s="150">
        <v>44706</v>
      </c>
      <c r="H46" s="150"/>
    </row>
    <row r="47" spans="1:8" x14ac:dyDescent="0.35">
      <c r="A47" s="112" t="s">
        <v>44</v>
      </c>
      <c r="B47" s="112"/>
      <c r="C47" s="113" t="str">
        <f>C46</f>
        <v>MS/LNA-1/PK/28/2021</v>
      </c>
      <c r="D47" s="113"/>
      <c r="E47" s="113"/>
      <c r="F47" s="83" t="s">
        <v>43</v>
      </c>
      <c r="G47" s="150">
        <f>G46</f>
        <v>44706</v>
      </c>
      <c r="H47" s="150"/>
    </row>
    <row r="48" spans="1:8" s="10" customFormat="1" ht="34.25" customHeight="1" x14ac:dyDescent="0.35">
      <c r="A48" s="141" t="s">
        <v>250</v>
      </c>
      <c r="B48" s="141"/>
      <c r="C48" s="113" t="s">
        <v>242</v>
      </c>
      <c r="D48" s="90"/>
      <c r="E48" s="90"/>
      <c r="F48" s="13" t="s">
        <v>43</v>
      </c>
      <c r="G48" s="150">
        <f>G47</f>
        <v>44706</v>
      </c>
      <c r="H48" s="150"/>
    </row>
    <row r="49" spans="1:14" s="10" customFormat="1" ht="33.75" customHeight="1" x14ac:dyDescent="0.35">
      <c r="A49" s="141"/>
      <c r="B49" s="141"/>
      <c r="C49" s="113" t="s">
        <v>240</v>
      </c>
      <c r="D49" s="113"/>
      <c r="E49" s="113"/>
      <c r="F49" s="113"/>
      <c r="G49" s="113"/>
      <c r="H49" s="113"/>
    </row>
    <row r="50" spans="1:14" x14ac:dyDescent="0.35">
      <c r="A50" s="157" t="s">
        <v>45</v>
      </c>
      <c r="B50" s="157"/>
      <c r="C50" s="158" t="s">
        <v>140</v>
      </c>
      <c r="D50" s="159"/>
      <c r="E50" s="159" t="s">
        <v>46</v>
      </c>
      <c r="F50" s="82" t="s">
        <v>43</v>
      </c>
      <c r="G50" s="191" t="s">
        <v>30</v>
      </c>
      <c r="H50" s="191"/>
    </row>
    <row r="51" spans="1:14" x14ac:dyDescent="0.35">
      <c r="A51" s="139" t="s">
        <v>48</v>
      </c>
      <c r="B51" s="139"/>
      <c r="C51" s="139"/>
      <c r="D51" s="139"/>
      <c r="E51" s="139"/>
      <c r="F51" s="139"/>
      <c r="G51" s="139"/>
      <c r="H51" s="139"/>
    </row>
    <row r="52" spans="1:14" x14ac:dyDescent="0.35">
      <c r="A52" s="140" t="s">
        <v>123</v>
      </c>
      <c r="B52" s="140"/>
      <c r="C52" s="140"/>
      <c r="D52" s="112">
        <f>E43</f>
        <v>7004.45</v>
      </c>
      <c r="E52" s="112"/>
      <c r="F52" s="112"/>
      <c r="G52" s="112"/>
      <c r="H52" s="112"/>
    </row>
    <row r="53" spans="1:14" x14ac:dyDescent="0.35">
      <c r="A53" s="141" t="s">
        <v>49</v>
      </c>
      <c r="B53" s="142"/>
      <c r="C53" s="142"/>
      <c r="D53" s="142" t="s">
        <v>247</v>
      </c>
      <c r="E53" s="142"/>
      <c r="F53" s="142"/>
      <c r="G53" s="142"/>
      <c r="H53" s="142"/>
      <c r="I53" s="43"/>
    </row>
    <row r="54" spans="1:14" ht="32.25" customHeight="1" x14ac:dyDescent="0.35">
      <c r="A54" s="151" t="s">
        <v>50</v>
      </c>
      <c r="B54" s="152"/>
      <c r="C54" s="167"/>
      <c r="D54" s="165" t="s">
        <v>240</v>
      </c>
      <c r="E54" s="166"/>
      <c r="F54" s="166"/>
      <c r="G54" s="166"/>
      <c r="H54" s="166"/>
      <c r="I54" s="44"/>
    </row>
    <row r="55" spans="1:14" ht="15.75" customHeight="1" x14ac:dyDescent="0.35">
      <c r="A55" s="151" t="s">
        <v>121</v>
      </c>
      <c r="B55" s="152"/>
      <c r="C55" s="152"/>
      <c r="D55" s="142" t="s">
        <v>222</v>
      </c>
      <c r="E55" s="142"/>
      <c r="F55" s="142"/>
      <c r="G55" s="142"/>
      <c r="H55" s="142"/>
      <c r="I55" s="44"/>
    </row>
    <row r="56" spans="1:14" ht="15.75" customHeight="1" x14ac:dyDescent="0.35">
      <c r="A56" s="153"/>
      <c r="B56" s="154"/>
      <c r="C56" s="154"/>
      <c r="D56" s="142" t="s">
        <v>219</v>
      </c>
      <c r="E56" s="142"/>
      <c r="F56" s="142"/>
      <c r="G56" s="142"/>
      <c r="H56" s="142"/>
      <c r="I56" s="44"/>
    </row>
    <row r="57" spans="1:14" ht="15.75" customHeight="1" x14ac:dyDescent="0.35">
      <c r="A57" s="155"/>
      <c r="B57" s="156"/>
      <c r="C57" s="156"/>
      <c r="D57" s="192" t="s">
        <v>241</v>
      </c>
      <c r="E57" s="193"/>
      <c r="F57" s="193"/>
      <c r="G57" s="193"/>
      <c r="H57" s="194"/>
      <c r="I57" s="44"/>
    </row>
    <row r="58" spans="1:14" ht="15.75" customHeight="1" x14ac:dyDescent="0.35">
      <c r="A58" s="112" t="s">
        <v>47</v>
      </c>
      <c r="B58" s="112"/>
      <c r="C58" s="112"/>
      <c r="D58" s="140" t="s">
        <v>200</v>
      </c>
      <c r="E58" s="140"/>
      <c r="F58" s="140"/>
      <c r="G58" s="140"/>
      <c r="H58" s="140"/>
      <c r="J58" s="42"/>
      <c r="K58" s="43"/>
      <c r="N58" s="43"/>
    </row>
    <row r="59" spans="1:14" ht="15.75" customHeight="1" x14ac:dyDescent="0.35">
      <c r="A59" s="112" t="s">
        <v>119</v>
      </c>
      <c r="B59" s="112"/>
      <c r="C59" s="112"/>
      <c r="D59" s="161" t="str">
        <f>(IF(G50="NA","60 Years After Completion",IF(G50&lt;&gt;"NA",""&amp;60-ROUNDDOWN((E3-G50)/360,0)&amp;" Years"," ")))</f>
        <v>60 Years After Completion</v>
      </c>
      <c r="E59" s="161"/>
      <c r="F59" s="161"/>
      <c r="G59" s="161"/>
      <c r="H59" s="161"/>
      <c r="N59" s="43"/>
    </row>
    <row r="60" spans="1:14" ht="15.75" customHeight="1" x14ac:dyDescent="0.35">
      <c r="A60" s="112" t="s">
        <v>120</v>
      </c>
      <c r="B60" s="112"/>
      <c r="C60" s="112"/>
      <c r="D60" s="140" t="s">
        <v>24</v>
      </c>
      <c r="E60" s="140"/>
      <c r="F60" s="140"/>
      <c r="G60" s="140"/>
      <c r="H60" s="140"/>
      <c r="J60" s="18"/>
      <c r="K60" s="18"/>
    </row>
    <row r="61" spans="1:14" ht="15.75" customHeight="1" thickBot="1" x14ac:dyDescent="0.4">
      <c r="A61" s="190" t="s">
        <v>118</v>
      </c>
      <c r="B61" s="190"/>
      <c r="C61" s="190"/>
      <c r="D61" s="165" t="str">
        <f ca="1">(IF(G80&gt;95%,"Nothing",IF(G80&gt;0%,"Cement, Aggregate, Steel, etc",IF(G80=0%,"Work not yet Started"))))</f>
        <v>Cement, Aggregate, Steel, etc</v>
      </c>
      <c r="E61" s="165"/>
      <c r="F61" s="165"/>
      <c r="G61" s="165"/>
      <c r="H61" s="165"/>
      <c r="J61" s="18"/>
    </row>
    <row r="62" spans="1:14" ht="15.75" customHeight="1" x14ac:dyDescent="0.35">
      <c r="A62" s="114" t="s">
        <v>176</v>
      </c>
      <c r="B62" s="115"/>
      <c r="C62" s="116" t="str">
        <f>D55</f>
        <v>A Wing = G/St + 1st to 6th Floor</v>
      </c>
      <c r="D62" s="117"/>
      <c r="E62" s="117"/>
      <c r="F62" s="117"/>
      <c r="G62" s="117"/>
      <c r="H62" s="118"/>
      <c r="I62" s="48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All work completed. Please provide OC.</v>
      </c>
      <c r="J62" s="19"/>
    </row>
    <row r="63" spans="1:14" x14ac:dyDescent="0.35">
      <c r="A63" s="54" t="s">
        <v>178</v>
      </c>
      <c r="B63" s="60">
        <v>0</v>
      </c>
      <c r="C63" s="60" t="s">
        <v>100</v>
      </c>
      <c r="D63" s="60">
        <v>1</v>
      </c>
      <c r="E63" s="60" t="s">
        <v>99</v>
      </c>
      <c r="F63" s="60">
        <v>0</v>
      </c>
      <c r="G63" s="60" t="s">
        <v>112</v>
      </c>
      <c r="H63" s="57">
        <f ca="1">--TRIM(RIGHT(SUBSTITUTE(LEFT(C62,_xlfn.AGGREGATE(16,6,FIND({0,1,2,3,4,5,6,7,8,9},C62,ROW(INDIRECT("1:"&amp;LEN(C62)))),1))," ",REPT(" ",LEN(C62))),LEN(C62)))</f>
        <v>6</v>
      </c>
      <c r="I63" s="49"/>
      <c r="J63" s="20"/>
    </row>
    <row r="64" spans="1:14" x14ac:dyDescent="0.35">
      <c r="A64" s="123" t="s">
        <v>122</v>
      </c>
      <c r="B64" s="124"/>
      <c r="C64" s="109" t="str">
        <f ca="1">I62</f>
        <v>All work completed. Please provide OC.</v>
      </c>
      <c r="D64" s="109"/>
      <c r="E64" s="109"/>
      <c r="F64" s="109"/>
      <c r="G64" s="109"/>
      <c r="H64" s="125"/>
      <c r="I64" s="49" t="s">
        <v>138</v>
      </c>
      <c r="J64" s="20"/>
    </row>
    <row r="65" spans="1:10" ht="15.75" customHeight="1" x14ac:dyDescent="0.35">
      <c r="A65" s="110" t="s">
        <v>51</v>
      </c>
      <c r="B65" s="111"/>
      <c r="C65" s="61" t="s">
        <v>175</v>
      </c>
      <c r="D65" s="62" t="s">
        <v>115</v>
      </c>
      <c r="E65" s="111" t="s">
        <v>117</v>
      </c>
      <c r="F65" s="111"/>
      <c r="G65" s="111" t="s">
        <v>116</v>
      </c>
      <c r="H65" s="126"/>
      <c r="I65" s="41" t="s">
        <v>177</v>
      </c>
      <c r="J65" s="21">
        <f ca="1">H63*25%</f>
        <v>1.5</v>
      </c>
    </row>
    <row r="66" spans="1:10" x14ac:dyDescent="0.35">
      <c r="A66" s="111" t="s">
        <v>164</v>
      </c>
      <c r="B66" s="111"/>
      <c r="C66" s="63">
        <f ca="1">J67</f>
        <v>6</v>
      </c>
      <c r="D66" s="86">
        <f ca="1">((100/H63)*C66)/100</f>
        <v>1</v>
      </c>
      <c r="E66" s="119">
        <f ca="1">(((C67/H63*10)+(40/(D63+F63+H63)*C68)+(7.5/(H63)*C69)+(7.5/(H63)*C70)+(10/H63*C71)+(10/H63*C72)+(5/H63*C73)+(5/H63*C74)+(5/H63*C75))/100)</f>
        <v>1</v>
      </c>
      <c r="F66" s="119"/>
      <c r="G66" s="119">
        <f ca="1">((((C66/H63)*20)+((C67/H63)*25)+(30/(H63+F63+D63)*C68)+(5/H63*C69)+(5/H63*C70)+(5/H63*C71)+(5/H63*C72)+(0/H63*C73)+(0/H63*C74)+(5/H63*C75))/100)</f>
        <v>1</v>
      </c>
      <c r="H66" s="119"/>
      <c r="I66" s="41" t="s">
        <v>133</v>
      </c>
      <c r="J66" s="47">
        <f ca="1">H63*50%</f>
        <v>3</v>
      </c>
    </row>
    <row r="67" spans="1:10" x14ac:dyDescent="0.35">
      <c r="A67" s="111" t="s">
        <v>52</v>
      </c>
      <c r="B67" s="111"/>
      <c r="C67" s="65">
        <f ca="1">J75</f>
        <v>6</v>
      </c>
      <c r="D67" s="86">
        <f ca="1">((100/H63)*C67)/100</f>
        <v>1</v>
      </c>
      <c r="E67" s="119"/>
      <c r="F67" s="119"/>
      <c r="G67" s="119"/>
      <c r="H67" s="119"/>
      <c r="I67" s="41" t="s">
        <v>134</v>
      </c>
      <c r="J67" s="47">
        <f ca="1">H63</f>
        <v>6</v>
      </c>
    </row>
    <row r="68" spans="1:10" ht="15.75" customHeight="1" x14ac:dyDescent="0.35">
      <c r="A68" s="111" t="s">
        <v>165</v>
      </c>
      <c r="B68" s="111"/>
      <c r="C68" s="65">
        <v>7</v>
      </c>
      <c r="D68" s="86">
        <f ca="1">((100/(D63+F63+H63))*C68)/100</f>
        <v>1</v>
      </c>
      <c r="E68" s="119"/>
      <c r="F68" s="119"/>
      <c r="G68" s="119"/>
      <c r="H68" s="119"/>
      <c r="I68" s="41" t="s">
        <v>135</v>
      </c>
      <c r="J68" s="51">
        <f ca="1">(IF(B63&gt;1,(H63/(B63+2)),H63/4))</f>
        <v>1.5</v>
      </c>
    </row>
    <row r="69" spans="1:10" ht="15.75" customHeight="1" x14ac:dyDescent="0.35">
      <c r="A69" s="111" t="s">
        <v>172</v>
      </c>
      <c r="B69" s="111" t="s">
        <v>166</v>
      </c>
      <c r="C69" s="63">
        <v>6</v>
      </c>
      <c r="D69" s="86">
        <f ca="1">((100/H63)*C69)/100</f>
        <v>1</v>
      </c>
      <c r="E69" s="119"/>
      <c r="F69" s="119"/>
      <c r="G69" s="119"/>
      <c r="H69" s="119"/>
      <c r="I69" s="41" t="s">
        <v>136</v>
      </c>
      <c r="J69" s="51">
        <f ca="1">(IF(B63&gt;1,(H63/(B63+2)+J68),H63/4+J68))</f>
        <v>3</v>
      </c>
    </row>
    <row r="70" spans="1:10" ht="15.75" customHeight="1" x14ac:dyDescent="0.35">
      <c r="A70" s="111" t="s">
        <v>173</v>
      </c>
      <c r="B70" s="111" t="s">
        <v>166</v>
      </c>
      <c r="C70" s="63">
        <v>6</v>
      </c>
      <c r="D70" s="86">
        <f ca="1">((100/H63)*C70)/100</f>
        <v>1</v>
      </c>
      <c r="E70" s="119"/>
      <c r="F70" s="119"/>
      <c r="G70" s="119"/>
      <c r="H70" s="119"/>
      <c r="I70" s="41" t="s">
        <v>182</v>
      </c>
      <c r="J70" s="51">
        <f>(IF(B63&gt;1,(H63/(B63+2)+J69),0))</f>
        <v>0</v>
      </c>
    </row>
    <row r="71" spans="1:10" ht="15" customHeight="1" x14ac:dyDescent="0.35">
      <c r="A71" s="111" t="s">
        <v>171</v>
      </c>
      <c r="B71" s="111" t="s">
        <v>168</v>
      </c>
      <c r="C71" s="63">
        <v>6</v>
      </c>
      <c r="D71" s="86">
        <f ca="1">((100/(H63))*C71)/100</f>
        <v>1</v>
      </c>
      <c r="E71" s="119"/>
      <c r="F71" s="119"/>
      <c r="G71" s="119"/>
      <c r="H71" s="119"/>
      <c r="I71" s="41" t="s">
        <v>179</v>
      </c>
      <c r="J71" s="51">
        <f>(IF(B63&gt;2,(H63/(B63+2)+J70),0))</f>
        <v>0</v>
      </c>
    </row>
    <row r="72" spans="1:10" ht="15.75" customHeight="1" x14ac:dyDescent="0.35">
      <c r="A72" s="111" t="s">
        <v>167</v>
      </c>
      <c r="B72" s="111" t="s">
        <v>167</v>
      </c>
      <c r="C72" s="63">
        <v>6</v>
      </c>
      <c r="D72" s="86">
        <f ca="1">((100/H63)*C72)/100</f>
        <v>1</v>
      </c>
      <c r="E72" s="119"/>
      <c r="F72" s="119"/>
      <c r="G72" s="119"/>
      <c r="H72" s="119"/>
      <c r="I72" s="41" t="s">
        <v>180</v>
      </c>
      <c r="J72" s="52">
        <f>(IF(B63&gt;3,(H63/(B63+2)+J71),0))</f>
        <v>0</v>
      </c>
    </row>
    <row r="73" spans="1:10" ht="15.75" customHeight="1" x14ac:dyDescent="0.35">
      <c r="A73" s="111" t="s">
        <v>174</v>
      </c>
      <c r="B73" s="111"/>
      <c r="C73" s="63">
        <v>6</v>
      </c>
      <c r="D73" s="86">
        <f ca="1">((100/H63)*C73)/100</f>
        <v>1</v>
      </c>
      <c r="E73" s="119"/>
      <c r="F73" s="119"/>
      <c r="G73" s="119"/>
      <c r="H73" s="119"/>
      <c r="I73" s="41" t="s">
        <v>181</v>
      </c>
      <c r="J73" s="51">
        <f>(IF(B63&gt;4,(H63/(B63+2)+J72),0))</f>
        <v>0</v>
      </c>
    </row>
    <row r="74" spans="1:10" ht="15.75" customHeight="1" x14ac:dyDescent="0.35">
      <c r="A74" s="111" t="s">
        <v>169</v>
      </c>
      <c r="B74" s="111" t="s">
        <v>169</v>
      </c>
      <c r="C74" s="63">
        <v>6</v>
      </c>
      <c r="D74" s="86">
        <f ca="1">((100/(H63))*C74)/100</f>
        <v>1</v>
      </c>
      <c r="E74" s="119"/>
      <c r="F74" s="119"/>
      <c r="G74" s="119"/>
      <c r="H74" s="119"/>
      <c r="I74" s="41" t="s">
        <v>183</v>
      </c>
      <c r="J74" s="51">
        <f ca="1">(IF(B63=1,(H63/(B63+3)+J69),IF(B63=0,(H63/4+J69),IF(B63&gt;1,0))))</f>
        <v>4.5</v>
      </c>
    </row>
    <row r="75" spans="1:10" ht="16" thickBot="1" x14ac:dyDescent="0.4">
      <c r="A75" s="111" t="s">
        <v>170</v>
      </c>
      <c r="B75" s="111"/>
      <c r="C75" s="63">
        <v>6</v>
      </c>
      <c r="D75" s="86">
        <f ca="1">((100/(H63))*C75)/100</f>
        <v>1</v>
      </c>
      <c r="E75" s="119"/>
      <c r="F75" s="119"/>
      <c r="G75" s="119"/>
      <c r="H75" s="119"/>
      <c r="I75" s="50" t="s">
        <v>137</v>
      </c>
      <c r="J75" s="53">
        <f ca="1">(IF(B63&gt;1.5,(H63/(B63+2)+J69+MAX(0,J70-J69)+MAX(0,J71-J70)+MAX(0,J72-J71)+MAX(0,J73-J72)+MAX(0,J74-J73)),IF(B63=1,(H63/(B63+3)+J74),IF(B63=0,H63/4+J74))))</f>
        <v>6</v>
      </c>
    </row>
    <row r="76" spans="1:10" ht="15.75" customHeight="1" x14ac:dyDescent="0.35">
      <c r="A76" s="109" t="s">
        <v>176</v>
      </c>
      <c r="B76" s="109"/>
      <c r="C76" s="109" t="s">
        <v>219</v>
      </c>
      <c r="D76" s="109"/>
      <c r="E76" s="109"/>
      <c r="F76" s="109"/>
      <c r="G76" s="109"/>
      <c r="H76" s="109"/>
      <c r="I76" s="48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Slab, Brickwork, Internal Plaster, External Plaster upto 6 Floor, Flooring upto 4 Floor, Painting upto 3 Floor Completed</v>
      </c>
      <c r="J76" s="19"/>
    </row>
    <row r="77" spans="1:10" x14ac:dyDescent="0.35">
      <c r="A77" s="85" t="s">
        <v>178</v>
      </c>
      <c r="B77" s="85">
        <v>0</v>
      </c>
      <c r="C77" s="85" t="s">
        <v>100</v>
      </c>
      <c r="D77" s="85">
        <v>1</v>
      </c>
      <c r="E77" s="85" t="s">
        <v>99</v>
      </c>
      <c r="F77" s="85">
        <v>0</v>
      </c>
      <c r="G77" s="85" t="s">
        <v>112</v>
      </c>
      <c r="H77" s="85">
        <f ca="1">--TRIM(RIGHT(SUBSTITUTE(LEFT(C76,_xlfn.AGGREGATE(16,6,FIND({0,1,2,3,4,5,6,7,8,9},C76,ROW(INDIRECT("1:"&amp;LEN(C76)))),1))," ",REPT(" ",LEN(C76))),LEN(C76)))</f>
        <v>7</v>
      </c>
      <c r="I77" s="49"/>
      <c r="J77" s="20"/>
    </row>
    <row r="78" spans="1:10" ht="31.5" customHeight="1" x14ac:dyDescent="0.35">
      <c r="A78" s="124" t="s">
        <v>122</v>
      </c>
      <c r="B78" s="124"/>
      <c r="C78" s="109" t="str">
        <f ca="1">I76</f>
        <v>Excavation work Completed. Plinth work completed, RCC Slab, Brickwork, Internal Plaster, External Plaster upto 6 Floor, Flooring upto 4 Floor, Painting upto 3 Floor Completed</v>
      </c>
      <c r="D78" s="109"/>
      <c r="E78" s="109"/>
      <c r="F78" s="109"/>
      <c r="G78" s="109"/>
      <c r="H78" s="109"/>
      <c r="I78" s="49" t="s">
        <v>138</v>
      </c>
      <c r="J78" s="20"/>
    </row>
    <row r="79" spans="1:10" ht="15.75" customHeight="1" x14ac:dyDescent="0.35">
      <c r="A79" s="111" t="s">
        <v>51</v>
      </c>
      <c r="B79" s="111"/>
      <c r="C79" s="61" t="s">
        <v>175</v>
      </c>
      <c r="D79" s="81" t="s">
        <v>115</v>
      </c>
      <c r="E79" s="111" t="s">
        <v>117</v>
      </c>
      <c r="F79" s="111"/>
      <c r="G79" s="111" t="s">
        <v>116</v>
      </c>
      <c r="H79" s="111"/>
      <c r="I79" s="41" t="s">
        <v>177</v>
      </c>
      <c r="J79" s="21">
        <f ca="1">H77*25%</f>
        <v>1.75</v>
      </c>
    </row>
    <row r="80" spans="1:10" x14ac:dyDescent="0.35">
      <c r="A80" s="111" t="s">
        <v>164</v>
      </c>
      <c r="B80" s="111"/>
      <c r="C80" s="63">
        <f ca="1">J81</f>
        <v>7</v>
      </c>
      <c r="D80" s="86">
        <f ca="1">((100/H77)*C80)/100</f>
        <v>1</v>
      </c>
      <c r="E80" s="119">
        <f ca="1">(((C81/H77*10)+(40/(D77+F77+H77)*C82)+(7.5/(H77)*C83)+(7.5/(H77)*C84)+(10/H77*C85)+(10/H77*C86)+(5/H77*C87)+(5/H77*C88)+(5/H77*C89))/100)</f>
        <v>0.81428571428571417</v>
      </c>
      <c r="F80" s="119"/>
      <c r="G80" s="119">
        <f ca="1">((((C80/H77)*20)+((C81/H77)*25)+(30/(H77+F77+D77)*C82)+(5/H77*C83)+(5/H77*C84)+(5/H77*C85)+(5/H77*C86)+(0/H77*C87)+(0/H77*C88)+(5/H77*C89))/100)</f>
        <v>0.92142857142857149</v>
      </c>
      <c r="H80" s="119"/>
      <c r="I80" s="41" t="s">
        <v>133</v>
      </c>
      <c r="J80" s="47">
        <f ca="1">H77*50%</f>
        <v>3.5</v>
      </c>
    </row>
    <row r="81" spans="1:10" x14ac:dyDescent="0.35">
      <c r="A81" s="111" t="s">
        <v>52</v>
      </c>
      <c r="B81" s="111"/>
      <c r="C81" s="65">
        <f ca="1">J89</f>
        <v>7</v>
      </c>
      <c r="D81" s="86">
        <f ca="1">((100/H77)*C81)/100</f>
        <v>1</v>
      </c>
      <c r="E81" s="119"/>
      <c r="F81" s="119"/>
      <c r="G81" s="119"/>
      <c r="H81" s="119"/>
      <c r="I81" s="41" t="s">
        <v>134</v>
      </c>
      <c r="J81" s="47">
        <f ca="1">H77</f>
        <v>7</v>
      </c>
    </row>
    <row r="82" spans="1:10" ht="15.75" customHeight="1" x14ac:dyDescent="0.35">
      <c r="A82" s="111" t="s">
        <v>165</v>
      </c>
      <c r="B82" s="111"/>
      <c r="C82" s="65">
        <v>8</v>
      </c>
      <c r="D82" s="86">
        <f ca="1">((100/(D77+F77+H77))*C82)/100</f>
        <v>1</v>
      </c>
      <c r="E82" s="119"/>
      <c r="F82" s="119"/>
      <c r="G82" s="119"/>
      <c r="H82" s="119"/>
      <c r="I82" s="41" t="s">
        <v>135</v>
      </c>
      <c r="J82" s="51">
        <f ca="1">(IF(B77&gt;1,(H77/(B77+2)),H77/4))</f>
        <v>1.75</v>
      </c>
    </row>
    <row r="83" spans="1:10" ht="15.75" customHeight="1" x14ac:dyDescent="0.35">
      <c r="A83" s="111" t="s">
        <v>172</v>
      </c>
      <c r="B83" s="111" t="s">
        <v>166</v>
      </c>
      <c r="C83" s="63">
        <v>7</v>
      </c>
      <c r="D83" s="86">
        <f ca="1">((100/H77)*C83)/100</f>
        <v>1</v>
      </c>
      <c r="E83" s="119"/>
      <c r="F83" s="119"/>
      <c r="G83" s="119"/>
      <c r="H83" s="119"/>
      <c r="I83" s="41" t="s">
        <v>136</v>
      </c>
      <c r="J83" s="51">
        <f ca="1">(IF(B77&gt;1,(H77/(B77+2)+J82),H77/4+J82))</f>
        <v>3.5</v>
      </c>
    </row>
    <row r="84" spans="1:10" ht="15.75" customHeight="1" x14ac:dyDescent="0.35">
      <c r="A84" s="111" t="s">
        <v>173</v>
      </c>
      <c r="B84" s="111" t="s">
        <v>166</v>
      </c>
      <c r="C84" s="63">
        <v>7</v>
      </c>
      <c r="D84" s="86">
        <f ca="1">((100/H77)*C84)/100</f>
        <v>1</v>
      </c>
      <c r="E84" s="119"/>
      <c r="F84" s="119"/>
      <c r="G84" s="119"/>
      <c r="H84" s="119"/>
      <c r="I84" s="41" t="s">
        <v>182</v>
      </c>
      <c r="J84" s="51">
        <f>(IF(B77&gt;1,(H77/(B77+2)+J83),0))</f>
        <v>0</v>
      </c>
    </row>
    <row r="85" spans="1:10" ht="15" customHeight="1" x14ac:dyDescent="0.35">
      <c r="A85" s="111" t="s">
        <v>171</v>
      </c>
      <c r="B85" s="111" t="s">
        <v>168</v>
      </c>
      <c r="C85" s="63">
        <v>6</v>
      </c>
      <c r="D85" s="86">
        <f ca="1">((100/(H77))*C85)/100</f>
        <v>0.85714285714285721</v>
      </c>
      <c r="E85" s="119"/>
      <c r="F85" s="119"/>
      <c r="G85" s="119"/>
      <c r="H85" s="119"/>
      <c r="I85" s="41" t="s">
        <v>179</v>
      </c>
      <c r="J85" s="51">
        <f>(IF(B77&gt;2,(H77/(B77+2)+J84),0))</f>
        <v>0</v>
      </c>
    </row>
    <row r="86" spans="1:10" ht="15.75" customHeight="1" x14ac:dyDescent="0.35">
      <c r="A86" s="111" t="s">
        <v>167</v>
      </c>
      <c r="B86" s="111" t="s">
        <v>167</v>
      </c>
      <c r="C86" s="63">
        <v>4</v>
      </c>
      <c r="D86" s="86">
        <f ca="1">((100/H77)*C86)/100</f>
        <v>0.57142857142857151</v>
      </c>
      <c r="E86" s="119"/>
      <c r="F86" s="119"/>
      <c r="G86" s="119"/>
      <c r="H86" s="119"/>
      <c r="I86" s="41" t="s">
        <v>180</v>
      </c>
      <c r="J86" s="52">
        <f>(IF(B77&gt;3,(H77/(B77+2)+J85),0))</f>
        <v>0</v>
      </c>
    </row>
    <row r="87" spans="1:10" ht="15.75" customHeight="1" x14ac:dyDescent="0.35">
      <c r="A87" s="111" t="s">
        <v>174</v>
      </c>
      <c r="B87" s="111"/>
      <c r="C87" s="63">
        <v>3</v>
      </c>
      <c r="D87" s="86">
        <f ca="1">((100/H77)*C87)/100</f>
        <v>0.4285714285714286</v>
      </c>
      <c r="E87" s="119"/>
      <c r="F87" s="119"/>
      <c r="G87" s="119"/>
      <c r="H87" s="119"/>
      <c r="I87" s="41" t="s">
        <v>181</v>
      </c>
      <c r="J87" s="51">
        <f>(IF(B77&gt;4,(H77/(B77+2)+J86),0))</f>
        <v>0</v>
      </c>
    </row>
    <row r="88" spans="1:10" ht="15.75" customHeight="1" x14ac:dyDescent="0.35">
      <c r="A88" s="111" t="s">
        <v>169</v>
      </c>
      <c r="B88" s="111" t="s">
        <v>169</v>
      </c>
      <c r="C88" s="63">
        <v>0</v>
      </c>
      <c r="D88" s="86">
        <f ca="1">((100/(H77))*C88)/100</f>
        <v>0</v>
      </c>
      <c r="E88" s="119"/>
      <c r="F88" s="119"/>
      <c r="G88" s="119"/>
      <c r="H88" s="119"/>
      <c r="I88" s="41" t="s">
        <v>183</v>
      </c>
      <c r="J88" s="51">
        <f ca="1">(IF(B77=1,(H77/(B77+3)+J83),IF(B77=0,(H77/4+J83),IF(B77&gt;1,0))))</f>
        <v>5.25</v>
      </c>
    </row>
    <row r="89" spans="1:10" ht="16" thickBot="1" x14ac:dyDescent="0.4">
      <c r="A89" s="111" t="s">
        <v>170</v>
      </c>
      <c r="B89" s="111"/>
      <c r="C89" s="63">
        <v>0</v>
      </c>
      <c r="D89" s="86">
        <f ca="1">((100/(H77))*C89)/100</f>
        <v>0</v>
      </c>
      <c r="E89" s="119"/>
      <c r="F89" s="119"/>
      <c r="G89" s="119"/>
      <c r="H89" s="119"/>
      <c r="I89" s="50" t="s">
        <v>137</v>
      </c>
      <c r="J89" s="53">
        <f ca="1">(IF(B77&gt;1.5,(H77/(B77+2)+J83+MAX(0,J84-J83)+MAX(0,J85-J84)+MAX(0,J86-J85)+MAX(0,J87-J86)+MAX(0,J88-J87)),IF(B77=1,(H77/(B77+3)+J88),IF(B77=0,H77/4+J88))))</f>
        <v>7</v>
      </c>
    </row>
    <row r="90" spans="1:10" ht="15.75" customHeight="1" x14ac:dyDescent="0.35">
      <c r="A90" s="205" t="s">
        <v>176</v>
      </c>
      <c r="B90" s="206"/>
      <c r="C90" s="207" t="s">
        <v>241</v>
      </c>
      <c r="D90" s="208"/>
      <c r="E90" s="208"/>
      <c r="F90" s="208"/>
      <c r="G90" s="208"/>
      <c r="H90" s="209"/>
      <c r="I90" s="48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 upto 4 Floor Completed</v>
      </c>
      <c r="J90" s="19"/>
    </row>
    <row r="91" spans="1:10" x14ac:dyDescent="0.35">
      <c r="A91" s="54" t="s">
        <v>178</v>
      </c>
      <c r="B91" s="60">
        <v>0</v>
      </c>
      <c r="C91" s="60" t="s">
        <v>100</v>
      </c>
      <c r="D91" s="60">
        <v>1</v>
      </c>
      <c r="E91" s="60" t="s">
        <v>99</v>
      </c>
      <c r="F91" s="60">
        <v>0</v>
      </c>
      <c r="G91" s="60" t="s">
        <v>112</v>
      </c>
      <c r="H91" s="57">
        <f ca="1">--TRIM(RIGHT(SUBSTITUTE(LEFT(C90,_xlfn.AGGREGATE(16,6,FIND({0,1,2,3,4,5,6,7,8,9},C90,ROW(INDIRECT("1:"&amp;LEN(C90)))),1))," ",REPT(" ",LEN(C90))),LEN(C90)))</f>
        <v>7</v>
      </c>
      <c r="I91" s="49"/>
      <c r="J91" s="20"/>
    </row>
    <row r="92" spans="1:10" ht="33.65" customHeight="1" x14ac:dyDescent="0.35">
      <c r="A92" s="123" t="s">
        <v>122</v>
      </c>
      <c r="B92" s="124"/>
      <c r="C92" s="109" t="str">
        <f ca="1">I90</f>
        <v>Excavation work Completed. Plinth work completed, RCC Slab, Brickwork, Internal Plaster, External Plaster upto 4 Floor Completed</v>
      </c>
      <c r="D92" s="109"/>
      <c r="E92" s="109"/>
      <c r="F92" s="109"/>
      <c r="G92" s="109"/>
      <c r="H92" s="125"/>
      <c r="I92" s="49" t="s">
        <v>138</v>
      </c>
      <c r="J92" s="20"/>
    </row>
    <row r="93" spans="1:10" ht="15.75" customHeight="1" x14ac:dyDescent="0.35">
      <c r="A93" s="110" t="s">
        <v>51</v>
      </c>
      <c r="B93" s="111"/>
      <c r="C93" s="61" t="s">
        <v>175</v>
      </c>
      <c r="D93" s="62" t="s">
        <v>115</v>
      </c>
      <c r="E93" s="111" t="s">
        <v>117</v>
      </c>
      <c r="F93" s="111"/>
      <c r="G93" s="111" t="s">
        <v>116</v>
      </c>
      <c r="H93" s="126"/>
      <c r="I93" s="41" t="s">
        <v>177</v>
      </c>
      <c r="J93" s="21">
        <f ca="1">H91*25%</f>
        <v>1.75</v>
      </c>
    </row>
    <row r="94" spans="1:10" x14ac:dyDescent="0.35">
      <c r="A94" s="110" t="s">
        <v>164</v>
      </c>
      <c r="B94" s="111"/>
      <c r="C94" s="65">
        <f ca="1">J95</f>
        <v>7</v>
      </c>
      <c r="D94" s="64">
        <f ca="1">((100/H91)*C94)/100</f>
        <v>1</v>
      </c>
      <c r="E94" s="119">
        <f ca="1">(((C95/H91*10)+(40/(D91+F91+H91)*C96)+(7.5/(H91)*C97)+(7.5/(H91)*C98)+(10/H91*C99)+(10/H91*C100)+(5/H91*C101)+(5/H91*C102)+(5/H91*C103))/100)</f>
        <v>0.70714285714285707</v>
      </c>
      <c r="F94" s="119"/>
      <c r="G94" s="119">
        <f ca="1">((((C94/H91)*20)+((C95/H91)*25)+(30/(H91+F91+D91)*C96)+(5/H91*C97)+(5/H91*C98)+(5/H91*C99)+(5/H91*C100)+(0/H91*C101)+(0/H91*C102)+(5/H91*C103))/100)</f>
        <v>0.87857142857142856</v>
      </c>
      <c r="H94" s="127"/>
      <c r="I94" s="41" t="s">
        <v>133</v>
      </c>
      <c r="J94" s="47">
        <f ca="1">H91*50%</f>
        <v>3.5</v>
      </c>
    </row>
    <row r="95" spans="1:10" x14ac:dyDescent="0.35">
      <c r="A95" s="110" t="s">
        <v>52</v>
      </c>
      <c r="B95" s="111"/>
      <c r="C95" s="65">
        <f ca="1">J103</f>
        <v>7</v>
      </c>
      <c r="D95" s="64">
        <f ca="1">((100/H91)*C95)/100</f>
        <v>1</v>
      </c>
      <c r="E95" s="119"/>
      <c r="F95" s="119"/>
      <c r="G95" s="119"/>
      <c r="H95" s="127"/>
      <c r="I95" s="41" t="s">
        <v>134</v>
      </c>
      <c r="J95" s="47">
        <f ca="1">H91</f>
        <v>7</v>
      </c>
    </row>
    <row r="96" spans="1:10" ht="15.75" customHeight="1" x14ac:dyDescent="0.35">
      <c r="A96" s="110" t="s">
        <v>165</v>
      </c>
      <c r="B96" s="111"/>
      <c r="C96" s="63">
        <v>8</v>
      </c>
      <c r="D96" s="64">
        <f ca="1">((100/(D91+F91+H91))*C96)/100</f>
        <v>1</v>
      </c>
      <c r="E96" s="119"/>
      <c r="F96" s="119"/>
      <c r="G96" s="119"/>
      <c r="H96" s="127"/>
      <c r="I96" s="41" t="s">
        <v>135</v>
      </c>
      <c r="J96" s="51">
        <f ca="1">(IF(B91&gt;1,(H91/(B91+2)),H91/4))</f>
        <v>1.75</v>
      </c>
    </row>
    <row r="97" spans="1:10" ht="15.75" customHeight="1" x14ac:dyDescent="0.35">
      <c r="A97" s="110" t="s">
        <v>172</v>
      </c>
      <c r="B97" s="111" t="s">
        <v>166</v>
      </c>
      <c r="C97" s="63">
        <v>7</v>
      </c>
      <c r="D97" s="64">
        <f ca="1">((100/H91)*C97)/100</f>
        <v>1</v>
      </c>
      <c r="E97" s="119"/>
      <c r="F97" s="119"/>
      <c r="G97" s="119"/>
      <c r="H97" s="127"/>
      <c r="I97" s="41" t="s">
        <v>136</v>
      </c>
      <c r="J97" s="51">
        <f ca="1">(IF(B91&gt;1,(H91/(B91+2)+J96),H91/4+J96))</f>
        <v>3.5</v>
      </c>
    </row>
    <row r="98" spans="1:10" ht="15.75" customHeight="1" x14ac:dyDescent="0.35">
      <c r="A98" s="110" t="s">
        <v>173</v>
      </c>
      <c r="B98" s="111" t="s">
        <v>166</v>
      </c>
      <c r="C98" s="63">
        <v>7</v>
      </c>
      <c r="D98" s="64">
        <f ca="1">((100/H91)*C98)/100</f>
        <v>1</v>
      </c>
      <c r="E98" s="119"/>
      <c r="F98" s="119"/>
      <c r="G98" s="119"/>
      <c r="H98" s="127"/>
      <c r="I98" s="41" t="s">
        <v>182</v>
      </c>
      <c r="J98" s="51">
        <f>(IF(B91&gt;1,(H91/(B91+2)+J97),0))</f>
        <v>0</v>
      </c>
    </row>
    <row r="99" spans="1:10" ht="15" customHeight="1" x14ac:dyDescent="0.35">
      <c r="A99" s="110" t="s">
        <v>171</v>
      </c>
      <c r="B99" s="111" t="s">
        <v>168</v>
      </c>
      <c r="C99" s="63">
        <v>4</v>
      </c>
      <c r="D99" s="64">
        <f ca="1">((100/(H91))*C99)/100</f>
        <v>0.57142857142857151</v>
      </c>
      <c r="E99" s="119"/>
      <c r="F99" s="119"/>
      <c r="G99" s="119"/>
      <c r="H99" s="127"/>
      <c r="I99" s="41" t="s">
        <v>179</v>
      </c>
      <c r="J99" s="51">
        <f>(IF(B91&gt;2,(H91/(B91+2)+J98),0))</f>
        <v>0</v>
      </c>
    </row>
    <row r="100" spans="1:10" ht="15.75" customHeight="1" x14ac:dyDescent="0.35">
      <c r="A100" s="110" t="s">
        <v>167</v>
      </c>
      <c r="B100" s="111" t="s">
        <v>167</v>
      </c>
      <c r="C100" s="63">
        <v>0</v>
      </c>
      <c r="D100" s="64">
        <f ca="1">((100/H91)*C100)/100</f>
        <v>0</v>
      </c>
      <c r="E100" s="119"/>
      <c r="F100" s="119"/>
      <c r="G100" s="119"/>
      <c r="H100" s="127"/>
      <c r="I100" s="41" t="s">
        <v>180</v>
      </c>
      <c r="J100" s="52">
        <f>(IF(B91&gt;3,(H91/(B91+2)+J99),0))</f>
        <v>0</v>
      </c>
    </row>
    <row r="101" spans="1:10" ht="15.75" customHeight="1" x14ac:dyDescent="0.35">
      <c r="A101" s="110" t="s">
        <v>174</v>
      </c>
      <c r="B101" s="111"/>
      <c r="C101" s="63">
        <v>0</v>
      </c>
      <c r="D101" s="64">
        <f ca="1">((100/H91)*C101)/100</f>
        <v>0</v>
      </c>
      <c r="E101" s="119"/>
      <c r="F101" s="119"/>
      <c r="G101" s="119"/>
      <c r="H101" s="127"/>
      <c r="I101" s="41" t="s">
        <v>181</v>
      </c>
      <c r="J101" s="51">
        <f>(IF(B91&gt;4,(H91/(B91+2)+J100),0))</f>
        <v>0</v>
      </c>
    </row>
    <row r="102" spans="1:10" ht="15.75" customHeight="1" x14ac:dyDescent="0.35">
      <c r="A102" s="110" t="s">
        <v>169</v>
      </c>
      <c r="B102" s="111" t="s">
        <v>169</v>
      </c>
      <c r="C102" s="63">
        <v>0</v>
      </c>
      <c r="D102" s="64">
        <f ca="1">((100/(H91))*C102)/100</f>
        <v>0</v>
      </c>
      <c r="E102" s="119"/>
      <c r="F102" s="119"/>
      <c r="G102" s="119"/>
      <c r="H102" s="127"/>
      <c r="I102" s="41" t="s">
        <v>183</v>
      </c>
      <c r="J102" s="51">
        <f ca="1">(IF(B91=1,(H91/(B91+3)+J97),IF(B91=0,(H91/4+J97),IF(B91&gt;1,0))))</f>
        <v>5.25</v>
      </c>
    </row>
    <row r="103" spans="1:10" ht="16" thickBot="1" x14ac:dyDescent="0.4">
      <c r="A103" s="121" t="s">
        <v>170</v>
      </c>
      <c r="B103" s="122"/>
      <c r="C103" s="66">
        <v>0</v>
      </c>
      <c r="D103" s="67">
        <f ca="1">((100/(H91))*C103)/100</f>
        <v>0</v>
      </c>
      <c r="E103" s="120"/>
      <c r="F103" s="120"/>
      <c r="G103" s="120"/>
      <c r="H103" s="128"/>
      <c r="I103" s="50" t="s">
        <v>137</v>
      </c>
      <c r="J103" s="53">
        <f ca="1">(IF(B91&gt;1.5,(H91/(B91+2)+J97+MAX(0,J98-J97)+MAX(0,J99-J98)+MAX(0,J100-J99)+MAX(0,J101-J100)+MAX(0,J102-J101)),IF(B91=1,(H91/(B91+3)+J102),IF(B91=0,H91/4+J102))))</f>
        <v>7</v>
      </c>
    </row>
    <row r="104" spans="1:10" x14ac:dyDescent="0.35">
      <c r="A104" s="129" t="s">
        <v>154</v>
      </c>
      <c r="B104" s="130"/>
      <c r="C104" s="130"/>
      <c r="D104" s="130"/>
      <c r="E104" s="131"/>
      <c r="F104" s="129" t="str">
        <f ca="1">(IF(D61="Nothing","Yes",IF(D61="Cement, Aggregate, Steel, etc","Under Construction",IF(D61="Work not yet Started","Work not yet Started"))))</f>
        <v>Under Construction</v>
      </c>
      <c r="G104" s="130"/>
      <c r="H104" s="131"/>
    </row>
    <row r="105" spans="1:10" x14ac:dyDescent="0.35">
      <c r="A105" s="112" t="s">
        <v>53</v>
      </c>
      <c r="B105" s="112"/>
      <c r="C105" s="112"/>
      <c r="D105" s="112"/>
      <c r="E105" s="112"/>
      <c r="F105" s="112"/>
      <c r="G105" s="112"/>
      <c r="H105" s="112"/>
    </row>
    <row r="106" spans="1:10" ht="15" hidden="1" customHeight="1" x14ac:dyDescent="0.35">
      <c r="A106" s="124" t="s">
        <v>103</v>
      </c>
      <c r="B106" s="124"/>
      <c r="C106" s="109" t="s">
        <v>104</v>
      </c>
      <c r="D106" s="109"/>
      <c r="E106" s="109"/>
      <c r="F106" s="109"/>
      <c r="G106" s="109"/>
      <c r="H106" s="109"/>
    </row>
    <row r="107" spans="1:10" x14ac:dyDescent="0.35">
      <c r="A107" s="147" t="s">
        <v>54</v>
      </c>
      <c r="B107" s="147"/>
      <c r="C107" s="147"/>
      <c r="D107" s="147"/>
      <c r="E107" s="147"/>
      <c r="F107" s="147"/>
      <c r="G107" s="147"/>
      <c r="H107" s="147"/>
    </row>
    <row r="108" spans="1:10" x14ac:dyDescent="0.35">
      <c r="A108" s="112" t="s">
        <v>105</v>
      </c>
      <c r="B108" s="112"/>
      <c r="C108" s="112"/>
      <c r="D108" s="112"/>
      <c r="E108" s="112"/>
      <c r="F108" s="159">
        <v>3500</v>
      </c>
      <c r="G108" s="159"/>
      <c r="H108" s="159"/>
    </row>
    <row r="109" spans="1:10" hidden="1" x14ac:dyDescent="0.35">
      <c r="A109" s="112" t="s">
        <v>110</v>
      </c>
      <c r="B109" s="112"/>
      <c r="C109" s="112"/>
      <c r="D109" s="112"/>
      <c r="E109" s="112"/>
      <c r="F109" s="90"/>
      <c r="G109" s="90"/>
      <c r="H109" s="90"/>
    </row>
    <row r="110" spans="1:10" hidden="1" x14ac:dyDescent="0.35">
      <c r="A110" s="112" t="s">
        <v>111</v>
      </c>
      <c r="B110" s="112"/>
      <c r="C110" s="112"/>
      <c r="D110" s="112"/>
      <c r="E110" s="112"/>
      <c r="F110" s="90"/>
      <c r="G110" s="90"/>
      <c r="H110" s="90"/>
    </row>
    <row r="111" spans="1:10" s="12" customFormat="1" hidden="1" x14ac:dyDescent="0.3">
      <c r="A111" s="112" t="s">
        <v>127</v>
      </c>
      <c r="B111" s="112"/>
      <c r="C111" s="112"/>
      <c r="D111" s="112"/>
      <c r="E111" s="112"/>
      <c r="F111" s="90" t="s">
        <v>30</v>
      </c>
      <c r="G111" s="90"/>
      <c r="H111" s="90"/>
    </row>
    <row r="112" spans="1:10" s="12" customFormat="1" x14ac:dyDescent="0.3">
      <c r="A112" s="112" t="s">
        <v>128</v>
      </c>
      <c r="B112" s="112"/>
      <c r="C112" s="112"/>
      <c r="D112" s="112"/>
      <c r="E112" s="112"/>
      <c r="F112" s="113" t="s">
        <v>212</v>
      </c>
      <c r="G112" s="90"/>
      <c r="H112" s="90"/>
    </row>
    <row r="113" spans="1:14" s="12" customFormat="1" x14ac:dyDescent="0.3">
      <c r="A113" s="112" t="s">
        <v>129</v>
      </c>
      <c r="B113" s="112"/>
      <c r="C113" s="112"/>
      <c r="D113" s="112"/>
      <c r="E113" s="112"/>
      <c r="F113" s="90" t="s">
        <v>201</v>
      </c>
      <c r="G113" s="90"/>
      <c r="H113" s="90"/>
    </row>
    <row r="114" spans="1:14" s="12" customFormat="1" x14ac:dyDescent="0.3">
      <c r="A114" s="112" t="s">
        <v>211</v>
      </c>
      <c r="B114" s="112"/>
      <c r="C114" s="112"/>
      <c r="D114" s="112"/>
      <c r="E114" s="112"/>
      <c r="F114" s="113" t="s">
        <v>213</v>
      </c>
      <c r="G114" s="90"/>
      <c r="H114" s="90"/>
    </row>
    <row r="115" spans="1:14" s="12" customFormat="1" hidden="1" x14ac:dyDescent="0.3">
      <c r="A115" s="112" t="s">
        <v>130</v>
      </c>
      <c r="B115" s="112"/>
      <c r="C115" s="112"/>
      <c r="D115" s="112"/>
      <c r="E115" s="112"/>
      <c r="F115" s="90" t="s">
        <v>30</v>
      </c>
      <c r="G115" s="90"/>
      <c r="H115" s="90"/>
    </row>
    <row r="116" spans="1:14" s="12" customFormat="1" hidden="1" x14ac:dyDescent="0.3">
      <c r="A116" s="112" t="s">
        <v>131</v>
      </c>
      <c r="B116" s="112"/>
      <c r="C116" s="112"/>
      <c r="D116" s="112"/>
      <c r="E116" s="112"/>
      <c r="F116" s="90" t="s">
        <v>30</v>
      </c>
      <c r="G116" s="90"/>
      <c r="H116" s="90"/>
    </row>
    <row r="117" spans="1:14" s="12" customFormat="1" hidden="1" x14ac:dyDescent="0.3">
      <c r="A117" s="112" t="s">
        <v>132</v>
      </c>
      <c r="B117" s="112"/>
      <c r="C117" s="112"/>
      <c r="D117" s="112"/>
      <c r="E117" s="112"/>
      <c r="F117" s="90" t="s">
        <v>30</v>
      </c>
      <c r="G117" s="90"/>
      <c r="H117" s="90"/>
    </row>
    <row r="118" spans="1:14" x14ac:dyDescent="0.35">
      <c r="A118" s="112" t="s">
        <v>55</v>
      </c>
      <c r="B118" s="112"/>
      <c r="C118" s="112"/>
      <c r="D118" s="112"/>
      <c r="E118" s="112"/>
      <c r="F118" s="113" t="s">
        <v>203</v>
      </c>
      <c r="G118" s="113"/>
      <c r="H118" s="113"/>
    </row>
    <row r="119" spans="1:14" s="9" customFormat="1" x14ac:dyDescent="0.35">
      <c r="A119" s="147" t="s">
        <v>56</v>
      </c>
      <c r="B119" s="147"/>
      <c r="C119" s="147"/>
      <c r="D119" s="147"/>
      <c r="E119" s="147"/>
      <c r="F119" s="90">
        <f>F108*0.8</f>
        <v>2800</v>
      </c>
      <c r="G119" s="90"/>
      <c r="H119" s="90"/>
    </row>
    <row r="120" spans="1:14" s="1" customFormat="1" x14ac:dyDescent="0.35">
      <c r="A120" s="134" t="s">
        <v>98</v>
      </c>
      <c r="B120" s="134"/>
      <c r="C120" s="134"/>
      <c r="D120" s="134"/>
      <c r="E120" s="134"/>
      <c r="F120" s="134"/>
      <c r="G120" s="134"/>
      <c r="H120" s="134"/>
    </row>
    <row r="121" spans="1:14" s="1" customFormat="1" ht="15.75" customHeight="1" x14ac:dyDescent="0.35">
      <c r="A121" s="138" t="s">
        <v>57</v>
      </c>
      <c r="B121" s="138"/>
      <c r="C121" s="135" t="s">
        <v>108</v>
      </c>
      <c r="D121" s="135"/>
      <c r="E121" s="137" t="s">
        <v>58</v>
      </c>
      <c r="F121" s="137"/>
      <c r="G121" s="138" t="s">
        <v>59</v>
      </c>
      <c r="H121" s="138"/>
    </row>
    <row r="122" spans="1:14" s="1" customFormat="1" x14ac:dyDescent="0.35">
      <c r="A122" s="91" t="s">
        <v>216</v>
      </c>
      <c r="B122" s="91"/>
      <c r="C122" s="92">
        <f>COUNT(D134:D141)*2+COUNT(D143:D150)+COUNT(D152:D159)+COUNT(D161:D168,D170:D173)</f>
        <v>44</v>
      </c>
      <c r="D122" s="92"/>
      <c r="E122" s="93">
        <f>SUM(D134:D141)*2+SUM(D143:D150)+SUM(D152:D159)+SUM(D161:D168,D170:D173)</f>
        <v>12094.484219999998</v>
      </c>
      <c r="F122" s="93"/>
      <c r="G122" s="93">
        <f>SUM(F134:F141)*2+SUM(F143:F150)+SUM(F152:F159)+SUM(F161:F168,F170:F173)</f>
        <v>17963.041238999998</v>
      </c>
      <c r="H122" s="93"/>
    </row>
    <row r="123" spans="1:14" s="1" customFormat="1" x14ac:dyDescent="0.35">
      <c r="A123" s="91" t="s">
        <v>215</v>
      </c>
      <c r="B123" s="91"/>
      <c r="C123" s="92">
        <f>COUNT(D176:D178)+COUNT(D180:D189)*7</f>
        <v>73</v>
      </c>
      <c r="D123" s="92"/>
      <c r="E123" s="93">
        <f>SUM(D176:D178)+SUM(D180:D189)*7</f>
        <v>21085.169039999997</v>
      </c>
      <c r="F123" s="93"/>
      <c r="G123" s="93">
        <f>SUM(F176:F178)+SUM(F180:F189)*7</f>
        <v>30573.495107999999</v>
      </c>
      <c r="H123" s="93"/>
    </row>
    <row r="124" spans="1:14" s="1" customFormat="1" x14ac:dyDescent="0.35">
      <c r="A124" s="91" t="s">
        <v>243</v>
      </c>
      <c r="B124" s="91"/>
      <c r="C124" s="92">
        <f>COUNT(D192:D196,D201)+COUNT(D203:D213)*7</f>
        <v>83</v>
      </c>
      <c r="D124" s="92"/>
      <c r="E124" s="93">
        <f>SUM(D192:D196,D201)+SUM(D203:D213)*7</f>
        <v>26033.379839999998</v>
      </c>
      <c r="F124" s="93"/>
      <c r="G124" s="93">
        <f>SUM(F192:F196,F201)+SUM(F203:F213)*7</f>
        <v>37748.400767999992</v>
      </c>
      <c r="H124" s="93"/>
    </row>
    <row r="125" spans="1:14" s="73" customFormat="1" ht="15" x14ac:dyDescent="0.35">
      <c r="A125" s="134" t="s">
        <v>61</v>
      </c>
      <c r="B125" s="134"/>
      <c r="C125" s="135">
        <f>SUM(C122:D124)</f>
        <v>200</v>
      </c>
      <c r="D125" s="135"/>
      <c r="E125" s="136">
        <f>SUM(E122:F124)</f>
        <v>59213.033099999986</v>
      </c>
      <c r="F125" s="137"/>
      <c r="G125" s="138">
        <f>SUM(G122:H124)</f>
        <v>86284.937114999993</v>
      </c>
      <c r="H125" s="138"/>
    </row>
    <row r="126" spans="1:14" s="9" customFormat="1" x14ac:dyDescent="0.35">
      <c r="A126" s="89" t="s">
        <v>62</v>
      </c>
      <c r="B126" s="89"/>
      <c r="C126" s="89"/>
      <c r="D126" s="89"/>
      <c r="E126" s="89"/>
      <c r="F126" s="89"/>
      <c r="G126" s="89"/>
      <c r="H126" s="89"/>
    </row>
    <row r="127" spans="1:14" x14ac:dyDescent="0.35">
      <c r="A127" s="89" t="s">
        <v>63</v>
      </c>
      <c r="B127" s="89"/>
      <c r="C127" s="89"/>
      <c r="D127" s="89"/>
      <c r="E127" s="89"/>
      <c r="F127" s="89"/>
      <c r="G127" s="89"/>
      <c r="H127" s="89"/>
    </row>
    <row r="128" spans="1:14" s="38" customFormat="1" x14ac:dyDescent="0.35">
      <c r="A128" s="100"/>
      <c r="B128" s="100"/>
      <c r="C128" s="100"/>
      <c r="D128" s="100"/>
      <c r="E128" s="100"/>
      <c r="F128" s="100"/>
      <c r="G128" s="100"/>
      <c r="H128" s="100"/>
      <c r="I128" s="36"/>
      <c r="N128" s="36"/>
    </row>
    <row r="129" spans="1:16" ht="47.25" customHeight="1" x14ac:dyDescent="0.35">
      <c r="A129" s="144" t="s">
        <v>155</v>
      </c>
      <c r="B129" s="144" t="s">
        <v>156</v>
      </c>
      <c r="C129" s="144" t="s">
        <v>64</v>
      </c>
      <c r="D129" s="144" t="s">
        <v>65</v>
      </c>
      <c r="E129" s="189" t="s">
        <v>66</v>
      </c>
      <c r="F129" s="87" t="s">
        <v>152</v>
      </c>
      <c r="G129" s="144" t="s">
        <v>67</v>
      </c>
      <c r="H129" s="144"/>
      <c r="I129" s="36"/>
    </row>
    <row r="130" spans="1:16" s="38" customFormat="1" x14ac:dyDescent="0.35">
      <c r="A130" s="144"/>
      <c r="B130" s="144"/>
      <c r="C130" s="144"/>
      <c r="D130" s="144"/>
      <c r="E130" s="189"/>
      <c r="F130" s="88">
        <v>0.45</v>
      </c>
      <c r="G130" s="144"/>
      <c r="H130" s="144"/>
      <c r="I130" s="36"/>
    </row>
    <row r="131" spans="1:16" s="9" customFormat="1" x14ac:dyDescent="0.35">
      <c r="A131" s="132" t="s">
        <v>216</v>
      </c>
      <c r="B131" s="132"/>
      <c r="C131" s="132"/>
      <c r="D131" s="132"/>
      <c r="E131" s="132"/>
      <c r="F131" s="132"/>
      <c r="G131" s="132"/>
      <c r="H131" s="132"/>
    </row>
    <row r="132" spans="1:16" s="2" customFormat="1" x14ac:dyDescent="0.35">
      <c r="A132" s="133" t="s">
        <v>221</v>
      </c>
      <c r="B132" s="133"/>
      <c r="C132" s="133"/>
      <c r="D132" s="133"/>
      <c r="E132" s="133"/>
      <c r="F132" s="133"/>
      <c r="G132" s="133"/>
      <c r="H132" s="133"/>
      <c r="I132" s="36"/>
      <c r="L132" s="143"/>
      <c r="M132" s="143"/>
    </row>
    <row r="133" spans="1:16" s="40" customFormat="1" x14ac:dyDescent="0.35">
      <c r="A133" s="106" t="s">
        <v>198</v>
      </c>
      <c r="B133" s="107"/>
      <c r="C133" s="107"/>
      <c r="D133" s="107"/>
      <c r="E133" s="107"/>
      <c r="F133" s="107"/>
      <c r="G133" s="107"/>
      <c r="H133" s="108"/>
      <c r="I133" s="36"/>
      <c r="M133" s="45"/>
      <c r="N133" s="45"/>
      <c r="P133" s="37"/>
    </row>
    <row r="134" spans="1:16" s="40" customFormat="1" ht="15.65" customHeight="1" x14ac:dyDescent="0.35">
      <c r="A134" s="104" t="str">
        <f t="shared" ref="A134:A139" ca="1" si="0">N134</f>
        <v>101 &amp; 301</v>
      </c>
      <c r="B134" s="105"/>
      <c r="C134" s="69" t="s">
        <v>193</v>
      </c>
      <c r="D134" s="69">
        <f>(27.74+2.75*0.75)*10.764</f>
        <v>320.79410999999999</v>
      </c>
      <c r="E134" s="46">
        <v>0</v>
      </c>
      <c r="F134" s="39">
        <f>D134*1.45</f>
        <v>465.15145949999999</v>
      </c>
      <c r="G134" s="94" t="str">
        <f>A133</f>
        <v>1st &amp; 3rd Floor for Residential</v>
      </c>
      <c r="H134" s="95"/>
      <c r="I134" s="36">
        <v>2000000</v>
      </c>
      <c r="J134" s="40">
        <f>I134/F134</f>
        <v>4299.6747815213512</v>
      </c>
      <c r="L134" s="40">
        <f>F134/D134</f>
        <v>1.45</v>
      </c>
      <c r="M134" s="45"/>
      <c r="N134" s="45" t="str">
        <f t="shared" ref="N134:N139" ca="1" si="1">O134&amp;""&amp;" &amp; "&amp;""&amp;P134</f>
        <v>101 &amp; 301</v>
      </c>
      <c r="O134" s="55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10^ROW(INDIRECT("1:"&amp;LEN((LEFT(A133,SUM(LEN(A133)-LEN(SUBSTITUTE(A133,{"0","1","2"},""))))))))/10))*100+1</f>
        <v>101</v>
      </c>
      <c r="P134" s="55">
        <f ca="1">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301</v>
      </c>
    </row>
    <row r="135" spans="1:16" s="40" customFormat="1" ht="15.65" customHeight="1" x14ac:dyDescent="0.35">
      <c r="A135" s="104" t="str">
        <f t="shared" ca="1" si="0"/>
        <v>102 &amp; 302</v>
      </c>
      <c r="B135" s="105"/>
      <c r="C135" s="69" t="s">
        <v>194</v>
      </c>
      <c r="D135" s="69">
        <f>(19.79+0.75*2.75)*10.764</f>
        <v>235.22030999999998</v>
      </c>
      <c r="E135" s="46">
        <v>0</v>
      </c>
      <c r="F135" s="39">
        <f t="shared" ref="F135:F140" si="2">D135*1.45</f>
        <v>341.06944949999996</v>
      </c>
      <c r="G135" s="96"/>
      <c r="H135" s="97"/>
      <c r="I135" s="36">
        <v>400</v>
      </c>
      <c r="J135" s="40">
        <f>I135/D135</f>
        <v>1.700533427576896</v>
      </c>
      <c r="L135" s="76">
        <f t="shared" ref="L135:L139" si="3">F135/D135</f>
        <v>1.45</v>
      </c>
      <c r="M135" s="45"/>
      <c r="N135" s="55" t="str">
        <f t="shared" ca="1" si="1"/>
        <v>102 &amp; 302</v>
      </c>
      <c r="O135" s="40">
        <f t="shared" ref="O135:P135" ca="1" si="4">O134+1</f>
        <v>102</v>
      </c>
      <c r="P135" s="40">
        <f t="shared" ca="1" si="4"/>
        <v>302</v>
      </c>
    </row>
    <row r="136" spans="1:16" s="40" customFormat="1" ht="15.65" customHeight="1" x14ac:dyDescent="0.35">
      <c r="A136" s="104" t="str">
        <f t="shared" ca="1" si="0"/>
        <v>103 &amp; 303</v>
      </c>
      <c r="B136" s="105"/>
      <c r="C136" s="69" t="s">
        <v>194</v>
      </c>
      <c r="D136" s="69">
        <f>(19.79+0.75*2.75)*10.764</f>
        <v>235.22030999999998</v>
      </c>
      <c r="E136" s="46">
        <v>0</v>
      </c>
      <c r="F136" s="39">
        <f t="shared" si="2"/>
        <v>341.06944949999996</v>
      </c>
      <c r="G136" s="96"/>
      <c r="H136" s="97"/>
      <c r="I136" s="36"/>
      <c r="L136" s="76">
        <f t="shared" si="3"/>
        <v>1.45</v>
      </c>
      <c r="M136" s="45"/>
      <c r="N136" s="55" t="str">
        <f t="shared" ca="1" si="1"/>
        <v>103 &amp; 303</v>
      </c>
      <c r="O136" s="40">
        <f t="shared" ref="O136:P136" ca="1" si="5">O135+1</f>
        <v>103</v>
      </c>
      <c r="P136" s="40">
        <f t="shared" ca="1" si="5"/>
        <v>303</v>
      </c>
    </row>
    <row r="137" spans="1:16" s="40" customFormat="1" ht="15.65" customHeight="1" x14ac:dyDescent="0.35">
      <c r="A137" s="104" t="str">
        <f t="shared" ca="1" si="0"/>
        <v>104 &amp; 304</v>
      </c>
      <c r="B137" s="105"/>
      <c r="C137" s="69" t="s">
        <v>193</v>
      </c>
      <c r="D137" s="69">
        <f>(9.05+3.99+4.75+1.08+1.8+1*(2.5+2.1+2.75))*10.764</f>
        <v>301.60727999999995</v>
      </c>
      <c r="E137" s="46">
        <v>0</v>
      </c>
      <c r="F137" s="39">
        <f t="shared" si="2"/>
        <v>437.33055599999989</v>
      </c>
      <c r="G137" s="96"/>
      <c r="H137" s="97"/>
      <c r="I137" s="36"/>
      <c r="L137" s="76">
        <f t="shared" si="3"/>
        <v>1.45</v>
      </c>
      <c r="M137" s="45"/>
      <c r="N137" s="55" t="str">
        <f t="shared" ca="1" si="1"/>
        <v>104 &amp; 304</v>
      </c>
      <c r="O137" s="40">
        <f t="shared" ref="O137:P137" ca="1" si="6">O136+1</f>
        <v>104</v>
      </c>
      <c r="P137" s="40">
        <f t="shared" ca="1" si="6"/>
        <v>304</v>
      </c>
    </row>
    <row r="138" spans="1:16" s="40" customFormat="1" ht="15.65" customHeight="1" x14ac:dyDescent="0.35">
      <c r="A138" s="104" t="str">
        <f t="shared" ca="1" si="0"/>
        <v>105 &amp; 305</v>
      </c>
      <c r="B138" s="105"/>
      <c r="C138" s="69" t="s">
        <v>193</v>
      </c>
      <c r="D138" s="69">
        <f>(9.05+3.99+4.75+1.08+1.8+1*(2.5+2.1+2.75))*10.764</f>
        <v>301.60727999999995</v>
      </c>
      <c r="E138" s="46">
        <v>0</v>
      </c>
      <c r="F138" s="39">
        <f t="shared" si="2"/>
        <v>437.33055599999989</v>
      </c>
      <c r="G138" s="96"/>
      <c r="H138" s="97"/>
      <c r="I138" s="36"/>
      <c r="L138" s="76">
        <f t="shared" si="3"/>
        <v>1.45</v>
      </c>
      <c r="M138" s="45"/>
      <c r="N138" s="55" t="str">
        <f t="shared" ca="1" si="1"/>
        <v>105 &amp; 305</v>
      </c>
      <c r="O138" s="40">
        <f t="shared" ref="O138:P138" ca="1" si="7">O137+1</f>
        <v>105</v>
      </c>
      <c r="P138" s="40">
        <f t="shared" ca="1" si="7"/>
        <v>305</v>
      </c>
    </row>
    <row r="139" spans="1:16" s="40" customFormat="1" ht="15.65" customHeight="1" x14ac:dyDescent="0.35">
      <c r="A139" s="104" t="str">
        <f t="shared" ca="1" si="0"/>
        <v>106 &amp; 306</v>
      </c>
      <c r="B139" s="105"/>
      <c r="C139" s="69" t="s">
        <v>194</v>
      </c>
      <c r="D139" s="69">
        <f>(9.49+1.8+1.08+2.88+0.9*1.2+1*2.4+0.75*2.75+1.05*1.2)*10.764</f>
        <v>237.37310999999997</v>
      </c>
      <c r="E139" s="46">
        <v>0</v>
      </c>
      <c r="F139" s="39">
        <f t="shared" si="2"/>
        <v>344.19100949999995</v>
      </c>
      <c r="G139" s="96"/>
      <c r="H139" s="97"/>
      <c r="I139" s="36"/>
      <c r="L139" s="76">
        <f t="shared" si="3"/>
        <v>1.45</v>
      </c>
      <c r="M139" s="45"/>
      <c r="N139" s="55" t="str">
        <f t="shared" ca="1" si="1"/>
        <v>106 &amp; 306</v>
      </c>
      <c r="O139" s="40">
        <f t="shared" ref="O139:P139" ca="1" si="8">O138+1</f>
        <v>106</v>
      </c>
      <c r="P139" s="40">
        <f t="shared" ca="1" si="8"/>
        <v>306</v>
      </c>
    </row>
    <row r="140" spans="1:16" s="59" customFormat="1" ht="15.65" customHeight="1" x14ac:dyDescent="0.35">
      <c r="A140" s="104" t="str">
        <f t="shared" ref="A140:A141" ca="1" si="9">N140</f>
        <v>107 &amp; 307</v>
      </c>
      <c r="B140" s="105"/>
      <c r="C140" s="69" t="s">
        <v>194</v>
      </c>
      <c r="D140" s="69">
        <f>(19.79+0.75*2.75)*10.764</f>
        <v>235.22030999999998</v>
      </c>
      <c r="E140" s="58">
        <v>0</v>
      </c>
      <c r="F140" s="39">
        <f t="shared" si="2"/>
        <v>341.06944949999996</v>
      </c>
      <c r="G140" s="96"/>
      <c r="H140" s="97"/>
      <c r="I140" s="36"/>
      <c r="L140" s="76">
        <f>F140/D140</f>
        <v>1.45</v>
      </c>
      <c r="N140" s="59" t="str">
        <f t="shared" ref="N140:N141" ca="1" si="10">O140&amp;""&amp;" &amp; "&amp;""&amp;P140</f>
        <v>107 &amp; 307</v>
      </c>
      <c r="O140" s="59">
        <f t="shared" ref="O140:P140" ca="1" si="11">O139+1</f>
        <v>107</v>
      </c>
      <c r="P140" s="59">
        <f t="shared" ca="1" si="11"/>
        <v>307</v>
      </c>
    </row>
    <row r="141" spans="1:16" s="59" customFormat="1" ht="15.65" customHeight="1" x14ac:dyDescent="0.35">
      <c r="A141" s="104" t="str">
        <f t="shared" ca="1" si="9"/>
        <v>108 &amp; 308</v>
      </c>
      <c r="B141" s="105"/>
      <c r="C141" s="69" t="s">
        <v>193</v>
      </c>
      <c r="D141" s="69">
        <f>(27.15+0.75*2.75)*10.764</f>
        <v>314.44334999999995</v>
      </c>
      <c r="E141" s="58">
        <v>0</v>
      </c>
      <c r="F141" s="39">
        <f>D141*1.45</f>
        <v>455.94285749999995</v>
      </c>
      <c r="G141" s="98"/>
      <c r="H141" s="99"/>
      <c r="I141" s="36"/>
      <c r="N141" s="59" t="str">
        <f t="shared" ca="1" si="10"/>
        <v>108 &amp; 308</v>
      </c>
      <c r="O141" s="59">
        <f t="shared" ref="O141:P141" ca="1" si="12">O140+1</f>
        <v>108</v>
      </c>
      <c r="P141" s="59">
        <f t="shared" ca="1" si="12"/>
        <v>308</v>
      </c>
    </row>
    <row r="142" spans="1:16" s="59" customFormat="1" x14ac:dyDescent="0.35">
      <c r="A142" s="133" t="s">
        <v>196</v>
      </c>
      <c r="B142" s="133"/>
      <c r="C142" s="133"/>
      <c r="D142" s="133"/>
      <c r="E142" s="133"/>
      <c r="F142" s="133"/>
      <c r="G142" s="133"/>
      <c r="H142" s="133"/>
      <c r="I142" s="36"/>
      <c r="L142" s="143"/>
      <c r="M142" s="143"/>
    </row>
    <row r="143" spans="1:16" s="59" customFormat="1" x14ac:dyDescent="0.35">
      <c r="A143" s="100">
        <v>201</v>
      </c>
      <c r="B143" s="100"/>
      <c r="C143" s="58" t="s">
        <v>193</v>
      </c>
      <c r="D143" s="58">
        <f>(11.24+3.99+4.75+1.8+1.08+1*(2.1+2.5)+0.75*2.75)*10.764</f>
        <v>317.78019</v>
      </c>
      <c r="E143" s="58">
        <v>0</v>
      </c>
      <c r="F143" s="39">
        <f t="shared" ref="F143:F150" si="13">D143*1.45</f>
        <v>460.78127549999999</v>
      </c>
      <c r="G143" s="94" t="str">
        <f>A142</f>
        <v xml:space="preserve">2nd Floor </v>
      </c>
      <c r="H143" s="95"/>
      <c r="I143" s="36"/>
      <c r="J143" s="59">
        <f>27.74*10.764</f>
        <v>298.59335999999996</v>
      </c>
      <c r="L143" s="76">
        <f t="shared" ref="L143:L149" si="14">F143/D143</f>
        <v>1.45</v>
      </c>
      <c r="N143" s="36"/>
    </row>
    <row r="144" spans="1:16" s="59" customFormat="1" x14ac:dyDescent="0.35">
      <c r="A144" s="100">
        <v>202</v>
      </c>
      <c r="B144" s="100"/>
      <c r="C144" s="58" t="s">
        <v>194</v>
      </c>
      <c r="D144" s="58">
        <f>(9.49+2.88+1.08+1.8+0.45*1.7+0.9*1.2+0.75*2.75+1*2.4)*10.764</f>
        <v>232.04492999999997</v>
      </c>
      <c r="E144" s="58">
        <v>0</v>
      </c>
      <c r="F144" s="39">
        <f t="shared" si="13"/>
        <v>336.46514849999994</v>
      </c>
      <c r="G144" s="96"/>
      <c r="H144" s="97"/>
      <c r="I144" s="36"/>
      <c r="L144" s="76">
        <f t="shared" si="14"/>
        <v>1.45</v>
      </c>
      <c r="N144" s="36"/>
    </row>
    <row r="145" spans="1:14" s="59" customFormat="1" x14ac:dyDescent="0.35">
      <c r="A145" s="100">
        <v>203</v>
      </c>
      <c r="B145" s="100"/>
      <c r="C145" s="58" t="s">
        <v>194</v>
      </c>
      <c r="D145" s="58">
        <f>(10.45+1.8+1.08+2.88+0.9*1.2+1*2.4+0.75*2.75)*10.764</f>
        <v>234.14390999999995</v>
      </c>
      <c r="E145" s="58">
        <v>0</v>
      </c>
      <c r="F145" s="39">
        <f t="shared" si="13"/>
        <v>339.50866949999994</v>
      </c>
      <c r="G145" s="96"/>
      <c r="H145" s="97"/>
      <c r="I145" s="36"/>
      <c r="L145" s="76">
        <f t="shared" si="14"/>
        <v>1.45</v>
      </c>
      <c r="N145" s="36"/>
    </row>
    <row r="146" spans="1:14" s="59" customFormat="1" x14ac:dyDescent="0.35">
      <c r="A146" s="100">
        <v>204</v>
      </c>
      <c r="B146" s="100"/>
      <c r="C146" s="58" t="s">
        <v>193</v>
      </c>
      <c r="D146" s="58">
        <f>(9.05+3.99+4.75+1.08+1.8+1*(2.5+2.1+2.75))*10.764</f>
        <v>301.60727999999995</v>
      </c>
      <c r="E146" s="58">
        <v>0</v>
      </c>
      <c r="F146" s="39">
        <f t="shared" si="13"/>
        <v>437.33055599999989</v>
      </c>
      <c r="G146" s="96"/>
      <c r="H146" s="97"/>
      <c r="I146" s="36"/>
      <c r="L146" s="76">
        <f t="shared" si="14"/>
        <v>1.45</v>
      </c>
      <c r="N146" s="36"/>
    </row>
    <row r="147" spans="1:14" s="59" customFormat="1" x14ac:dyDescent="0.35">
      <c r="A147" s="100">
        <v>205</v>
      </c>
      <c r="B147" s="100"/>
      <c r="C147" s="58" t="s">
        <v>193</v>
      </c>
      <c r="D147" s="58">
        <f>(9.05+3.99+4.75+1.08+1.8+1*(2.5+2.1+2.75))*10.764</f>
        <v>301.60727999999995</v>
      </c>
      <c r="E147" s="58">
        <v>0</v>
      </c>
      <c r="F147" s="39">
        <f t="shared" si="13"/>
        <v>437.33055599999989</v>
      </c>
      <c r="G147" s="96"/>
      <c r="H147" s="97"/>
      <c r="I147" s="36"/>
      <c r="L147" s="76">
        <f t="shared" si="14"/>
        <v>1.45</v>
      </c>
      <c r="N147" s="36"/>
    </row>
    <row r="148" spans="1:14" s="59" customFormat="1" x14ac:dyDescent="0.35">
      <c r="A148" s="100">
        <v>206</v>
      </c>
      <c r="B148" s="100"/>
      <c r="C148" s="58" t="s">
        <v>195</v>
      </c>
      <c r="D148" s="58">
        <f>(10.45+1.8+1.08+2.88+0.9*1.2+1*2.4+0.75*2.75)*10.764</f>
        <v>234.14390999999995</v>
      </c>
      <c r="E148" s="58">
        <v>0</v>
      </c>
      <c r="F148" s="39">
        <f t="shared" si="13"/>
        <v>339.50866949999994</v>
      </c>
      <c r="G148" s="96"/>
      <c r="H148" s="97"/>
      <c r="I148" s="36"/>
      <c r="L148" s="76">
        <f t="shared" si="14"/>
        <v>1.45</v>
      </c>
      <c r="N148" s="36"/>
    </row>
    <row r="149" spans="1:14" s="59" customFormat="1" x14ac:dyDescent="0.35">
      <c r="A149" s="100">
        <v>207</v>
      </c>
      <c r="B149" s="100"/>
      <c r="C149" s="58" t="s">
        <v>194</v>
      </c>
      <c r="D149" s="58">
        <f>(9.49+2.88+1.08+1.8+0.9*1.2+1*2.4+0.75*2.75)*10.764</f>
        <v>223.81046999999998</v>
      </c>
      <c r="E149" s="58">
        <v>0</v>
      </c>
      <c r="F149" s="39">
        <f t="shared" si="13"/>
        <v>324.52518149999997</v>
      </c>
      <c r="G149" s="96"/>
      <c r="H149" s="97"/>
      <c r="I149" s="36"/>
      <c r="L149" s="76">
        <f t="shared" si="14"/>
        <v>1.45</v>
      </c>
      <c r="N149" s="36"/>
    </row>
    <row r="150" spans="1:14" s="59" customFormat="1" x14ac:dyDescent="0.35">
      <c r="A150" s="100">
        <v>208</v>
      </c>
      <c r="B150" s="100"/>
      <c r="C150" s="58" t="s">
        <v>193</v>
      </c>
      <c r="D150" s="58">
        <f>(11.24+3.99+4.75+1.08+1.8+1*2.1+0.75*2.75)*10.764</f>
        <v>290.87019000000004</v>
      </c>
      <c r="E150" s="58">
        <v>0</v>
      </c>
      <c r="F150" s="39">
        <f t="shared" si="13"/>
        <v>421.76177550000006</v>
      </c>
      <c r="G150" s="98"/>
      <c r="H150" s="99"/>
      <c r="I150" s="36"/>
      <c r="N150" s="36"/>
    </row>
    <row r="151" spans="1:14" s="59" customFormat="1" x14ac:dyDescent="0.35">
      <c r="A151" s="133" t="s">
        <v>197</v>
      </c>
      <c r="B151" s="133"/>
      <c r="C151" s="133"/>
      <c r="D151" s="133"/>
      <c r="E151" s="133"/>
      <c r="F151" s="133"/>
      <c r="G151" s="133"/>
      <c r="H151" s="133"/>
      <c r="I151" s="36"/>
      <c r="L151" s="143"/>
      <c r="M151" s="143"/>
    </row>
    <row r="152" spans="1:14" s="70" customFormat="1" x14ac:dyDescent="0.35">
      <c r="A152" s="100">
        <v>401</v>
      </c>
      <c r="B152" s="100"/>
      <c r="C152" s="69" t="s">
        <v>193</v>
      </c>
      <c r="D152" s="69">
        <f>(27.74+2.75*0.75)*10.764</f>
        <v>320.79410999999999</v>
      </c>
      <c r="E152" s="69">
        <v>0</v>
      </c>
      <c r="F152" s="39">
        <f t="shared" ref="F152:F159" si="15">D152*1.45</f>
        <v>465.15145949999999</v>
      </c>
      <c r="G152" s="94" t="str">
        <f>A151</f>
        <v xml:space="preserve">4th Floor </v>
      </c>
      <c r="H152" s="95"/>
      <c r="I152" s="36"/>
      <c r="L152" s="76">
        <f t="shared" ref="L152:L173" si="16">F152/D152</f>
        <v>1.45</v>
      </c>
      <c r="N152" s="36"/>
    </row>
    <row r="153" spans="1:14" s="70" customFormat="1" x14ac:dyDescent="0.35">
      <c r="A153" s="100">
        <v>402</v>
      </c>
      <c r="B153" s="100"/>
      <c r="C153" s="69" t="s">
        <v>194</v>
      </c>
      <c r="D153" s="69">
        <f>(19.79+0.75*2.75)*10.764</f>
        <v>235.22030999999998</v>
      </c>
      <c r="E153" s="69">
        <v>0</v>
      </c>
      <c r="F153" s="39">
        <f t="shared" si="15"/>
        <v>341.06944949999996</v>
      </c>
      <c r="G153" s="96"/>
      <c r="H153" s="97"/>
      <c r="I153" s="36"/>
      <c r="L153" s="76">
        <f t="shared" si="16"/>
        <v>1.45</v>
      </c>
      <c r="N153" s="36"/>
    </row>
    <row r="154" spans="1:14" s="70" customFormat="1" x14ac:dyDescent="0.35">
      <c r="A154" s="100">
        <v>403</v>
      </c>
      <c r="B154" s="100"/>
      <c r="C154" s="69" t="s">
        <v>194</v>
      </c>
      <c r="D154" s="69">
        <f>(19.79+0.75*2.75)*10.764</f>
        <v>235.22030999999998</v>
      </c>
      <c r="E154" s="69">
        <v>0</v>
      </c>
      <c r="F154" s="39">
        <f t="shared" si="15"/>
        <v>341.06944949999996</v>
      </c>
      <c r="G154" s="96"/>
      <c r="H154" s="97"/>
      <c r="I154" s="36"/>
      <c r="L154" s="76">
        <f t="shared" si="16"/>
        <v>1.45</v>
      </c>
      <c r="N154" s="36"/>
    </row>
    <row r="155" spans="1:14" s="70" customFormat="1" x14ac:dyDescent="0.35">
      <c r="A155" s="100">
        <v>404</v>
      </c>
      <c r="B155" s="100"/>
      <c r="C155" s="69" t="s">
        <v>193</v>
      </c>
      <c r="D155" s="69">
        <f>(9.05+3.99+4.75+1.08+1.8+1*(2.5+2.1+2.75))*10.764</f>
        <v>301.60727999999995</v>
      </c>
      <c r="E155" s="69">
        <v>0</v>
      </c>
      <c r="F155" s="39">
        <f t="shared" si="15"/>
        <v>437.33055599999989</v>
      </c>
      <c r="G155" s="96"/>
      <c r="H155" s="97"/>
      <c r="I155" s="36"/>
      <c r="L155" s="76">
        <f t="shared" si="16"/>
        <v>1.45</v>
      </c>
      <c r="N155" s="36"/>
    </row>
    <row r="156" spans="1:14" s="59" customFormat="1" x14ac:dyDescent="0.35">
      <c r="A156" s="100">
        <v>405</v>
      </c>
      <c r="B156" s="100"/>
      <c r="C156" s="69" t="s">
        <v>193</v>
      </c>
      <c r="D156" s="69">
        <f>(9.05+3.99+4.75+1.08+1.8+1*(2.5+2.1+2.75))*10.764</f>
        <v>301.60727999999995</v>
      </c>
      <c r="E156" s="69">
        <v>0</v>
      </c>
      <c r="F156" s="39">
        <f t="shared" si="15"/>
        <v>437.33055599999989</v>
      </c>
      <c r="G156" s="96"/>
      <c r="H156" s="97"/>
      <c r="I156" s="36"/>
      <c r="L156" s="76">
        <f t="shared" si="16"/>
        <v>1.45</v>
      </c>
      <c r="N156" s="36"/>
    </row>
    <row r="157" spans="1:14" s="59" customFormat="1" x14ac:dyDescent="0.35">
      <c r="A157" s="100">
        <v>406</v>
      </c>
      <c r="B157" s="100"/>
      <c r="C157" s="69" t="s">
        <v>194</v>
      </c>
      <c r="D157" s="69">
        <f>(9.49+1.8+1.08+2.88+0.9*1.2+1*2.4+0.75*2.75+1.05*1.2)*10.764</f>
        <v>237.37310999999997</v>
      </c>
      <c r="E157" s="69">
        <v>0</v>
      </c>
      <c r="F157" s="39">
        <f t="shared" si="15"/>
        <v>344.19100949999995</v>
      </c>
      <c r="G157" s="96"/>
      <c r="H157" s="97"/>
      <c r="I157" s="36"/>
      <c r="L157" s="76">
        <f t="shared" si="16"/>
        <v>1.45</v>
      </c>
      <c r="N157" s="36"/>
    </row>
    <row r="158" spans="1:14" s="59" customFormat="1" x14ac:dyDescent="0.35">
      <c r="A158" s="100">
        <v>407</v>
      </c>
      <c r="B158" s="100"/>
      <c r="C158" s="69" t="s">
        <v>194</v>
      </c>
      <c r="D158" s="69">
        <f>(19.79+0.75*2.75)*10.764</f>
        <v>235.22030999999998</v>
      </c>
      <c r="E158" s="58">
        <v>0</v>
      </c>
      <c r="F158" s="39">
        <f t="shared" si="15"/>
        <v>341.06944949999996</v>
      </c>
      <c r="G158" s="96"/>
      <c r="H158" s="97"/>
      <c r="I158" s="36"/>
      <c r="L158" s="76">
        <f t="shared" si="16"/>
        <v>1.45</v>
      </c>
      <c r="N158" s="36"/>
    </row>
    <row r="159" spans="1:14" s="59" customFormat="1" x14ac:dyDescent="0.35">
      <c r="A159" s="100">
        <v>408</v>
      </c>
      <c r="B159" s="100"/>
      <c r="C159" s="69" t="s">
        <v>193</v>
      </c>
      <c r="D159" s="58">
        <f>(27.15+0.75*2.75)*10.764</f>
        <v>314.44334999999995</v>
      </c>
      <c r="E159" s="58">
        <v>0</v>
      </c>
      <c r="F159" s="39">
        <f t="shared" si="15"/>
        <v>455.94285749999995</v>
      </c>
      <c r="G159" s="98"/>
      <c r="H159" s="99"/>
      <c r="I159" s="36"/>
      <c r="L159" s="76">
        <f t="shared" si="16"/>
        <v>1.45</v>
      </c>
      <c r="N159" s="36"/>
    </row>
    <row r="160" spans="1:14" s="70" customFormat="1" x14ac:dyDescent="0.35">
      <c r="A160" s="133" t="s">
        <v>214</v>
      </c>
      <c r="B160" s="133"/>
      <c r="C160" s="133"/>
      <c r="D160" s="133"/>
      <c r="E160" s="133"/>
      <c r="F160" s="133"/>
      <c r="G160" s="133"/>
      <c r="H160" s="133"/>
      <c r="I160" s="36"/>
      <c r="L160" s="143"/>
      <c r="M160" s="143"/>
    </row>
    <row r="161" spans="1:14" s="70" customFormat="1" x14ac:dyDescent="0.35">
      <c r="A161" s="100">
        <v>501</v>
      </c>
      <c r="B161" s="100"/>
      <c r="C161" s="79" t="s">
        <v>193</v>
      </c>
      <c r="D161" s="79">
        <f>(27.74+2.75*0.75)*10.764</f>
        <v>320.79410999999999</v>
      </c>
      <c r="E161" s="79">
        <v>0</v>
      </c>
      <c r="F161" s="39">
        <f t="shared" ref="F161:F168" si="17">D161*1.45</f>
        <v>465.15145949999999</v>
      </c>
      <c r="G161" s="100" t="str">
        <f>A160</f>
        <v xml:space="preserve">5th Floor </v>
      </c>
      <c r="H161" s="100"/>
      <c r="I161" s="36"/>
      <c r="J161" s="70">
        <f>F161/D161</f>
        <v>1.45</v>
      </c>
      <c r="L161" s="77">
        <f t="shared" si="16"/>
        <v>1.45</v>
      </c>
      <c r="N161" s="36"/>
    </row>
    <row r="162" spans="1:14" s="70" customFormat="1" x14ac:dyDescent="0.35">
      <c r="A162" s="100">
        <v>502</v>
      </c>
      <c r="B162" s="100"/>
      <c r="C162" s="79" t="s">
        <v>194</v>
      </c>
      <c r="D162" s="79">
        <f>(19.79+0.75*2.75)*10.764</f>
        <v>235.22030999999998</v>
      </c>
      <c r="E162" s="79">
        <v>0</v>
      </c>
      <c r="F162" s="39">
        <f t="shared" si="17"/>
        <v>341.06944949999996</v>
      </c>
      <c r="G162" s="100"/>
      <c r="H162" s="100"/>
      <c r="I162" s="36"/>
      <c r="L162" s="77">
        <f t="shared" si="16"/>
        <v>1.45</v>
      </c>
      <c r="N162" s="36"/>
    </row>
    <row r="163" spans="1:14" s="70" customFormat="1" x14ac:dyDescent="0.35">
      <c r="A163" s="100">
        <v>503</v>
      </c>
      <c r="B163" s="100"/>
      <c r="C163" s="79" t="s">
        <v>194</v>
      </c>
      <c r="D163" s="79">
        <f>(19.79+0.75*2.75)*10.764</f>
        <v>235.22030999999998</v>
      </c>
      <c r="E163" s="79">
        <v>0</v>
      </c>
      <c r="F163" s="39">
        <f t="shared" si="17"/>
        <v>341.06944949999996</v>
      </c>
      <c r="G163" s="100"/>
      <c r="H163" s="100"/>
      <c r="I163" s="36"/>
      <c r="L163" s="77">
        <f t="shared" si="16"/>
        <v>1.45</v>
      </c>
      <c r="N163" s="36"/>
    </row>
    <row r="164" spans="1:14" s="70" customFormat="1" x14ac:dyDescent="0.35">
      <c r="A164" s="100">
        <v>504</v>
      </c>
      <c r="B164" s="100"/>
      <c r="C164" s="79" t="s">
        <v>193</v>
      </c>
      <c r="D164" s="79">
        <f>(27.74)*10.764</f>
        <v>298.59335999999996</v>
      </c>
      <c r="E164" s="79">
        <v>0</v>
      </c>
      <c r="F164" s="39">
        <f t="shared" si="17"/>
        <v>432.96037199999995</v>
      </c>
      <c r="G164" s="100"/>
      <c r="H164" s="100"/>
      <c r="I164" s="36"/>
      <c r="L164" s="77">
        <f t="shared" si="16"/>
        <v>1.45</v>
      </c>
      <c r="N164" s="36"/>
    </row>
    <row r="165" spans="1:14" s="70" customFormat="1" x14ac:dyDescent="0.35">
      <c r="A165" s="100">
        <v>505</v>
      </c>
      <c r="B165" s="100"/>
      <c r="C165" s="79" t="s">
        <v>193</v>
      </c>
      <c r="D165" s="79">
        <f>(27.74)*10.764</f>
        <v>298.59335999999996</v>
      </c>
      <c r="E165" s="79">
        <v>0</v>
      </c>
      <c r="F165" s="39">
        <f t="shared" si="17"/>
        <v>432.96037199999995</v>
      </c>
      <c r="G165" s="100"/>
      <c r="H165" s="100"/>
      <c r="I165" s="36"/>
      <c r="L165" s="77">
        <f t="shared" si="16"/>
        <v>1.45</v>
      </c>
      <c r="N165" s="36"/>
    </row>
    <row r="166" spans="1:14" s="70" customFormat="1" x14ac:dyDescent="0.35">
      <c r="A166" s="100">
        <v>506</v>
      </c>
      <c r="B166" s="100"/>
      <c r="C166" s="79" t="s">
        <v>194</v>
      </c>
      <c r="D166" s="79">
        <f t="shared" ref="D166:D167" si="18">(19.79+0.75*2.75)*10.764</f>
        <v>235.22030999999998</v>
      </c>
      <c r="E166" s="79">
        <v>0</v>
      </c>
      <c r="F166" s="39">
        <f t="shared" si="17"/>
        <v>341.06944949999996</v>
      </c>
      <c r="G166" s="100"/>
      <c r="H166" s="100"/>
      <c r="I166" s="36"/>
      <c r="L166" s="77">
        <f t="shared" si="16"/>
        <v>1.45</v>
      </c>
      <c r="N166" s="36"/>
    </row>
    <row r="167" spans="1:14" s="70" customFormat="1" x14ac:dyDescent="0.35">
      <c r="A167" s="100">
        <v>507</v>
      </c>
      <c r="B167" s="100"/>
      <c r="C167" s="79" t="s">
        <v>194</v>
      </c>
      <c r="D167" s="79">
        <f t="shared" si="18"/>
        <v>235.22030999999998</v>
      </c>
      <c r="E167" s="79">
        <v>0</v>
      </c>
      <c r="F167" s="39">
        <f t="shared" si="17"/>
        <v>341.06944949999996</v>
      </c>
      <c r="G167" s="100"/>
      <c r="H167" s="100"/>
      <c r="I167" s="36"/>
      <c r="L167" s="77">
        <f t="shared" si="16"/>
        <v>1.45</v>
      </c>
      <c r="N167" s="36"/>
    </row>
    <row r="168" spans="1:14" s="70" customFormat="1" x14ac:dyDescent="0.35">
      <c r="A168" s="100">
        <v>508</v>
      </c>
      <c r="B168" s="100"/>
      <c r="C168" s="79" t="s">
        <v>193</v>
      </c>
      <c r="D168" s="79">
        <f>(27.15+0.75*2.75)*10.764</f>
        <v>314.44334999999995</v>
      </c>
      <c r="E168" s="79">
        <v>0</v>
      </c>
      <c r="F168" s="39">
        <f t="shared" si="17"/>
        <v>455.94285749999995</v>
      </c>
      <c r="G168" s="100"/>
      <c r="H168" s="100"/>
      <c r="I168" s="36"/>
      <c r="L168" s="77">
        <f t="shared" si="16"/>
        <v>1.45</v>
      </c>
      <c r="N168" s="36"/>
    </row>
    <row r="169" spans="1:14" s="70" customFormat="1" x14ac:dyDescent="0.35">
      <c r="A169" s="133" t="s">
        <v>217</v>
      </c>
      <c r="B169" s="133"/>
      <c r="C169" s="133"/>
      <c r="D169" s="133"/>
      <c r="E169" s="133"/>
      <c r="F169" s="133"/>
      <c r="G169" s="133"/>
      <c r="H169" s="133"/>
      <c r="I169" s="36"/>
      <c r="L169" s="143"/>
      <c r="M169" s="143"/>
    </row>
    <row r="170" spans="1:14" s="70" customFormat="1" x14ac:dyDescent="0.35">
      <c r="A170" s="100">
        <v>601</v>
      </c>
      <c r="B170" s="100"/>
      <c r="C170" s="80" t="s">
        <v>193</v>
      </c>
      <c r="D170" s="80">
        <f>(27.74+2.75*0.75)*10.764</f>
        <v>320.79410999999999</v>
      </c>
      <c r="E170" s="80">
        <f>(19.79)*10.764</f>
        <v>213.01955999999998</v>
      </c>
      <c r="F170" s="78">
        <f>D170*1.45+E170/2</f>
        <v>571.66123949999997</v>
      </c>
      <c r="G170" s="100" t="str">
        <f>A169</f>
        <v xml:space="preserve">6th Floor </v>
      </c>
      <c r="H170" s="100"/>
      <c r="I170" s="36"/>
      <c r="L170" s="77">
        <f t="shared" si="16"/>
        <v>1.7820191259122555</v>
      </c>
      <c r="N170" s="36"/>
    </row>
    <row r="171" spans="1:14" s="70" customFormat="1" x14ac:dyDescent="0.35">
      <c r="A171" s="100">
        <v>602</v>
      </c>
      <c r="B171" s="100"/>
      <c r="C171" s="80" t="s">
        <v>193</v>
      </c>
      <c r="D171" s="80">
        <f>(27.83)*10.764</f>
        <v>299.56211999999994</v>
      </c>
      <c r="E171" s="80">
        <f>(19.79)*10.764</f>
        <v>213.01955999999998</v>
      </c>
      <c r="F171" s="78">
        <f t="shared" ref="F171:F173" si="19">D171*1.45+E171/2</f>
        <v>540.87485399999991</v>
      </c>
      <c r="G171" s="100"/>
      <c r="H171" s="100"/>
      <c r="I171" s="36"/>
      <c r="L171" s="77">
        <f t="shared" si="16"/>
        <v>1.8055515630614445</v>
      </c>
      <c r="N171" s="36"/>
    </row>
    <row r="172" spans="1:14" s="70" customFormat="1" x14ac:dyDescent="0.35">
      <c r="A172" s="100">
        <v>603</v>
      </c>
      <c r="B172" s="100"/>
      <c r="C172" s="80" t="s">
        <v>193</v>
      </c>
      <c r="D172" s="80">
        <f>(27.83)*10.764</f>
        <v>299.56211999999994</v>
      </c>
      <c r="E172" s="80">
        <f>(19.79)*10.764</f>
        <v>213.01955999999998</v>
      </c>
      <c r="F172" s="78">
        <f t="shared" si="19"/>
        <v>540.87485399999991</v>
      </c>
      <c r="G172" s="100"/>
      <c r="H172" s="100"/>
      <c r="I172" s="36"/>
      <c r="L172" s="77">
        <f t="shared" si="16"/>
        <v>1.8055515630614445</v>
      </c>
      <c r="N172" s="36"/>
    </row>
    <row r="173" spans="1:14" s="70" customFormat="1" x14ac:dyDescent="0.35">
      <c r="A173" s="100">
        <v>604</v>
      </c>
      <c r="B173" s="100"/>
      <c r="C173" s="80" t="s">
        <v>193</v>
      </c>
      <c r="D173" s="80">
        <f>(27.74+2.75*0.75)*10.764</f>
        <v>320.79410999999999</v>
      </c>
      <c r="E173" s="80">
        <f>(19.79)*10.764</f>
        <v>213.01955999999998</v>
      </c>
      <c r="F173" s="78">
        <f t="shared" si="19"/>
        <v>571.66123949999997</v>
      </c>
      <c r="G173" s="100"/>
      <c r="H173" s="100"/>
      <c r="I173" s="36"/>
      <c r="L173" s="77">
        <f t="shared" si="16"/>
        <v>1.7820191259122555</v>
      </c>
      <c r="N173" s="36"/>
    </row>
    <row r="174" spans="1:14" s="9" customFormat="1" x14ac:dyDescent="0.35">
      <c r="A174" s="132" t="s">
        <v>215</v>
      </c>
      <c r="B174" s="132"/>
      <c r="C174" s="132"/>
      <c r="D174" s="132"/>
      <c r="E174" s="132"/>
      <c r="F174" s="132"/>
      <c r="G174" s="132"/>
      <c r="H174" s="132"/>
    </row>
    <row r="175" spans="1:14" s="59" customFormat="1" x14ac:dyDescent="0.35">
      <c r="A175" s="133" t="s">
        <v>192</v>
      </c>
      <c r="B175" s="133"/>
      <c r="C175" s="133"/>
      <c r="D175" s="133"/>
      <c r="E175" s="133"/>
      <c r="F175" s="133"/>
      <c r="G175" s="133"/>
      <c r="H175" s="133"/>
      <c r="I175" s="36"/>
      <c r="L175" s="143"/>
      <c r="M175" s="143"/>
    </row>
    <row r="176" spans="1:14" s="59" customFormat="1" ht="15.65" customHeight="1" x14ac:dyDescent="0.35">
      <c r="A176" s="100">
        <v>1</v>
      </c>
      <c r="B176" s="100"/>
      <c r="C176" s="80" t="s">
        <v>193</v>
      </c>
      <c r="D176" s="80">
        <f>(21.86)*10.764</f>
        <v>235.30103999999997</v>
      </c>
      <c r="E176" s="80">
        <v>0</v>
      </c>
      <c r="F176" s="39">
        <f t="shared" ref="F176:F178" si="20">D176*1.45</f>
        <v>341.18650799999995</v>
      </c>
      <c r="G176" s="100" t="str">
        <f>A175</f>
        <v>Ground floor for Residential &amp; Parking</v>
      </c>
      <c r="H176" s="100"/>
      <c r="I176" s="36"/>
      <c r="L176" s="77">
        <f>F176/D176</f>
        <v>1.45</v>
      </c>
      <c r="N176" s="36"/>
    </row>
    <row r="177" spans="1:16" s="59" customFormat="1" ht="15.65" customHeight="1" x14ac:dyDescent="0.35">
      <c r="A177" s="100">
        <v>2</v>
      </c>
      <c r="B177" s="100"/>
      <c r="C177" s="80" t="s">
        <v>193</v>
      </c>
      <c r="D177" s="80">
        <f>(26.29)*10.764</f>
        <v>282.98555999999996</v>
      </c>
      <c r="E177" s="80">
        <v>0</v>
      </c>
      <c r="F177" s="39">
        <f t="shared" si="20"/>
        <v>410.32906199999991</v>
      </c>
      <c r="G177" s="100"/>
      <c r="H177" s="100"/>
      <c r="I177" s="36"/>
      <c r="L177" s="77">
        <f t="shared" ref="L177:L178" si="21">F177/D177</f>
        <v>1.45</v>
      </c>
      <c r="N177" s="36"/>
    </row>
    <row r="178" spans="1:16" s="59" customFormat="1" ht="15.65" customHeight="1" x14ac:dyDescent="0.35">
      <c r="A178" s="100">
        <v>3</v>
      </c>
      <c r="B178" s="100"/>
      <c r="C178" s="80" t="s">
        <v>193</v>
      </c>
      <c r="D178" s="80">
        <f>(24.84)*10.764</f>
        <v>267.37775999999997</v>
      </c>
      <c r="E178" s="80">
        <v>0</v>
      </c>
      <c r="F178" s="39">
        <f t="shared" si="20"/>
        <v>387.69775199999992</v>
      </c>
      <c r="G178" s="100"/>
      <c r="H178" s="100"/>
      <c r="I178" s="36"/>
      <c r="L178" s="77">
        <f t="shared" si="21"/>
        <v>1.45</v>
      </c>
      <c r="N178" s="36"/>
    </row>
    <row r="179" spans="1:16" s="59" customFormat="1" x14ac:dyDescent="0.35">
      <c r="A179" s="106" t="s">
        <v>218</v>
      </c>
      <c r="B179" s="107"/>
      <c r="C179" s="107"/>
      <c r="D179" s="107"/>
      <c r="E179" s="107"/>
      <c r="F179" s="107"/>
      <c r="G179" s="107"/>
      <c r="H179" s="108"/>
      <c r="I179" s="36"/>
      <c r="L179" s="77" t="e">
        <f t="shared" ref="L179:L189" si="22">F179/D179</f>
        <v>#DIV/0!</v>
      </c>
      <c r="P179" s="37"/>
    </row>
    <row r="180" spans="1:16" s="59" customFormat="1" ht="15.65" customHeight="1" x14ac:dyDescent="0.35">
      <c r="A180" s="104">
        <v>1</v>
      </c>
      <c r="B180" s="105"/>
      <c r="C180" s="58" t="s">
        <v>193</v>
      </c>
      <c r="D180" s="71">
        <f>(31.75)*10.764</f>
        <v>341.75700000000001</v>
      </c>
      <c r="E180" s="58">
        <v>0</v>
      </c>
      <c r="F180" s="39">
        <f t="shared" ref="F180:F189" si="23">D180*1.45</f>
        <v>495.54764999999998</v>
      </c>
      <c r="G180" s="94" t="str">
        <f>A179</f>
        <v>1st to 7th Floor for Residential</v>
      </c>
      <c r="H180" s="95"/>
      <c r="I180" s="36"/>
      <c r="L180" s="77">
        <f t="shared" si="22"/>
        <v>1.45</v>
      </c>
      <c r="N180" s="59" t="str">
        <f t="shared" ref="N180:N187" ca="1" si="24">O180&amp;""&amp;" &amp; "&amp;""&amp;P180</f>
        <v>101 &amp; 701</v>
      </c>
      <c r="O180" s="59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</f>
        <v>101</v>
      </c>
      <c r="P180" s="59">
        <f ca="1">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701</v>
      </c>
    </row>
    <row r="181" spans="1:16" s="59" customFormat="1" ht="15.65" customHeight="1" x14ac:dyDescent="0.35">
      <c r="A181" s="104">
        <v>2</v>
      </c>
      <c r="B181" s="105"/>
      <c r="C181" s="58" t="s">
        <v>193</v>
      </c>
      <c r="D181" s="71">
        <f>(31.77)*10.764</f>
        <v>341.97227999999996</v>
      </c>
      <c r="E181" s="58">
        <v>0</v>
      </c>
      <c r="F181" s="39">
        <f t="shared" si="23"/>
        <v>495.85980599999994</v>
      </c>
      <c r="G181" s="96"/>
      <c r="H181" s="97"/>
      <c r="I181" s="36"/>
      <c r="L181" s="77">
        <f t="shared" si="22"/>
        <v>1.45</v>
      </c>
      <c r="N181" s="59" t="str">
        <f t="shared" ca="1" si="24"/>
        <v>102 &amp; 702</v>
      </c>
      <c r="O181" s="59">
        <f t="shared" ref="O181:P181" ca="1" si="25">O180+1</f>
        <v>102</v>
      </c>
      <c r="P181" s="59">
        <f t="shared" ca="1" si="25"/>
        <v>702</v>
      </c>
    </row>
    <row r="182" spans="1:16" s="59" customFormat="1" ht="15.65" customHeight="1" x14ac:dyDescent="0.35">
      <c r="A182" s="104">
        <v>3</v>
      </c>
      <c r="B182" s="105"/>
      <c r="C182" s="58" t="s">
        <v>194</v>
      </c>
      <c r="D182" s="71">
        <f>(20.07)*10.764</f>
        <v>216.03348</v>
      </c>
      <c r="E182" s="58">
        <v>0</v>
      </c>
      <c r="F182" s="39">
        <f t="shared" si="23"/>
        <v>313.24854599999998</v>
      </c>
      <c r="G182" s="96"/>
      <c r="H182" s="97"/>
      <c r="I182" s="36"/>
      <c r="K182" s="71">
        <v>10.763999999999999</v>
      </c>
      <c r="L182" s="77">
        <f t="shared" si="22"/>
        <v>1.45</v>
      </c>
      <c r="N182" s="59" t="str">
        <f t="shared" ca="1" si="24"/>
        <v>103 &amp; 703</v>
      </c>
      <c r="O182" s="59">
        <f t="shared" ref="O182:P182" ca="1" si="26">O181+1</f>
        <v>103</v>
      </c>
      <c r="P182" s="59">
        <f t="shared" ca="1" si="26"/>
        <v>703</v>
      </c>
    </row>
    <row r="183" spans="1:16" s="59" customFormat="1" ht="15.65" customHeight="1" x14ac:dyDescent="0.35">
      <c r="A183" s="104">
        <v>4</v>
      </c>
      <c r="B183" s="105"/>
      <c r="C183" s="58" t="s">
        <v>194</v>
      </c>
      <c r="D183" s="71">
        <v>267.59303999999997</v>
      </c>
      <c r="E183" s="58">
        <v>0</v>
      </c>
      <c r="F183" s="39">
        <f t="shared" si="23"/>
        <v>388.00990799999994</v>
      </c>
      <c r="G183" s="96"/>
      <c r="H183" s="97"/>
      <c r="I183" s="36"/>
      <c r="L183" s="77">
        <f>F183/D183</f>
        <v>1.45</v>
      </c>
      <c r="N183" s="59" t="str">
        <f t="shared" ca="1" si="24"/>
        <v>104 &amp; 704</v>
      </c>
      <c r="O183" s="59">
        <f t="shared" ref="O183:P183" ca="1" si="27">O182+1</f>
        <v>104</v>
      </c>
      <c r="P183" s="59">
        <f t="shared" ca="1" si="27"/>
        <v>704</v>
      </c>
    </row>
    <row r="184" spans="1:16" s="59" customFormat="1" ht="15.65" customHeight="1" x14ac:dyDescent="0.35">
      <c r="A184" s="104">
        <v>5</v>
      </c>
      <c r="B184" s="105"/>
      <c r="C184" s="58" t="s">
        <v>194</v>
      </c>
      <c r="D184" s="71">
        <f>(23.34)*10.764</f>
        <v>251.23175999999998</v>
      </c>
      <c r="E184" s="58">
        <v>0</v>
      </c>
      <c r="F184" s="39">
        <f t="shared" si="23"/>
        <v>364.28605199999998</v>
      </c>
      <c r="G184" s="96"/>
      <c r="H184" s="97"/>
      <c r="I184" s="36"/>
      <c r="L184" s="77">
        <f>F184/D184</f>
        <v>1.45</v>
      </c>
      <c r="N184" s="59" t="str">
        <f t="shared" ca="1" si="24"/>
        <v>105 &amp; 705</v>
      </c>
      <c r="O184" s="59">
        <f t="shared" ref="O184:P184" ca="1" si="28">O183+1</f>
        <v>105</v>
      </c>
      <c r="P184" s="59">
        <f t="shared" ca="1" si="28"/>
        <v>705</v>
      </c>
    </row>
    <row r="185" spans="1:16" s="59" customFormat="1" ht="15.65" customHeight="1" x14ac:dyDescent="0.35">
      <c r="A185" s="104">
        <v>6</v>
      </c>
      <c r="B185" s="105"/>
      <c r="C185" s="58" t="s">
        <v>193</v>
      </c>
      <c r="D185" s="71">
        <f>(32.21)*10.764</f>
        <v>346.70844</v>
      </c>
      <c r="E185" s="58">
        <v>0</v>
      </c>
      <c r="F185" s="39">
        <f t="shared" si="23"/>
        <v>502.727238</v>
      </c>
      <c r="G185" s="96"/>
      <c r="H185" s="97"/>
      <c r="I185" s="36"/>
      <c r="L185" s="77">
        <f t="shared" si="22"/>
        <v>1.45</v>
      </c>
      <c r="N185" s="59" t="str">
        <f t="shared" ca="1" si="24"/>
        <v>106 &amp; 706</v>
      </c>
      <c r="O185" s="59">
        <f t="shared" ref="O185:P185" ca="1" si="29">O184+1</f>
        <v>106</v>
      </c>
      <c r="P185" s="59">
        <f t="shared" ca="1" si="29"/>
        <v>706</v>
      </c>
    </row>
    <row r="186" spans="1:16" s="59" customFormat="1" ht="15.65" customHeight="1" x14ac:dyDescent="0.35">
      <c r="A186" s="104">
        <v>7</v>
      </c>
      <c r="B186" s="105"/>
      <c r="C186" s="58" t="s">
        <v>193</v>
      </c>
      <c r="D186" s="71">
        <v>346.70844</v>
      </c>
      <c r="E186" s="58">
        <v>0</v>
      </c>
      <c r="F186" s="39">
        <f t="shared" si="23"/>
        <v>502.727238</v>
      </c>
      <c r="G186" s="96"/>
      <c r="H186" s="97"/>
      <c r="I186" s="36"/>
      <c r="L186" s="77">
        <f t="shared" si="22"/>
        <v>1.45</v>
      </c>
      <c r="N186" s="59" t="str">
        <f t="shared" ca="1" si="24"/>
        <v>107 &amp; 707</v>
      </c>
      <c r="O186" s="59">
        <f t="shared" ref="O186:P186" ca="1" si="30">O185+1</f>
        <v>107</v>
      </c>
      <c r="P186" s="59">
        <f t="shared" ca="1" si="30"/>
        <v>707</v>
      </c>
    </row>
    <row r="187" spans="1:16" s="59" customFormat="1" ht="15.65" customHeight="1" x14ac:dyDescent="0.35">
      <c r="A187" s="104">
        <v>8</v>
      </c>
      <c r="B187" s="105"/>
      <c r="C187" s="58" t="s">
        <v>194</v>
      </c>
      <c r="D187" s="71">
        <f>(20.5)*10.764</f>
        <v>220.66199999999998</v>
      </c>
      <c r="E187" s="58">
        <v>0</v>
      </c>
      <c r="F187" s="39">
        <f t="shared" si="23"/>
        <v>319.95989999999995</v>
      </c>
      <c r="G187" s="96"/>
      <c r="H187" s="97"/>
      <c r="I187" s="36"/>
      <c r="L187" s="77">
        <f t="shared" si="22"/>
        <v>1.45</v>
      </c>
      <c r="N187" s="59" t="str">
        <f t="shared" ca="1" si="24"/>
        <v>108 &amp; 708</v>
      </c>
      <c r="O187" s="59">
        <f t="shared" ref="O187:P187" ca="1" si="31">O186+1</f>
        <v>108</v>
      </c>
      <c r="P187" s="59">
        <f t="shared" ca="1" si="31"/>
        <v>708</v>
      </c>
    </row>
    <row r="188" spans="1:16" s="59" customFormat="1" ht="15.65" customHeight="1" x14ac:dyDescent="0.35">
      <c r="A188" s="104">
        <v>9</v>
      </c>
      <c r="B188" s="105"/>
      <c r="C188" s="58" t="s">
        <v>193</v>
      </c>
      <c r="D188" s="71">
        <f>(29.45)*10.764</f>
        <v>316.99979999999999</v>
      </c>
      <c r="E188" s="58">
        <v>0</v>
      </c>
      <c r="F188" s="39">
        <f t="shared" si="23"/>
        <v>459.64970999999997</v>
      </c>
      <c r="G188" s="96"/>
      <c r="H188" s="97"/>
      <c r="I188" s="36"/>
      <c r="L188" s="77">
        <f t="shared" si="22"/>
        <v>1.45</v>
      </c>
      <c r="N188" s="59" t="str">
        <f t="shared" ref="N188:N189" ca="1" si="32">O188&amp;""&amp;" &amp; "&amp;""&amp;P188</f>
        <v>109 &amp; 709</v>
      </c>
      <c r="O188" s="59">
        <f t="shared" ref="O188:P188" ca="1" si="33">O187+1</f>
        <v>109</v>
      </c>
      <c r="P188" s="59">
        <f t="shared" ca="1" si="33"/>
        <v>709</v>
      </c>
    </row>
    <row r="189" spans="1:16" s="59" customFormat="1" ht="15.65" customHeight="1" x14ac:dyDescent="0.35">
      <c r="A189" s="104">
        <v>10</v>
      </c>
      <c r="B189" s="105"/>
      <c r="C189" s="58" t="s">
        <v>194</v>
      </c>
      <c r="D189" s="71">
        <f>(23.25)*10.764</f>
        <v>250.26299999999998</v>
      </c>
      <c r="E189" s="58">
        <v>0</v>
      </c>
      <c r="F189" s="39">
        <f t="shared" si="23"/>
        <v>362.88134999999994</v>
      </c>
      <c r="G189" s="98"/>
      <c r="H189" s="99"/>
      <c r="I189" s="36"/>
      <c r="L189" s="77">
        <f t="shared" si="22"/>
        <v>1.45</v>
      </c>
      <c r="N189" s="59" t="str">
        <f t="shared" ca="1" si="32"/>
        <v>110 &amp; 710</v>
      </c>
      <c r="O189" s="59">
        <f t="shared" ref="O189:P189" ca="1" si="34">O188+1</f>
        <v>110</v>
      </c>
      <c r="P189" s="59">
        <f t="shared" ca="1" si="34"/>
        <v>710</v>
      </c>
    </row>
    <row r="190" spans="1:16" s="9" customFormat="1" x14ac:dyDescent="0.35">
      <c r="A190" s="132" t="s">
        <v>244</v>
      </c>
      <c r="B190" s="132"/>
      <c r="C190" s="132"/>
      <c r="D190" s="132"/>
      <c r="E190" s="132"/>
      <c r="F190" s="132"/>
      <c r="G190" s="132"/>
      <c r="H190" s="132"/>
      <c r="J190" s="68"/>
    </row>
    <row r="191" spans="1:16" s="59" customFormat="1" x14ac:dyDescent="0.35">
      <c r="A191" s="133" t="s">
        <v>192</v>
      </c>
      <c r="B191" s="133"/>
      <c r="C191" s="133"/>
      <c r="D191" s="133"/>
      <c r="E191" s="133"/>
      <c r="F191" s="133"/>
      <c r="G191" s="133"/>
      <c r="H191" s="133"/>
      <c r="I191" s="36"/>
      <c r="J191" s="75">
        <v>10.763999999999999</v>
      </c>
      <c r="L191" s="143"/>
      <c r="M191" s="143"/>
    </row>
    <row r="192" spans="1:16" s="59" customFormat="1" ht="15.65" customHeight="1" x14ac:dyDescent="0.35">
      <c r="A192" s="100">
        <v>1</v>
      </c>
      <c r="B192" s="100"/>
      <c r="C192" s="58" t="s">
        <v>195</v>
      </c>
      <c r="D192" s="75">
        <f>(18.75)*10.764</f>
        <v>201.82499999999999</v>
      </c>
      <c r="E192" s="58">
        <v>0</v>
      </c>
      <c r="F192" s="39">
        <f t="shared" ref="F192:F196" si="35">D192*1.45</f>
        <v>292.64624999999995</v>
      </c>
      <c r="G192" s="94" t="str">
        <f>A191</f>
        <v>Ground floor for Residential &amp; Parking</v>
      </c>
      <c r="H192" s="95"/>
      <c r="I192" s="36">
        <f>8.66+3.99+1.08+1.8+0.9*2.1+0.7*1.2</f>
        <v>18.260000000000002</v>
      </c>
      <c r="L192" s="68">
        <f>F192/D192</f>
        <v>1.45</v>
      </c>
      <c r="N192" s="36"/>
    </row>
    <row r="193" spans="1:16" s="59" customFormat="1" ht="15.65" customHeight="1" x14ac:dyDescent="0.35">
      <c r="A193" s="100">
        <f>A192+1</f>
        <v>2</v>
      </c>
      <c r="B193" s="100"/>
      <c r="C193" s="58" t="s">
        <v>245</v>
      </c>
      <c r="D193" s="75">
        <f>(21.33)*10.764</f>
        <v>229.59611999999996</v>
      </c>
      <c r="E193" s="58">
        <v>0</v>
      </c>
      <c r="F193" s="39">
        <f t="shared" si="35"/>
        <v>332.91437399999995</v>
      </c>
      <c r="G193" s="96"/>
      <c r="H193" s="97"/>
      <c r="I193" s="36">
        <f>8.66+4.1+5+1.26+1.88</f>
        <v>20.9</v>
      </c>
      <c r="L193" s="76">
        <f>F193/D193</f>
        <v>1.4500000000000002</v>
      </c>
      <c r="N193" s="36"/>
    </row>
    <row r="194" spans="1:16" s="59" customFormat="1" ht="15.65" customHeight="1" x14ac:dyDescent="0.35">
      <c r="A194" s="100">
        <f t="shared" ref="A194:A196" si="36">A193+1</f>
        <v>3</v>
      </c>
      <c r="B194" s="100"/>
      <c r="C194" s="58" t="s">
        <v>245</v>
      </c>
      <c r="D194" s="75">
        <f>(29.95)*10.764</f>
        <v>322.3818</v>
      </c>
      <c r="E194" s="58">
        <v>0</v>
      </c>
      <c r="F194" s="39">
        <f t="shared" si="35"/>
        <v>467.45360999999997</v>
      </c>
      <c r="G194" s="96"/>
      <c r="H194" s="97"/>
      <c r="I194" s="36">
        <f>11.25+4.34+7.95+1.88+1.08+0.7*1.25+0.9*2.25</f>
        <v>29.4</v>
      </c>
      <c r="L194" s="76">
        <f>F194/D194</f>
        <v>1.45</v>
      </c>
      <c r="N194" s="36"/>
    </row>
    <row r="195" spans="1:16" s="59" customFormat="1" ht="15.65" customHeight="1" x14ac:dyDescent="0.35">
      <c r="A195" s="100">
        <f t="shared" si="36"/>
        <v>4</v>
      </c>
      <c r="B195" s="100"/>
      <c r="C195" s="58" t="s">
        <v>245</v>
      </c>
      <c r="D195" s="75">
        <f>(25.61)*10.764</f>
        <v>275.66603999999995</v>
      </c>
      <c r="E195" s="58">
        <v>0</v>
      </c>
      <c r="F195" s="39">
        <f t="shared" si="35"/>
        <v>399.71575799999994</v>
      </c>
      <c r="G195" s="96"/>
      <c r="H195" s="97"/>
      <c r="I195" s="36"/>
      <c r="L195" s="76">
        <f>F195/D195</f>
        <v>1.45</v>
      </c>
      <c r="N195" s="36"/>
    </row>
    <row r="196" spans="1:16" s="76" customFormat="1" ht="15.65" customHeight="1" x14ac:dyDescent="0.35">
      <c r="A196" s="100">
        <f t="shared" si="36"/>
        <v>5</v>
      </c>
      <c r="B196" s="100"/>
      <c r="C196" s="75" t="s">
        <v>245</v>
      </c>
      <c r="D196" s="75">
        <f>(25.61)*10.764</f>
        <v>275.66603999999995</v>
      </c>
      <c r="E196" s="75">
        <v>0</v>
      </c>
      <c r="F196" s="39">
        <f t="shared" si="35"/>
        <v>399.71575799999994</v>
      </c>
      <c r="G196" s="96"/>
      <c r="H196" s="97"/>
      <c r="I196" s="36"/>
      <c r="L196" s="76">
        <f>F196/D196</f>
        <v>1.45</v>
      </c>
      <c r="N196" s="36"/>
    </row>
    <row r="197" spans="1:16" s="76" customFormat="1" ht="15.65" customHeight="1" x14ac:dyDescent="0.35">
      <c r="A197" s="100" t="s">
        <v>249</v>
      </c>
      <c r="B197" s="100"/>
      <c r="C197" s="94" t="s">
        <v>248</v>
      </c>
      <c r="D197" s="101"/>
      <c r="E197" s="101"/>
      <c r="F197" s="95"/>
      <c r="G197" s="96"/>
      <c r="H197" s="97"/>
      <c r="I197" s="36"/>
      <c r="L197" s="76" t="e">
        <f t="shared" ref="L197:L200" si="37">F197/D197</f>
        <v>#DIV/0!</v>
      </c>
      <c r="N197" s="36"/>
    </row>
    <row r="198" spans="1:16" s="76" customFormat="1" ht="15.65" customHeight="1" x14ac:dyDescent="0.35">
      <c r="A198" s="100" t="s">
        <v>249</v>
      </c>
      <c r="B198" s="100"/>
      <c r="C198" s="96"/>
      <c r="D198" s="102"/>
      <c r="E198" s="102"/>
      <c r="F198" s="97"/>
      <c r="G198" s="96"/>
      <c r="H198" s="97"/>
      <c r="I198" s="36"/>
      <c r="L198" s="76" t="e">
        <f t="shared" si="37"/>
        <v>#DIV/0!</v>
      </c>
      <c r="N198" s="36"/>
    </row>
    <row r="199" spans="1:16" s="76" customFormat="1" ht="15.65" customHeight="1" x14ac:dyDescent="0.35">
      <c r="A199" s="100" t="s">
        <v>249</v>
      </c>
      <c r="B199" s="100"/>
      <c r="C199" s="96"/>
      <c r="D199" s="102"/>
      <c r="E199" s="102"/>
      <c r="F199" s="97"/>
      <c r="G199" s="96"/>
      <c r="H199" s="97"/>
      <c r="I199" s="36"/>
      <c r="L199" s="76" t="e">
        <f t="shared" si="37"/>
        <v>#DIV/0!</v>
      </c>
      <c r="N199" s="36"/>
    </row>
    <row r="200" spans="1:16" s="76" customFormat="1" ht="15.65" customHeight="1" x14ac:dyDescent="0.35">
      <c r="A200" s="100" t="s">
        <v>249</v>
      </c>
      <c r="B200" s="100"/>
      <c r="C200" s="98"/>
      <c r="D200" s="103"/>
      <c r="E200" s="103"/>
      <c r="F200" s="99"/>
      <c r="G200" s="96"/>
      <c r="H200" s="97"/>
      <c r="I200" s="36"/>
      <c r="L200" s="76" t="e">
        <f t="shared" si="37"/>
        <v>#DIV/0!</v>
      </c>
      <c r="N200" s="36"/>
    </row>
    <row r="201" spans="1:16" s="76" customFormat="1" ht="15.65" customHeight="1" x14ac:dyDescent="0.35">
      <c r="A201" s="100">
        <f>A196+1</f>
        <v>6</v>
      </c>
      <c r="B201" s="100"/>
      <c r="C201" s="75" t="s">
        <v>195</v>
      </c>
      <c r="D201" s="75">
        <f>(20)*10.764</f>
        <v>215.27999999999997</v>
      </c>
      <c r="E201" s="75">
        <v>0</v>
      </c>
      <c r="F201" s="39">
        <f t="shared" ref="F201" si="38">D201*1.45</f>
        <v>312.15599999999995</v>
      </c>
      <c r="G201" s="98"/>
      <c r="H201" s="99"/>
      <c r="I201" s="36"/>
      <c r="L201" s="76">
        <f>F201/D201</f>
        <v>1.45</v>
      </c>
      <c r="N201" s="36"/>
    </row>
    <row r="202" spans="1:16" s="59" customFormat="1" x14ac:dyDescent="0.35">
      <c r="A202" s="106" t="s">
        <v>218</v>
      </c>
      <c r="B202" s="107"/>
      <c r="C202" s="107"/>
      <c r="D202" s="107"/>
      <c r="E202" s="107"/>
      <c r="F202" s="107"/>
      <c r="G202" s="107"/>
      <c r="H202" s="108"/>
      <c r="I202" s="36"/>
      <c r="J202" s="68"/>
      <c r="P202" s="37"/>
    </row>
    <row r="203" spans="1:16" s="59" customFormat="1" ht="15.65" customHeight="1" x14ac:dyDescent="0.35">
      <c r="A203" s="100">
        <v>1</v>
      </c>
      <c r="B203" s="100"/>
      <c r="C203" s="80" t="s">
        <v>193</v>
      </c>
      <c r="D203" s="80">
        <f>(28.88+2.5)*10.764</f>
        <v>337.77431999999999</v>
      </c>
      <c r="E203" s="80">
        <v>0</v>
      </c>
      <c r="F203" s="39">
        <f t="shared" ref="F203:F213" si="39">D203*1.45</f>
        <v>489.772764</v>
      </c>
      <c r="G203" s="100" t="str">
        <f>A202</f>
        <v>1st to 7th Floor for Residential</v>
      </c>
      <c r="H203" s="100"/>
      <c r="I203" s="36">
        <f>7.89+3.99+7.25+1.08+1.8+0.9*2.1+0.7*1.2</f>
        <v>24.740000000000002</v>
      </c>
      <c r="J203" s="68">
        <f>2.5+1.43*2.75</f>
        <v>6.4324999999999992</v>
      </c>
      <c r="N203" s="59" t="str">
        <f t="shared" ref="N203:N212" ca="1" si="40">O203&amp;""&amp;" &amp; "&amp;""&amp;P203</f>
        <v>101 &amp; 701</v>
      </c>
      <c r="O203" s="59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10^ROW(INDIRECT("1:"&amp;LEN((LEFT(A202,SUM(LEN(A202)-LEN(SUBSTITUTE(A202,{"0","1","2"},""))))))))/10))*100+1</f>
        <v>101</v>
      </c>
      <c r="P203" s="59">
        <f ca="1">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",LEN(A202))),LEN(A202)))))))/10))*100+1</f>
        <v>701</v>
      </c>
    </row>
    <row r="204" spans="1:16" s="59" customFormat="1" ht="15.65" customHeight="1" x14ac:dyDescent="0.35">
      <c r="A204" s="100">
        <f t="shared" ref="A204:A213" si="41">A203+1</f>
        <v>2</v>
      </c>
      <c r="B204" s="100"/>
      <c r="C204" s="80" t="s">
        <v>193</v>
      </c>
      <c r="D204" s="80">
        <f>(28.52)*10.764</f>
        <v>306.98927999999995</v>
      </c>
      <c r="E204" s="80">
        <v>0</v>
      </c>
      <c r="F204" s="39">
        <f t="shared" si="39"/>
        <v>445.13445599999994</v>
      </c>
      <c r="G204" s="100"/>
      <c r="H204" s="100"/>
      <c r="J204" s="68"/>
      <c r="N204" s="59" t="str">
        <f t="shared" ca="1" si="40"/>
        <v>102 &amp; 702</v>
      </c>
      <c r="O204" s="59">
        <f t="shared" ref="O204:P204" ca="1" si="42">O203+1</f>
        <v>102</v>
      </c>
      <c r="P204" s="59">
        <f t="shared" ca="1" si="42"/>
        <v>702</v>
      </c>
    </row>
    <row r="205" spans="1:16" s="59" customFormat="1" ht="15.65" customHeight="1" x14ac:dyDescent="0.35">
      <c r="A205" s="100">
        <f t="shared" si="41"/>
        <v>3</v>
      </c>
      <c r="B205" s="100"/>
      <c r="C205" s="80" t="s">
        <v>193</v>
      </c>
      <c r="D205" s="80">
        <f>(30.22+2.75)*10.764</f>
        <v>354.88907999999998</v>
      </c>
      <c r="E205" s="80">
        <v>0</v>
      </c>
      <c r="F205" s="39">
        <f t="shared" si="39"/>
        <v>514.58916599999998</v>
      </c>
      <c r="G205" s="100"/>
      <c r="H205" s="100"/>
      <c r="I205" s="36">
        <f>4.09*2.75+2.16*2.25+2.9*2.74+1.5*1.25+1.2*0.9+0.7*1.25+0.9*2.25</f>
        <v>29.908499999999997</v>
      </c>
      <c r="J205" s="68">
        <f>2.75</f>
        <v>2.75</v>
      </c>
      <c r="N205" s="59" t="str">
        <f t="shared" ca="1" si="40"/>
        <v>103 &amp; 703</v>
      </c>
      <c r="O205" s="59">
        <f t="shared" ref="O205:P205" ca="1" si="43">O204+1</f>
        <v>103</v>
      </c>
      <c r="P205" s="59">
        <f t="shared" ca="1" si="43"/>
        <v>703</v>
      </c>
    </row>
    <row r="206" spans="1:16" s="59" customFormat="1" ht="15.65" customHeight="1" x14ac:dyDescent="0.35">
      <c r="A206" s="100">
        <f t="shared" si="41"/>
        <v>4</v>
      </c>
      <c r="B206" s="100"/>
      <c r="C206" s="80" t="s">
        <v>193</v>
      </c>
      <c r="D206" s="80">
        <f>(28.98+2.7)*10.764</f>
        <v>341.00351999999998</v>
      </c>
      <c r="E206" s="80">
        <v>0</v>
      </c>
      <c r="F206" s="39">
        <f t="shared" si="39"/>
        <v>494.45510399999995</v>
      </c>
      <c r="G206" s="100"/>
      <c r="H206" s="100"/>
      <c r="I206" s="36"/>
      <c r="J206" s="68"/>
      <c r="N206" s="59" t="str">
        <f t="shared" ca="1" si="40"/>
        <v>104 &amp; 704</v>
      </c>
      <c r="O206" s="59">
        <f t="shared" ref="O206:P206" ca="1" si="44">O205+1</f>
        <v>104</v>
      </c>
      <c r="P206" s="59">
        <f t="shared" ca="1" si="44"/>
        <v>704</v>
      </c>
    </row>
    <row r="207" spans="1:16" s="59" customFormat="1" ht="15.65" customHeight="1" x14ac:dyDescent="0.35">
      <c r="A207" s="100">
        <f t="shared" si="41"/>
        <v>5</v>
      </c>
      <c r="B207" s="100"/>
      <c r="C207" s="80" t="s">
        <v>193</v>
      </c>
      <c r="D207" s="80">
        <f>(28.98+2.7)*10.764</f>
        <v>341.00351999999998</v>
      </c>
      <c r="E207" s="80">
        <v>0</v>
      </c>
      <c r="F207" s="39">
        <f t="shared" si="39"/>
        <v>494.45510399999995</v>
      </c>
      <c r="G207" s="100"/>
      <c r="H207" s="100"/>
      <c r="I207" s="36">
        <f>F207/D207</f>
        <v>1.45</v>
      </c>
      <c r="J207" s="68"/>
      <c r="N207" s="59" t="str">
        <f t="shared" ca="1" si="40"/>
        <v>105 &amp; 705</v>
      </c>
      <c r="O207" s="59">
        <f t="shared" ref="O207:P207" ca="1" si="45">O206+1</f>
        <v>105</v>
      </c>
      <c r="P207" s="59">
        <f t="shared" ca="1" si="45"/>
        <v>705</v>
      </c>
    </row>
    <row r="208" spans="1:16" s="59" customFormat="1" ht="15.65" customHeight="1" x14ac:dyDescent="0.35">
      <c r="A208" s="100">
        <f t="shared" si="41"/>
        <v>6</v>
      </c>
      <c r="B208" s="100"/>
      <c r="C208" s="80" t="s">
        <v>193</v>
      </c>
      <c r="D208" s="80">
        <f>(30.16+2.75)*10.764</f>
        <v>354.24323999999996</v>
      </c>
      <c r="E208" s="80">
        <v>0</v>
      </c>
      <c r="F208" s="39">
        <f t="shared" si="39"/>
        <v>513.65269799999987</v>
      </c>
      <c r="G208" s="100"/>
      <c r="H208" s="100"/>
      <c r="I208" s="36"/>
      <c r="J208" s="68"/>
      <c r="N208" s="59" t="str">
        <f t="shared" ca="1" si="40"/>
        <v>106 &amp; 706</v>
      </c>
      <c r="O208" s="59">
        <f t="shared" ref="O208:P208" ca="1" si="46">O207+1</f>
        <v>106</v>
      </c>
      <c r="P208" s="59">
        <f t="shared" ca="1" si="46"/>
        <v>706</v>
      </c>
    </row>
    <row r="209" spans="1:16" s="59" customFormat="1" ht="15.65" customHeight="1" x14ac:dyDescent="0.35">
      <c r="A209" s="100">
        <f t="shared" si="41"/>
        <v>7</v>
      </c>
      <c r="B209" s="100"/>
      <c r="C209" s="80" t="s">
        <v>193</v>
      </c>
      <c r="D209" s="80">
        <f>(28.43+2.75)*10.764</f>
        <v>335.62151999999998</v>
      </c>
      <c r="E209" s="80">
        <v>0</v>
      </c>
      <c r="F209" s="39">
        <f t="shared" si="39"/>
        <v>486.65120399999995</v>
      </c>
      <c r="G209" s="100"/>
      <c r="H209" s="100"/>
      <c r="I209" s="36"/>
      <c r="J209" s="68"/>
      <c r="N209" s="59" t="str">
        <f t="shared" ca="1" si="40"/>
        <v>107 &amp; 707</v>
      </c>
      <c r="O209" s="59">
        <f t="shared" ref="O209:P209" ca="1" si="47">O208+1</f>
        <v>107</v>
      </c>
      <c r="P209" s="59">
        <f t="shared" ca="1" si="47"/>
        <v>707</v>
      </c>
    </row>
    <row r="210" spans="1:16" s="59" customFormat="1" ht="15.65" customHeight="1" x14ac:dyDescent="0.35">
      <c r="A210" s="100">
        <f t="shared" si="41"/>
        <v>8</v>
      </c>
      <c r="B210" s="100"/>
      <c r="C210" s="80" t="s">
        <v>193</v>
      </c>
      <c r="D210" s="80">
        <f>(29.33+2.7)*10.764</f>
        <v>344.77091999999999</v>
      </c>
      <c r="E210" s="80">
        <v>0</v>
      </c>
      <c r="F210" s="39">
        <f t="shared" si="39"/>
        <v>499.91783399999997</v>
      </c>
      <c r="G210" s="100"/>
      <c r="H210" s="100"/>
      <c r="I210" s="36"/>
      <c r="J210" s="68"/>
      <c r="N210" s="59" t="str">
        <f t="shared" ca="1" si="40"/>
        <v>108 &amp; 708</v>
      </c>
      <c r="O210" s="59">
        <f t="shared" ref="O210:P210" ca="1" si="48">O209+1</f>
        <v>108</v>
      </c>
      <c r="P210" s="59">
        <f t="shared" ca="1" si="48"/>
        <v>708</v>
      </c>
    </row>
    <row r="211" spans="1:16" s="59" customFormat="1" ht="15.65" customHeight="1" x14ac:dyDescent="0.35">
      <c r="A211" s="100">
        <f t="shared" si="41"/>
        <v>9</v>
      </c>
      <c r="B211" s="100"/>
      <c r="C211" s="80" t="s">
        <v>193</v>
      </c>
      <c r="D211" s="80">
        <f>(29.48+2.75)*10.764</f>
        <v>346.92372</v>
      </c>
      <c r="E211" s="80">
        <v>0</v>
      </c>
      <c r="F211" s="39">
        <f t="shared" si="39"/>
        <v>503.03939400000002</v>
      </c>
      <c r="G211" s="100"/>
      <c r="H211" s="100"/>
      <c r="I211" s="36"/>
      <c r="J211" s="68"/>
      <c r="N211" s="59" t="str">
        <f t="shared" ca="1" si="40"/>
        <v>109 &amp; 709</v>
      </c>
      <c r="O211" s="59">
        <f t="shared" ref="O211:P211" ca="1" si="49">O210+1</f>
        <v>109</v>
      </c>
      <c r="P211" s="59">
        <f t="shared" ca="1" si="49"/>
        <v>709</v>
      </c>
    </row>
    <row r="212" spans="1:16" s="59" customFormat="1" ht="15.65" customHeight="1" x14ac:dyDescent="0.35">
      <c r="A212" s="100">
        <f t="shared" si="41"/>
        <v>10</v>
      </c>
      <c r="B212" s="100"/>
      <c r="C212" s="80" t="s">
        <v>195</v>
      </c>
      <c r="D212" s="80">
        <f>(19.05)*10.764</f>
        <v>205.05420000000001</v>
      </c>
      <c r="E212" s="80">
        <v>0</v>
      </c>
      <c r="F212" s="39">
        <f t="shared" si="39"/>
        <v>297.32859000000002</v>
      </c>
      <c r="G212" s="100"/>
      <c r="H212" s="100"/>
      <c r="I212" s="36"/>
      <c r="J212" s="68"/>
      <c r="N212" s="59" t="str">
        <f t="shared" ca="1" si="40"/>
        <v>110 &amp; 710</v>
      </c>
      <c r="O212" s="59">
        <f t="shared" ref="O212:P213" ca="1" si="50">O211+1</f>
        <v>110</v>
      </c>
      <c r="P212" s="59">
        <f t="shared" ca="1" si="50"/>
        <v>710</v>
      </c>
    </row>
    <row r="213" spans="1:16" s="59" customFormat="1" ht="15.65" customHeight="1" x14ac:dyDescent="0.35">
      <c r="A213" s="100">
        <f t="shared" si="41"/>
        <v>11</v>
      </c>
      <c r="B213" s="100"/>
      <c r="C213" s="80" t="s">
        <v>194</v>
      </c>
      <c r="D213" s="80">
        <f>(20+1.7)*10.764</f>
        <v>233.57879999999997</v>
      </c>
      <c r="E213" s="80">
        <v>0</v>
      </c>
      <c r="F213" s="39">
        <f t="shared" si="39"/>
        <v>338.68925999999993</v>
      </c>
      <c r="G213" s="100"/>
      <c r="H213" s="100"/>
      <c r="I213" s="36">
        <f>F213/D213</f>
        <v>1.45</v>
      </c>
      <c r="J213" s="68"/>
      <c r="N213" s="59" t="str">
        <f t="shared" ref="N213" ca="1" si="51">O213&amp;""&amp;" &amp; "&amp;""&amp;P213</f>
        <v>111 &amp; 711</v>
      </c>
      <c r="O213" s="59">
        <f t="shared" ca="1" si="50"/>
        <v>111</v>
      </c>
      <c r="P213" s="59">
        <f t="shared" ca="1" si="50"/>
        <v>711</v>
      </c>
    </row>
    <row r="214" spans="1:16" s="1" customFormat="1" x14ac:dyDescent="0.35">
      <c r="A214" s="186" t="s">
        <v>75</v>
      </c>
      <c r="B214" s="186"/>
      <c r="C214" s="186"/>
      <c r="D214" s="186"/>
      <c r="E214" s="186"/>
      <c r="F214" s="186"/>
      <c r="G214" s="186"/>
      <c r="H214" s="186"/>
    </row>
    <row r="215" spans="1:16" s="1" customFormat="1" ht="33" customHeight="1" x14ac:dyDescent="0.35">
      <c r="A215" s="84">
        <v>1</v>
      </c>
      <c r="B215" s="198" t="s">
        <v>252</v>
      </c>
      <c r="C215" s="198"/>
      <c r="D215" s="198"/>
      <c r="E215" s="198"/>
      <c r="F215" s="198"/>
      <c r="G215" s="198"/>
      <c r="H215" s="198"/>
    </row>
    <row r="216" spans="1:16" s="1" customFormat="1" ht="33.65" customHeight="1" x14ac:dyDescent="0.35">
      <c r="A216" s="84">
        <f>A215+1</f>
        <v>2</v>
      </c>
      <c r="B216" s="198" t="s">
        <v>254</v>
      </c>
      <c r="C216" s="198"/>
      <c r="D216" s="198"/>
      <c r="E216" s="198"/>
      <c r="F216" s="198"/>
      <c r="G216" s="198"/>
      <c r="H216" s="198"/>
    </row>
    <row r="217" spans="1:16" s="1" customFormat="1" x14ac:dyDescent="0.35">
      <c r="A217" s="84">
        <f t="shared" ref="A217:A225" si="52">A216+1</f>
        <v>3</v>
      </c>
      <c r="B217" s="210" t="s">
        <v>159</v>
      </c>
      <c r="C217" s="210"/>
      <c r="D217" s="210"/>
      <c r="E217" s="210"/>
      <c r="F217" s="210"/>
      <c r="G217" s="210"/>
      <c r="H217" s="210"/>
    </row>
    <row r="218" spans="1:16" s="1" customFormat="1" x14ac:dyDescent="0.35">
      <c r="A218" s="84">
        <f t="shared" si="52"/>
        <v>4</v>
      </c>
      <c r="B218" s="210" t="s">
        <v>202</v>
      </c>
      <c r="C218" s="210"/>
      <c r="D218" s="210"/>
      <c r="E218" s="210"/>
      <c r="F218" s="210"/>
      <c r="G218" s="210"/>
      <c r="H218" s="210"/>
    </row>
    <row r="219" spans="1:16" s="1" customFormat="1" x14ac:dyDescent="0.35">
      <c r="A219" s="56">
        <f t="shared" si="52"/>
        <v>5</v>
      </c>
      <c r="B219" s="195" t="s">
        <v>160</v>
      </c>
      <c r="C219" s="196"/>
      <c r="D219" s="196"/>
      <c r="E219" s="196"/>
      <c r="F219" s="196"/>
      <c r="G219" s="196"/>
      <c r="H219" s="197"/>
    </row>
    <row r="220" spans="1:16" s="1" customFormat="1" x14ac:dyDescent="0.35">
      <c r="A220" s="56">
        <f t="shared" si="52"/>
        <v>6</v>
      </c>
      <c r="B220" s="195" t="s">
        <v>161</v>
      </c>
      <c r="C220" s="196"/>
      <c r="D220" s="196"/>
      <c r="E220" s="196"/>
      <c r="F220" s="196"/>
      <c r="G220" s="196"/>
      <c r="H220" s="197"/>
    </row>
    <row r="221" spans="1:16" s="1" customFormat="1" hidden="1" x14ac:dyDescent="0.35">
      <c r="A221" s="72">
        <f t="shared" si="52"/>
        <v>7</v>
      </c>
      <c r="B221" s="199" t="s">
        <v>209</v>
      </c>
      <c r="C221" s="200"/>
      <c r="D221" s="200"/>
      <c r="E221" s="200"/>
      <c r="F221" s="200"/>
      <c r="G221" s="200"/>
      <c r="H221" s="201"/>
    </row>
    <row r="222" spans="1:16" s="1" customFormat="1" hidden="1" x14ac:dyDescent="0.35">
      <c r="A222" s="72">
        <v>7</v>
      </c>
      <c r="B222" s="199" t="s">
        <v>210</v>
      </c>
      <c r="C222" s="200"/>
      <c r="D222" s="200"/>
      <c r="E222" s="200"/>
      <c r="F222" s="200"/>
      <c r="G222" s="200"/>
      <c r="H222" s="201"/>
    </row>
    <row r="223" spans="1:16" s="1" customFormat="1" x14ac:dyDescent="0.35">
      <c r="A223" s="72">
        <f>A220+1</f>
        <v>7</v>
      </c>
      <c r="B223" s="199" t="s">
        <v>223</v>
      </c>
      <c r="C223" s="200"/>
      <c r="D223" s="200"/>
      <c r="E223" s="200"/>
      <c r="F223" s="200"/>
      <c r="G223" s="200"/>
      <c r="H223" s="201"/>
    </row>
    <row r="224" spans="1:16" s="1" customFormat="1" x14ac:dyDescent="0.35">
      <c r="A224" s="72">
        <f t="shared" si="52"/>
        <v>8</v>
      </c>
      <c r="B224" s="199" t="s">
        <v>224</v>
      </c>
      <c r="C224" s="200"/>
      <c r="D224" s="200"/>
      <c r="E224" s="200"/>
      <c r="F224" s="200"/>
      <c r="G224" s="200"/>
      <c r="H224" s="201"/>
    </row>
    <row r="225" spans="1:8" s="1" customFormat="1" x14ac:dyDescent="0.35">
      <c r="A225" s="74">
        <f t="shared" si="52"/>
        <v>9</v>
      </c>
      <c r="B225" s="199" t="s">
        <v>253</v>
      </c>
      <c r="C225" s="200"/>
      <c r="D225" s="200"/>
      <c r="E225" s="200"/>
      <c r="F225" s="200"/>
      <c r="G225" s="200"/>
      <c r="H225" s="201"/>
    </row>
    <row r="226" spans="1:8" x14ac:dyDescent="0.35">
      <c r="A226" s="187" t="s">
        <v>68</v>
      </c>
      <c r="B226" s="187"/>
      <c r="C226" s="187"/>
      <c r="D226" s="187"/>
      <c r="E226" s="187"/>
      <c r="F226" s="187"/>
      <c r="G226" s="187"/>
      <c r="H226" s="187"/>
    </row>
    <row r="227" spans="1:8" x14ac:dyDescent="0.35">
      <c r="A227" s="171" t="s">
        <v>69</v>
      </c>
      <c r="B227" s="171"/>
      <c r="C227" s="171"/>
      <c r="D227" s="171"/>
      <c r="E227" s="171"/>
      <c r="F227" s="171"/>
      <c r="G227" s="171"/>
      <c r="H227" s="171"/>
    </row>
    <row r="228" spans="1:8" ht="15.75" customHeight="1" x14ac:dyDescent="0.35">
      <c r="A228" s="188" t="s">
        <v>70</v>
      </c>
      <c r="B228" s="188"/>
      <c r="C228" s="188"/>
      <c r="D228" s="188"/>
      <c r="E228" s="188"/>
      <c r="F228" s="188"/>
      <c r="G228" s="188"/>
      <c r="H228" s="188"/>
    </row>
    <row r="229" spans="1:8" x14ac:dyDescent="0.35">
      <c r="A229" s="171" t="s">
        <v>71</v>
      </c>
      <c r="B229" s="171"/>
      <c r="C229" s="171"/>
      <c r="D229" s="171"/>
      <c r="E229" s="171"/>
      <c r="F229" s="171"/>
      <c r="G229" s="171"/>
      <c r="H229" s="171"/>
    </row>
    <row r="230" spans="1:8" x14ac:dyDescent="0.35">
      <c r="A230" s="171" t="s">
        <v>72</v>
      </c>
      <c r="B230" s="171"/>
      <c r="C230" s="171"/>
      <c r="D230" s="171"/>
      <c r="E230" s="171"/>
      <c r="F230" s="171"/>
      <c r="G230" s="171"/>
      <c r="H230" s="171"/>
    </row>
    <row r="231" spans="1:8" x14ac:dyDescent="0.35">
      <c r="A231" s="171" t="s">
        <v>162</v>
      </c>
      <c r="B231" s="171"/>
      <c r="C231" s="171"/>
      <c r="D231" s="171"/>
      <c r="E231" s="171"/>
      <c r="F231" s="171"/>
      <c r="G231" s="171"/>
      <c r="H231" s="171"/>
    </row>
    <row r="232" spans="1:8" ht="35.25" customHeight="1" x14ac:dyDescent="0.35">
      <c r="A232" s="174" t="s">
        <v>163</v>
      </c>
      <c r="B232" s="174"/>
      <c r="C232" s="174"/>
      <c r="D232" s="174"/>
      <c r="E232" s="174"/>
      <c r="F232" s="174"/>
      <c r="G232" s="174"/>
      <c r="H232" s="174"/>
    </row>
    <row r="233" spans="1:8" x14ac:dyDescent="0.35">
      <c r="A233" s="185" t="s">
        <v>107</v>
      </c>
      <c r="B233" s="185"/>
      <c r="C233" s="185" t="s">
        <v>229</v>
      </c>
      <c r="D233" s="185"/>
      <c r="E233" s="185" t="s">
        <v>141</v>
      </c>
      <c r="F233" s="185"/>
      <c r="G233" s="185" t="s">
        <v>255</v>
      </c>
      <c r="H233" s="185"/>
    </row>
    <row r="234" spans="1:8" x14ac:dyDescent="0.35">
      <c r="A234" s="184" t="s">
        <v>109</v>
      </c>
      <c r="B234" s="184"/>
      <c r="C234" s="184"/>
      <c r="D234" s="184"/>
      <c r="E234" s="184"/>
      <c r="F234" s="184"/>
      <c r="G234" s="184"/>
      <c r="H234" s="184"/>
    </row>
    <row r="235" spans="1:8" x14ac:dyDescent="0.35">
      <c r="A235" s="184"/>
      <c r="B235" s="184"/>
      <c r="C235" s="184"/>
      <c r="D235" s="184"/>
      <c r="E235" s="184"/>
      <c r="F235" s="184"/>
      <c r="G235" s="184"/>
      <c r="H235" s="184"/>
    </row>
    <row r="236" spans="1:8" x14ac:dyDescent="0.35">
      <c r="A236" s="184"/>
      <c r="B236" s="184"/>
      <c r="C236" s="184"/>
      <c r="D236" s="184"/>
      <c r="E236" s="184"/>
      <c r="F236" s="184"/>
      <c r="G236" s="184"/>
      <c r="H236" s="184"/>
    </row>
    <row r="237" spans="1:8" x14ac:dyDescent="0.35">
      <c r="A237" s="184"/>
      <c r="B237" s="184"/>
      <c r="C237" s="184"/>
      <c r="D237" s="184"/>
      <c r="E237" s="184"/>
      <c r="F237" s="184"/>
      <c r="G237" s="184"/>
      <c r="H237" s="184"/>
    </row>
    <row r="238" spans="1:8" x14ac:dyDescent="0.35">
      <c r="A238" s="14" t="s">
        <v>73</v>
      </c>
      <c r="B238" s="15"/>
      <c r="C238" s="15"/>
      <c r="D238" s="14" t="str">
        <f>E8</f>
        <v>Vardhaman Vatika</v>
      </c>
      <c r="F238" s="15"/>
      <c r="G238" s="15"/>
      <c r="H238" s="15"/>
    </row>
    <row r="239" spans="1:8" x14ac:dyDescent="0.35">
      <c r="A239" s="15"/>
      <c r="B239" s="15"/>
      <c r="C239" s="15"/>
      <c r="D239" s="15"/>
      <c r="E239" s="15"/>
      <c r="F239" s="15"/>
      <c r="G239" s="15"/>
      <c r="H239" s="15"/>
    </row>
    <row r="240" spans="1:8" x14ac:dyDescent="0.35">
      <c r="A240" s="15"/>
      <c r="B240" s="15"/>
      <c r="C240" s="15"/>
      <c r="D240" s="15"/>
      <c r="E240" s="15"/>
      <c r="F240" s="15"/>
      <c r="G240" s="15"/>
      <c r="H240" s="15"/>
    </row>
    <row r="241" ht="15" customHeight="1" x14ac:dyDescent="0.35"/>
    <row r="284" spans="1:1" x14ac:dyDescent="0.35">
      <c r="A284" s="17" t="s">
        <v>246</v>
      </c>
    </row>
    <row r="329" spans="1:1" x14ac:dyDescent="0.35">
      <c r="A329" s="17" t="s">
        <v>74</v>
      </c>
    </row>
  </sheetData>
  <mergeCells count="369">
    <mergeCell ref="B220:H220"/>
    <mergeCell ref="B215:H215"/>
    <mergeCell ref="B216:H216"/>
    <mergeCell ref="B217:H217"/>
    <mergeCell ref="B218:H218"/>
    <mergeCell ref="B225:H225"/>
    <mergeCell ref="B221:H221"/>
    <mergeCell ref="B219:H219"/>
    <mergeCell ref="B224:H224"/>
    <mergeCell ref="B223:H223"/>
    <mergeCell ref="B222:H222"/>
    <mergeCell ref="A204:B204"/>
    <mergeCell ref="A205:B205"/>
    <mergeCell ref="G203:H213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190:H190"/>
    <mergeCell ref="A191:H191"/>
    <mergeCell ref="L191:M191"/>
    <mergeCell ref="A192:B192"/>
    <mergeCell ref="A193:B193"/>
    <mergeCell ref="A194:B194"/>
    <mergeCell ref="A195:B195"/>
    <mergeCell ref="A202:H202"/>
    <mergeCell ref="A203:B203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L175:M175"/>
    <mergeCell ref="A176:B176"/>
    <mergeCell ref="A177:B177"/>
    <mergeCell ref="A160:H160"/>
    <mergeCell ref="L160:M160"/>
    <mergeCell ref="A161:B161"/>
    <mergeCell ref="A162:B162"/>
    <mergeCell ref="A163:B163"/>
    <mergeCell ref="A164:B164"/>
    <mergeCell ref="A165:B165"/>
    <mergeCell ref="A166:B166"/>
    <mergeCell ref="A167:B167"/>
    <mergeCell ref="A172:B172"/>
    <mergeCell ref="L169:M169"/>
    <mergeCell ref="A170:B170"/>
    <mergeCell ref="A168:B168"/>
    <mergeCell ref="A169:H169"/>
    <mergeCell ref="A46:B46"/>
    <mergeCell ref="C46:E46"/>
    <mergeCell ref="A150:B150"/>
    <mergeCell ref="A143:B143"/>
    <mergeCell ref="L151:M151"/>
    <mergeCell ref="A156:B156"/>
    <mergeCell ref="A157:B157"/>
    <mergeCell ref="A158:B158"/>
    <mergeCell ref="A152:B152"/>
    <mergeCell ref="A153:B153"/>
    <mergeCell ref="A154:B154"/>
    <mergeCell ref="A155:B155"/>
    <mergeCell ref="D53:H53"/>
    <mergeCell ref="G50:H50"/>
    <mergeCell ref="D57:H57"/>
    <mergeCell ref="C49:H49"/>
    <mergeCell ref="A64:B64"/>
    <mergeCell ref="A62:B62"/>
    <mergeCell ref="C62:H62"/>
    <mergeCell ref="A70:B70"/>
    <mergeCell ref="A60:C60"/>
    <mergeCell ref="D60:H60"/>
    <mergeCell ref="C64:H64"/>
    <mergeCell ref="A67:B67"/>
    <mergeCell ref="E40:H40"/>
    <mergeCell ref="A40:D40"/>
    <mergeCell ref="A231:H231"/>
    <mergeCell ref="A228:H228"/>
    <mergeCell ref="A121:B121"/>
    <mergeCell ref="D129:D130"/>
    <mergeCell ref="E129:E130"/>
    <mergeCell ref="G129:H130"/>
    <mergeCell ref="A84:B84"/>
    <mergeCell ref="A85:B85"/>
    <mergeCell ref="A86:B86"/>
    <mergeCell ref="A76:B76"/>
    <mergeCell ref="C76:H76"/>
    <mergeCell ref="A100:B100"/>
    <mergeCell ref="A71:B71"/>
    <mergeCell ref="F108:H108"/>
    <mergeCell ref="A105:H105"/>
    <mergeCell ref="A106:B106"/>
    <mergeCell ref="A107:H107"/>
    <mergeCell ref="A103:B103"/>
    <mergeCell ref="A61:C61"/>
    <mergeCell ref="D61:H61"/>
    <mergeCell ref="A66:B66"/>
    <mergeCell ref="G65:H65"/>
    <mergeCell ref="A234:H237"/>
    <mergeCell ref="A233:B233"/>
    <mergeCell ref="E233:F233"/>
    <mergeCell ref="C233:D233"/>
    <mergeCell ref="G233:H233"/>
    <mergeCell ref="A118:E118"/>
    <mergeCell ref="F118:H118"/>
    <mergeCell ref="A119:E119"/>
    <mergeCell ref="F119:H119"/>
    <mergeCell ref="A132:H132"/>
    <mergeCell ref="A122:B122"/>
    <mergeCell ref="A229:H229"/>
    <mergeCell ref="A120:H120"/>
    <mergeCell ref="A232:H232"/>
    <mergeCell ref="A230:H230"/>
    <mergeCell ref="A214:H214"/>
    <mergeCell ref="B129:B130"/>
    <mergeCell ref="C129:C130"/>
    <mergeCell ref="A131:H131"/>
    <mergeCell ref="A147:B147"/>
    <mergeCell ref="A226:H226"/>
    <mergeCell ref="A227:H227"/>
    <mergeCell ref="E121:F121"/>
    <mergeCell ref="A180:B180"/>
    <mergeCell ref="A69:B69"/>
    <mergeCell ref="E65:F6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E66:F75"/>
    <mergeCell ref="G66:H75"/>
    <mergeCell ref="A74:B74"/>
    <mergeCell ref="A75:B75"/>
    <mergeCell ref="D59:H59"/>
    <mergeCell ref="A41:D41"/>
    <mergeCell ref="E41:H41"/>
    <mergeCell ref="E42:H42"/>
    <mergeCell ref="F34:H34"/>
    <mergeCell ref="A36:B36"/>
    <mergeCell ref="C36:H36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2:B72"/>
    <mergeCell ref="A65:B65"/>
    <mergeCell ref="A68:B68"/>
    <mergeCell ref="A39:D39"/>
    <mergeCell ref="E39:H39"/>
    <mergeCell ref="F31:H31"/>
    <mergeCell ref="F32:H32"/>
    <mergeCell ref="A38:H38"/>
    <mergeCell ref="A37:B37"/>
    <mergeCell ref="C37:H37"/>
    <mergeCell ref="A58:C58"/>
    <mergeCell ref="A59:C59"/>
    <mergeCell ref="D58:H58"/>
    <mergeCell ref="G46:H46"/>
    <mergeCell ref="G48:H48"/>
    <mergeCell ref="D52:H52"/>
    <mergeCell ref="C48:E48"/>
    <mergeCell ref="A55:C57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L132:M132"/>
    <mergeCell ref="A128:H128"/>
    <mergeCell ref="A129:A130"/>
    <mergeCell ref="L142:M142"/>
    <mergeCell ref="A151:H151"/>
    <mergeCell ref="A159:B159"/>
    <mergeCell ref="A140:B140"/>
    <mergeCell ref="A141:B141"/>
    <mergeCell ref="A142:H142"/>
    <mergeCell ref="A149:B149"/>
    <mergeCell ref="A127:H127"/>
    <mergeCell ref="A138:B138"/>
    <mergeCell ref="A139:B139"/>
    <mergeCell ref="A137:B137"/>
    <mergeCell ref="A81:B81"/>
    <mergeCell ref="A82:B82"/>
    <mergeCell ref="A83:B83"/>
    <mergeCell ref="F116:H116"/>
    <mergeCell ref="G93:H93"/>
    <mergeCell ref="A94:B94"/>
    <mergeCell ref="E94:F103"/>
    <mergeCell ref="A115:E115"/>
    <mergeCell ref="A114:E114"/>
    <mergeCell ref="F117:H117"/>
    <mergeCell ref="A179:H179"/>
    <mergeCell ref="A171:B171"/>
    <mergeCell ref="A174:H174"/>
    <mergeCell ref="A175:H175"/>
    <mergeCell ref="A178:B178"/>
    <mergeCell ref="A173:B173"/>
    <mergeCell ref="A144:B144"/>
    <mergeCell ref="A148:B148"/>
    <mergeCell ref="A145:B145"/>
    <mergeCell ref="A146:B146"/>
    <mergeCell ref="A125:B125"/>
    <mergeCell ref="C125:D125"/>
    <mergeCell ref="E125:F125"/>
    <mergeCell ref="G125:H125"/>
    <mergeCell ref="C122:D122"/>
    <mergeCell ref="E122:F122"/>
    <mergeCell ref="G122:H122"/>
    <mergeCell ref="C121:D121"/>
    <mergeCell ref="G121:H121"/>
    <mergeCell ref="A123:B123"/>
    <mergeCell ref="C123:D123"/>
    <mergeCell ref="A73:B73"/>
    <mergeCell ref="A108:E108"/>
    <mergeCell ref="A90:B90"/>
    <mergeCell ref="C90:H90"/>
    <mergeCell ref="A80:B80"/>
    <mergeCell ref="E80:F89"/>
    <mergeCell ref="A87:B87"/>
    <mergeCell ref="A88:B88"/>
    <mergeCell ref="A89:B89"/>
    <mergeCell ref="A92:B92"/>
    <mergeCell ref="A78:B78"/>
    <mergeCell ref="C78:H78"/>
    <mergeCell ref="A79:B79"/>
    <mergeCell ref="E79:F79"/>
    <mergeCell ref="G79:H79"/>
    <mergeCell ref="A95:B95"/>
    <mergeCell ref="A96:B96"/>
    <mergeCell ref="G80:H89"/>
    <mergeCell ref="C92:H92"/>
    <mergeCell ref="G94:H103"/>
    <mergeCell ref="A104:E104"/>
    <mergeCell ref="F104:H104"/>
    <mergeCell ref="A135:B135"/>
    <mergeCell ref="C106:H106"/>
    <mergeCell ref="A93:B93"/>
    <mergeCell ref="E93:F93"/>
    <mergeCell ref="A97:B97"/>
    <mergeCell ref="A98:B98"/>
    <mergeCell ref="A99:B99"/>
    <mergeCell ref="E123:F123"/>
    <mergeCell ref="G123:H123"/>
    <mergeCell ref="A101:B101"/>
    <mergeCell ref="A102:B102"/>
    <mergeCell ref="A111:E111"/>
    <mergeCell ref="A109:E109"/>
    <mergeCell ref="A117:E117"/>
    <mergeCell ref="A110:E110"/>
    <mergeCell ref="A112:E112"/>
    <mergeCell ref="F112:H112"/>
    <mergeCell ref="F114:H114"/>
    <mergeCell ref="F111:H111"/>
    <mergeCell ref="F115:H115"/>
    <mergeCell ref="A116:E116"/>
    <mergeCell ref="F109:H109"/>
    <mergeCell ref="A113:E113"/>
    <mergeCell ref="F113:H113"/>
    <mergeCell ref="A126:H126"/>
    <mergeCell ref="F110:H110"/>
    <mergeCell ref="A124:B124"/>
    <mergeCell ref="C124:D124"/>
    <mergeCell ref="E124:F124"/>
    <mergeCell ref="G124:H124"/>
    <mergeCell ref="G134:H141"/>
    <mergeCell ref="A196:B196"/>
    <mergeCell ref="A201:B201"/>
    <mergeCell ref="G143:H150"/>
    <mergeCell ref="G152:H159"/>
    <mergeCell ref="G161:H168"/>
    <mergeCell ref="G170:H173"/>
    <mergeCell ref="G176:H178"/>
    <mergeCell ref="G180:H189"/>
    <mergeCell ref="G192:H201"/>
    <mergeCell ref="A197:B197"/>
    <mergeCell ref="A198:B198"/>
    <mergeCell ref="A199:B199"/>
    <mergeCell ref="A200:B200"/>
    <mergeCell ref="C197:F200"/>
    <mergeCell ref="A136:B136"/>
    <mergeCell ref="A133:H133"/>
    <mergeCell ref="A134:B13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scale="94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&amp;P</oddFooter>
  </headerFooter>
  <rowBreaks count="5" manualBreakCount="5">
    <brk id="75" max="16383" man="1"/>
    <brk id="213" max="7" man="1"/>
    <brk id="237" max="16383" man="1"/>
    <brk id="283" max="16383" man="1"/>
    <brk id="32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37" workbookViewId="0">
      <selection activeCell="Q48" sqref="Q48"/>
    </sheetView>
  </sheetViews>
  <sheetFormatPr defaultRowHeight="14.5" x14ac:dyDescent="0.35"/>
  <cols>
    <col min="2" max="2" width="12.1796875" customWidth="1"/>
  </cols>
  <sheetData>
    <row r="2" spans="1:12" x14ac:dyDescent="0.35">
      <c r="B2" s="3" t="s">
        <v>76</v>
      </c>
      <c r="C2" s="202"/>
      <c r="D2" s="202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77</v>
      </c>
      <c r="B4" s="5" t="s">
        <v>78</v>
      </c>
      <c r="C4" s="203" t="s">
        <v>79</v>
      </c>
      <c r="D4" s="203"/>
      <c r="E4" s="203"/>
      <c r="F4" s="6"/>
      <c r="G4" s="203" t="s">
        <v>80</v>
      </c>
      <c r="H4" s="203"/>
      <c r="I4" s="203"/>
      <c r="J4" s="203" t="s">
        <v>81</v>
      </c>
      <c r="K4" s="203"/>
      <c r="L4" s="203"/>
    </row>
    <row r="5" spans="1:12" x14ac:dyDescent="0.35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5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61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81640625" defaultRowHeight="14.5" x14ac:dyDescent="0.35"/>
  <cols>
    <col min="1" max="1" width="8.81640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81640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204" t="s">
        <v>142</v>
      </c>
      <c r="C3" s="204"/>
      <c r="D3" s="204"/>
      <c r="E3" s="204"/>
      <c r="F3" s="204"/>
      <c r="G3" s="204"/>
      <c r="H3" s="204"/>
    </row>
    <row r="4" spans="1:9" x14ac:dyDescent="0.35">
      <c r="A4" s="24"/>
      <c r="B4" s="25" t="s">
        <v>143</v>
      </c>
      <c r="C4" s="25" t="s">
        <v>144</v>
      </c>
      <c r="D4" s="25" t="s">
        <v>77</v>
      </c>
      <c r="E4" s="25" t="s">
        <v>145</v>
      </c>
      <c r="F4" s="25" t="s">
        <v>152</v>
      </c>
      <c r="G4" s="25" t="s">
        <v>153</v>
      </c>
      <c r="H4" s="25" t="s">
        <v>146</v>
      </c>
    </row>
    <row r="5" spans="1:9" ht="15" customHeight="1" x14ac:dyDescent="0.35">
      <c r="A5" s="24"/>
      <c r="B5" s="27" t="s">
        <v>147</v>
      </c>
      <c r="C5" s="28"/>
      <c r="D5" s="27" t="s">
        <v>148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147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147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147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147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149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149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150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151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2025-02-25T05:46:39Z</cp:lastPrinted>
  <dcterms:created xsi:type="dcterms:W3CDTF">2019-07-16T09:29:46Z</dcterms:created>
  <dcterms:modified xsi:type="dcterms:W3CDTF">2025-08-11T04:51:26Z</dcterms:modified>
</cp:coreProperties>
</file>