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1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8" i="1" l="1"/>
  <c r="F138" i="1"/>
  <c r="G138" i="1"/>
  <c r="A139" i="1"/>
  <c r="D139" i="1"/>
  <c r="F139" i="1"/>
  <c r="G139" i="1"/>
  <c r="G140" i="1" s="1"/>
  <c r="G141" i="1" s="1"/>
  <c r="G142" i="1" s="1"/>
  <c r="G143" i="1" s="1"/>
  <c r="G144" i="1" s="1"/>
  <c r="G145" i="1" s="1"/>
  <c r="A140" i="1"/>
  <c r="A141" i="1" s="1"/>
  <c r="A142" i="1" s="1"/>
  <c r="A143" i="1" s="1"/>
  <c r="A144" i="1" s="1"/>
  <c r="A145" i="1" s="1"/>
  <c r="D140" i="1"/>
  <c r="F140" i="1"/>
  <c r="D141" i="1"/>
  <c r="F141" i="1"/>
  <c r="D142" i="1"/>
  <c r="F142" i="1"/>
  <c r="D143" i="1"/>
  <c r="F143" i="1"/>
  <c r="D144" i="1"/>
  <c r="F144" i="1"/>
  <c r="D145" i="1"/>
  <c r="F145" i="1"/>
  <c r="C66" i="1" l="1"/>
  <c r="K161" i="1" l="1"/>
  <c r="K169" i="1"/>
  <c r="K170" i="1"/>
  <c r="K171" i="1"/>
  <c r="K172" i="1"/>
  <c r="K184" i="1"/>
  <c r="K193" i="1"/>
  <c r="K196" i="1"/>
  <c r="K197" i="1"/>
  <c r="K198" i="1"/>
  <c r="K210" i="1"/>
  <c r="K222" i="1"/>
  <c r="K227" i="1"/>
  <c r="D207" i="1" l="1"/>
  <c r="F207" i="1" s="1"/>
  <c r="K207" i="1" s="1"/>
  <c r="D204" i="1"/>
  <c r="F204" i="1" s="1"/>
  <c r="K204" i="1" s="1"/>
  <c r="D203" i="1"/>
  <c r="F203" i="1" s="1"/>
  <c r="K203" i="1" s="1"/>
  <c r="D202" i="1"/>
  <c r="F202" i="1" s="1"/>
  <c r="K202" i="1" s="1"/>
  <c r="D201" i="1"/>
  <c r="F201" i="1" s="1"/>
  <c r="K201" i="1" s="1"/>
  <c r="D200" i="1"/>
  <c r="F200" i="1" s="1"/>
  <c r="K200" i="1" s="1"/>
  <c r="D199" i="1"/>
  <c r="F199" i="1" s="1"/>
  <c r="K199" i="1" s="1"/>
  <c r="C80" i="1"/>
  <c r="J161" i="1" l="1"/>
  <c r="J169" i="1"/>
  <c r="J170" i="1"/>
  <c r="J171" i="1"/>
  <c r="J172" i="1"/>
  <c r="J184" i="1"/>
  <c r="J193" i="1"/>
  <c r="J196" i="1"/>
  <c r="J197" i="1"/>
  <c r="J198" i="1"/>
  <c r="J210" i="1"/>
  <c r="J222" i="1"/>
  <c r="J227" i="1"/>
  <c r="D233" i="1"/>
  <c r="F233" i="1" s="1"/>
  <c r="K233" i="1" s="1"/>
  <c r="D232" i="1"/>
  <c r="F232" i="1" s="1"/>
  <c r="K232" i="1" s="1"/>
  <c r="D231" i="1"/>
  <c r="D230" i="1"/>
  <c r="D229" i="1"/>
  <c r="D228" i="1"/>
  <c r="F228" i="1" s="1"/>
  <c r="K228" i="1" s="1"/>
  <c r="D226" i="1"/>
  <c r="F226" i="1" s="1"/>
  <c r="K226" i="1" s="1"/>
  <c r="D225" i="1"/>
  <c r="F225" i="1" s="1"/>
  <c r="K225" i="1" s="1"/>
  <c r="D224" i="1"/>
  <c r="F224" i="1" s="1"/>
  <c r="K224" i="1" s="1"/>
  <c r="D223" i="1"/>
  <c r="F223" i="1" s="1"/>
  <c r="K223" i="1" s="1"/>
  <c r="J228" i="1"/>
  <c r="D221" i="1"/>
  <c r="D220" i="1"/>
  <c r="D219" i="1"/>
  <c r="D218" i="1"/>
  <c r="D217" i="1"/>
  <c r="D216" i="1"/>
  <c r="D215" i="1"/>
  <c r="D214" i="1"/>
  <c r="D213" i="1"/>
  <c r="D212" i="1"/>
  <c r="G211" i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D211" i="1"/>
  <c r="E206" i="1"/>
  <c r="E205" i="1"/>
  <c r="D209" i="1"/>
  <c r="D208" i="1"/>
  <c r="J207" i="1"/>
  <c r="D206" i="1"/>
  <c r="D205" i="1"/>
  <c r="J204" i="1"/>
  <c r="D195" i="1"/>
  <c r="D194" i="1"/>
  <c r="D192" i="1"/>
  <c r="D191" i="1"/>
  <c r="D190" i="1"/>
  <c r="D189" i="1"/>
  <c r="D188" i="1"/>
  <c r="D187" i="1"/>
  <c r="D186" i="1"/>
  <c r="I185" i="1"/>
  <c r="G185" i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D185" i="1"/>
  <c r="D181" i="1"/>
  <c r="D182" i="1"/>
  <c r="D183" i="1"/>
  <c r="D180" i="1"/>
  <c r="D179" i="1"/>
  <c r="D178" i="1"/>
  <c r="D177" i="1"/>
  <c r="D176" i="1"/>
  <c r="D175" i="1"/>
  <c r="D174" i="1"/>
  <c r="D173" i="1"/>
  <c r="I173" i="1"/>
  <c r="G173" i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I153" i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G153" i="1"/>
  <c r="G154" i="1" s="1"/>
  <c r="G155" i="1" s="1"/>
  <c r="G156" i="1" s="1"/>
  <c r="G157" i="1" s="1"/>
  <c r="G158" i="1" s="1"/>
  <c r="G159" i="1" s="1"/>
  <c r="G160" i="1" s="1"/>
  <c r="E28" i="1"/>
  <c r="A173" i="1"/>
  <c r="A211" i="1"/>
  <c r="A153" i="1"/>
  <c r="F176" i="1" l="1"/>
  <c r="K176" i="1" s="1"/>
  <c r="F195" i="1"/>
  <c r="K195" i="1" s="1"/>
  <c r="F217" i="1"/>
  <c r="K217" i="1" s="1"/>
  <c r="F177" i="1"/>
  <c r="K177" i="1" s="1"/>
  <c r="F178" i="1"/>
  <c r="K178" i="1" s="1"/>
  <c r="F153" i="1"/>
  <c r="L153" i="1"/>
  <c r="F179" i="1"/>
  <c r="K179" i="1" s="1"/>
  <c r="F186" i="1"/>
  <c r="K186" i="1" s="1"/>
  <c r="F180" i="1"/>
  <c r="K180" i="1" s="1"/>
  <c r="F187" i="1"/>
  <c r="K187" i="1" s="1"/>
  <c r="F211" i="1"/>
  <c r="K211" i="1" s="1"/>
  <c r="F218" i="1"/>
  <c r="K218" i="1" s="1"/>
  <c r="F185" i="1"/>
  <c r="K185" i="1" s="1"/>
  <c r="F191" i="1"/>
  <c r="K191" i="1" s="1"/>
  <c r="F208" i="1"/>
  <c r="K208" i="1" s="1"/>
  <c r="F214" i="1"/>
  <c r="K214" i="1" s="1"/>
  <c r="F231" i="1"/>
  <c r="K231" i="1" s="1"/>
  <c r="F192" i="1"/>
  <c r="K192" i="1" s="1"/>
  <c r="F209" i="1"/>
  <c r="K209" i="1" s="1"/>
  <c r="F215" i="1"/>
  <c r="K215" i="1" s="1"/>
  <c r="F194" i="1"/>
  <c r="K194" i="1" s="1"/>
  <c r="F216" i="1"/>
  <c r="K216" i="1" s="1"/>
  <c r="F173" i="1"/>
  <c r="K173" i="1" s="1"/>
  <c r="F183" i="1"/>
  <c r="K183" i="1" s="1"/>
  <c r="F188" i="1"/>
  <c r="K188" i="1" s="1"/>
  <c r="C129" i="1"/>
  <c r="F205" i="1"/>
  <c r="K205" i="1" s="1"/>
  <c r="F219" i="1"/>
  <c r="K219" i="1" s="1"/>
  <c r="F174" i="1"/>
  <c r="K174" i="1" s="1"/>
  <c r="F182" i="1"/>
  <c r="K182" i="1" s="1"/>
  <c r="F189" i="1"/>
  <c r="K189" i="1" s="1"/>
  <c r="F206" i="1"/>
  <c r="K206" i="1" s="1"/>
  <c r="F212" i="1"/>
  <c r="K212" i="1" s="1"/>
  <c r="F220" i="1"/>
  <c r="K220" i="1" s="1"/>
  <c r="F229" i="1"/>
  <c r="K229" i="1" s="1"/>
  <c r="F175" i="1"/>
  <c r="K175" i="1" s="1"/>
  <c r="F181" i="1"/>
  <c r="K181" i="1" s="1"/>
  <c r="F190" i="1"/>
  <c r="K190" i="1" s="1"/>
  <c r="F213" i="1"/>
  <c r="K213" i="1" s="1"/>
  <c r="F221" i="1"/>
  <c r="K221" i="1" s="1"/>
  <c r="F230" i="1"/>
  <c r="K230" i="1" s="1"/>
  <c r="C124" i="1"/>
  <c r="E124" i="1"/>
  <c r="E127" i="1"/>
  <c r="C127" i="1"/>
  <c r="E128" i="1"/>
  <c r="C128" i="1"/>
  <c r="E129" i="1"/>
  <c r="J206" i="1"/>
  <c r="A163" i="1"/>
  <c r="A164" i="1" s="1"/>
  <c r="A165" i="1" s="1"/>
  <c r="A166" i="1" s="1"/>
  <c r="A167" i="1" s="1"/>
  <c r="A168" i="1" s="1"/>
  <c r="A169" i="1" s="1"/>
  <c r="G162" i="1"/>
  <c r="G163" i="1" s="1"/>
  <c r="G164" i="1" s="1"/>
  <c r="G165" i="1" s="1"/>
  <c r="G166" i="1" s="1"/>
  <c r="G167" i="1" s="1"/>
  <c r="G168" i="1" s="1"/>
  <c r="G169" i="1" s="1"/>
  <c r="A212" i="1"/>
  <c r="A174" i="1"/>
  <c r="A154" i="1"/>
  <c r="J190" i="1" l="1"/>
  <c r="J208" i="1"/>
  <c r="I217" i="1"/>
  <c r="J179" i="1"/>
  <c r="J178" i="1"/>
  <c r="J220" i="1"/>
  <c r="J231" i="1"/>
  <c r="J219" i="1"/>
  <c r="J211" i="1"/>
  <c r="J176" i="1"/>
  <c r="J194" i="1"/>
  <c r="J180" i="1"/>
  <c r="J189" i="1"/>
  <c r="J188" i="1"/>
  <c r="J209" i="1"/>
  <c r="J182" i="1"/>
  <c r="J185" i="1"/>
  <c r="J217" i="1"/>
  <c r="J174" i="1"/>
  <c r="J183" i="1"/>
  <c r="J215" i="1"/>
  <c r="J214" i="1"/>
  <c r="J218" i="1"/>
  <c r="J186" i="1"/>
  <c r="J177" i="1"/>
  <c r="J230" i="1"/>
  <c r="J181" i="1"/>
  <c r="J212" i="1"/>
  <c r="G128" i="1"/>
  <c r="J221" i="1"/>
  <c r="J175" i="1"/>
  <c r="J216" i="1"/>
  <c r="J192" i="1"/>
  <c r="J191" i="1"/>
  <c r="J187" i="1"/>
  <c r="J195" i="1"/>
  <c r="J173" i="1"/>
  <c r="J213" i="1"/>
  <c r="J229" i="1"/>
  <c r="I205" i="1"/>
  <c r="J205" i="1"/>
  <c r="E130" i="1"/>
  <c r="C130" i="1"/>
  <c r="F121" i="1"/>
  <c r="A155" i="1"/>
  <c r="A175" i="1"/>
  <c r="A213" i="1"/>
  <c r="B236" i="1" l="1"/>
  <c r="A176" i="1"/>
  <c r="A156" i="1"/>
  <c r="A214" i="1"/>
  <c r="C14" i="1" l="1"/>
  <c r="A157" i="1"/>
  <c r="A177" i="1"/>
  <c r="A215" i="1"/>
  <c r="J203" i="1" l="1"/>
  <c r="J202" i="1"/>
  <c r="J201" i="1"/>
  <c r="J200" i="1"/>
  <c r="J226" i="1"/>
  <c r="J224" i="1"/>
  <c r="J223" i="1"/>
  <c r="J225" i="1"/>
  <c r="A178" i="1"/>
  <c r="A216" i="1"/>
  <c r="A158" i="1"/>
  <c r="J199" i="1" l="1"/>
  <c r="I199" i="1"/>
  <c r="G129" i="1"/>
  <c r="B237" i="1"/>
  <c r="A217" i="1"/>
  <c r="A159" i="1"/>
  <c r="A17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7" i="1"/>
  <c r="G199" i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23" i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J105" i="1"/>
  <c r="J104" i="1"/>
  <c r="J103" i="1"/>
  <c r="J102" i="1"/>
  <c r="C94" i="1"/>
  <c r="J91" i="1"/>
  <c r="J90" i="1"/>
  <c r="J89" i="1"/>
  <c r="J88" i="1"/>
  <c r="J77" i="1"/>
  <c r="J76" i="1"/>
  <c r="J75" i="1"/>
  <c r="J74" i="1"/>
  <c r="D53" i="1"/>
  <c r="G48" i="1"/>
  <c r="G49" i="1" s="1"/>
  <c r="C48" i="1"/>
  <c r="E41" i="1"/>
  <c r="E42" i="1" s="1"/>
  <c r="E25" i="1"/>
  <c r="E23" i="1"/>
  <c r="E7" i="1"/>
  <c r="E3" i="1"/>
  <c r="H81" i="1"/>
  <c r="A160" i="1"/>
  <c r="A180" i="1"/>
  <c r="A218" i="1"/>
  <c r="H67" i="1"/>
  <c r="H95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94" i="1"/>
  <c r="J96" i="1" s="1"/>
  <c r="J98" i="1"/>
  <c r="D107" i="1"/>
  <c r="D105" i="1"/>
  <c r="D103" i="1"/>
  <c r="D101" i="1"/>
  <c r="J99" i="1"/>
  <c r="C98" i="1" s="1"/>
  <c r="J97" i="1"/>
  <c r="J100" i="1"/>
  <c r="J101" i="1" s="1"/>
  <c r="J106" i="1" s="1"/>
  <c r="D106" i="1"/>
  <c r="D104" i="1"/>
  <c r="D102" i="1"/>
  <c r="J86" i="1"/>
  <c r="J87" i="1" s="1"/>
  <c r="J92" i="1" s="1"/>
  <c r="J93" i="1" s="1"/>
  <c r="J84" i="1"/>
  <c r="J85" i="1"/>
  <c r="C84" i="1" s="1"/>
  <c r="J83" i="1"/>
  <c r="A181" i="1"/>
  <c r="A219" i="1"/>
  <c r="J107" i="1" l="1"/>
  <c r="C99" i="1" s="1"/>
  <c r="G98" i="1" s="1"/>
  <c r="J78" i="1"/>
  <c r="D100" i="1"/>
  <c r="D98" i="1"/>
  <c r="D86" i="1"/>
  <c r="D72" i="1"/>
  <c r="J68" i="1"/>
  <c r="D70" i="1"/>
  <c r="E84" i="1"/>
  <c r="D85" i="1"/>
  <c r="G84" i="1"/>
  <c r="D84" i="1"/>
  <c r="J81" i="1" s="1"/>
  <c r="A182" i="1"/>
  <c r="A220" i="1"/>
  <c r="E98" i="1" l="1"/>
  <c r="D99" i="1"/>
  <c r="I95" i="1" s="1"/>
  <c r="J79" i="1"/>
  <c r="J67" i="1" s="1"/>
  <c r="D71" i="1"/>
  <c r="I67" i="1" s="1"/>
  <c r="J95" i="1"/>
  <c r="I81" i="1"/>
  <c r="A183" i="1"/>
  <c r="A221" i="1"/>
  <c r="G70" i="1" l="1"/>
  <c r="D64" i="1" s="1"/>
  <c r="D65" i="1" s="1"/>
  <c r="E70" i="1"/>
  <c r="I96" i="1"/>
  <c r="I94" i="1" s="1"/>
  <c r="C96" i="1" s="1"/>
  <c r="I82" i="1"/>
  <c r="I80" i="1" s="1"/>
  <c r="C82" i="1" s="1"/>
  <c r="I68" i="1"/>
  <c r="I66" i="1" s="1"/>
  <c r="C68" i="1" s="1"/>
  <c r="F65" i="1" l="1"/>
  <c r="I138" i="1"/>
  <c r="I145" i="1"/>
  <c r="I143" i="1"/>
  <c r="I142" i="1"/>
  <c r="I144" i="1"/>
  <c r="I141" i="1"/>
  <c r="G124" i="1"/>
  <c r="I139" i="1"/>
  <c r="I140" i="1"/>
  <c r="J153" i="1"/>
  <c r="K153" i="1"/>
  <c r="M153" i="1"/>
  <c r="K163" i="1"/>
  <c r="K157" i="1"/>
  <c r="J157" i="1"/>
  <c r="K154" i="1"/>
  <c r="J154" i="1"/>
  <c r="J160" i="1"/>
  <c r="K160" i="1"/>
  <c r="G127" i="1"/>
  <c r="G130" i="1" s="1"/>
  <c r="K159" i="1"/>
  <c r="J159" i="1"/>
  <c r="J167" i="1"/>
  <c r="I166" i="1"/>
  <c r="K162" i="1"/>
  <c r="K156" i="1"/>
  <c r="J156" i="1"/>
  <c r="J163" i="1"/>
  <c r="K165" i="1"/>
  <c r="I165" i="1"/>
  <c r="J165" i="1"/>
  <c r="J155" i="1"/>
  <c r="K155" i="1"/>
  <c r="I164" i="1"/>
  <c r="K158" i="1"/>
  <c r="J158" i="1"/>
  <c r="J168" i="1"/>
  <c r="K168" i="1"/>
  <c r="J162" i="1" l="1"/>
  <c r="K167" i="1"/>
  <c r="K166" i="1"/>
  <c r="J166" i="1"/>
  <c r="K164" i="1"/>
  <c r="J164" i="1"/>
</calcChain>
</file>

<file path=xl/sharedStrings.xml><?xml version="1.0" encoding="utf-8"?>
<sst xmlns="http://schemas.openxmlformats.org/spreadsheetml/2006/main" count="428" uniqueCount="222">
  <si>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</si>
  <si>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</si>
  <si>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</si>
  <si>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</si>
  <si>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</si>
  <si>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</si>
  <si>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</si>
  <si>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</si>
  <si>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</si>
  <si>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</si>
  <si>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</si>
  <si>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</si>
  <si>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</si>
  <si>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</si>
  <si>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</si>
  <si>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</si>
  <si>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</si>
  <si>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</si>
  <si>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</si>
  <si>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</si>
  <si>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</si>
  <si>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</si>
  <si>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</si>
  <si>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</si>
  <si>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</si>
  <si>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</si>
  <si>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</si>
  <si>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</si>
  <si>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</si>
  <si>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</si>
  <si>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</si>
  <si>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</si>
  <si>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</si>
  <si>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</si>
  <si>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</si>
  <si>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</si>
  <si>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</si>
  <si>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</si>
  <si>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</si>
  <si>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</si>
  <si>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</si>
  <si>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</si>
  <si>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</si>
  <si>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</si>
  <si>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</si>
  <si>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</si>
  <si>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</si>
  <si>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</si>
  <si>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</si>
  <si>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</si>
  <si>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</si>
  <si>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</si>
  <si>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</si>
  <si>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</si>
  <si>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</si>
  <si>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</si>
  <si>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</si>
  <si>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</si>
  <si>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</si>
  <si>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</si>
  <si>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</si>
  <si>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</si>
  <si>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</si>
  <si>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</si>
  <si>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</si>
  <si>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</si>
  <si>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</si>
  <si>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</si>
  <si>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</si>
  <si>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</si>
  <si>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</si>
  <si>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</si>
  <si>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</si>
  <si>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</si>
  <si>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</si>
  <si>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</si>
  <si>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</si>
  <si>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</si>
  <si>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</si>
  <si>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</si>
  <si>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</si>
  <si>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</si>
  <si>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</si>
  <si>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</si>
  <si>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</si>
  <si>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</si>
  <si>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</si>
  <si>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</si>
  <si>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</si>
  <si>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</si>
  <si>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</si>
  <si>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</si>
  <si>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</si>
  <si>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</si>
  <si>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</si>
  <si>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</si>
  <si>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</si>
  <si>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</si>
  <si>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</si>
  <si>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</si>
  <si>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</si>
  <si>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</si>
  <si>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</si>
  <si>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</si>
  <si>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</si>
  <si>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</si>
  <si>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</si>
  <si>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</si>
  <si>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</si>
  <si>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</si>
  <si>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</si>
  <si>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</si>
  <si>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</si>
  <si>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</si>
  <si>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</si>
  <si>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</si>
  <si>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</si>
  <si>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</si>
  <si>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</si>
  <si>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</si>
  <si>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</si>
  <si>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</si>
  <si>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</si>
  <si>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</si>
  <si>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</si>
  <si>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</si>
  <si>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</si>
  <si>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</si>
  <si>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</si>
  <si>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</si>
  <si>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</si>
  <si>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</si>
  <si>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</si>
  <si>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</si>
  <si>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</si>
  <si>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</si>
  <si>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</si>
  <si>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</si>
  <si>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</si>
  <si>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</si>
  <si>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</si>
  <si>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</si>
  <si>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</si>
  <si>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</si>
  <si>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</si>
  <si>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</si>
  <si>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</si>
  <si>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</si>
  <si>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</si>
  <si>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</si>
  <si>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</si>
  <si>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</si>
  <si>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</si>
  <si>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</si>
  <si>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</si>
  <si>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</si>
  <si>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</si>
  <si>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</si>
  <si>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</si>
  <si>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</si>
  <si>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</si>
  <si>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</si>
  <si>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</si>
  <si>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</si>
  <si>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</si>
  <si>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</si>
  <si>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Building No. 1</t>
  </si>
  <si>
    <t>Wing A</t>
  </si>
  <si>
    <t>Ground Floor for Parking</t>
  </si>
  <si>
    <t>1st to 7th &amp; 9th to 11th Floor for Residential</t>
  </si>
  <si>
    <t>2BHK</t>
  </si>
  <si>
    <t>1BHK</t>
  </si>
  <si>
    <t>8th Floor (Part Refuge Area)</t>
  </si>
  <si>
    <t>Refuge Area</t>
  </si>
  <si>
    <t>Wing B</t>
  </si>
  <si>
    <t>Wing C</t>
  </si>
  <si>
    <t>Building No. 2</t>
  </si>
  <si>
    <t>Ground Floor for Commercial &amp; Parking</t>
  </si>
  <si>
    <t>Shop</t>
  </si>
  <si>
    <t>2nd to 7th &amp; 9th to 11th Floor</t>
  </si>
  <si>
    <t>1st Floor for Residential</t>
  </si>
  <si>
    <t>Flats - 327, Shops - 8</t>
  </si>
  <si>
    <t>M/s. Today Prachar Developers LLP</t>
  </si>
  <si>
    <t>Mangalam</t>
  </si>
  <si>
    <t>Building No. 1 (A &amp; B Wing)
Building No. 2 (C Wing)</t>
  </si>
  <si>
    <t>Approved Plans, CC.</t>
  </si>
  <si>
    <t>P52000032461</t>
  </si>
  <si>
    <t>Old Gut No</t>
  </si>
  <si>
    <t>Dharna camp</t>
  </si>
  <si>
    <t>Panvel</t>
  </si>
  <si>
    <t>Raigad</t>
  </si>
  <si>
    <t>3.4 KM from Taloja Panchnand Railway Station</t>
  </si>
  <si>
    <t>Panvel road</t>
  </si>
  <si>
    <t>Taloja Panchnand east</t>
  </si>
  <si>
    <t>Internal road</t>
  </si>
  <si>
    <t>Open land</t>
  </si>
  <si>
    <t>3 Wings</t>
  </si>
  <si>
    <t>Panvel Municipal Corporation</t>
  </si>
  <si>
    <t>Building No. 1 (A &amp; B Wing) = G/St + 1st to 11th Floor.
Building No. 2 (C Wing) = G/St + 1st to 11th Floor.</t>
  </si>
  <si>
    <t>Building No. 2 (C Wing) = G/St + 1st to 11th Floor.</t>
  </si>
  <si>
    <t>Building No. 1 (B Wing) = G/St + 1st to 11th Floor.</t>
  </si>
  <si>
    <t>We considered Gross carpet area = Net carpet + Balcony.</t>
  </si>
  <si>
    <t>Super Ispat</t>
  </si>
  <si>
    <t>PMC/TP/Dharna Camp/19/1/21-21/16184/2441/2021</t>
  </si>
  <si>
    <t>PNBHFL - Thane</t>
  </si>
  <si>
    <t>PMP/NRV/16184/JK-2441/2021</t>
  </si>
  <si>
    <t>On Site, we meet Mr. Pravin Jadhav (9136663005).</t>
  </si>
  <si>
    <t>Saleable area Loading :</t>
  </si>
  <si>
    <t>149/1, New Gut No. 19/1</t>
  </si>
  <si>
    <t>Sunil Peravi</t>
  </si>
  <si>
    <t xml:space="preserve">Site Person - Contact Details ( Name &amp; Contact No.)
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</si>
  <si>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</si>
  <si>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Latitude, Longitude</t>
  </si>
  <si>
    <t>Location Link</t>
  </si>
  <si>
    <t>https://goo.gl/maps/ubByfy2gSHWjsnYcA</t>
  </si>
  <si>
    <t>19.096985, 73.078877</t>
  </si>
  <si>
    <t>As per RERA - 31/12/2025</t>
  </si>
  <si>
    <t>Vitrified tiles flooring, Kitchen Platform, Decorative Entrance</t>
  </si>
  <si>
    <t>Building No. 1 (A &amp; B Wing) = G/St + 1st to 11th Floor.</t>
  </si>
  <si>
    <t>Pooja</t>
  </si>
  <si>
    <t xml:space="preserve">Building No. 1 (Wing A &amp; B) = Finishing work is in process.
Building No. 2 (Wing C) = Construction work is in process at the time of Visit.
</t>
  </si>
  <si>
    <t>Mr. Patel : 9321922606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</si>
</sst>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4" fillId="0" borderId="0" xfId="4" applyFont="1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6" fillId="0" borderId="0" xfId="0" applyFont="1" applyFill="1" applyBorder="1" applyProtection="1">
      <protection hidden="1"/>
    </xf>
    <xf numFmtId="0" fontId="16" fillId="0" borderId="8" xfId="0" applyFont="1" applyFill="1" applyBorder="1" applyProtection="1">
      <protection hidden="1"/>
    </xf>
    <xf numFmtId="0" fontId="11" fillId="0" borderId="3" xfId="1" applyFont="1" applyFill="1" applyBorder="1" applyAlignment="1" applyProtection="1">
      <alignment horizontal="center" vertical="top"/>
      <protection locked="0"/>
    </xf>
    <xf numFmtId="0" fontId="11" fillId="0" borderId="4" xfId="1" applyFont="1" applyFill="1" applyBorder="1" applyAlignment="1" applyProtection="1">
      <alignment horizontal="center" vertical="top"/>
      <protection locked="0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6" fillId="0" borderId="0" xfId="1" applyFont="1" applyFill="1"/>
    <xf numFmtId="0" fontId="14" fillId="0" borderId="0" xfId="1" applyFont="1" applyFill="1"/>
    <xf numFmtId="0" fontId="11" fillId="0" borderId="0" xfId="1" applyFont="1" applyFill="1"/>
    <xf numFmtId="1" fontId="6" fillId="0" borderId="0" xfId="1" applyNumberFormat="1" applyFont="1" applyFill="1"/>
    <xf numFmtId="0" fontId="6" fillId="0" borderId="0" xfId="1" applyNumberFormat="1" applyFont="1" applyFill="1"/>
    <xf numFmtId="14" fontId="6" fillId="0" borderId="0" xfId="1" applyNumberFormat="1" applyFont="1" applyFill="1"/>
    <xf numFmtId="0" fontId="6" fillId="0" borderId="0" xfId="1" applyFont="1" applyFill="1" applyProtection="1">
      <protection hidden="1"/>
    </xf>
    <xf numFmtId="0" fontId="22" fillId="0" borderId="0" xfId="1" applyFont="1" applyFill="1"/>
    <xf numFmtId="0" fontId="6" fillId="0" borderId="7" xfId="1" applyFont="1" applyFill="1" applyBorder="1"/>
    <xf numFmtId="0" fontId="16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5" fillId="0" borderId="0" xfId="1" applyFont="1" applyFill="1"/>
    <xf numFmtId="0" fontId="5" fillId="0" borderId="0" xfId="2" applyFont="1" applyFill="1"/>
    <xf numFmtId="0" fontId="6" fillId="0" borderId="0" xfId="0" applyFont="1" applyFill="1" applyAlignment="1">
      <alignment horizontal="center" vertical="center"/>
    </xf>
    <xf numFmtId="1" fontId="6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0" fontId="23" fillId="2" borderId="22" xfId="0" applyFont="1" applyFill="1" applyBorder="1"/>
    <xf numFmtId="0" fontId="24" fillId="0" borderId="23" xfId="0" applyFont="1" applyFill="1" applyBorder="1"/>
    <xf numFmtId="0" fontId="24" fillId="0" borderId="1" xfId="0" applyFont="1" applyFill="1" applyBorder="1"/>
    <xf numFmtId="0" fontId="24" fillId="0" borderId="4" xfId="0" applyFont="1" applyFill="1" applyBorder="1"/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1" applyFont="1" applyFill="1" applyBorder="1" applyAlignment="1" applyProtection="1">
      <alignment vertical="top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top" wrapText="1"/>
      <protection locked="0"/>
    </xf>
    <xf numFmtId="2" fontId="6" fillId="0" borderId="0" xfId="1" applyNumberFormat="1" applyFont="1" applyFill="1" applyAlignment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top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left" vertical="top" wrapText="1"/>
      <protection locked="0"/>
    </xf>
    <xf numFmtId="0" fontId="5" fillId="0" borderId="18" xfId="1" applyFont="1" applyFill="1" applyBorder="1" applyAlignment="1" applyProtection="1">
      <alignment horizontal="left" vertical="top" wrapText="1"/>
      <protection locked="0"/>
    </xf>
    <xf numFmtId="0" fontId="5" fillId="0" borderId="6" xfId="1" applyFont="1" applyFill="1" applyBorder="1" applyAlignment="1" applyProtection="1">
      <alignment horizontal="left" vertical="top" wrapText="1"/>
      <protection locked="0"/>
    </xf>
    <xf numFmtId="1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horizontal="center" vertical="center"/>
    </xf>
    <xf numFmtId="1" fontId="5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left" vertical="top"/>
      <protection locked="0"/>
    </xf>
    <xf numFmtId="0" fontId="5" fillId="0" borderId="1" xfId="1" applyFont="1" applyFill="1" applyBorder="1" applyAlignment="1" applyProtection="1">
      <alignment horizontal="left" vertical="top"/>
      <protection locked="0"/>
    </xf>
    <xf numFmtId="0" fontId="5" fillId="0" borderId="1" xfId="1" applyFont="1" applyFill="1" applyBorder="1" applyAlignment="1" applyProtection="1">
      <alignment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11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left" vertical="top" wrapText="1"/>
      <protection locked="0"/>
    </xf>
    <xf numFmtId="0" fontId="11" fillId="0" borderId="6" xfId="1" applyFont="1" applyFill="1" applyBorder="1" applyAlignment="1" applyProtection="1">
      <alignment horizontal="left" vertical="top" wrapText="1"/>
      <protection locked="0"/>
    </xf>
    <xf numFmtId="0" fontId="11" fillId="0" borderId="18" xfId="1" applyFont="1" applyFill="1" applyBorder="1" applyAlignment="1" applyProtection="1">
      <alignment horizontal="left" vertical="top" wrapText="1"/>
      <protection locked="0"/>
    </xf>
    <xf numFmtId="14" fontId="11" fillId="0" borderId="5" xfId="1" applyNumberFormat="1" applyFont="1" applyFill="1" applyBorder="1" applyAlignment="1" applyProtection="1">
      <alignment horizontal="left" vertical="top" wrapText="1"/>
      <protection locked="0"/>
    </xf>
    <xf numFmtId="14" fontId="5" fillId="0" borderId="5" xfId="1" applyNumberFormat="1" applyFont="1" applyFill="1" applyBorder="1" applyAlignment="1" applyProtection="1">
      <alignment horizontal="left" vertical="top" wrapText="1"/>
      <protection locked="0"/>
    </xf>
    <xf numFmtId="14" fontId="5" fillId="0" borderId="6" xfId="1" applyNumberFormat="1" applyFont="1" applyFill="1" applyBorder="1" applyAlignment="1" applyProtection="1">
      <alignment horizontal="left" vertical="top" wrapText="1"/>
      <protection locked="0"/>
    </xf>
    <xf numFmtId="168" fontId="5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5" xfId="0" applyNumberFormat="1" applyFont="1" applyFill="1" applyBorder="1" applyAlignment="1" applyProtection="1">
      <alignment vertical="top" wrapText="1"/>
      <protection locked="0"/>
    </xf>
    <xf numFmtId="1" fontId="12" fillId="0" borderId="18" xfId="0" applyNumberFormat="1" applyFont="1" applyFill="1" applyBorder="1" applyAlignment="1" applyProtection="1">
      <alignment vertical="top" wrapText="1"/>
      <protection locked="0"/>
    </xf>
    <xf numFmtId="1" fontId="12" fillId="0" borderId="6" xfId="0" applyNumberFormat="1" applyFont="1" applyFill="1" applyBorder="1" applyAlignment="1" applyProtection="1">
      <alignment vertical="top" wrapText="1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18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5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left" vertical="top"/>
      <protection locked="0"/>
    </xf>
    <xf numFmtId="0" fontId="7" fillId="0" borderId="6" xfId="1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left" vertical="top" wrapText="1"/>
      <protection locked="0"/>
    </xf>
    <xf numFmtId="0" fontId="5" fillId="0" borderId="2" xfId="1" applyFont="1" applyFill="1" applyBorder="1" applyAlignment="1" applyProtection="1">
      <alignment horizontal="left" vertical="top" wrapText="1"/>
      <protection locked="0"/>
    </xf>
    <xf numFmtId="0" fontId="11" fillId="0" borderId="2" xfId="1" applyFont="1" applyFill="1" applyBorder="1" applyAlignment="1" applyProtection="1">
      <alignment horizontal="left" vertical="top" wrapText="1"/>
      <protection locked="0"/>
    </xf>
    <xf numFmtId="0" fontId="5" fillId="0" borderId="2" xfId="1" applyFont="1" applyFill="1" applyBorder="1" applyAlignment="1" applyProtection="1">
      <alignment horizontal="left" vertical="top"/>
      <protection locked="0"/>
    </xf>
    <xf numFmtId="0" fontId="11" fillId="0" borderId="4" xfId="1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Fill="1" applyBorder="1" applyAlignment="1" applyProtection="1">
      <alignment horizontal="left" vertical="top" wrapText="1"/>
      <protection locked="0"/>
    </xf>
    <xf numFmtId="2" fontId="5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2" xfId="1" applyFont="1" applyFill="1" applyBorder="1" applyAlignment="1" applyProtection="1">
      <alignment horizontal="left" vertical="top"/>
      <protection locked="0"/>
    </xf>
    <xf numFmtId="0" fontId="11" fillId="0" borderId="14" xfId="1" applyFont="1" applyFill="1" applyBorder="1" applyAlignment="1" applyProtection="1">
      <alignment horizontal="left" vertical="top" wrapText="1"/>
      <protection locked="0"/>
    </xf>
    <xf numFmtId="0" fontId="11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15" xfId="1" applyFont="1" applyFill="1" applyBorder="1" applyAlignment="1" applyProtection="1">
      <alignment horizontal="left" vertical="top" wrapText="1"/>
      <protection locked="0"/>
    </xf>
    <xf numFmtId="14" fontId="11" fillId="0" borderId="6" xfId="1" applyNumberFormat="1" applyFont="1" applyFill="1" applyBorder="1" applyAlignment="1" applyProtection="1">
      <alignment horizontal="left" vertical="top" wrapText="1"/>
      <protection locked="0"/>
    </xf>
    <xf numFmtId="0" fontId="5" fillId="0" borderId="14" xfId="1" applyFont="1" applyFill="1" applyBorder="1" applyAlignment="1" applyProtection="1">
      <alignment horizontal="left" vertical="top" wrapText="1"/>
      <protection locked="0"/>
    </xf>
    <xf numFmtId="0" fontId="5" fillId="0" borderId="15" xfId="1" applyFont="1" applyFill="1" applyBorder="1" applyAlignment="1" applyProtection="1">
      <alignment horizontal="left" vertical="top" wrapText="1"/>
      <protection locked="0"/>
    </xf>
    <xf numFmtId="0" fontId="5" fillId="0" borderId="16" xfId="1" applyFont="1" applyFill="1" applyBorder="1" applyAlignment="1" applyProtection="1">
      <alignment horizontal="left" vertical="top" wrapText="1"/>
      <protection locked="0"/>
    </xf>
    <xf numFmtId="0" fontId="5" fillId="0" borderId="17" xfId="1" applyFont="1" applyFill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center" vertical="top" wrapText="1"/>
      <protection locked="0"/>
    </xf>
    <xf numFmtId="14" fontId="11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/>
      <protection locked="0"/>
    </xf>
    <xf numFmtId="0" fontId="11" fillId="0" borderId="1" xfId="1" applyFont="1" applyFill="1" applyBorder="1" applyAlignment="1" applyProtection="1">
      <alignment horizontal="center" vertical="top"/>
      <protection locked="0"/>
    </xf>
    <xf numFmtId="2" fontId="5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/>
      <protection locked="0"/>
    </xf>
    <xf numFmtId="0" fontId="25" fillId="0" borderId="1" xfId="10" applyFill="1" applyBorder="1" applyAlignment="1" applyProtection="1">
      <alignment horizontal="left"/>
      <protection locked="0"/>
    </xf>
    <xf numFmtId="1" fontId="7" fillId="0" borderId="5" xfId="0" applyNumberFormat="1" applyFont="1" applyFill="1" applyBorder="1" applyAlignment="1" applyProtection="1">
      <alignment vertical="top" wrapText="1"/>
      <protection locked="0"/>
    </xf>
    <xf numFmtId="1" fontId="7" fillId="0" borderId="18" xfId="0" applyNumberFormat="1" applyFont="1" applyFill="1" applyBorder="1" applyAlignment="1" applyProtection="1">
      <alignment vertical="top" wrapText="1"/>
      <protection locked="0"/>
    </xf>
    <xf numFmtId="1" fontId="7" fillId="0" borderId="6" xfId="0" applyNumberFormat="1" applyFont="1" applyFill="1" applyBorder="1" applyAlignment="1" applyProtection="1">
      <alignment vertical="top" wrapText="1"/>
      <protection locked="0"/>
    </xf>
    <xf numFmtId="1" fontId="12" fillId="0" borderId="18" xfId="0" applyNumberFormat="1" applyFont="1" applyFill="1" applyBorder="1" applyAlignment="1" applyProtection="1">
      <alignment vertical="top"/>
      <protection locked="0"/>
    </xf>
    <xf numFmtId="1" fontId="12" fillId="0" borderId="6" xfId="0" applyNumberFormat="1" applyFont="1" applyFill="1" applyBorder="1" applyAlignment="1" applyProtection="1">
      <alignment vertical="top"/>
      <protection locked="0"/>
    </xf>
    <xf numFmtId="0" fontId="12" fillId="0" borderId="13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left" vertical="top"/>
      <protection locked="0"/>
    </xf>
    <xf numFmtId="0" fontId="12" fillId="0" borderId="13" xfId="1" applyFont="1" applyFill="1" applyBorder="1" applyAlignment="1" applyProtection="1">
      <alignment horizontal="center" vertical="top"/>
      <protection locked="0"/>
    </xf>
    <xf numFmtId="1" fontId="7" fillId="0" borderId="2" xfId="1" applyNumberFormat="1" applyFont="1" applyFill="1" applyBorder="1" applyAlignment="1" applyProtection="1">
      <alignment horizontal="center" vertical="top" wrapText="1"/>
      <protection locked="0"/>
    </xf>
    <xf numFmtId="1" fontId="7" fillId="0" borderId="13" xfId="1" applyNumberFormat="1" applyFont="1" applyFill="1" applyBorder="1" applyAlignment="1" applyProtection="1">
      <alignment horizontal="center" vertical="top" wrapText="1"/>
      <protection locked="0"/>
    </xf>
    <xf numFmtId="1" fontId="7" fillId="0" borderId="14" xfId="1" applyNumberFormat="1" applyFont="1" applyFill="1" applyBorder="1" applyAlignment="1" applyProtection="1">
      <alignment horizontal="center" vertical="top" wrapText="1"/>
      <protection locked="0"/>
    </xf>
    <xf numFmtId="1" fontId="7" fillId="0" borderId="15" xfId="1" applyNumberFormat="1" applyFont="1" applyFill="1" applyBorder="1" applyAlignment="1" applyProtection="1">
      <alignment horizontal="center" vertical="top" wrapText="1"/>
      <protection locked="0"/>
    </xf>
    <xf numFmtId="1" fontId="7" fillId="0" borderId="16" xfId="1" applyNumberFormat="1" applyFont="1" applyFill="1" applyBorder="1" applyAlignment="1" applyProtection="1">
      <alignment horizontal="center" vertical="top" wrapText="1"/>
      <protection locked="0"/>
    </xf>
    <xf numFmtId="1" fontId="7" fillId="0" borderId="17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5" applyFont="1" applyBorder="1" applyAlignment="1">
      <alignment horizontal="left"/>
    </xf>
    <xf numFmtId="0" fontId="23" fillId="2" borderId="12" xfId="0" applyFont="1" applyFill="1" applyBorder="1"/>
    <xf numFmtId="0" fontId="24" fillId="0" borderId="6" xfId="0" applyFont="1" applyFill="1" applyBorder="1"/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47321</xdr:colOff>
      <xdr:row>269</xdr:row>
      <xdr:rowOff>89244</xdr:rowOff>
    </xdr:from>
    <xdr:to>
      <xdr:col>13</xdr:col>
      <xdr:colOff>226154</xdr:colOff>
      <xdr:row>282</xdr:row>
      <xdr:rowOff>38715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053870" y="55314813"/>
          <a:ext cx="2571647" cy="33500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11</xdr:col>
      <xdr:colOff>401068</xdr:colOff>
      <xdr:row>269</xdr:row>
      <xdr:rowOff>27456</xdr:rowOff>
    </xdr:from>
    <xdr:ext cx="885692" cy="37414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7215" y="55642250"/>
          <a:ext cx="88569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FFFF00"/>
              </a:solidFill>
            </a:rPr>
            <a:t>Layout </a:t>
          </a:r>
        </a:p>
      </xdr:txBody>
    </xdr:sp>
    <xdr:clientData/>
  </xdr:oneCellAnchor>
  <xdr:oneCellAnchor>
    <xdr:from>
      <xdr:col>8</xdr:col>
      <xdr:colOff>510887</xdr:colOff>
      <xdr:row>258</xdr:row>
      <xdr:rowOff>112568</xdr:rowOff>
    </xdr:from>
    <xdr:ext cx="749501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705437" y="49871168"/>
          <a:ext cx="74950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oneCellAnchor>
  <xdr:oneCellAnchor>
    <xdr:from>
      <xdr:col>12</xdr:col>
      <xdr:colOff>159329</xdr:colOff>
      <xdr:row>258</xdr:row>
      <xdr:rowOff>112568</xdr:rowOff>
    </xdr:from>
    <xdr:ext cx="928139" cy="37414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004715" y="52751182"/>
          <a:ext cx="92813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FF0000"/>
              </a:solidFill>
            </a:rPr>
            <a:t>B Wing </a:t>
          </a:r>
        </a:p>
      </xdr:txBody>
    </xdr:sp>
    <xdr:clientData/>
  </xdr:oneCellAnchor>
  <xdr:oneCellAnchor>
    <xdr:from>
      <xdr:col>12</xdr:col>
      <xdr:colOff>203234</xdr:colOff>
      <xdr:row>275</xdr:row>
      <xdr:rowOff>101874</xdr:rowOff>
    </xdr:from>
    <xdr:ext cx="308995" cy="342786"/>
    <xdr:sp macro="" textlink="">
      <xdr:nvSpPr>
        <xdr:cNvPr id="2" name="TextBox 1"/>
        <xdr:cNvSpPr txBox="1"/>
      </xdr:nvSpPr>
      <xdr:spPr>
        <a:xfrm>
          <a:off x="11140175" y="56926903"/>
          <a:ext cx="3089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0000"/>
              </a:solidFill>
            </a:rPr>
            <a:t>A</a:t>
          </a:r>
        </a:p>
      </xdr:txBody>
    </xdr:sp>
    <xdr:clientData/>
  </xdr:oneCellAnchor>
  <xdr:oneCellAnchor>
    <xdr:from>
      <xdr:col>9</xdr:col>
      <xdr:colOff>757877</xdr:colOff>
      <xdr:row>278</xdr:row>
      <xdr:rowOff>71925</xdr:rowOff>
    </xdr:from>
    <xdr:ext cx="308995" cy="342786"/>
    <xdr:sp macro="" textlink="">
      <xdr:nvSpPr>
        <xdr:cNvPr id="13" name="TextBox 12"/>
        <xdr:cNvSpPr txBox="1"/>
      </xdr:nvSpPr>
      <xdr:spPr>
        <a:xfrm>
          <a:off x="9375201" y="57502072"/>
          <a:ext cx="3089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0000"/>
              </a:solidFill>
            </a:rPr>
            <a:t>B</a:t>
          </a:r>
        </a:p>
      </xdr:txBody>
    </xdr:sp>
    <xdr:clientData/>
  </xdr:oneCellAnchor>
  <xdr:oneCellAnchor>
    <xdr:from>
      <xdr:col>9</xdr:col>
      <xdr:colOff>402345</xdr:colOff>
      <xdr:row>272</xdr:row>
      <xdr:rowOff>80583</xdr:rowOff>
    </xdr:from>
    <xdr:ext cx="293285" cy="342786"/>
    <xdr:sp macro="" textlink="">
      <xdr:nvSpPr>
        <xdr:cNvPr id="14" name="TextBox 13"/>
        <xdr:cNvSpPr txBox="1"/>
      </xdr:nvSpPr>
      <xdr:spPr>
        <a:xfrm>
          <a:off x="9019669" y="56300495"/>
          <a:ext cx="29328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0000"/>
              </a:solidFill>
            </a:rPr>
            <a:t>C</a:t>
          </a:r>
        </a:p>
      </xdr:txBody>
    </xdr:sp>
    <xdr:clientData/>
  </xdr:oneCellAnchor>
  <xdr:twoCellAnchor>
    <xdr:from>
      <xdr:col>9</xdr:col>
      <xdr:colOff>756753</xdr:colOff>
      <xdr:row>273</xdr:row>
      <xdr:rowOff>50270</xdr:rowOff>
    </xdr:from>
    <xdr:to>
      <xdr:col>10</xdr:col>
      <xdr:colOff>638735</xdr:colOff>
      <xdr:row>274</xdr:row>
      <xdr:rowOff>12734</xdr:rowOff>
    </xdr:to>
    <xdr:cxnSp macro="">
      <xdr:nvCxnSpPr>
        <xdr:cNvPr id="4" name="Straight Arrow Connector 3"/>
        <xdr:cNvCxnSpPr>
          <a:stCxn id="14" idx="3"/>
        </xdr:cNvCxnSpPr>
      </xdr:nvCxnSpPr>
      <xdr:spPr>
        <a:xfrm>
          <a:off x="9374077" y="56471888"/>
          <a:ext cx="700011" cy="16417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208280</xdr:colOff>
      <xdr:row>279</xdr:row>
      <xdr:rowOff>38711</xdr:rowOff>
    </xdr:from>
    <xdr:to>
      <xdr:col>11</xdr:col>
      <xdr:colOff>243472</xdr:colOff>
      <xdr:row>279</xdr:row>
      <xdr:rowOff>43400</xdr:rowOff>
    </xdr:to>
    <xdr:cxnSp macro="">
      <xdr:nvCxnSpPr>
        <xdr:cNvPr id="16" name="Straight Arrow Connector 15"/>
        <xdr:cNvCxnSpPr/>
      </xdr:nvCxnSpPr>
      <xdr:spPr>
        <a:xfrm flipV="1">
          <a:off x="9643633" y="57670564"/>
          <a:ext cx="785986" cy="4689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116643</xdr:colOff>
      <xdr:row>277</xdr:row>
      <xdr:rowOff>26083</xdr:rowOff>
    </xdr:from>
    <xdr:to>
      <xdr:col>12</xdr:col>
      <xdr:colOff>344278</xdr:colOff>
      <xdr:row>279</xdr:row>
      <xdr:rowOff>145168</xdr:rowOff>
    </xdr:to>
    <xdr:cxnSp macro="">
      <xdr:nvCxnSpPr>
        <xdr:cNvPr id="18" name="Straight Arrow Connector 17"/>
        <xdr:cNvCxnSpPr/>
      </xdr:nvCxnSpPr>
      <xdr:spPr>
        <a:xfrm flipH="1">
          <a:off x="11053584" y="57254524"/>
          <a:ext cx="227635" cy="522497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675409</xdr:colOff>
      <xdr:row>303</xdr:row>
      <xdr:rowOff>25978</xdr:rowOff>
    </xdr:from>
    <xdr:to>
      <xdr:col>7</xdr:col>
      <xdr:colOff>98391</xdr:colOff>
      <xdr:row>321</xdr:row>
      <xdr:rowOff>41981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5409" y="61418933"/>
          <a:ext cx="5112005" cy="36008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675411</xdr:colOff>
      <xdr:row>322</xdr:row>
      <xdr:rowOff>22650</xdr:rowOff>
    </xdr:from>
    <xdr:to>
      <xdr:col>7</xdr:col>
      <xdr:colOff>98391</xdr:colOff>
      <xdr:row>340</xdr:row>
      <xdr:rowOff>37787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5411" y="65199627"/>
          <a:ext cx="511200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438150</xdr:colOff>
      <xdr:row>257</xdr:row>
      <xdr:rowOff>69850</xdr:rowOff>
    </xdr:from>
    <xdr:to>
      <xdr:col>7</xdr:col>
      <xdr:colOff>891033</xdr:colOff>
      <xdr:row>298</xdr:row>
      <xdr:rowOff>17264</xdr:rowOff>
    </xdr:to>
    <xdr:grpSp>
      <xdr:nvGrpSpPr>
        <xdr:cNvPr id="5" name="Group 4"/>
        <xdr:cNvGrpSpPr/>
      </xdr:nvGrpSpPr>
      <xdr:grpSpPr>
        <a:xfrm>
          <a:off x="438150" y="49631600"/>
          <a:ext cx="6428233" cy="8011914"/>
          <a:chOff x="438150" y="49631600"/>
          <a:chExt cx="6428233" cy="8011914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02478" y="55987514"/>
            <a:ext cx="1240706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7420" y="496316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6689" y="496316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151" y="496316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70626" y="55987514"/>
            <a:ext cx="2205954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5958" y="496316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150" y="5175023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7420" y="51750238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6689" y="51750979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77420" y="5386887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6688" y="5386887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5956" y="5386887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5958" y="5174854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8774" y="55987514"/>
            <a:ext cx="2205954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150" y="5386887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990601" y="51295300"/>
            <a:ext cx="74950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2477470" y="50990500"/>
            <a:ext cx="74950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4224689" y="51098450"/>
            <a:ext cx="74950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616308" y="50895250"/>
            <a:ext cx="74950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889000" y="53388538"/>
            <a:ext cx="74950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  <xdr:sp macro="" textlink="">
        <xdr:nvSpPr>
          <xdr:cNvPr id="67" name="TextBox 6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2344120" y="53255188"/>
            <a:ext cx="74950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757091</xdr:colOff>
      <xdr:row>29</xdr:row>
      <xdr:rowOff>25773</xdr:rowOff>
    </xdr:from>
    <xdr:to>
      <xdr:col>14</xdr:col>
      <xdr:colOff>4555</xdr:colOff>
      <xdr:row>40</xdr:row>
      <xdr:rowOff>90273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56" y="5561479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439960</xdr:colOff>
      <xdr:row>28</xdr:row>
      <xdr:rowOff>58012</xdr:rowOff>
    </xdr:from>
    <xdr:to>
      <xdr:col>21</xdr:col>
      <xdr:colOff>202893</xdr:colOff>
      <xdr:row>39</xdr:row>
      <xdr:rowOff>122512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49136" y="5403218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184981</xdr:colOff>
      <xdr:row>15</xdr:row>
      <xdr:rowOff>0</xdr:rowOff>
    </xdr:from>
    <xdr:to>
      <xdr:col>20</xdr:col>
      <xdr:colOff>530620</xdr:colOff>
      <xdr:row>26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4157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700123</xdr:colOff>
      <xdr:row>15</xdr:row>
      <xdr:rowOff>0</xdr:rowOff>
    </xdr:from>
    <xdr:to>
      <xdr:col>13</xdr:col>
      <xdr:colOff>530292</xdr:colOff>
      <xdr:row>26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14888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271621</xdr:colOff>
      <xdr:row>15</xdr:row>
      <xdr:rowOff>0</xdr:rowOff>
    </xdr:from>
    <xdr:to>
      <xdr:col>7</xdr:col>
      <xdr:colOff>325907</xdr:colOff>
      <xdr:row>26</xdr:row>
      <xdr:rowOff>64500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8797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2362699</xdr:colOff>
      <xdr:row>26</xdr:row>
      <xdr:rowOff>64500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bByfy2gSHWjsnYc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02"/>
  <sheetViews>
    <sheetView tabSelected="1" view="pageBreakPreview" topLeftCell="A70" zoomScaleNormal="100" zoomScaleSheetLayoutView="100" zoomScalePageLayoutView="85" workbookViewId="0">
      <selection activeCell="C78" sqref="C78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7.453125" style="40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47" t="s">
        <v>211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5">
      <c r="A2" s="85" t="s">
        <v>0</v>
      </c>
      <c r="B2" s="85"/>
      <c r="C2" s="85"/>
      <c r="D2" s="85"/>
      <c r="E2" s="85"/>
      <c r="F2" s="85"/>
      <c r="G2" s="85"/>
      <c r="H2" s="85"/>
    </row>
    <row r="3" spans="1:8" x14ac:dyDescent="0.35">
      <c r="A3" s="116" t="s">
        <v>1</v>
      </c>
      <c r="B3" s="116"/>
      <c r="C3" s="116"/>
      <c r="D3" s="116"/>
      <c r="E3" s="116" t="str">
        <f ca="1">TEXT(TODAY(),"DD/MM/YYYY")</f>
        <v>11/08/2025</v>
      </c>
      <c r="F3" s="116"/>
      <c r="G3" s="116"/>
      <c r="H3" s="116"/>
    </row>
    <row r="4" spans="1:8" ht="15" customHeight="1" x14ac:dyDescent="0.35">
      <c r="A4" s="116" t="s">
        <v>2</v>
      </c>
      <c r="B4" s="116"/>
      <c r="C4" s="116"/>
      <c r="D4" s="116"/>
      <c r="E4" s="116" t="s">
        <v>204</v>
      </c>
      <c r="F4" s="116"/>
      <c r="G4" s="116"/>
      <c r="H4" s="116"/>
    </row>
    <row r="5" spans="1:8" x14ac:dyDescent="0.35">
      <c r="A5" s="116" t="s">
        <v>3</v>
      </c>
      <c r="B5" s="116"/>
      <c r="C5" s="116"/>
      <c r="D5" s="116"/>
      <c r="E5" s="148">
        <v>45877</v>
      </c>
      <c r="F5" s="116"/>
      <c r="G5" s="116"/>
      <c r="H5" s="116"/>
    </row>
    <row r="6" spans="1:8" ht="16.5" customHeight="1" x14ac:dyDescent="0.35">
      <c r="A6" s="116" t="s">
        <v>4</v>
      </c>
      <c r="B6" s="116"/>
      <c r="C6" s="116"/>
      <c r="D6" s="116"/>
      <c r="E6" s="116" t="s">
        <v>182</v>
      </c>
      <c r="F6" s="116"/>
      <c r="G6" s="116"/>
      <c r="H6" s="116"/>
    </row>
    <row r="7" spans="1:8" ht="15" customHeight="1" x14ac:dyDescent="0.35">
      <c r="A7" s="116" t="s">
        <v>5</v>
      </c>
      <c r="B7" s="116"/>
      <c r="C7" s="116"/>
      <c r="D7" s="116"/>
      <c r="E7" s="116" t="str">
        <f>E6</f>
        <v>M/s. Today Prachar Developers LLP</v>
      </c>
      <c r="F7" s="116"/>
      <c r="G7" s="116"/>
      <c r="H7" s="116"/>
    </row>
    <row r="8" spans="1:8" x14ac:dyDescent="0.35">
      <c r="A8" s="116" t="s">
        <v>6</v>
      </c>
      <c r="B8" s="116"/>
      <c r="C8" s="116"/>
      <c r="D8" s="116"/>
      <c r="E8" s="129" t="s">
        <v>183</v>
      </c>
      <c r="F8" s="129"/>
      <c r="G8" s="129"/>
      <c r="H8" s="129"/>
    </row>
    <row r="9" spans="1:8" x14ac:dyDescent="0.35">
      <c r="A9" s="116" t="s">
        <v>124</v>
      </c>
      <c r="B9" s="116"/>
      <c r="C9" s="116"/>
      <c r="D9" s="116"/>
      <c r="E9" s="116">
        <v>8080024433</v>
      </c>
      <c r="F9" s="116"/>
      <c r="G9" s="116"/>
      <c r="H9" s="116"/>
    </row>
    <row r="10" spans="1:8" x14ac:dyDescent="0.35">
      <c r="A10" s="115" t="s">
        <v>210</v>
      </c>
      <c r="B10" s="116"/>
      <c r="C10" s="116"/>
      <c r="D10" s="116"/>
      <c r="E10" s="116" t="s">
        <v>221</v>
      </c>
      <c r="F10" s="116"/>
      <c r="G10" s="116"/>
      <c r="H10" s="116"/>
    </row>
    <row r="11" spans="1:8" ht="32.25" customHeight="1" x14ac:dyDescent="0.35">
      <c r="A11" s="116" t="s">
        <v>7</v>
      </c>
      <c r="B11" s="116"/>
      <c r="C11" s="116"/>
      <c r="D11" s="116"/>
      <c r="E11" s="115" t="s">
        <v>184</v>
      </c>
      <c r="F11" s="116"/>
      <c r="G11" s="116"/>
      <c r="H11" s="116"/>
    </row>
    <row r="12" spans="1:8" x14ac:dyDescent="0.35">
      <c r="A12" s="88" t="s">
        <v>8</v>
      </c>
      <c r="B12" s="88"/>
      <c r="C12" s="88"/>
      <c r="D12" s="88"/>
      <c r="E12" s="115" t="s">
        <v>185</v>
      </c>
      <c r="F12" s="115"/>
      <c r="G12" s="115"/>
      <c r="H12" s="115"/>
    </row>
    <row r="13" spans="1:8" x14ac:dyDescent="0.35">
      <c r="A13" s="88" t="s">
        <v>9</v>
      </c>
      <c r="B13" s="88"/>
      <c r="C13" s="88"/>
      <c r="D13" s="88"/>
      <c r="E13" s="115" t="s">
        <v>186</v>
      </c>
      <c r="F13" s="116"/>
      <c r="G13" s="116"/>
      <c r="H13" s="116"/>
    </row>
    <row r="14" spans="1:8" ht="33.75" customHeight="1" x14ac:dyDescent="0.35">
      <c r="A14" s="115" t="s">
        <v>10</v>
      </c>
      <c r="B14" s="115"/>
      <c r="C14" s="115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Mangalam, Old Gut No.149/1, New Gut No. 19/1, near Super Ispat, Panvel road, Dharna camp, Taloja Panchnand east, Panvel, Raigad - 410208.</v>
      </c>
      <c r="D14" s="115"/>
      <c r="E14" s="115"/>
      <c r="F14" s="115"/>
      <c r="G14" s="115"/>
      <c r="H14" s="115"/>
    </row>
    <row r="15" spans="1:8" x14ac:dyDescent="0.35">
      <c r="A15" s="115" t="s">
        <v>187</v>
      </c>
      <c r="B15" s="115"/>
      <c r="C15" s="115" t="s">
        <v>208</v>
      </c>
      <c r="D15" s="115"/>
      <c r="E15" s="115"/>
      <c r="F15" s="115"/>
      <c r="G15" s="115"/>
      <c r="H15" s="115"/>
    </row>
    <row r="16" spans="1:8" ht="15.75" customHeight="1" x14ac:dyDescent="0.35">
      <c r="A16" s="115" t="s">
        <v>11</v>
      </c>
      <c r="B16" s="115"/>
      <c r="C16" s="116" t="s">
        <v>192</v>
      </c>
      <c r="D16" s="116"/>
      <c r="E16" s="115" t="s">
        <v>74</v>
      </c>
      <c r="F16" s="115"/>
      <c r="G16" s="115" t="s">
        <v>188</v>
      </c>
      <c r="H16" s="115"/>
    </row>
    <row r="17" spans="1:8" x14ac:dyDescent="0.35">
      <c r="A17" s="88" t="s">
        <v>13</v>
      </c>
      <c r="B17" s="88"/>
      <c r="C17" s="115" t="s">
        <v>193</v>
      </c>
      <c r="D17" s="115"/>
      <c r="E17" s="114" t="s">
        <v>12</v>
      </c>
      <c r="F17" s="114"/>
      <c r="G17" s="149" t="s">
        <v>190</v>
      </c>
      <c r="H17" s="149"/>
    </row>
    <row r="18" spans="1:8" x14ac:dyDescent="0.35">
      <c r="A18" s="88" t="s">
        <v>75</v>
      </c>
      <c r="B18" s="88"/>
      <c r="C18" s="115" t="s">
        <v>189</v>
      </c>
      <c r="D18" s="115"/>
      <c r="E18" s="114" t="s">
        <v>14</v>
      </c>
      <c r="F18" s="114"/>
      <c r="G18" s="115">
        <v>410208</v>
      </c>
      <c r="H18" s="115"/>
    </row>
    <row r="19" spans="1:8" ht="32.25" customHeight="1" x14ac:dyDescent="0.35">
      <c r="A19" s="88" t="s">
        <v>125</v>
      </c>
      <c r="B19" s="88"/>
      <c r="C19" s="115" t="s">
        <v>202</v>
      </c>
      <c r="D19" s="115"/>
      <c r="E19" s="114" t="s">
        <v>15</v>
      </c>
      <c r="F19" s="114"/>
      <c r="G19" s="115" t="s">
        <v>191</v>
      </c>
      <c r="H19" s="115"/>
    </row>
    <row r="20" spans="1:8" ht="15" customHeight="1" x14ac:dyDescent="0.35">
      <c r="A20" s="114" t="s">
        <v>78</v>
      </c>
      <c r="B20" s="114"/>
      <c r="C20" s="114"/>
      <c r="D20" s="114"/>
      <c r="E20" s="116" t="s">
        <v>16</v>
      </c>
      <c r="F20" s="116"/>
      <c r="G20" s="116"/>
      <c r="H20" s="116"/>
    </row>
    <row r="21" spans="1:8" ht="18.75" customHeight="1" x14ac:dyDescent="0.35">
      <c r="A21" s="114"/>
      <c r="B21" s="114"/>
      <c r="C21" s="114"/>
      <c r="D21" s="114"/>
      <c r="E21" s="116"/>
      <c r="F21" s="116"/>
      <c r="G21" s="116"/>
      <c r="H21" s="116"/>
    </row>
    <row r="22" spans="1:8" ht="15" customHeight="1" x14ac:dyDescent="0.35">
      <c r="A22" s="114" t="s">
        <v>17</v>
      </c>
      <c r="B22" s="114"/>
      <c r="C22" s="114"/>
      <c r="D22" s="114"/>
      <c r="E22" s="115" t="s">
        <v>18</v>
      </c>
      <c r="F22" s="115"/>
      <c r="G22" s="115"/>
      <c r="H22" s="115"/>
    </row>
    <row r="23" spans="1:8" ht="15" customHeight="1" x14ac:dyDescent="0.35">
      <c r="A23" s="88" t="s">
        <v>19</v>
      </c>
      <c r="B23" s="88"/>
      <c r="C23" s="88"/>
      <c r="D23" s="88"/>
      <c r="E23" s="115" t="str">
        <f>IF(AND(G17="Mumbai"),"Upper Class","Middle Class")</f>
        <v>Middle Class</v>
      </c>
      <c r="F23" s="115"/>
      <c r="G23" s="115"/>
      <c r="H23" s="115"/>
    </row>
    <row r="24" spans="1:8" x14ac:dyDescent="0.35">
      <c r="A24" s="88" t="s">
        <v>20</v>
      </c>
      <c r="B24" s="88"/>
      <c r="C24" s="88"/>
      <c r="D24" s="88"/>
      <c r="E24" s="115" t="s">
        <v>21</v>
      </c>
      <c r="F24" s="115"/>
      <c r="G24" s="115"/>
      <c r="H24" s="115"/>
    </row>
    <row r="25" spans="1:8" ht="15.75" customHeight="1" x14ac:dyDescent="0.35">
      <c r="A25" s="88" t="s">
        <v>22</v>
      </c>
      <c r="B25" s="88"/>
      <c r="C25" s="88"/>
      <c r="D25" s="88"/>
      <c r="E25" s="115" t="str">
        <f>IF(AND(G17="Mumbai"),"Developed","Developing")</f>
        <v>Developing</v>
      </c>
      <c r="F25" s="115"/>
      <c r="G25" s="115"/>
      <c r="H25" s="115"/>
    </row>
    <row r="26" spans="1:8" x14ac:dyDescent="0.35">
      <c r="A26" s="88" t="s">
        <v>23</v>
      </c>
      <c r="B26" s="88"/>
      <c r="C26" s="88"/>
      <c r="D26" s="88"/>
      <c r="E26" s="115" t="s">
        <v>24</v>
      </c>
      <c r="F26" s="115"/>
      <c r="G26" s="115"/>
      <c r="H26" s="115"/>
    </row>
    <row r="27" spans="1:8" ht="15.75" customHeight="1" x14ac:dyDescent="0.35">
      <c r="A27" s="88" t="s">
        <v>83</v>
      </c>
      <c r="B27" s="88"/>
      <c r="C27" s="88"/>
      <c r="D27" s="88"/>
      <c r="E27" s="115" t="s">
        <v>84</v>
      </c>
      <c r="F27" s="115"/>
      <c r="G27" s="115"/>
      <c r="H27" s="115"/>
    </row>
    <row r="28" spans="1:8" ht="15" customHeight="1" x14ac:dyDescent="0.35">
      <c r="A28" s="88" t="s">
        <v>33</v>
      </c>
      <c r="B28" s="88"/>
      <c r="C28" s="88"/>
      <c r="D28" s="88"/>
      <c r="E28" s="115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115"/>
      <c r="G28" s="115"/>
      <c r="H28" s="115"/>
    </row>
    <row r="29" spans="1:8" ht="15.75" customHeight="1" x14ac:dyDescent="0.35">
      <c r="A29" s="88" t="s">
        <v>95</v>
      </c>
      <c r="B29" s="88"/>
      <c r="C29" s="88"/>
      <c r="D29" s="88"/>
      <c r="E29" s="115" t="s">
        <v>34</v>
      </c>
      <c r="F29" s="115"/>
      <c r="G29" s="115"/>
      <c r="H29" s="115"/>
    </row>
    <row r="30" spans="1:8" s="21" customFormat="1" x14ac:dyDescent="0.35">
      <c r="A30" s="154" t="s">
        <v>96</v>
      </c>
      <c r="B30" s="154"/>
      <c r="C30" s="153" t="s">
        <v>29</v>
      </c>
      <c r="D30" s="153"/>
      <c r="E30" s="153"/>
      <c r="F30" s="153" t="s">
        <v>31</v>
      </c>
      <c r="G30" s="153"/>
      <c r="H30" s="153"/>
    </row>
    <row r="31" spans="1:8" s="21" customFormat="1" x14ac:dyDescent="0.35">
      <c r="A31" s="150" t="s">
        <v>25</v>
      </c>
      <c r="B31" s="150" t="s">
        <v>30</v>
      </c>
      <c r="C31" s="151" t="s">
        <v>30</v>
      </c>
      <c r="D31" s="151"/>
      <c r="E31" s="151"/>
      <c r="F31" s="151" t="s">
        <v>194</v>
      </c>
      <c r="G31" s="151"/>
      <c r="H31" s="151"/>
    </row>
    <row r="32" spans="1:8" x14ac:dyDescent="0.35">
      <c r="A32" s="150" t="s">
        <v>26</v>
      </c>
      <c r="B32" s="150" t="s">
        <v>30</v>
      </c>
      <c r="C32" s="151" t="s">
        <v>30</v>
      </c>
      <c r="D32" s="151"/>
      <c r="E32" s="151"/>
      <c r="F32" s="151" t="s">
        <v>195</v>
      </c>
      <c r="G32" s="151"/>
      <c r="H32" s="151"/>
    </row>
    <row r="33" spans="1:8" s="21" customFormat="1" x14ac:dyDescent="0.35">
      <c r="A33" s="150" t="s">
        <v>28</v>
      </c>
      <c r="B33" s="150" t="s">
        <v>30</v>
      </c>
      <c r="C33" s="151" t="s">
        <v>30</v>
      </c>
      <c r="D33" s="151"/>
      <c r="E33" s="151"/>
      <c r="F33" s="151" t="s">
        <v>195</v>
      </c>
      <c r="G33" s="151"/>
      <c r="H33" s="151"/>
    </row>
    <row r="34" spans="1:8" x14ac:dyDescent="0.35">
      <c r="A34" s="150" t="s">
        <v>27</v>
      </c>
      <c r="B34" s="150" t="s">
        <v>30</v>
      </c>
      <c r="C34" s="151" t="s">
        <v>30</v>
      </c>
      <c r="D34" s="151"/>
      <c r="E34" s="151"/>
      <c r="F34" s="151" t="s">
        <v>194</v>
      </c>
      <c r="G34" s="151"/>
      <c r="H34" s="151"/>
    </row>
    <row r="35" spans="1:8" x14ac:dyDescent="0.35">
      <c r="A35" s="88" t="s">
        <v>32</v>
      </c>
      <c r="B35" s="88"/>
      <c r="C35" s="88"/>
      <c r="D35" s="88"/>
      <c r="E35" s="88"/>
      <c r="F35" s="88"/>
      <c r="G35" s="88"/>
      <c r="H35" s="88"/>
    </row>
    <row r="36" spans="1:8" ht="15.75" customHeight="1" x14ac:dyDescent="0.35">
      <c r="A36" s="85" t="s">
        <v>212</v>
      </c>
      <c r="B36" s="85"/>
      <c r="C36" s="155" t="s">
        <v>215</v>
      </c>
      <c r="D36" s="155"/>
      <c r="E36" s="155"/>
      <c r="F36" s="155"/>
      <c r="G36" s="155"/>
      <c r="H36" s="155"/>
    </row>
    <row r="37" spans="1:8" ht="15.75" customHeight="1" x14ac:dyDescent="0.35">
      <c r="A37" s="85" t="s">
        <v>213</v>
      </c>
      <c r="B37" s="85"/>
      <c r="C37" s="156" t="s">
        <v>214</v>
      </c>
      <c r="D37" s="155"/>
      <c r="E37" s="155"/>
      <c r="F37" s="155"/>
      <c r="G37" s="155"/>
      <c r="H37" s="155"/>
    </row>
    <row r="38" spans="1:8" x14ac:dyDescent="0.35">
      <c r="A38" s="125" t="s">
        <v>35</v>
      </c>
      <c r="B38" s="125"/>
      <c r="C38" s="125"/>
      <c r="D38" s="125"/>
      <c r="E38" s="125"/>
      <c r="F38" s="125"/>
      <c r="G38" s="125"/>
      <c r="H38" s="125"/>
    </row>
    <row r="39" spans="1:8" x14ac:dyDescent="0.35">
      <c r="A39" s="88" t="s">
        <v>36</v>
      </c>
      <c r="B39" s="88"/>
      <c r="C39" s="88"/>
      <c r="D39" s="88"/>
      <c r="E39" s="152">
        <v>8185.06</v>
      </c>
      <c r="F39" s="152"/>
      <c r="G39" s="152"/>
      <c r="H39" s="152"/>
    </row>
    <row r="40" spans="1:8" x14ac:dyDescent="0.35">
      <c r="A40" s="88" t="s">
        <v>37</v>
      </c>
      <c r="B40" s="88"/>
      <c r="C40" s="88"/>
      <c r="D40" s="88"/>
      <c r="E40" s="87">
        <v>1.1000000000000001</v>
      </c>
      <c r="F40" s="87"/>
      <c r="G40" s="87"/>
      <c r="H40" s="87"/>
    </row>
    <row r="41" spans="1:8" x14ac:dyDescent="0.35">
      <c r="A41" s="88" t="s">
        <v>38</v>
      </c>
      <c r="B41" s="88"/>
      <c r="C41" s="88"/>
      <c r="D41" s="88"/>
      <c r="E41" s="87">
        <f>E43/E39-E40</f>
        <v>-2.6853804370419176E-4</v>
      </c>
      <c r="F41" s="87"/>
      <c r="G41" s="87"/>
      <c r="H41" s="87"/>
    </row>
    <row r="42" spans="1:8" x14ac:dyDescent="0.35">
      <c r="A42" s="88" t="s">
        <v>39</v>
      </c>
      <c r="B42" s="88"/>
      <c r="C42" s="88"/>
      <c r="D42" s="88"/>
      <c r="E42" s="87">
        <f>E40+E41</f>
        <v>1.0997314619562959</v>
      </c>
      <c r="F42" s="87"/>
      <c r="G42" s="87"/>
      <c r="H42" s="87"/>
    </row>
    <row r="43" spans="1:8" x14ac:dyDescent="0.35">
      <c r="A43" s="88" t="s">
        <v>94</v>
      </c>
      <c r="B43" s="88"/>
      <c r="C43" s="88"/>
      <c r="D43" s="88"/>
      <c r="E43" s="137">
        <v>9001.3680000000004</v>
      </c>
      <c r="F43" s="137"/>
      <c r="G43" s="137"/>
      <c r="H43" s="137"/>
    </row>
    <row r="44" spans="1:8" x14ac:dyDescent="0.35">
      <c r="A44" s="116" t="s">
        <v>40</v>
      </c>
      <c r="B44" s="116"/>
      <c r="C44" s="116"/>
      <c r="D44" s="116"/>
      <c r="E44" s="116" t="s">
        <v>196</v>
      </c>
      <c r="F44" s="116"/>
      <c r="G44" s="116"/>
      <c r="H44" s="116"/>
    </row>
    <row r="45" spans="1:8" x14ac:dyDescent="0.35">
      <c r="A45" s="129" t="s">
        <v>41</v>
      </c>
      <c r="B45" s="129"/>
      <c r="C45" s="129"/>
      <c r="D45" s="129"/>
      <c r="E45" s="129"/>
      <c r="F45" s="129"/>
      <c r="G45" s="129"/>
      <c r="H45" s="129"/>
    </row>
    <row r="46" spans="1:8" ht="33.75" customHeight="1" x14ac:dyDescent="0.35">
      <c r="A46" s="100" t="s">
        <v>153</v>
      </c>
      <c r="B46" s="101"/>
      <c r="C46" s="164" t="s">
        <v>197</v>
      </c>
      <c r="D46" s="165"/>
      <c r="E46" s="165"/>
      <c r="F46" s="165"/>
      <c r="G46" s="165"/>
      <c r="H46" s="166"/>
    </row>
    <row r="47" spans="1:8" ht="15.75" customHeight="1" x14ac:dyDescent="0.35">
      <c r="A47" s="100" t="s">
        <v>42</v>
      </c>
      <c r="B47" s="101"/>
      <c r="C47" s="100" t="s">
        <v>205</v>
      </c>
      <c r="D47" s="102"/>
      <c r="E47" s="101"/>
      <c r="F47" s="54" t="s">
        <v>43</v>
      </c>
      <c r="G47" s="103">
        <v>44530</v>
      </c>
      <c r="H47" s="101"/>
    </row>
    <row r="48" spans="1:8" x14ac:dyDescent="0.35">
      <c r="A48" s="100" t="s">
        <v>44</v>
      </c>
      <c r="B48" s="101"/>
      <c r="C48" s="100" t="str">
        <f>C47</f>
        <v>PMP/NRV/16184/JK-2441/2021</v>
      </c>
      <c r="D48" s="102"/>
      <c r="E48" s="101"/>
      <c r="F48" s="54" t="s">
        <v>43</v>
      </c>
      <c r="G48" s="103">
        <f>G47</f>
        <v>44530</v>
      </c>
      <c r="H48" s="142"/>
    </row>
    <row r="49" spans="1:14" s="22" customFormat="1" ht="33" customHeight="1" x14ac:dyDescent="0.35">
      <c r="A49" s="143" t="s">
        <v>157</v>
      </c>
      <c r="B49" s="144"/>
      <c r="C49" s="75" t="s">
        <v>203</v>
      </c>
      <c r="D49" s="76"/>
      <c r="E49" s="77"/>
      <c r="F49" s="19" t="s">
        <v>43</v>
      </c>
      <c r="G49" s="104">
        <f>G48</f>
        <v>44530</v>
      </c>
      <c r="H49" s="105"/>
    </row>
    <row r="50" spans="1:14" s="22" customFormat="1" ht="33.75" customHeight="1" x14ac:dyDescent="0.35">
      <c r="A50" s="145"/>
      <c r="B50" s="146"/>
      <c r="C50" s="75" t="s">
        <v>198</v>
      </c>
      <c r="D50" s="76"/>
      <c r="E50" s="76"/>
      <c r="F50" s="76"/>
      <c r="G50" s="76"/>
      <c r="H50" s="77"/>
    </row>
    <row r="51" spans="1:14" x14ac:dyDescent="0.35">
      <c r="A51" s="110" t="s">
        <v>45</v>
      </c>
      <c r="B51" s="111"/>
      <c r="C51" s="110" t="s">
        <v>108</v>
      </c>
      <c r="D51" s="112"/>
      <c r="E51" s="111"/>
      <c r="F51" s="43" t="s">
        <v>43</v>
      </c>
      <c r="G51" s="117" t="s">
        <v>30</v>
      </c>
      <c r="H51" s="118"/>
    </row>
    <row r="52" spans="1:14" x14ac:dyDescent="0.35">
      <c r="A52" s="113" t="s">
        <v>47</v>
      </c>
      <c r="B52" s="113"/>
      <c r="C52" s="113"/>
      <c r="D52" s="113"/>
      <c r="E52" s="113"/>
      <c r="F52" s="113"/>
      <c r="G52" s="113"/>
      <c r="H52" s="113"/>
    </row>
    <row r="53" spans="1:14" x14ac:dyDescent="0.35">
      <c r="A53" s="114" t="s">
        <v>93</v>
      </c>
      <c r="B53" s="114"/>
      <c r="C53" s="114"/>
      <c r="D53" s="106">
        <f>E43</f>
        <v>9001.3680000000004</v>
      </c>
      <c r="E53" s="106"/>
      <c r="F53" s="106"/>
      <c r="G53" s="106"/>
      <c r="H53" s="106"/>
    </row>
    <row r="54" spans="1:14" x14ac:dyDescent="0.35">
      <c r="A54" s="115" t="s">
        <v>48</v>
      </c>
      <c r="B54" s="116"/>
      <c r="C54" s="116"/>
      <c r="D54" s="116" t="s">
        <v>181</v>
      </c>
      <c r="E54" s="116"/>
      <c r="F54" s="116"/>
      <c r="G54" s="116"/>
      <c r="H54" s="116"/>
      <c r="I54" s="23"/>
    </row>
    <row r="55" spans="1:14" ht="33" customHeight="1" x14ac:dyDescent="0.35">
      <c r="A55" s="139" t="s">
        <v>49</v>
      </c>
      <c r="B55" s="140"/>
      <c r="C55" s="141"/>
      <c r="D55" s="133" t="s">
        <v>198</v>
      </c>
      <c r="E55" s="138"/>
      <c r="F55" s="138"/>
      <c r="G55" s="138"/>
      <c r="H55" s="138"/>
      <c r="I55" s="24"/>
    </row>
    <row r="56" spans="1:14" ht="15.75" customHeight="1" x14ac:dyDescent="0.35">
      <c r="A56" s="115" t="s">
        <v>91</v>
      </c>
      <c r="B56" s="115"/>
      <c r="C56" s="115"/>
      <c r="D56" s="116" t="s">
        <v>218</v>
      </c>
      <c r="E56" s="116"/>
      <c r="F56" s="116"/>
      <c r="G56" s="116"/>
      <c r="H56" s="116"/>
      <c r="I56" s="24"/>
    </row>
    <row r="57" spans="1:14" ht="15.75" hidden="1" customHeight="1" x14ac:dyDescent="0.35">
      <c r="A57" s="115"/>
      <c r="B57" s="115"/>
      <c r="C57" s="115"/>
      <c r="D57" s="116" t="s">
        <v>200</v>
      </c>
      <c r="E57" s="116"/>
      <c r="F57" s="116"/>
      <c r="G57" s="116"/>
      <c r="H57" s="116"/>
      <c r="I57" s="24"/>
    </row>
    <row r="58" spans="1:14" ht="15.75" customHeight="1" x14ac:dyDescent="0.35">
      <c r="A58" s="115"/>
      <c r="B58" s="115"/>
      <c r="C58" s="115"/>
      <c r="D58" s="116" t="s">
        <v>199</v>
      </c>
      <c r="E58" s="116"/>
      <c r="F58" s="116"/>
      <c r="G58" s="116"/>
      <c r="H58" s="116"/>
      <c r="I58" s="24"/>
    </row>
    <row r="59" spans="1:14" ht="15.75" customHeight="1" x14ac:dyDescent="0.35">
      <c r="A59" s="88" t="s">
        <v>46</v>
      </c>
      <c r="B59" s="88"/>
      <c r="C59" s="88"/>
      <c r="D59" s="115" t="s">
        <v>216</v>
      </c>
      <c r="E59" s="115"/>
      <c r="F59" s="115"/>
      <c r="G59" s="115"/>
      <c r="H59" s="115"/>
      <c r="J59" s="25"/>
      <c r="K59" s="23"/>
      <c r="N59" s="23"/>
    </row>
    <row r="60" spans="1:14" ht="15.75" customHeight="1" x14ac:dyDescent="0.35">
      <c r="A60" s="88" t="s">
        <v>89</v>
      </c>
      <c r="B60" s="88"/>
      <c r="C60" s="88"/>
      <c r="D60" s="136" t="str">
        <f>(IF(G51="NA","60 Years After Completion",IF(G51&lt;&gt;"NA",""&amp;60-ROUNDDOWN((E3-G51)/360,0)&amp;" Years"," ")))</f>
        <v>60 Years After Completion</v>
      </c>
      <c r="E60" s="136"/>
      <c r="F60" s="136"/>
      <c r="G60" s="136"/>
      <c r="H60" s="136"/>
      <c r="N60" s="23"/>
    </row>
    <row r="61" spans="1:14" ht="15.75" customHeight="1" x14ac:dyDescent="0.35">
      <c r="A61" s="88" t="s">
        <v>90</v>
      </c>
      <c r="B61" s="88"/>
      <c r="C61" s="88"/>
      <c r="D61" s="115" t="s">
        <v>24</v>
      </c>
      <c r="E61" s="115"/>
      <c r="F61" s="115"/>
      <c r="G61" s="115"/>
      <c r="H61" s="115"/>
      <c r="J61" s="26"/>
      <c r="K61" s="26"/>
    </row>
    <row r="62" spans="1:14" ht="15" customHeight="1" x14ac:dyDescent="0.35">
      <c r="A62" s="88" t="s">
        <v>76</v>
      </c>
      <c r="B62" s="88"/>
      <c r="C62" s="88"/>
      <c r="D62" s="115" t="s">
        <v>217</v>
      </c>
      <c r="E62" s="114"/>
      <c r="F62" s="114"/>
      <c r="G62" s="114"/>
      <c r="H62" s="114"/>
    </row>
    <row r="63" spans="1:14" x14ac:dyDescent="0.35">
      <c r="A63" s="114" t="s">
        <v>151</v>
      </c>
      <c r="B63" s="114"/>
      <c r="C63" s="114"/>
      <c r="D63" s="114" t="s">
        <v>30</v>
      </c>
      <c r="E63" s="114"/>
      <c r="F63" s="114"/>
      <c r="G63" s="114"/>
      <c r="H63" s="114"/>
      <c r="I63" s="27"/>
      <c r="J63" s="27"/>
      <c r="K63" s="27"/>
      <c r="L63" s="27"/>
      <c r="M63" s="27"/>
      <c r="N63" s="27"/>
    </row>
    <row r="64" spans="1:14" ht="15.75" customHeight="1" x14ac:dyDescent="0.35">
      <c r="A64" s="134" t="s">
        <v>88</v>
      </c>
      <c r="B64" s="134"/>
      <c r="C64" s="134"/>
      <c r="D64" s="133" t="str">
        <f ca="1">(IF(G70&gt;95%,"Nothing",IF(G70&gt;0%,"Cement, Aggregate, Steel, etc",IF(G70=0%,"Work not yet Started"))))</f>
        <v>Cement, Aggregate, Steel, etc</v>
      </c>
      <c r="E64" s="133"/>
      <c r="F64" s="133"/>
      <c r="G64" s="133"/>
      <c r="H64" s="133"/>
      <c r="J64" s="26"/>
    </row>
    <row r="65" spans="1:10" ht="33.75" customHeight="1" thickBot="1" x14ac:dyDescent="0.4">
      <c r="A65" s="132" t="s">
        <v>121</v>
      </c>
      <c r="B65" s="132"/>
      <c r="C65" s="132"/>
      <c r="D65" s="133" t="str">
        <f ca="1">(IF(D64="Nothing","Yes",IF(D64="Cement, Aggregate, Steel, etc","Under Construction",IF(D64="Work not yet Started","Work not yet Started"))))</f>
        <v>Under Construction</v>
      </c>
      <c r="E65" s="133"/>
      <c r="F65" s="133" t="str">
        <f ca="1">(IF(D64="Nothing","Yes",IF(D64="Cement, Aggregate, Steel, etc","Under Construction",IF(D64="Work not yet Started","Work not yet Started"))))</f>
        <v>Under Construction</v>
      </c>
      <c r="G65" s="133"/>
      <c r="H65" s="133"/>
    </row>
    <row r="66" spans="1:10" ht="15.75" customHeight="1" x14ac:dyDescent="0.35">
      <c r="A66" s="93" t="s">
        <v>143</v>
      </c>
      <c r="B66" s="94"/>
      <c r="C66" s="95" t="str">
        <f>D56</f>
        <v>Building No. 1 (A &amp; B Wing) = G/St + 1st to 11th Floor.</v>
      </c>
      <c r="D66" s="96"/>
      <c r="E66" s="96"/>
      <c r="F66" s="96"/>
      <c r="G66" s="96"/>
      <c r="H66" s="97"/>
      <c r="I66" s="46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5 Floor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5 Floor</v>
      </c>
    </row>
    <row r="67" spans="1:10" x14ac:dyDescent="0.35">
      <c r="A67" s="17" t="s">
        <v>145</v>
      </c>
      <c r="B67" s="55">
        <v>0</v>
      </c>
      <c r="C67" s="55" t="s">
        <v>73</v>
      </c>
      <c r="D67" s="55">
        <v>1</v>
      </c>
      <c r="E67" s="55" t="s">
        <v>72</v>
      </c>
      <c r="F67" s="55">
        <v>0</v>
      </c>
      <c r="G67" s="55" t="s">
        <v>82</v>
      </c>
      <c r="H67" s="18">
        <f ca="1">--TRIM(RIGHT(SUBSTITUTE(LEFT(C66,_xlfn.AGGREGATE(16,6,FIND({0,1,2,3,4,5,6,7,8,9},C66,ROW(INDIRECT("1:"&amp;LEN(C66)))),1))," ",REPT(" ",LEN(C66))),LEN(C66)))</f>
        <v>11</v>
      </c>
      <c r="I67" s="4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4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.5" customHeight="1" x14ac:dyDescent="0.35">
      <c r="A68" s="128" t="s">
        <v>92</v>
      </c>
      <c r="B68" s="129"/>
      <c r="C68" s="130" t="str">
        <f ca="1">(IF($G$51="NA",I66,"All work Completed. OC Received."))</f>
        <v>Excavation, Plinth, RCC Slab, Brickwork, Internal Plaster, External Plaster, Flooring, Painting Completed, Finishing upto 5 Floor Completed</v>
      </c>
      <c r="D68" s="130"/>
      <c r="E68" s="130"/>
      <c r="F68" s="130"/>
      <c r="G68" s="130"/>
      <c r="H68" s="131"/>
      <c r="I68" s="48" t="str">
        <f ca="1">IF(I67&lt;&gt;""," Completed","")</f>
        <v xml:space="preserve"> Completed</v>
      </c>
      <c r="J68" s="49" t="str">
        <f ca="1">IF(J66&lt;&gt;"","Completed","")</f>
        <v>Completed</v>
      </c>
    </row>
    <row r="69" spans="1:10" ht="15.75" customHeight="1" x14ac:dyDescent="0.35">
      <c r="A69" s="91" t="s">
        <v>50</v>
      </c>
      <c r="B69" s="92"/>
      <c r="C69" s="56" t="s">
        <v>142</v>
      </c>
      <c r="D69" s="56" t="s">
        <v>85</v>
      </c>
      <c r="E69" s="92" t="s">
        <v>87</v>
      </c>
      <c r="F69" s="92"/>
      <c r="G69" s="92" t="s">
        <v>86</v>
      </c>
      <c r="H69" s="135"/>
      <c r="I69" s="15" t="s">
        <v>144</v>
      </c>
      <c r="J69" s="28">
        <f ca="1">H67*25%</f>
        <v>2.75</v>
      </c>
    </row>
    <row r="70" spans="1:10" x14ac:dyDescent="0.35">
      <c r="A70" s="92" t="s">
        <v>131</v>
      </c>
      <c r="B70" s="92"/>
      <c r="C70" s="66">
        <f ca="1">J71</f>
        <v>11</v>
      </c>
      <c r="D70" s="57">
        <f ca="1">((100/H67)*C70)/100</f>
        <v>1.0000000000000002</v>
      </c>
      <c r="E70" s="177">
        <f ca="1">(((C71/H67*10)+(40/(D67+F67+H67)*C72)+(7.5/(H67)*C73)+(7.5/(H67)*C74)+(10/H67*C75)+(10/H67*C76)+(5/H67*C77)+(5/H67*C78)+(5/H67*C79))/100)</f>
        <v>0.92272727272727262</v>
      </c>
      <c r="F70" s="177"/>
      <c r="G70" s="177">
        <f ca="1">((((C70/H67)*20)+((C71/H67)*25)+(30/(H67+F67+D67)*C72)+(5/H67*C73)+(5/H67*C74)+(5/H67*C75)+(5/H67*C76)+(0/H67*C77)+(0/H67*C78)+(5/H67*C79))/100)</f>
        <v>0.95</v>
      </c>
      <c r="H70" s="177"/>
      <c r="I70" s="15" t="s">
        <v>103</v>
      </c>
      <c r="J70" s="29">
        <f ca="1">H67*50%</f>
        <v>5.5</v>
      </c>
    </row>
    <row r="71" spans="1:10" x14ac:dyDescent="0.35">
      <c r="A71" s="92" t="s">
        <v>51</v>
      </c>
      <c r="B71" s="92"/>
      <c r="C71" s="58">
        <v>11</v>
      </c>
      <c r="D71" s="57">
        <f ca="1">((100/H67)*C71)/100</f>
        <v>1.0000000000000002</v>
      </c>
      <c r="E71" s="177"/>
      <c r="F71" s="177"/>
      <c r="G71" s="177"/>
      <c r="H71" s="177"/>
      <c r="I71" s="15" t="s">
        <v>104</v>
      </c>
      <c r="J71" s="29">
        <f ca="1">H67</f>
        <v>11</v>
      </c>
    </row>
    <row r="72" spans="1:10" ht="15.75" customHeight="1" x14ac:dyDescent="0.35">
      <c r="A72" s="92" t="s">
        <v>132</v>
      </c>
      <c r="B72" s="92"/>
      <c r="C72" s="66">
        <v>12</v>
      </c>
      <c r="D72" s="57">
        <f ca="1">((100/(D67+F67+H67))*C72)/100</f>
        <v>1</v>
      </c>
      <c r="E72" s="177"/>
      <c r="F72" s="177"/>
      <c r="G72" s="177"/>
      <c r="H72" s="177"/>
      <c r="I72" s="15" t="s">
        <v>105</v>
      </c>
      <c r="J72" s="30">
        <f ca="1">(IF(B67&gt;1,(H67/(B67+2)),H67/4))</f>
        <v>2.75</v>
      </c>
    </row>
    <row r="73" spans="1:10" ht="15.75" customHeight="1" x14ac:dyDescent="0.35">
      <c r="A73" s="92" t="s">
        <v>139</v>
      </c>
      <c r="B73" s="92" t="s">
        <v>133</v>
      </c>
      <c r="C73" s="66">
        <v>11</v>
      </c>
      <c r="D73" s="57">
        <f ca="1">((100/H67)*C73)/100</f>
        <v>1.0000000000000002</v>
      </c>
      <c r="E73" s="177"/>
      <c r="F73" s="177"/>
      <c r="G73" s="177"/>
      <c r="H73" s="177"/>
      <c r="I73" s="15" t="s">
        <v>106</v>
      </c>
      <c r="J73" s="30">
        <f ca="1">(IF(B67&gt;1,(H67/(B67+2)+J72),H67/4+J72))</f>
        <v>5.5</v>
      </c>
    </row>
    <row r="74" spans="1:10" ht="15.75" customHeight="1" x14ac:dyDescent="0.35">
      <c r="A74" s="92" t="s">
        <v>140</v>
      </c>
      <c r="B74" s="92" t="s">
        <v>133</v>
      </c>
      <c r="C74" s="66">
        <v>11</v>
      </c>
      <c r="D74" s="57">
        <f ca="1">((100/H67)*C74)/100</f>
        <v>1.0000000000000002</v>
      </c>
      <c r="E74" s="177"/>
      <c r="F74" s="177"/>
      <c r="G74" s="177"/>
      <c r="H74" s="177"/>
      <c r="I74" s="15" t="s">
        <v>149</v>
      </c>
      <c r="J74" s="30">
        <f>(IF(B67&gt;1,(H67/(B67+2)+J73),0))</f>
        <v>0</v>
      </c>
    </row>
    <row r="75" spans="1:10" ht="15" customHeight="1" x14ac:dyDescent="0.35">
      <c r="A75" s="92" t="s">
        <v>138</v>
      </c>
      <c r="B75" s="92" t="s">
        <v>135</v>
      </c>
      <c r="C75" s="66">
        <v>11</v>
      </c>
      <c r="D75" s="57">
        <f ca="1">((100/(H67))*C75)/100</f>
        <v>1.0000000000000002</v>
      </c>
      <c r="E75" s="177"/>
      <c r="F75" s="177"/>
      <c r="G75" s="177"/>
      <c r="H75" s="177"/>
      <c r="I75" s="15" t="s">
        <v>146</v>
      </c>
      <c r="J75" s="30">
        <f>(IF(B67&gt;2,(H67/(B67+2)+J74),0))</f>
        <v>0</v>
      </c>
    </row>
    <row r="76" spans="1:10" ht="15.75" customHeight="1" x14ac:dyDescent="0.35">
      <c r="A76" s="92" t="s">
        <v>134</v>
      </c>
      <c r="B76" s="92" t="s">
        <v>134</v>
      </c>
      <c r="C76" s="66">
        <v>11</v>
      </c>
      <c r="D76" s="57">
        <f ca="1">((100/H67)*C76)/100</f>
        <v>1.0000000000000002</v>
      </c>
      <c r="E76" s="177"/>
      <c r="F76" s="177"/>
      <c r="G76" s="177"/>
      <c r="H76" s="177"/>
      <c r="I76" s="15" t="s">
        <v>147</v>
      </c>
      <c r="J76" s="31">
        <f>(IF(B67&gt;3,(H67/(B67+2)+J75),0))</f>
        <v>0</v>
      </c>
    </row>
    <row r="77" spans="1:10" ht="15.75" customHeight="1" x14ac:dyDescent="0.35">
      <c r="A77" s="92" t="s">
        <v>141</v>
      </c>
      <c r="B77" s="92"/>
      <c r="C77" s="66">
        <v>11</v>
      </c>
      <c r="D77" s="57">
        <f ca="1">((100/H67)*C77)/100</f>
        <v>1.0000000000000002</v>
      </c>
      <c r="E77" s="177"/>
      <c r="F77" s="177"/>
      <c r="G77" s="177"/>
      <c r="H77" s="177"/>
      <c r="I77" s="15" t="s">
        <v>148</v>
      </c>
      <c r="J77" s="30">
        <f>(IF(B67&gt;4,(H67/(B67+2)+J76),0))</f>
        <v>0</v>
      </c>
    </row>
    <row r="78" spans="1:10" ht="15.75" customHeight="1" x14ac:dyDescent="0.35">
      <c r="A78" s="92" t="s">
        <v>136</v>
      </c>
      <c r="B78" s="92" t="s">
        <v>136</v>
      </c>
      <c r="C78" s="66">
        <v>5</v>
      </c>
      <c r="D78" s="57">
        <f ca="1">((100/(H67))*C78)/100</f>
        <v>0.45454545454545459</v>
      </c>
      <c r="E78" s="177"/>
      <c r="F78" s="177"/>
      <c r="G78" s="177"/>
      <c r="H78" s="177"/>
      <c r="I78" s="15" t="s">
        <v>150</v>
      </c>
      <c r="J78" s="30">
        <f ca="1">(IF(B67=1,(H67/(B67+3)+J73),IF(B67=0,(H67/4+J73),IF(B67&gt;1,0))))</f>
        <v>8.25</v>
      </c>
    </row>
    <row r="79" spans="1:10" ht="16" thickBot="1" x14ac:dyDescent="0.4">
      <c r="A79" s="92" t="s">
        <v>137</v>
      </c>
      <c r="B79" s="92"/>
      <c r="C79" s="66">
        <v>0</v>
      </c>
      <c r="D79" s="57">
        <f ca="1">((100/(H67))*C79)/100</f>
        <v>0</v>
      </c>
      <c r="E79" s="177"/>
      <c r="F79" s="177"/>
      <c r="G79" s="177"/>
      <c r="H79" s="177"/>
      <c r="I79" s="16" t="s">
        <v>107</v>
      </c>
      <c r="J79" s="32">
        <f ca="1">(IF(B67&gt;1.5,(H67/(B67+2)+J73+MAX(0,J74-J73)+MAX(0,J75-J74)+MAX(0,J76-J75)+MAX(0,J77-J76)+MAX(0,J78-J77)),IF(B67=1,(H67/(B67+3)+J78),IF(B67=0,H67/4+J78))))</f>
        <v>11</v>
      </c>
    </row>
    <row r="80" spans="1:10" ht="15.75" hidden="1" customHeight="1" x14ac:dyDescent="0.4">
      <c r="A80" s="130" t="s">
        <v>143</v>
      </c>
      <c r="B80" s="130"/>
      <c r="C80" s="130" t="str">
        <f>D57</f>
        <v>Building No. 1 (B Wing) = G/St + 1st to 11th Floor.</v>
      </c>
      <c r="D80" s="130"/>
      <c r="E80" s="130"/>
      <c r="F80" s="130"/>
      <c r="G80" s="130"/>
      <c r="H80" s="130"/>
      <c r="I80" s="175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8 Floor, Flooring upto 4 Floor, Painting upto 1 Floor Completed</v>
      </c>
      <c r="J80" s="47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8 Floor, Flooring upto 4 Floor, Painting upto 1 Floor</v>
      </c>
    </row>
    <row r="81" spans="1:10" ht="16" hidden="1" thickBot="1" x14ac:dyDescent="0.4">
      <c r="A81" s="68" t="s">
        <v>145</v>
      </c>
      <c r="B81" s="68">
        <v>0</v>
      </c>
      <c r="C81" s="68" t="s">
        <v>73</v>
      </c>
      <c r="D81" s="68">
        <v>1</v>
      </c>
      <c r="E81" s="68" t="s">
        <v>72</v>
      </c>
      <c r="F81" s="68">
        <v>0</v>
      </c>
      <c r="G81" s="68" t="s">
        <v>82</v>
      </c>
      <c r="H81" s="68">
        <f ca="1">--TRIM(RIGHT(SUBSTITUTE(LEFT(C80,_xlfn.AGGREGATE(16,6,FIND({0,1,2,3,4,5,6,7,8,9},C80,ROW(INDIRECT("1:"&amp;LEN(C80)))),1))," ",REPT(" ",LEN(C80))),LEN(C80)))</f>
        <v>11</v>
      </c>
      <c r="I81" s="176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49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5.25" hidden="1" customHeight="1" x14ac:dyDescent="0.4">
      <c r="A82" s="129" t="s">
        <v>92</v>
      </c>
      <c r="B82" s="129"/>
      <c r="C82" s="130" t="str">
        <f ca="1">(IF($G$51="NA",I80,"All work Completed. OC Received."))</f>
        <v>Excavation, Plinth, RCC Slab, Brickwork, Internal Plaster Completed, External Plaster upto 8 Floor, Flooring upto 4 Floor, Painting upto 1 Floor Completed</v>
      </c>
      <c r="D82" s="130"/>
      <c r="E82" s="130"/>
      <c r="F82" s="130"/>
      <c r="G82" s="130"/>
      <c r="H82" s="130"/>
      <c r="I82" s="176" t="str">
        <f ca="1">IF(I81&lt;&gt;""," Completed","")</f>
        <v xml:space="preserve"> Completed</v>
      </c>
      <c r="J82" s="49" t="str">
        <f ca="1">IF(J80&lt;&gt;"","Completed","")</f>
        <v>Completed</v>
      </c>
    </row>
    <row r="83" spans="1:10" ht="15.75" hidden="1" customHeight="1" x14ac:dyDescent="0.4">
      <c r="A83" s="92" t="s">
        <v>50</v>
      </c>
      <c r="B83" s="92"/>
      <c r="C83" s="66" t="s">
        <v>142</v>
      </c>
      <c r="D83" s="66" t="s">
        <v>85</v>
      </c>
      <c r="E83" s="92" t="s">
        <v>87</v>
      </c>
      <c r="F83" s="92"/>
      <c r="G83" s="92" t="s">
        <v>86</v>
      </c>
      <c r="H83" s="92"/>
      <c r="I83" s="15" t="s">
        <v>144</v>
      </c>
      <c r="J83" s="28">
        <f ca="1">H81*25%</f>
        <v>2.75</v>
      </c>
    </row>
    <row r="84" spans="1:10" ht="16" hidden="1" thickBot="1" x14ac:dyDescent="0.4">
      <c r="A84" s="92" t="s">
        <v>131</v>
      </c>
      <c r="B84" s="92"/>
      <c r="C84" s="66">
        <f ca="1">J85</f>
        <v>11</v>
      </c>
      <c r="D84" s="57">
        <f ca="1">((100/H81)*C84)/100</f>
        <v>1.0000000000000002</v>
      </c>
      <c r="E84" s="177">
        <f ca="1">(((C85/H81*10)+(40/(D81+F81+H81)*C86)+(7.5/(H81)*C87)+(7.5/(H81)*C88)+(10/H81*C89)+(10/H81*C90)+(5/H81*C91)+(5/H81*C92)+(5/H81*C93))/100)</f>
        <v>0.76363636363636356</v>
      </c>
      <c r="F84" s="177"/>
      <c r="G84" s="177">
        <f ca="1">((((C84/H81)*20)+((C85/H81)*25)+(30/(H81+F81+D81)*C86)+(5/H81*C87)+(5/H81*C88)+(5/H81*C89)+(5/H81*C90)+(0/H81*C91)+(0/H81*C92)+(5/H81*C93))/100)</f>
        <v>0.90454545454545454</v>
      </c>
      <c r="H84" s="177"/>
      <c r="I84" s="15" t="s">
        <v>103</v>
      </c>
      <c r="J84" s="29">
        <f ca="1">H81*50%</f>
        <v>5.5</v>
      </c>
    </row>
    <row r="85" spans="1:10" ht="16" hidden="1" thickBot="1" x14ac:dyDescent="0.4">
      <c r="A85" s="92" t="s">
        <v>51</v>
      </c>
      <c r="B85" s="92"/>
      <c r="C85" s="66">
        <v>11</v>
      </c>
      <c r="D85" s="57">
        <f ca="1">((100/H81)*C85)/100</f>
        <v>1.0000000000000002</v>
      </c>
      <c r="E85" s="177"/>
      <c r="F85" s="177"/>
      <c r="G85" s="177"/>
      <c r="H85" s="177"/>
      <c r="I85" s="15" t="s">
        <v>104</v>
      </c>
      <c r="J85" s="29">
        <f ca="1">H81</f>
        <v>11</v>
      </c>
    </row>
    <row r="86" spans="1:10" ht="15.75" hidden="1" customHeight="1" x14ac:dyDescent="0.4">
      <c r="A86" s="92" t="s">
        <v>132</v>
      </c>
      <c r="B86" s="92"/>
      <c r="C86" s="66">
        <v>12</v>
      </c>
      <c r="D86" s="57">
        <f ca="1">((100/(D81+F81+H81))*C86)/100</f>
        <v>1</v>
      </c>
      <c r="E86" s="177"/>
      <c r="F86" s="177"/>
      <c r="G86" s="177"/>
      <c r="H86" s="177"/>
      <c r="I86" s="15" t="s">
        <v>105</v>
      </c>
      <c r="J86" s="30">
        <f ca="1">(IF(B81&gt;1,(H81/(B81+2)),H81/4))</f>
        <v>2.75</v>
      </c>
    </row>
    <row r="87" spans="1:10" ht="15.75" hidden="1" customHeight="1" x14ac:dyDescent="0.4">
      <c r="A87" s="92" t="s">
        <v>139</v>
      </c>
      <c r="B87" s="92" t="s">
        <v>133</v>
      </c>
      <c r="C87" s="66">
        <v>11</v>
      </c>
      <c r="D87" s="57">
        <f ca="1">((100/H81)*C87)/100</f>
        <v>1.0000000000000002</v>
      </c>
      <c r="E87" s="177"/>
      <c r="F87" s="177"/>
      <c r="G87" s="177"/>
      <c r="H87" s="177"/>
      <c r="I87" s="15" t="s">
        <v>106</v>
      </c>
      <c r="J87" s="30">
        <f ca="1">(IF(B81&gt;1,(H81/(B81+2)+J86),H81/4+J86))</f>
        <v>5.5</v>
      </c>
    </row>
    <row r="88" spans="1:10" ht="15.75" hidden="1" customHeight="1" x14ac:dyDescent="0.4">
      <c r="A88" s="92" t="s">
        <v>140</v>
      </c>
      <c r="B88" s="92" t="s">
        <v>133</v>
      </c>
      <c r="C88" s="66">
        <v>11</v>
      </c>
      <c r="D88" s="57">
        <f ca="1">((100/H81)*C88)/100</f>
        <v>1.0000000000000002</v>
      </c>
      <c r="E88" s="177"/>
      <c r="F88" s="177"/>
      <c r="G88" s="177"/>
      <c r="H88" s="177"/>
      <c r="I88" s="15" t="s">
        <v>149</v>
      </c>
      <c r="J88" s="30">
        <f>(IF(B81&gt;1,(H81/(B81+2)+J87),0))</f>
        <v>0</v>
      </c>
    </row>
    <row r="89" spans="1:10" ht="15" hidden="1" customHeight="1" x14ac:dyDescent="0.4">
      <c r="A89" s="92" t="s">
        <v>138</v>
      </c>
      <c r="B89" s="92" t="s">
        <v>135</v>
      </c>
      <c r="C89" s="66">
        <v>8</v>
      </c>
      <c r="D89" s="57">
        <f ca="1">((100/(H81))*C89)/100</f>
        <v>0.72727272727272729</v>
      </c>
      <c r="E89" s="177"/>
      <c r="F89" s="177"/>
      <c r="G89" s="177"/>
      <c r="H89" s="177"/>
      <c r="I89" s="15" t="s">
        <v>146</v>
      </c>
      <c r="J89" s="30">
        <f>(IF(B81&gt;2,(H81/(B81+2)+J88),0))</f>
        <v>0</v>
      </c>
    </row>
    <row r="90" spans="1:10" ht="15.75" hidden="1" customHeight="1" x14ac:dyDescent="0.4">
      <c r="A90" s="92" t="s">
        <v>134</v>
      </c>
      <c r="B90" s="92" t="s">
        <v>134</v>
      </c>
      <c r="C90" s="66">
        <v>4</v>
      </c>
      <c r="D90" s="57">
        <f ca="1">((100/H81)*C90)/100</f>
        <v>0.36363636363636365</v>
      </c>
      <c r="E90" s="177"/>
      <c r="F90" s="177"/>
      <c r="G90" s="177"/>
      <c r="H90" s="177"/>
      <c r="I90" s="15" t="s">
        <v>147</v>
      </c>
      <c r="J90" s="31">
        <f>(IF(B81&gt;3,(H81/(B81+2)+J89),0))</f>
        <v>0</v>
      </c>
    </row>
    <row r="91" spans="1:10" ht="15.75" hidden="1" customHeight="1" x14ac:dyDescent="0.4">
      <c r="A91" s="92" t="s">
        <v>141</v>
      </c>
      <c r="B91" s="92"/>
      <c r="C91" s="66">
        <v>1</v>
      </c>
      <c r="D91" s="57">
        <f ca="1">((100/H81)*C91)/100</f>
        <v>9.0909090909090912E-2</v>
      </c>
      <c r="E91" s="177"/>
      <c r="F91" s="177"/>
      <c r="G91" s="177"/>
      <c r="H91" s="177"/>
      <c r="I91" s="15" t="s">
        <v>148</v>
      </c>
      <c r="J91" s="30">
        <f>(IF(B81&gt;4,(H81/(B81+2)+J90),0))</f>
        <v>0</v>
      </c>
    </row>
    <row r="92" spans="1:10" ht="15.75" hidden="1" customHeight="1" x14ac:dyDescent="0.4">
      <c r="A92" s="92" t="s">
        <v>136</v>
      </c>
      <c r="B92" s="92" t="s">
        <v>136</v>
      </c>
      <c r="C92" s="66">
        <v>0</v>
      </c>
      <c r="D92" s="57">
        <f ca="1">((100/(H81))*C92)/100</f>
        <v>0</v>
      </c>
      <c r="E92" s="177"/>
      <c r="F92" s="177"/>
      <c r="G92" s="177"/>
      <c r="H92" s="177"/>
      <c r="I92" s="15" t="s">
        <v>150</v>
      </c>
      <c r="J92" s="30">
        <f ca="1">(IF(B81=1,(H81/(B81+3)+J87),IF(B81=0,(H81/4+J87),IF(B81&gt;1,0))))</f>
        <v>8.25</v>
      </c>
    </row>
    <row r="93" spans="1:10" ht="16" hidden="1" thickBot="1" x14ac:dyDescent="0.4">
      <c r="A93" s="92" t="s">
        <v>137</v>
      </c>
      <c r="B93" s="92"/>
      <c r="C93" s="66">
        <v>0</v>
      </c>
      <c r="D93" s="57">
        <f ca="1">((100/(H81))*C93)/100</f>
        <v>0</v>
      </c>
      <c r="E93" s="177"/>
      <c r="F93" s="177"/>
      <c r="G93" s="177"/>
      <c r="H93" s="177"/>
      <c r="I93" s="16" t="s">
        <v>107</v>
      </c>
      <c r="J93" s="32">
        <f ca="1">(IF(B81&gt;1.5,(H81/(B81+2)+J87+MAX(0,J88-J87)+MAX(0,J89-J88)+MAX(0,J90-J89)+MAX(0,J91-J90)+MAX(0,J92-J91)),IF(B81=1,(H81/(B81+3)+J92),IF(B81=0,H81/4+J92))))</f>
        <v>11</v>
      </c>
    </row>
    <row r="94" spans="1:10" ht="15.75" customHeight="1" x14ac:dyDescent="0.35">
      <c r="A94" s="130" t="s">
        <v>143</v>
      </c>
      <c r="B94" s="130"/>
      <c r="C94" s="130" t="str">
        <f>D58</f>
        <v>Building No. 2 (C Wing) = G/St + 1st to 11th Floor.</v>
      </c>
      <c r="D94" s="130"/>
      <c r="E94" s="130"/>
      <c r="F94" s="130"/>
      <c r="G94" s="130"/>
      <c r="H94" s="130"/>
      <c r="I94" s="175" t="str">
        <f ca="1">IF(D107=100%,"All work Completed. Possession granted to the Building.",IF(D106=100%,"All work Completed, Waiting for OC",I95&amp;""&amp;I96&amp;""&amp;J95&amp;""&amp;J94&amp;" "&amp;J96))</f>
        <v>Excavation, Plinth, RCC Slab, Brickwork, Internal Plaster Completed, External Plaster upto 9 Floor, Painting upto 1 Floor Completed</v>
      </c>
      <c r="J94" s="47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External Plaster upto 9 Floor, Painting upto 1 Floor</v>
      </c>
    </row>
    <row r="95" spans="1:10" x14ac:dyDescent="0.35">
      <c r="A95" s="68" t="s">
        <v>145</v>
      </c>
      <c r="B95" s="68">
        <v>0</v>
      </c>
      <c r="C95" s="68" t="s">
        <v>73</v>
      </c>
      <c r="D95" s="68">
        <v>1</v>
      </c>
      <c r="E95" s="68" t="s">
        <v>72</v>
      </c>
      <c r="F95" s="68">
        <v>0</v>
      </c>
      <c r="G95" s="68" t="s">
        <v>82</v>
      </c>
      <c r="H95" s="68">
        <f ca="1">--TRIM(RIGHT(SUBSTITUTE(LEFT(C94,_xlfn.AGGREGATE(16,6,FIND({0,1,2,3,4,5,6,7,8,9},C94,ROW(INDIRECT("1:"&amp;LEN(C94)))),1))," ",REPT(" ",LEN(C94))),LEN(C94)))</f>
        <v>11</v>
      </c>
      <c r="I95" s="176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Brickwork, Internal Plaster</v>
      </c>
      <c r="J95" s="49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1.5" customHeight="1" x14ac:dyDescent="0.35">
      <c r="A96" s="129" t="s">
        <v>92</v>
      </c>
      <c r="B96" s="129"/>
      <c r="C96" s="130" t="str">
        <f ca="1">(IF($G$51="NA",I94,"All work Completed. OC Received."))</f>
        <v>Excavation, Plinth, RCC Slab, Brickwork, Internal Plaster Completed, External Plaster upto 9 Floor, Painting upto 1 Floor Completed</v>
      </c>
      <c r="D96" s="130"/>
      <c r="E96" s="130"/>
      <c r="F96" s="130"/>
      <c r="G96" s="130"/>
      <c r="H96" s="130"/>
      <c r="I96" s="176" t="str">
        <f ca="1">IF(I95&lt;&gt;""," Completed","")</f>
        <v xml:space="preserve"> Completed</v>
      </c>
      <c r="J96" s="49" t="str">
        <f ca="1">IF(J94&lt;&gt;"","Completed","")</f>
        <v>Completed</v>
      </c>
    </row>
    <row r="97" spans="1:10" ht="15.75" customHeight="1" x14ac:dyDescent="0.35">
      <c r="A97" s="92" t="s">
        <v>50</v>
      </c>
      <c r="B97" s="92"/>
      <c r="C97" s="66" t="s">
        <v>142</v>
      </c>
      <c r="D97" s="66" t="s">
        <v>85</v>
      </c>
      <c r="E97" s="92" t="s">
        <v>87</v>
      </c>
      <c r="F97" s="92"/>
      <c r="G97" s="92" t="s">
        <v>86</v>
      </c>
      <c r="H97" s="92"/>
      <c r="I97" s="15" t="s">
        <v>144</v>
      </c>
      <c r="J97" s="28">
        <f ca="1">H95*25%</f>
        <v>2.75</v>
      </c>
    </row>
    <row r="98" spans="1:10" x14ac:dyDescent="0.35">
      <c r="A98" s="92" t="s">
        <v>131</v>
      </c>
      <c r="B98" s="92"/>
      <c r="C98" s="66">
        <f ca="1">J99</f>
        <v>11</v>
      </c>
      <c r="D98" s="57">
        <f ca="1">((100/H95)*C98)/100</f>
        <v>1.0000000000000002</v>
      </c>
      <c r="E98" s="177">
        <f ca="1">(((C99/H95*10)+(40/(D95+F95+H95)*C100)+(7.5/(H95)*C101)+(7.5/(H95)*C102)+(10/H95*C103)+(10/H95*C104)+(5/H95*C105)+(5/H95*C106)+(5/H95*C107))/100)</f>
        <v>0.73636363636363644</v>
      </c>
      <c r="F98" s="177"/>
      <c r="G98" s="177">
        <f ca="1">((((C98/H95)*20)+((C99/H95)*25)+(30/(H95+F95+D95)*C100)+(5/H95*C101)+(5/H95*C102)+(5/H95*C103)+(5/H95*C104)+(0/H95*C105)+(0/H95*C106)+(5/H95*C107))/100)</f>
        <v>0.89090909090909098</v>
      </c>
      <c r="H98" s="177"/>
      <c r="I98" s="15" t="s">
        <v>103</v>
      </c>
      <c r="J98" s="29">
        <f ca="1">H95*50%</f>
        <v>5.5</v>
      </c>
    </row>
    <row r="99" spans="1:10" x14ac:dyDescent="0.35">
      <c r="A99" s="92" t="s">
        <v>51</v>
      </c>
      <c r="B99" s="92"/>
      <c r="C99" s="58">
        <f ca="1">J107</f>
        <v>11</v>
      </c>
      <c r="D99" s="57">
        <f ca="1">((100/H95)*C99)/100</f>
        <v>1.0000000000000002</v>
      </c>
      <c r="E99" s="177"/>
      <c r="F99" s="177"/>
      <c r="G99" s="177"/>
      <c r="H99" s="177"/>
      <c r="I99" s="15" t="s">
        <v>104</v>
      </c>
      <c r="J99" s="29">
        <f ca="1">H95</f>
        <v>11</v>
      </c>
    </row>
    <row r="100" spans="1:10" ht="15.75" customHeight="1" x14ac:dyDescent="0.35">
      <c r="A100" s="92" t="s">
        <v>132</v>
      </c>
      <c r="B100" s="92"/>
      <c r="C100" s="66">
        <v>12</v>
      </c>
      <c r="D100" s="57">
        <f ca="1">((100/(D95+F95+H95))*C100)/100</f>
        <v>1</v>
      </c>
      <c r="E100" s="177"/>
      <c r="F100" s="177"/>
      <c r="G100" s="177"/>
      <c r="H100" s="177"/>
      <c r="I100" s="15" t="s">
        <v>105</v>
      </c>
      <c r="J100" s="30">
        <f ca="1">(IF(B95&gt;1,(H95/(B95+2)),H95/4))</f>
        <v>2.75</v>
      </c>
    </row>
    <row r="101" spans="1:10" ht="15.75" customHeight="1" x14ac:dyDescent="0.35">
      <c r="A101" s="92" t="s">
        <v>139</v>
      </c>
      <c r="B101" s="92" t="s">
        <v>133</v>
      </c>
      <c r="C101" s="66">
        <v>11</v>
      </c>
      <c r="D101" s="57">
        <f ca="1">((100/H95)*C101)/100</f>
        <v>1.0000000000000002</v>
      </c>
      <c r="E101" s="177"/>
      <c r="F101" s="177"/>
      <c r="G101" s="177"/>
      <c r="H101" s="177"/>
      <c r="I101" s="15" t="s">
        <v>106</v>
      </c>
      <c r="J101" s="30">
        <f ca="1">(IF(B95&gt;1,(H95/(B95+2)+J100),H95/4+J100))</f>
        <v>5.5</v>
      </c>
    </row>
    <row r="102" spans="1:10" ht="15.75" customHeight="1" x14ac:dyDescent="0.35">
      <c r="A102" s="92" t="s">
        <v>140</v>
      </c>
      <c r="B102" s="92" t="s">
        <v>133</v>
      </c>
      <c r="C102" s="66">
        <v>11</v>
      </c>
      <c r="D102" s="57">
        <f ca="1">((100/H95)*C102)/100</f>
        <v>1.0000000000000002</v>
      </c>
      <c r="E102" s="177"/>
      <c r="F102" s="177"/>
      <c r="G102" s="177"/>
      <c r="H102" s="177"/>
      <c r="I102" s="15" t="s">
        <v>149</v>
      </c>
      <c r="J102" s="30">
        <f>(IF(B95&gt;1,(H95/(B95+2)+J101),0))</f>
        <v>0</v>
      </c>
    </row>
    <row r="103" spans="1:10" ht="15" customHeight="1" x14ac:dyDescent="0.35">
      <c r="A103" s="92" t="s">
        <v>138</v>
      </c>
      <c r="B103" s="92" t="s">
        <v>135</v>
      </c>
      <c r="C103" s="66">
        <v>9</v>
      </c>
      <c r="D103" s="57">
        <f ca="1">((100/(H95))*C103)/100</f>
        <v>0.81818181818181823</v>
      </c>
      <c r="E103" s="177"/>
      <c r="F103" s="177"/>
      <c r="G103" s="177"/>
      <c r="H103" s="177"/>
      <c r="I103" s="15" t="s">
        <v>146</v>
      </c>
      <c r="J103" s="30">
        <f>(IF(B95&gt;2,(H95/(B95+2)+J102),0))</f>
        <v>0</v>
      </c>
    </row>
    <row r="104" spans="1:10" ht="15.75" customHeight="1" x14ac:dyDescent="0.35">
      <c r="A104" s="92" t="s">
        <v>134</v>
      </c>
      <c r="B104" s="92" t="s">
        <v>134</v>
      </c>
      <c r="C104" s="66">
        <v>0</v>
      </c>
      <c r="D104" s="57">
        <f ca="1">((100/H95)*C104)/100</f>
        <v>0</v>
      </c>
      <c r="E104" s="177"/>
      <c r="F104" s="177"/>
      <c r="G104" s="177"/>
      <c r="H104" s="177"/>
      <c r="I104" s="15" t="s">
        <v>147</v>
      </c>
      <c r="J104" s="31">
        <f>(IF(B95&gt;3,(H95/(B95+2)+J103),0))</f>
        <v>0</v>
      </c>
    </row>
    <row r="105" spans="1:10" ht="15.75" customHeight="1" x14ac:dyDescent="0.35">
      <c r="A105" s="92" t="s">
        <v>141</v>
      </c>
      <c r="B105" s="92"/>
      <c r="C105" s="66">
        <v>1</v>
      </c>
      <c r="D105" s="57">
        <f ca="1">((100/H95)*C105)/100</f>
        <v>9.0909090909090912E-2</v>
      </c>
      <c r="E105" s="177"/>
      <c r="F105" s="177"/>
      <c r="G105" s="177"/>
      <c r="H105" s="177"/>
      <c r="I105" s="15" t="s">
        <v>148</v>
      </c>
      <c r="J105" s="30">
        <f>(IF(B95&gt;4,(H95/(B95+2)+J104),0))</f>
        <v>0</v>
      </c>
    </row>
    <row r="106" spans="1:10" ht="15.75" customHeight="1" x14ac:dyDescent="0.35">
      <c r="A106" s="92" t="s">
        <v>136</v>
      </c>
      <c r="B106" s="92" t="s">
        <v>136</v>
      </c>
      <c r="C106" s="66">
        <v>0</v>
      </c>
      <c r="D106" s="57">
        <f ca="1">((100/(H95))*C106)/100</f>
        <v>0</v>
      </c>
      <c r="E106" s="177"/>
      <c r="F106" s="177"/>
      <c r="G106" s="177"/>
      <c r="H106" s="177"/>
      <c r="I106" s="15" t="s">
        <v>150</v>
      </c>
      <c r="J106" s="30">
        <f ca="1">(IF(B95=1,(H95/(B95+3)+J101),IF(B95=0,(H95/4+J101),IF(B95&gt;1,0))))</f>
        <v>8.25</v>
      </c>
    </row>
    <row r="107" spans="1:10" ht="16" thickBot="1" x14ac:dyDescent="0.4">
      <c r="A107" s="92" t="s">
        <v>137</v>
      </c>
      <c r="B107" s="92"/>
      <c r="C107" s="66">
        <v>0</v>
      </c>
      <c r="D107" s="57">
        <f ca="1">((100/(H95))*C107)/100</f>
        <v>0</v>
      </c>
      <c r="E107" s="177"/>
      <c r="F107" s="177"/>
      <c r="G107" s="177"/>
      <c r="H107" s="177"/>
      <c r="I107" s="16" t="s">
        <v>107</v>
      </c>
      <c r="J107" s="32">
        <f ca="1">(IF(B95&gt;1.5,(H95/(B95+2)+J101+MAX(0,J102-J101)+MAX(0,J103-J102)+MAX(0,J104-J103)+MAX(0,J105-J104)+MAX(0,J106-J105)),IF(B95=1,(H95/(B95+3)+J106),IF(B95=0,H95/4+J106))))</f>
        <v>11</v>
      </c>
    </row>
    <row r="108" spans="1:10" x14ac:dyDescent="0.35">
      <c r="A108" s="162" t="s">
        <v>159</v>
      </c>
      <c r="B108" s="162"/>
      <c r="C108" s="162"/>
      <c r="D108" s="162"/>
      <c r="E108" s="162"/>
      <c r="F108" s="167" t="s">
        <v>164</v>
      </c>
      <c r="G108" s="167"/>
      <c r="H108" s="167"/>
    </row>
    <row r="109" spans="1:10" x14ac:dyDescent="0.35">
      <c r="A109" s="88" t="s">
        <v>162</v>
      </c>
      <c r="B109" s="88"/>
      <c r="C109" s="88"/>
      <c r="D109" s="88"/>
      <c r="E109" s="88"/>
      <c r="F109" s="98">
        <v>6600</v>
      </c>
      <c r="G109" s="98"/>
      <c r="H109" s="98"/>
    </row>
    <row r="110" spans="1:10" x14ac:dyDescent="0.35">
      <c r="A110" s="88" t="s">
        <v>161</v>
      </c>
      <c r="B110" s="88"/>
      <c r="C110" s="88"/>
      <c r="D110" s="88"/>
      <c r="E110" s="88"/>
      <c r="F110" s="98">
        <v>12000</v>
      </c>
      <c r="G110" s="98"/>
      <c r="H110" s="98"/>
    </row>
    <row r="111" spans="1:10" hidden="1" x14ac:dyDescent="0.35">
      <c r="A111" s="88" t="s">
        <v>163</v>
      </c>
      <c r="B111" s="88"/>
      <c r="C111" s="88"/>
      <c r="D111" s="88"/>
      <c r="E111" s="88"/>
      <c r="F111" s="98"/>
      <c r="G111" s="98"/>
      <c r="H111" s="98"/>
    </row>
    <row r="112" spans="1:10" s="33" customFormat="1" hidden="1" x14ac:dyDescent="0.3">
      <c r="A112" s="88" t="s">
        <v>160</v>
      </c>
      <c r="B112" s="88"/>
      <c r="C112" s="88"/>
      <c r="D112" s="88"/>
      <c r="E112" s="88"/>
      <c r="F112" s="98"/>
      <c r="G112" s="98"/>
      <c r="H112" s="98"/>
    </row>
    <row r="113" spans="1:8" s="33" customFormat="1" hidden="1" x14ac:dyDescent="0.3">
      <c r="A113" s="88" t="s">
        <v>97</v>
      </c>
      <c r="B113" s="88"/>
      <c r="C113" s="88"/>
      <c r="D113" s="88"/>
      <c r="E113" s="88"/>
      <c r="F113" s="98"/>
      <c r="G113" s="98"/>
      <c r="H113" s="98"/>
    </row>
    <row r="114" spans="1:8" s="33" customFormat="1" hidden="1" x14ac:dyDescent="0.3">
      <c r="A114" s="88" t="s">
        <v>98</v>
      </c>
      <c r="B114" s="88"/>
      <c r="C114" s="88"/>
      <c r="D114" s="88"/>
      <c r="E114" s="88"/>
      <c r="F114" s="98"/>
      <c r="G114" s="98"/>
      <c r="H114" s="98"/>
    </row>
    <row r="115" spans="1:8" s="33" customFormat="1" hidden="1" x14ac:dyDescent="0.3">
      <c r="A115" s="88" t="s">
        <v>165</v>
      </c>
      <c r="B115" s="88"/>
      <c r="C115" s="88"/>
      <c r="D115" s="88"/>
      <c r="E115" s="88"/>
      <c r="F115" s="98"/>
      <c r="G115" s="98"/>
      <c r="H115" s="98"/>
    </row>
    <row r="116" spans="1:8" s="33" customFormat="1" hidden="1" x14ac:dyDescent="0.3">
      <c r="A116" s="88" t="s">
        <v>99</v>
      </c>
      <c r="B116" s="88"/>
      <c r="C116" s="88"/>
      <c r="D116" s="88"/>
      <c r="E116" s="88"/>
      <c r="F116" s="98"/>
      <c r="G116" s="98"/>
      <c r="H116" s="98"/>
    </row>
    <row r="117" spans="1:8" s="33" customFormat="1" hidden="1" x14ac:dyDescent="0.3">
      <c r="A117" s="88" t="s">
        <v>100</v>
      </c>
      <c r="B117" s="88"/>
      <c r="C117" s="88"/>
      <c r="D117" s="88"/>
      <c r="E117" s="88"/>
      <c r="F117" s="98"/>
      <c r="G117" s="98"/>
      <c r="H117" s="98"/>
    </row>
    <row r="118" spans="1:8" s="33" customFormat="1" hidden="1" x14ac:dyDescent="0.3">
      <c r="A118" s="88" t="s">
        <v>101</v>
      </c>
      <c r="B118" s="88"/>
      <c r="C118" s="88"/>
      <c r="D118" s="88"/>
      <c r="E118" s="88"/>
      <c r="F118" s="98"/>
      <c r="G118" s="98"/>
      <c r="H118" s="98"/>
    </row>
    <row r="119" spans="1:8" s="33" customFormat="1" hidden="1" x14ac:dyDescent="0.3">
      <c r="A119" s="88" t="s">
        <v>102</v>
      </c>
      <c r="B119" s="88"/>
      <c r="C119" s="88"/>
      <c r="D119" s="88"/>
      <c r="E119" s="88"/>
      <c r="F119" s="98"/>
      <c r="G119" s="98"/>
      <c r="H119" s="98"/>
    </row>
    <row r="120" spans="1:8" x14ac:dyDescent="0.35">
      <c r="A120" s="88" t="s">
        <v>52</v>
      </c>
      <c r="B120" s="88"/>
      <c r="C120" s="88"/>
      <c r="D120" s="88"/>
      <c r="E120" s="88"/>
      <c r="F120" s="98">
        <v>300000</v>
      </c>
      <c r="G120" s="98"/>
      <c r="H120" s="98"/>
    </row>
    <row r="121" spans="1:8" s="34" customFormat="1" x14ac:dyDescent="0.35">
      <c r="A121" s="125" t="s">
        <v>53</v>
      </c>
      <c r="B121" s="125"/>
      <c r="C121" s="125"/>
      <c r="D121" s="125"/>
      <c r="E121" s="125"/>
      <c r="F121" s="98">
        <f>F109*0.8</f>
        <v>5280</v>
      </c>
      <c r="G121" s="98"/>
      <c r="H121" s="98"/>
    </row>
    <row r="122" spans="1:8" s="35" customFormat="1" ht="15.75" customHeight="1" x14ac:dyDescent="0.35">
      <c r="A122" s="124" t="s">
        <v>77</v>
      </c>
      <c r="B122" s="124"/>
      <c r="C122" s="124"/>
      <c r="D122" s="124"/>
      <c r="E122" s="124"/>
      <c r="F122" s="124"/>
      <c r="G122" s="124"/>
      <c r="H122" s="124"/>
    </row>
    <row r="123" spans="1:8" s="35" customFormat="1" ht="15.75" customHeight="1" x14ac:dyDescent="0.35">
      <c r="A123" s="90" t="s">
        <v>54</v>
      </c>
      <c r="B123" s="90"/>
      <c r="C123" s="120" t="s">
        <v>80</v>
      </c>
      <c r="D123" s="120"/>
      <c r="E123" s="119" t="s">
        <v>55</v>
      </c>
      <c r="F123" s="119"/>
      <c r="G123" s="90" t="s">
        <v>56</v>
      </c>
      <c r="H123" s="90"/>
    </row>
    <row r="124" spans="1:8" s="35" customFormat="1" ht="31" x14ac:dyDescent="0.35">
      <c r="A124" s="51" t="s">
        <v>176</v>
      </c>
      <c r="B124" s="53" t="s">
        <v>175</v>
      </c>
      <c r="C124" s="121">
        <f>COUNT(D138:D145)</f>
        <v>8</v>
      </c>
      <c r="D124" s="71"/>
      <c r="E124" s="72">
        <f>SUM(D138:D145)</f>
        <v>976.16563200000007</v>
      </c>
      <c r="F124" s="99"/>
      <c r="G124" s="72">
        <f>SUM(F138:F145)</f>
        <v>1561.8650112</v>
      </c>
      <c r="H124" s="99"/>
    </row>
    <row r="125" spans="1:8" s="35" customFormat="1" x14ac:dyDescent="0.35">
      <c r="A125" s="124" t="s">
        <v>71</v>
      </c>
      <c r="B125" s="124"/>
      <c r="C125" s="124"/>
      <c r="D125" s="124"/>
      <c r="E125" s="124"/>
      <c r="F125" s="124"/>
      <c r="G125" s="124"/>
      <c r="H125" s="124"/>
    </row>
    <row r="126" spans="1:8" s="35" customFormat="1" ht="15.75" customHeight="1" x14ac:dyDescent="0.35">
      <c r="A126" s="90" t="s">
        <v>54</v>
      </c>
      <c r="B126" s="90"/>
      <c r="C126" s="120" t="s">
        <v>80</v>
      </c>
      <c r="D126" s="120"/>
      <c r="E126" s="119" t="s">
        <v>55</v>
      </c>
      <c r="F126" s="119"/>
      <c r="G126" s="90" t="s">
        <v>56</v>
      </c>
      <c r="H126" s="90"/>
    </row>
    <row r="127" spans="1:8" s="35" customFormat="1" x14ac:dyDescent="0.35">
      <c r="A127" s="73" t="s">
        <v>166</v>
      </c>
      <c r="B127" s="51" t="s">
        <v>167</v>
      </c>
      <c r="C127" s="71">
        <f>COUNT(D153:D160)*10+COUNT(D162:D168)</f>
        <v>87</v>
      </c>
      <c r="D127" s="71"/>
      <c r="E127" s="72">
        <f>SUM(D153:D160)*10+SUM(D162:D168)</f>
        <v>39762.420516000006</v>
      </c>
      <c r="F127" s="72"/>
      <c r="G127" s="72">
        <f>SUM(F153:F160)*10+SUM(F162:F168)</f>
        <v>59643.630773999997</v>
      </c>
      <c r="H127" s="72"/>
    </row>
    <row r="128" spans="1:8" s="35" customFormat="1" x14ac:dyDescent="0.35">
      <c r="A128" s="74"/>
      <c r="B128" s="51" t="s">
        <v>174</v>
      </c>
      <c r="C128" s="71">
        <f>COUNT(D173:D183)*10+COUNT(D185:D192,D194:D195)</f>
        <v>120</v>
      </c>
      <c r="D128" s="71"/>
      <c r="E128" s="72">
        <f>SUM(D173:D183)*10+SUM(D185:D192,D194:D195)</f>
        <v>49762.940759999998</v>
      </c>
      <c r="F128" s="72"/>
      <c r="G128" s="72">
        <f>SUM(F173:F183)*10+SUM(F185:F192,F194:F195)</f>
        <v>74644.411139999982</v>
      </c>
      <c r="H128" s="72"/>
    </row>
    <row r="129" spans="1:14" s="35" customFormat="1" ht="31" x14ac:dyDescent="0.35">
      <c r="A129" s="51" t="s">
        <v>176</v>
      </c>
      <c r="B129" s="51" t="s">
        <v>175</v>
      </c>
      <c r="C129" s="71">
        <f>COUNT(D199:D209)+COUNT(D211:D221)*9+COUNT(D223:D226,D228:D233)</f>
        <v>120</v>
      </c>
      <c r="D129" s="71"/>
      <c r="E129" s="72">
        <f>SUM(D199:D209)+SUM(D211:D221)*9+SUM(D223:D226,D228:D233)</f>
        <v>51857.076959999999</v>
      </c>
      <c r="F129" s="72"/>
      <c r="G129" s="72">
        <f>SUM(F199:F209)+SUM(F211:F221)*9+SUM(F223:F226,F228:F233)</f>
        <v>77903.077590000001</v>
      </c>
      <c r="H129" s="72"/>
    </row>
    <row r="130" spans="1:14" s="35" customFormat="1" x14ac:dyDescent="0.35">
      <c r="A130" s="124" t="s">
        <v>152</v>
      </c>
      <c r="B130" s="124"/>
      <c r="C130" s="120">
        <f>SUM(C127:D129)</f>
        <v>327</v>
      </c>
      <c r="D130" s="120"/>
      <c r="E130" s="163">
        <f>SUM(E127:F129)</f>
        <v>141382.43823600002</v>
      </c>
      <c r="F130" s="119"/>
      <c r="G130" s="90">
        <f>SUM(G127:H129)</f>
        <v>212191.11950399997</v>
      </c>
      <c r="H130" s="90"/>
    </row>
    <row r="131" spans="1:14" s="34" customFormat="1" x14ac:dyDescent="0.35">
      <c r="A131" s="85" t="s">
        <v>57</v>
      </c>
      <c r="B131" s="85"/>
      <c r="C131" s="85"/>
      <c r="D131" s="85"/>
      <c r="E131" s="85"/>
      <c r="F131" s="85"/>
      <c r="G131" s="85"/>
      <c r="H131" s="85"/>
    </row>
    <row r="132" spans="1:14" x14ac:dyDescent="0.35">
      <c r="A132" s="85" t="s">
        <v>58</v>
      </c>
      <c r="B132" s="85"/>
      <c r="C132" s="85"/>
      <c r="D132" s="85"/>
      <c r="E132" s="85"/>
      <c r="F132" s="85"/>
      <c r="G132" s="85"/>
      <c r="H132" s="85"/>
    </row>
    <row r="133" spans="1:14" ht="47.25" customHeight="1" x14ac:dyDescent="0.35">
      <c r="A133" s="168" t="s">
        <v>123</v>
      </c>
      <c r="B133" s="168" t="s">
        <v>122</v>
      </c>
      <c r="C133" s="168" t="s">
        <v>59</v>
      </c>
      <c r="D133" s="168" t="s">
        <v>60</v>
      </c>
      <c r="E133" s="168" t="s">
        <v>158</v>
      </c>
      <c r="F133" s="61" t="s">
        <v>207</v>
      </c>
      <c r="G133" s="170" t="s">
        <v>61</v>
      </c>
      <c r="H133" s="171"/>
    </row>
    <row r="134" spans="1:14" x14ac:dyDescent="0.35">
      <c r="A134" s="169"/>
      <c r="B134" s="169"/>
      <c r="C134" s="169"/>
      <c r="D134" s="169"/>
      <c r="E134" s="169"/>
      <c r="F134" s="64">
        <v>0.6</v>
      </c>
      <c r="G134" s="172"/>
      <c r="H134" s="173"/>
    </row>
    <row r="135" spans="1:14" x14ac:dyDescent="0.35">
      <c r="A135" s="85" t="s">
        <v>176</v>
      </c>
      <c r="B135" s="85"/>
      <c r="C135" s="85"/>
      <c r="D135" s="85"/>
      <c r="E135" s="85"/>
      <c r="F135" s="85"/>
      <c r="G135" s="85"/>
      <c r="H135" s="85"/>
    </row>
    <row r="136" spans="1:14" x14ac:dyDescent="0.35">
      <c r="A136" s="85" t="s">
        <v>175</v>
      </c>
      <c r="B136" s="85"/>
      <c r="C136" s="85"/>
      <c r="D136" s="85"/>
      <c r="E136" s="85"/>
      <c r="F136" s="85"/>
      <c r="G136" s="85"/>
      <c r="H136" s="85"/>
    </row>
    <row r="137" spans="1:14" s="45" customFormat="1" x14ac:dyDescent="0.35">
      <c r="A137" s="86" t="s">
        <v>177</v>
      </c>
      <c r="B137" s="86"/>
      <c r="C137" s="86"/>
      <c r="D137" s="86"/>
      <c r="E137" s="86"/>
      <c r="F137" s="86"/>
      <c r="G137" s="86"/>
      <c r="H137" s="86"/>
      <c r="J137" s="36"/>
    </row>
    <row r="138" spans="1:14" s="45" customFormat="1" x14ac:dyDescent="0.35">
      <c r="A138" s="70">
        <v>1</v>
      </c>
      <c r="B138" s="70"/>
      <c r="C138" s="67" t="s">
        <v>178</v>
      </c>
      <c r="D138" s="67">
        <f>(10.26)*10.764</f>
        <v>110.43863999999999</v>
      </c>
      <c r="E138" s="67">
        <v>0</v>
      </c>
      <c r="F138" s="67">
        <f>(D138+E138)*(($F$134)+1)</f>
        <v>176.70182399999999</v>
      </c>
      <c r="G138" s="70" t="str">
        <f>A137</f>
        <v>Ground Floor for Commercial &amp; Parking</v>
      </c>
      <c r="H138" s="70"/>
      <c r="I138" s="36">
        <f>12000*F138</f>
        <v>2120421.8879999998</v>
      </c>
      <c r="L138" s="83"/>
      <c r="M138" s="83"/>
      <c r="N138" s="36"/>
    </row>
    <row r="139" spans="1:14" s="45" customFormat="1" x14ac:dyDescent="0.35">
      <c r="A139" s="70">
        <f t="shared" ref="A139:A145" si="0">A138+1</f>
        <v>2</v>
      </c>
      <c r="B139" s="70"/>
      <c r="C139" s="67" t="s">
        <v>178</v>
      </c>
      <c r="D139" s="67">
        <f>(10.44)*10.764</f>
        <v>112.37615999999998</v>
      </c>
      <c r="E139" s="67">
        <v>0</v>
      </c>
      <c r="F139" s="67">
        <f>(D139+E139)*(($F$134)+1)</f>
        <v>179.80185599999999</v>
      </c>
      <c r="G139" s="70" t="str">
        <f t="shared" ref="G139:G145" si="1">G138</f>
        <v>Ground Floor for Commercial &amp; Parking</v>
      </c>
      <c r="H139" s="70"/>
      <c r="I139" s="36">
        <f t="shared" ref="I139:I145" si="2">12000*F139</f>
        <v>2157622.2719999999</v>
      </c>
      <c r="L139" s="83"/>
      <c r="M139" s="83"/>
      <c r="N139" s="36"/>
    </row>
    <row r="140" spans="1:14" s="45" customFormat="1" x14ac:dyDescent="0.35">
      <c r="A140" s="70">
        <f t="shared" si="0"/>
        <v>3</v>
      </c>
      <c r="B140" s="70"/>
      <c r="C140" s="67" t="s">
        <v>178</v>
      </c>
      <c r="D140" s="67">
        <f>(11.26)*10.764</f>
        <v>121.20263999999999</v>
      </c>
      <c r="E140" s="67">
        <v>0</v>
      </c>
      <c r="F140" s="67">
        <f t="shared" ref="F140:F145" si="3">(D140+E140)*(($F$134)+1)</f>
        <v>193.92422399999998</v>
      </c>
      <c r="G140" s="70" t="str">
        <f t="shared" si="1"/>
        <v>Ground Floor for Commercial &amp; Parking</v>
      </c>
      <c r="H140" s="70"/>
      <c r="I140" s="36">
        <f t="shared" si="2"/>
        <v>2327090.6879999996</v>
      </c>
      <c r="L140" s="83"/>
      <c r="M140" s="83"/>
      <c r="N140" s="36"/>
    </row>
    <row r="141" spans="1:14" s="45" customFormat="1" x14ac:dyDescent="0.35">
      <c r="A141" s="70">
        <f t="shared" si="0"/>
        <v>4</v>
      </c>
      <c r="B141" s="70"/>
      <c r="C141" s="67" t="s">
        <v>178</v>
      </c>
      <c r="D141" s="67">
        <f>(11.16)*10.764</f>
        <v>120.12624</v>
      </c>
      <c r="E141" s="67">
        <v>0</v>
      </c>
      <c r="F141" s="67">
        <f t="shared" si="3"/>
        <v>192.20198400000001</v>
      </c>
      <c r="G141" s="70" t="str">
        <f t="shared" si="1"/>
        <v>Ground Floor for Commercial &amp; Parking</v>
      </c>
      <c r="H141" s="70"/>
      <c r="I141" s="36">
        <f t="shared" si="2"/>
        <v>2306423.8080000002</v>
      </c>
      <c r="L141" s="83"/>
      <c r="M141" s="83"/>
      <c r="N141" s="36"/>
    </row>
    <row r="142" spans="1:14" s="52" customFormat="1" x14ac:dyDescent="0.35">
      <c r="A142" s="70">
        <f t="shared" si="0"/>
        <v>5</v>
      </c>
      <c r="B142" s="70"/>
      <c r="C142" s="67" t="s">
        <v>178</v>
      </c>
      <c r="D142" s="67">
        <f>(13.44)*10.764</f>
        <v>144.66815999999997</v>
      </c>
      <c r="E142" s="67">
        <v>0</v>
      </c>
      <c r="F142" s="67">
        <f t="shared" si="3"/>
        <v>231.46905599999997</v>
      </c>
      <c r="G142" s="70" t="str">
        <f t="shared" si="1"/>
        <v>Ground Floor for Commercial &amp; Parking</v>
      </c>
      <c r="H142" s="70"/>
      <c r="I142" s="36">
        <f t="shared" si="2"/>
        <v>2777628.6719999998</v>
      </c>
      <c r="L142" s="83"/>
      <c r="M142" s="83"/>
      <c r="N142" s="36"/>
    </row>
    <row r="143" spans="1:14" s="52" customFormat="1" x14ac:dyDescent="0.35">
      <c r="A143" s="70">
        <f t="shared" si="0"/>
        <v>6</v>
      </c>
      <c r="B143" s="70"/>
      <c r="C143" s="67" t="s">
        <v>178</v>
      </c>
      <c r="D143" s="67">
        <f>(13.438)*10.764</f>
        <v>144.64663200000001</v>
      </c>
      <c r="E143" s="67">
        <v>0</v>
      </c>
      <c r="F143" s="67">
        <f t="shared" si="3"/>
        <v>231.43461120000003</v>
      </c>
      <c r="G143" s="70" t="str">
        <f t="shared" si="1"/>
        <v>Ground Floor for Commercial &amp; Parking</v>
      </c>
      <c r="H143" s="70"/>
      <c r="I143" s="36">
        <f t="shared" si="2"/>
        <v>2777215.3344000005</v>
      </c>
      <c r="L143" s="83"/>
      <c r="M143" s="83"/>
      <c r="N143" s="36"/>
    </row>
    <row r="144" spans="1:14" s="52" customFormat="1" x14ac:dyDescent="0.35">
      <c r="A144" s="70">
        <f t="shared" si="0"/>
        <v>7</v>
      </c>
      <c r="B144" s="70"/>
      <c r="C144" s="67" t="s">
        <v>178</v>
      </c>
      <c r="D144" s="67">
        <f>(10.44)*10.764</f>
        <v>112.37615999999998</v>
      </c>
      <c r="E144" s="67">
        <v>0</v>
      </c>
      <c r="F144" s="67">
        <f t="shared" si="3"/>
        <v>179.80185599999999</v>
      </c>
      <c r="G144" s="70" t="str">
        <f t="shared" si="1"/>
        <v>Ground Floor for Commercial &amp; Parking</v>
      </c>
      <c r="H144" s="70"/>
      <c r="I144" s="36">
        <f t="shared" si="2"/>
        <v>2157622.2719999999</v>
      </c>
      <c r="L144" s="83"/>
      <c r="M144" s="83"/>
      <c r="N144" s="36"/>
    </row>
    <row r="145" spans="1:16" s="52" customFormat="1" x14ac:dyDescent="0.35">
      <c r="A145" s="70">
        <f t="shared" si="0"/>
        <v>8</v>
      </c>
      <c r="B145" s="70"/>
      <c r="C145" s="67" t="s">
        <v>178</v>
      </c>
      <c r="D145" s="67">
        <f>(10.25)*10.764</f>
        <v>110.33099999999999</v>
      </c>
      <c r="E145" s="67">
        <v>0</v>
      </c>
      <c r="F145" s="67">
        <f t="shared" si="3"/>
        <v>176.52959999999999</v>
      </c>
      <c r="G145" s="70" t="str">
        <f t="shared" si="1"/>
        <v>Ground Floor for Commercial &amp; Parking</v>
      </c>
      <c r="H145" s="70"/>
      <c r="I145" s="36">
        <f t="shared" si="2"/>
        <v>2118355.1999999997</v>
      </c>
      <c r="L145" s="83"/>
      <c r="M145" s="83"/>
      <c r="N145" s="36"/>
    </row>
    <row r="146" spans="1:16" s="45" customFormat="1" x14ac:dyDescent="0.35">
      <c r="A146" s="70"/>
      <c r="B146" s="70"/>
      <c r="C146" s="70"/>
      <c r="D146" s="70"/>
      <c r="E146" s="70"/>
      <c r="F146" s="70"/>
      <c r="G146" s="70"/>
      <c r="H146" s="70"/>
      <c r="I146" s="36"/>
      <c r="N146" s="36"/>
    </row>
    <row r="147" spans="1:16" ht="47.25" customHeight="1" x14ac:dyDescent="0.35">
      <c r="A147" s="178" t="s">
        <v>123</v>
      </c>
      <c r="B147" s="178" t="s">
        <v>122</v>
      </c>
      <c r="C147" s="178" t="s">
        <v>59</v>
      </c>
      <c r="D147" s="178" t="s">
        <v>60</v>
      </c>
      <c r="E147" s="178" t="s">
        <v>158</v>
      </c>
      <c r="F147" s="179" t="s">
        <v>207</v>
      </c>
      <c r="G147" s="178" t="s">
        <v>61</v>
      </c>
      <c r="H147" s="178"/>
      <c r="I147" s="36"/>
    </row>
    <row r="148" spans="1:16" x14ac:dyDescent="0.35">
      <c r="A148" s="178"/>
      <c r="B148" s="178"/>
      <c r="C148" s="178"/>
      <c r="D148" s="178"/>
      <c r="E148" s="178"/>
      <c r="F148" s="64">
        <v>0.5</v>
      </c>
      <c r="G148" s="178"/>
      <c r="H148" s="178"/>
    </row>
    <row r="149" spans="1:16" x14ac:dyDescent="0.35">
      <c r="A149" s="85" t="s">
        <v>166</v>
      </c>
      <c r="B149" s="85"/>
      <c r="C149" s="85"/>
      <c r="D149" s="85"/>
      <c r="E149" s="85"/>
      <c r="F149" s="85"/>
      <c r="G149" s="85"/>
      <c r="H149" s="85"/>
    </row>
    <row r="150" spans="1:16" x14ac:dyDescent="0.35">
      <c r="A150" s="85" t="s">
        <v>167</v>
      </c>
      <c r="B150" s="85"/>
      <c r="C150" s="85"/>
      <c r="D150" s="85"/>
      <c r="E150" s="85"/>
      <c r="F150" s="85"/>
      <c r="G150" s="85"/>
      <c r="H150" s="85"/>
    </row>
    <row r="151" spans="1:16" x14ac:dyDescent="0.35">
      <c r="A151" s="85" t="s">
        <v>168</v>
      </c>
      <c r="B151" s="85"/>
      <c r="C151" s="85"/>
      <c r="D151" s="85"/>
      <c r="E151" s="85"/>
      <c r="F151" s="85"/>
      <c r="G151" s="85"/>
      <c r="H151" s="85"/>
    </row>
    <row r="152" spans="1:16" s="52" customFormat="1" ht="15.75" customHeight="1" x14ac:dyDescent="0.35">
      <c r="A152" s="80" t="s">
        <v>169</v>
      </c>
      <c r="B152" s="81"/>
      <c r="C152" s="81"/>
      <c r="D152" s="81"/>
      <c r="E152" s="81"/>
      <c r="F152" s="81"/>
      <c r="G152" s="81"/>
      <c r="H152" s="82"/>
      <c r="I152" s="36"/>
      <c r="P152" s="37"/>
    </row>
    <row r="153" spans="1:16" s="52" customFormat="1" x14ac:dyDescent="0.35">
      <c r="A153" s="78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10^ROW(INDIRECT("1:"&amp;LEN((LEFT(A152,SUM(LEN(A152)-LEN(SUBSTITUTE(A152,{"0","1","2"},""))))))))/10))*100+1&amp;""&amp;"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101 ,.., 1101</v>
      </c>
      <c r="B153" s="79"/>
      <c r="C153" s="50" t="s">
        <v>170</v>
      </c>
      <c r="D153" s="50">
        <f>(48.637+2.25)*10.764</f>
        <v>547.74766799999998</v>
      </c>
      <c r="E153" s="50">
        <v>0</v>
      </c>
      <c r="F153" s="63">
        <f>D153*(($F$148)+1)+(IF(E153&lt;101,E153,IF(E153&lt;201,E153/2,IF(E153&lt;=301,E153/3,E153/4))))</f>
        <v>821.62150199999996</v>
      </c>
      <c r="G153" s="78" t="str">
        <f>A152</f>
        <v>1st to 7th &amp; 9th to 11th Floor for Residential</v>
      </c>
      <c r="H153" s="79"/>
      <c r="I153" s="36">
        <f>(4.65*2.9+2.1*2.45+2.9*3.45+2.9*3.45+2.15*1.2+1.2*1.9+2.9*0.9+2.25*1)*10.764</f>
        <v>520.54704000000004</v>
      </c>
      <c r="J153" s="36">
        <f>F153*7000</f>
        <v>5751350.5139999995</v>
      </c>
      <c r="K153" s="62">
        <f>F153/D153</f>
        <v>1.5</v>
      </c>
      <c r="L153" s="52">
        <f>D153*1.5*7000</f>
        <v>5751350.5139999995</v>
      </c>
      <c r="M153" s="52">
        <f>L153/F153</f>
        <v>7000</v>
      </c>
    </row>
    <row r="154" spans="1:16" s="52" customFormat="1" x14ac:dyDescent="0.35">
      <c r="A154" s="78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102 ,.., 1102</v>
      </c>
      <c r="B154" s="79"/>
      <c r="C154" s="50" t="s">
        <v>170</v>
      </c>
      <c r="D154" s="50">
        <f>(48.637+2.25)*10.764</f>
        <v>547.74766799999998</v>
      </c>
      <c r="E154" s="50">
        <v>0</v>
      </c>
      <c r="F154" s="63">
        <f t="shared" ref="F154:F160" si="4">D154*(($F$148)+1)+(IF(E154&lt;101,E154,IF(E154&lt;201,E154/2,IF(E154&lt;=301,E154/3,E154/4))))</f>
        <v>821.62150199999996</v>
      </c>
      <c r="G154" s="78" t="str">
        <f t="shared" ref="G154:G160" si="5">G153</f>
        <v>1st to 7th &amp; 9th to 11th Floor for Residential</v>
      </c>
      <c r="H154" s="79"/>
      <c r="I154" s="36"/>
      <c r="J154" s="36">
        <f t="shared" ref="J154:J213" si="6">F154*7000</f>
        <v>5751350.5139999995</v>
      </c>
      <c r="K154" s="62">
        <f t="shared" ref="K154:K217" si="7">F154/D154</f>
        <v>1.5</v>
      </c>
    </row>
    <row r="155" spans="1:16" s="52" customFormat="1" ht="15.75" customHeight="1" x14ac:dyDescent="0.35">
      <c r="A155" s="78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103 ,.., 1103</v>
      </c>
      <c r="B155" s="79"/>
      <c r="C155" s="50" t="s">
        <v>171</v>
      </c>
      <c r="D155" s="50">
        <f>(31.587+2.25)*10.764</f>
        <v>364.22146800000002</v>
      </c>
      <c r="E155" s="50">
        <v>0</v>
      </c>
      <c r="F155" s="63">
        <f t="shared" si="4"/>
        <v>546.33220200000005</v>
      </c>
      <c r="G155" s="78" t="str">
        <f t="shared" si="5"/>
        <v>1st to 7th &amp; 9th to 11th Floor for Residential</v>
      </c>
      <c r="H155" s="79"/>
      <c r="I155" s="36"/>
      <c r="J155" s="36">
        <f t="shared" si="6"/>
        <v>3824325.4140000003</v>
      </c>
      <c r="K155" s="62">
        <f t="shared" si="7"/>
        <v>1.5</v>
      </c>
    </row>
    <row r="156" spans="1:16" s="52" customFormat="1" ht="15.75" customHeight="1" x14ac:dyDescent="0.35">
      <c r="A156" s="78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104 ,.., 1104</v>
      </c>
      <c r="B156" s="79"/>
      <c r="C156" s="50" t="s">
        <v>171</v>
      </c>
      <c r="D156" s="50">
        <f>(31.587+2.25)*10.764</f>
        <v>364.22146800000002</v>
      </c>
      <c r="E156" s="50">
        <v>0</v>
      </c>
      <c r="F156" s="63">
        <f t="shared" si="4"/>
        <v>546.33220200000005</v>
      </c>
      <c r="G156" s="78" t="str">
        <f t="shared" si="5"/>
        <v>1st to 7th &amp; 9th to 11th Floor for Residential</v>
      </c>
      <c r="H156" s="79"/>
      <c r="I156" s="36"/>
      <c r="J156" s="36">
        <f t="shared" si="6"/>
        <v>3824325.4140000003</v>
      </c>
      <c r="K156" s="62">
        <f t="shared" si="7"/>
        <v>1.5</v>
      </c>
    </row>
    <row r="157" spans="1:16" s="52" customFormat="1" ht="15.75" customHeight="1" x14ac:dyDescent="0.35">
      <c r="A157" s="78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105 ,.., 1105</v>
      </c>
      <c r="B157" s="79"/>
      <c r="C157" s="50" t="s">
        <v>170</v>
      </c>
      <c r="D157" s="50">
        <f>(48.637+2.25)*10.764</f>
        <v>547.74766799999998</v>
      </c>
      <c r="E157" s="50">
        <v>0</v>
      </c>
      <c r="F157" s="63">
        <f t="shared" si="4"/>
        <v>821.62150199999996</v>
      </c>
      <c r="G157" s="78" t="str">
        <f t="shared" si="5"/>
        <v>1st to 7th &amp; 9th to 11th Floor for Residential</v>
      </c>
      <c r="H157" s="79"/>
      <c r="I157" s="36"/>
      <c r="J157" s="36">
        <f t="shared" si="6"/>
        <v>5751350.5139999995</v>
      </c>
      <c r="K157" s="62">
        <f t="shared" si="7"/>
        <v>1.5</v>
      </c>
    </row>
    <row r="158" spans="1:16" s="52" customFormat="1" ht="15.75" customHeight="1" x14ac:dyDescent="0.35">
      <c r="A158" s="78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,..,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106 ,.., 1106</v>
      </c>
      <c r="B158" s="79"/>
      <c r="C158" s="50" t="s">
        <v>170</v>
      </c>
      <c r="D158" s="50">
        <f>(48.637+2.25)*10.764</f>
        <v>547.74766799999998</v>
      </c>
      <c r="E158" s="50">
        <v>0</v>
      </c>
      <c r="F158" s="63">
        <f t="shared" si="4"/>
        <v>821.62150199999996</v>
      </c>
      <c r="G158" s="78" t="str">
        <f t="shared" si="5"/>
        <v>1st to 7th &amp; 9th to 11th Floor for Residential</v>
      </c>
      <c r="H158" s="79"/>
      <c r="I158" s="36"/>
      <c r="J158" s="36">
        <f t="shared" si="6"/>
        <v>5751350.5139999995</v>
      </c>
      <c r="K158" s="62">
        <f t="shared" si="7"/>
        <v>1.5</v>
      </c>
    </row>
    <row r="159" spans="1:16" s="52" customFormat="1" ht="15.75" customHeight="1" x14ac:dyDescent="0.35">
      <c r="A159" s="78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,..,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107 ,.., 1107</v>
      </c>
      <c r="B159" s="79"/>
      <c r="C159" s="50" t="s">
        <v>171</v>
      </c>
      <c r="D159" s="50">
        <f>(31.587+2.25)*10.764</f>
        <v>364.22146800000002</v>
      </c>
      <c r="E159" s="50">
        <v>0</v>
      </c>
      <c r="F159" s="63">
        <f t="shared" si="4"/>
        <v>546.33220200000005</v>
      </c>
      <c r="G159" s="78" t="str">
        <f t="shared" si="5"/>
        <v>1st to 7th &amp; 9th to 11th Floor for Residential</v>
      </c>
      <c r="H159" s="79"/>
      <c r="I159" s="36"/>
      <c r="J159" s="36">
        <f t="shared" si="6"/>
        <v>3824325.4140000003</v>
      </c>
      <c r="K159" s="62">
        <f t="shared" si="7"/>
        <v>1.5</v>
      </c>
    </row>
    <row r="160" spans="1:16" s="52" customFormat="1" ht="15.75" customHeight="1" x14ac:dyDescent="0.35">
      <c r="A160" s="78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,..,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108 ,.., 1108</v>
      </c>
      <c r="B160" s="79"/>
      <c r="C160" s="50" t="s">
        <v>171</v>
      </c>
      <c r="D160" s="50">
        <f>(31.587+2.25)*10.764</f>
        <v>364.22146800000002</v>
      </c>
      <c r="E160" s="50">
        <v>0</v>
      </c>
      <c r="F160" s="63">
        <f t="shared" si="4"/>
        <v>546.33220200000005</v>
      </c>
      <c r="G160" s="78" t="str">
        <f t="shared" si="5"/>
        <v>1st to 7th &amp; 9th to 11th Floor for Residential</v>
      </c>
      <c r="H160" s="79"/>
      <c r="I160" s="36"/>
      <c r="J160" s="36">
        <f t="shared" si="6"/>
        <v>3824325.4140000003</v>
      </c>
      <c r="K160" s="62">
        <f t="shared" si="7"/>
        <v>1.5</v>
      </c>
    </row>
    <row r="161" spans="1:16" s="45" customFormat="1" x14ac:dyDescent="0.35">
      <c r="A161" s="80" t="s">
        <v>172</v>
      </c>
      <c r="B161" s="81"/>
      <c r="C161" s="81"/>
      <c r="D161" s="81"/>
      <c r="E161" s="81"/>
      <c r="F161" s="81"/>
      <c r="G161" s="81"/>
      <c r="H161" s="82"/>
      <c r="J161" s="36">
        <f t="shared" si="6"/>
        <v>0</v>
      </c>
      <c r="K161" s="62" t="e">
        <f t="shared" si="7"/>
        <v>#DIV/0!</v>
      </c>
    </row>
    <row r="162" spans="1:16" s="45" customFormat="1" x14ac:dyDescent="0.35">
      <c r="A162" s="78">
        <v>1</v>
      </c>
      <c r="B162" s="79"/>
      <c r="C162" s="50" t="s">
        <v>170</v>
      </c>
      <c r="D162" s="50">
        <f>(48.637+2.25)*10.764</f>
        <v>547.74766799999998</v>
      </c>
      <c r="E162" s="42">
        <v>0</v>
      </c>
      <c r="F162" s="63">
        <f t="shared" ref="F162:F168" si="8">D162*(($F$148)+1)+(IF(E162&lt;101,E162,IF(E162&lt;201,E162/2,IF(E162&lt;=301,E162/3,E162/4))))</f>
        <v>821.62150199999996</v>
      </c>
      <c r="G162" s="78" t="str">
        <f>A161</f>
        <v>8th Floor (Part Refuge Area)</v>
      </c>
      <c r="H162" s="79"/>
      <c r="I162" s="36"/>
      <c r="J162" s="36">
        <f t="shared" si="6"/>
        <v>5751350.5139999995</v>
      </c>
      <c r="K162" s="62">
        <f t="shared" si="7"/>
        <v>1.5</v>
      </c>
      <c r="L162" s="83"/>
      <c r="M162" s="83"/>
      <c r="N162" s="36"/>
    </row>
    <row r="163" spans="1:16" s="45" customFormat="1" x14ac:dyDescent="0.35">
      <c r="A163" s="78">
        <f t="shared" ref="A163:A169" si="9">A162+1</f>
        <v>2</v>
      </c>
      <c r="B163" s="79"/>
      <c r="C163" s="50" t="s">
        <v>170</v>
      </c>
      <c r="D163" s="50">
        <f>(48.637+2.25)*10.764</f>
        <v>547.74766799999998</v>
      </c>
      <c r="E163" s="42">
        <v>0</v>
      </c>
      <c r="F163" s="63">
        <f t="shared" si="8"/>
        <v>821.62150199999996</v>
      </c>
      <c r="G163" s="78" t="str">
        <f t="shared" ref="G163:G169" si="10">G162</f>
        <v>8th Floor (Part Refuge Area)</v>
      </c>
      <c r="H163" s="79"/>
      <c r="I163" s="36"/>
      <c r="J163" s="36">
        <f t="shared" si="6"/>
        <v>5751350.5139999995</v>
      </c>
      <c r="K163" s="62">
        <f t="shared" si="7"/>
        <v>1.5</v>
      </c>
      <c r="L163" s="83"/>
      <c r="M163" s="83"/>
      <c r="N163" s="36"/>
    </row>
    <row r="164" spans="1:16" s="45" customFormat="1" x14ac:dyDescent="0.35">
      <c r="A164" s="78">
        <f t="shared" si="9"/>
        <v>3</v>
      </c>
      <c r="B164" s="79"/>
      <c r="C164" s="50" t="s">
        <v>171</v>
      </c>
      <c r="D164" s="50">
        <f>(31.587+2.25)*10.764</f>
        <v>364.22146800000002</v>
      </c>
      <c r="E164" s="42">
        <v>0</v>
      </c>
      <c r="F164" s="63">
        <f t="shared" si="8"/>
        <v>546.33220200000005</v>
      </c>
      <c r="G164" s="78" t="str">
        <f t="shared" si="10"/>
        <v>8th Floor (Part Refuge Area)</v>
      </c>
      <c r="H164" s="79"/>
      <c r="I164" s="36">
        <f>3900000/F164</f>
        <v>7138.5138670628821</v>
      </c>
      <c r="J164" s="36">
        <f t="shared" si="6"/>
        <v>3824325.4140000003</v>
      </c>
      <c r="K164" s="62">
        <f t="shared" si="7"/>
        <v>1.5</v>
      </c>
      <c r="L164" s="83"/>
      <c r="M164" s="83"/>
      <c r="N164" s="36"/>
    </row>
    <row r="165" spans="1:16" s="45" customFormat="1" x14ac:dyDescent="0.35">
      <c r="A165" s="78">
        <f t="shared" si="9"/>
        <v>4</v>
      </c>
      <c r="B165" s="79"/>
      <c r="C165" s="50" t="s">
        <v>171</v>
      </c>
      <c r="D165" s="50">
        <f>(31.587+2.25)*10.764</f>
        <v>364.22146800000002</v>
      </c>
      <c r="E165" s="42">
        <v>0</v>
      </c>
      <c r="F165" s="63">
        <f t="shared" si="8"/>
        <v>546.33220200000005</v>
      </c>
      <c r="G165" s="78" t="str">
        <f t="shared" si="10"/>
        <v>8th Floor (Part Refuge Area)</v>
      </c>
      <c r="H165" s="79"/>
      <c r="I165" s="36">
        <f>3800000/F165</f>
        <v>6955.4750499587053</v>
      </c>
      <c r="J165" s="36">
        <f t="shared" si="6"/>
        <v>3824325.4140000003</v>
      </c>
      <c r="K165" s="62">
        <f t="shared" si="7"/>
        <v>1.5</v>
      </c>
      <c r="L165" s="83"/>
      <c r="M165" s="83"/>
      <c r="N165" s="36"/>
    </row>
    <row r="166" spans="1:16" s="52" customFormat="1" x14ac:dyDescent="0.35">
      <c r="A166" s="78">
        <f t="shared" si="9"/>
        <v>5</v>
      </c>
      <c r="B166" s="79"/>
      <c r="C166" s="50" t="s">
        <v>170</v>
      </c>
      <c r="D166" s="50">
        <f>(48.637+2.25)*10.764</f>
        <v>547.74766799999998</v>
      </c>
      <c r="E166" s="50">
        <v>0</v>
      </c>
      <c r="F166" s="63">
        <f t="shared" si="8"/>
        <v>821.62150199999996</v>
      </c>
      <c r="G166" s="78" t="str">
        <f t="shared" si="10"/>
        <v>8th Floor (Part Refuge Area)</v>
      </c>
      <c r="H166" s="79"/>
      <c r="I166" s="36">
        <f>6000000/F166</f>
        <v>7302.6326421530293</v>
      </c>
      <c r="J166" s="36">
        <f t="shared" si="6"/>
        <v>5751350.5139999995</v>
      </c>
      <c r="K166" s="62">
        <f t="shared" si="7"/>
        <v>1.5</v>
      </c>
      <c r="L166" s="83"/>
      <c r="M166" s="83"/>
      <c r="N166" s="36"/>
    </row>
    <row r="167" spans="1:16" s="52" customFormat="1" x14ac:dyDescent="0.35">
      <c r="A167" s="78">
        <f t="shared" si="9"/>
        <v>6</v>
      </c>
      <c r="B167" s="79"/>
      <c r="C167" s="50" t="s">
        <v>170</v>
      </c>
      <c r="D167" s="50">
        <f>(48.637+2.25)*10.764</f>
        <v>547.74766799999998</v>
      </c>
      <c r="E167" s="50">
        <v>0</v>
      </c>
      <c r="F167" s="63">
        <f t="shared" si="8"/>
        <v>821.62150199999996</v>
      </c>
      <c r="G167" s="78" t="str">
        <f t="shared" si="10"/>
        <v>8th Floor (Part Refuge Area)</v>
      </c>
      <c r="H167" s="79"/>
      <c r="I167" s="36"/>
      <c r="J167" s="36">
        <f t="shared" si="6"/>
        <v>5751350.5139999995</v>
      </c>
      <c r="K167" s="62">
        <f t="shared" si="7"/>
        <v>1.5</v>
      </c>
      <c r="L167" s="83"/>
      <c r="M167" s="83"/>
      <c r="N167" s="36"/>
    </row>
    <row r="168" spans="1:16" s="52" customFormat="1" x14ac:dyDescent="0.35">
      <c r="A168" s="78">
        <f t="shared" si="9"/>
        <v>7</v>
      </c>
      <c r="B168" s="79"/>
      <c r="C168" s="50" t="s">
        <v>171</v>
      </c>
      <c r="D168" s="50">
        <f>(31.587+2.25)*10.764</f>
        <v>364.22146800000002</v>
      </c>
      <c r="E168" s="50">
        <v>0</v>
      </c>
      <c r="F168" s="63">
        <f t="shared" si="8"/>
        <v>546.33220200000005</v>
      </c>
      <c r="G168" s="78" t="str">
        <f t="shared" si="10"/>
        <v>8th Floor (Part Refuge Area)</v>
      </c>
      <c r="H168" s="79"/>
      <c r="I168" s="36"/>
      <c r="J168" s="36">
        <f t="shared" si="6"/>
        <v>3824325.4140000003</v>
      </c>
      <c r="K168" s="62">
        <f t="shared" si="7"/>
        <v>1.5</v>
      </c>
      <c r="L168" s="83"/>
      <c r="M168" s="83"/>
      <c r="N168" s="36"/>
    </row>
    <row r="169" spans="1:16" s="52" customFormat="1" x14ac:dyDescent="0.35">
      <c r="A169" s="78">
        <f t="shared" si="9"/>
        <v>8</v>
      </c>
      <c r="B169" s="79"/>
      <c r="C169" s="78" t="s">
        <v>173</v>
      </c>
      <c r="D169" s="84"/>
      <c r="E169" s="84"/>
      <c r="F169" s="79"/>
      <c r="G169" s="78" t="str">
        <f t="shared" si="10"/>
        <v>8th Floor (Part Refuge Area)</v>
      </c>
      <c r="H169" s="79"/>
      <c r="I169" s="36"/>
      <c r="J169" s="36">
        <f t="shared" si="6"/>
        <v>0</v>
      </c>
      <c r="K169" s="62" t="e">
        <f t="shared" si="7"/>
        <v>#DIV/0!</v>
      </c>
      <c r="L169" s="83"/>
      <c r="M169" s="83"/>
      <c r="N169" s="36"/>
    </row>
    <row r="170" spans="1:16" x14ac:dyDescent="0.35">
      <c r="A170" s="85" t="s">
        <v>174</v>
      </c>
      <c r="B170" s="85"/>
      <c r="C170" s="85"/>
      <c r="D170" s="85"/>
      <c r="E170" s="85"/>
      <c r="F170" s="85"/>
      <c r="G170" s="85"/>
      <c r="H170" s="85"/>
      <c r="J170" s="36">
        <f t="shared" si="6"/>
        <v>0</v>
      </c>
      <c r="K170" s="62" t="e">
        <f t="shared" si="7"/>
        <v>#DIV/0!</v>
      </c>
    </row>
    <row r="171" spans="1:16" x14ac:dyDescent="0.35">
      <c r="A171" s="85" t="s">
        <v>168</v>
      </c>
      <c r="B171" s="85"/>
      <c r="C171" s="85"/>
      <c r="D171" s="85"/>
      <c r="E171" s="85"/>
      <c r="F171" s="85"/>
      <c r="G171" s="85"/>
      <c r="H171" s="85"/>
      <c r="J171" s="36">
        <f t="shared" si="6"/>
        <v>0</v>
      </c>
      <c r="K171" s="62" t="e">
        <f t="shared" si="7"/>
        <v>#DIV/0!</v>
      </c>
    </row>
    <row r="172" spans="1:16" s="52" customFormat="1" ht="15.75" customHeight="1" x14ac:dyDescent="0.35">
      <c r="A172" s="80" t="s">
        <v>169</v>
      </c>
      <c r="B172" s="81"/>
      <c r="C172" s="81"/>
      <c r="D172" s="81"/>
      <c r="E172" s="81"/>
      <c r="F172" s="81"/>
      <c r="G172" s="81"/>
      <c r="H172" s="82"/>
      <c r="I172" s="36"/>
      <c r="J172" s="36">
        <f t="shared" si="6"/>
        <v>0</v>
      </c>
      <c r="K172" s="62" t="e">
        <f t="shared" si="7"/>
        <v>#DIV/0!</v>
      </c>
      <c r="P172" s="37"/>
    </row>
    <row r="173" spans="1:16" s="52" customFormat="1" x14ac:dyDescent="0.35">
      <c r="A173" s="78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101 ,.., 1101</v>
      </c>
      <c r="B173" s="79"/>
      <c r="C173" s="50" t="s">
        <v>170</v>
      </c>
      <c r="D173" s="50">
        <f>(48.637+2.25)*10.764</f>
        <v>547.74766799999998</v>
      </c>
      <c r="E173" s="50">
        <v>0</v>
      </c>
      <c r="F173" s="63">
        <f t="shared" ref="F173:F183" si="11">D173*(($F$148)+1)+(IF(E173&lt;101,E173,IF(E173&lt;201,E173/2,IF(E173&lt;=301,E173/3,E173/4))))</f>
        <v>821.62150199999996</v>
      </c>
      <c r="G173" s="78" t="str">
        <f>A172</f>
        <v>1st to 7th &amp; 9th to 11th Floor for Residential</v>
      </c>
      <c r="H173" s="79"/>
      <c r="I173" s="36">
        <f>(4.65*2.9+2.1*2.45+2.9*3.45+2.9*3.45+2.15*1.2+1.2*1.9+2.9*0.9+2.25*1)*10.764</f>
        <v>520.54704000000004</v>
      </c>
      <c r="J173" s="36">
        <f t="shared" si="6"/>
        <v>5751350.5139999995</v>
      </c>
      <c r="K173" s="62">
        <f t="shared" si="7"/>
        <v>1.5</v>
      </c>
    </row>
    <row r="174" spans="1:16" s="52" customFormat="1" x14ac:dyDescent="0.35">
      <c r="A174" s="78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102 ,.., 1102</v>
      </c>
      <c r="B174" s="79"/>
      <c r="C174" s="50" t="s">
        <v>171</v>
      </c>
      <c r="D174" s="50">
        <f>(31.587+2.25)*10.764</f>
        <v>364.22146800000002</v>
      </c>
      <c r="E174" s="50">
        <v>0</v>
      </c>
      <c r="F174" s="63">
        <f t="shared" si="11"/>
        <v>546.33220200000005</v>
      </c>
      <c r="G174" s="78" t="str">
        <f t="shared" ref="G174:G183" si="12">G173</f>
        <v>1st to 7th &amp; 9th to 11th Floor for Residential</v>
      </c>
      <c r="H174" s="79"/>
      <c r="I174" s="36"/>
      <c r="J174" s="36">
        <f t="shared" si="6"/>
        <v>3824325.4140000003</v>
      </c>
      <c r="K174" s="62">
        <f t="shared" si="7"/>
        <v>1.5</v>
      </c>
    </row>
    <row r="175" spans="1:16" s="52" customFormat="1" ht="15.75" customHeight="1" x14ac:dyDescent="0.35">
      <c r="A175" s="78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103 ,.., 1103</v>
      </c>
      <c r="B175" s="79"/>
      <c r="C175" s="50" t="s">
        <v>171</v>
      </c>
      <c r="D175" s="50">
        <f>(31.587+2.25)*10.764</f>
        <v>364.22146800000002</v>
      </c>
      <c r="E175" s="50">
        <v>0</v>
      </c>
      <c r="F175" s="63">
        <f t="shared" si="11"/>
        <v>546.33220200000005</v>
      </c>
      <c r="G175" s="78" t="str">
        <f t="shared" si="12"/>
        <v>1st to 7th &amp; 9th to 11th Floor for Residential</v>
      </c>
      <c r="H175" s="79"/>
      <c r="I175" s="36"/>
      <c r="J175" s="36">
        <f t="shared" si="6"/>
        <v>3824325.4140000003</v>
      </c>
      <c r="K175" s="62">
        <f t="shared" si="7"/>
        <v>1.5</v>
      </c>
    </row>
    <row r="176" spans="1:16" s="52" customFormat="1" ht="15.75" customHeight="1" x14ac:dyDescent="0.35">
      <c r="A176" s="78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104 ,.., 1104</v>
      </c>
      <c r="B176" s="79"/>
      <c r="C176" s="50" t="s">
        <v>171</v>
      </c>
      <c r="D176" s="50">
        <f>(31.587+2.25)*10.764</f>
        <v>364.22146800000002</v>
      </c>
      <c r="E176" s="50">
        <v>0</v>
      </c>
      <c r="F176" s="63">
        <f t="shared" si="11"/>
        <v>546.33220200000005</v>
      </c>
      <c r="G176" s="78" t="str">
        <f t="shared" si="12"/>
        <v>1st to 7th &amp; 9th to 11th Floor for Residential</v>
      </c>
      <c r="H176" s="79"/>
      <c r="I176" s="36"/>
      <c r="J176" s="36">
        <f t="shared" si="6"/>
        <v>3824325.4140000003</v>
      </c>
      <c r="K176" s="62">
        <f t="shared" si="7"/>
        <v>1.5</v>
      </c>
    </row>
    <row r="177" spans="1:16" s="52" customFormat="1" ht="15.75" customHeight="1" x14ac:dyDescent="0.35">
      <c r="A177" s="78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105 ,.., 1105</v>
      </c>
      <c r="B177" s="79"/>
      <c r="C177" s="50" t="s">
        <v>171</v>
      </c>
      <c r="D177" s="50">
        <f>(31.587+2.25)*10.764</f>
        <v>364.22146800000002</v>
      </c>
      <c r="E177" s="50">
        <v>0</v>
      </c>
      <c r="F177" s="63">
        <f t="shared" si="11"/>
        <v>546.33220200000005</v>
      </c>
      <c r="G177" s="78" t="str">
        <f t="shared" si="12"/>
        <v>1st to 7th &amp; 9th to 11th Floor for Residential</v>
      </c>
      <c r="H177" s="79"/>
      <c r="I177" s="36"/>
      <c r="J177" s="36">
        <f t="shared" si="6"/>
        <v>3824325.4140000003</v>
      </c>
      <c r="K177" s="62">
        <f t="shared" si="7"/>
        <v>1.5</v>
      </c>
    </row>
    <row r="178" spans="1:16" s="52" customFormat="1" ht="15.75" customHeight="1" x14ac:dyDescent="0.35">
      <c r="A178" s="78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106 ,.., 1106</v>
      </c>
      <c r="B178" s="79"/>
      <c r="C178" s="50" t="s">
        <v>170</v>
      </c>
      <c r="D178" s="50">
        <f>(48.637+2.25)*10.764</f>
        <v>547.74766799999998</v>
      </c>
      <c r="E178" s="50">
        <v>0</v>
      </c>
      <c r="F178" s="63">
        <f t="shared" si="11"/>
        <v>821.62150199999996</v>
      </c>
      <c r="G178" s="78" t="str">
        <f t="shared" si="12"/>
        <v>1st to 7th &amp; 9th to 11th Floor for Residential</v>
      </c>
      <c r="H178" s="79"/>
      <c r="I178" s="36"/>
      <c r="J178" s="36">
        <f t="shared" si="6"/>
        <v>5751350.5139999995</v>
      </c>
      <c r="K178" s="62">
        <f t="shared" si="7"/>
        <v>1.5</v>
      </c>
    </row>
    <row r="179" spans="1:16" s="52" customFormat="1" ht="15.75" customHeight="1" x14ac:dyDescent="0.35">
      <c r="A179" s="78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107 ,.., 1107</v>
      </c>
      <c r="B179" s="79"/>
      <c r="C179" s="50" t="s">
        <v>170</v>
      </c>
      <c r="D179" s="50">
        <f>(48.637+2.25)*10.764</f>
        <v>547.74766799999998</v>
      </c>
      <c r="E179" s="50">
        <v>0</v>
      </c>
      <c r="F179" s="63">
        <f t="shared" si="11"/>
        <v>821.62150199999996</v>
      </c>
      <c r="G179" s="78" t="str">
        <f t="shared" si="12"/>
        <v>1st to 7th &amp; 9th to 11th Floor for Residential</v>
      </c>
      <c r="H179" s="79"/>
      <c r="I179" s="36"/>
      <c r="J179" s="36">
        <f t="shared" si="6"/>
        <v>5751350.5139999995</v>
      </c>
      <c r="K179" s="62">
        <f t="shared" si="7"/>
        <v>1.5</v>
      </c>
    </row>
    <row r="180" spans="1:16" s="52" customFormat="1" ht="15.75" customHeight="1" x14ac:dyDescent="0.35">
      <c r="A180" s="78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,..,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108 ,.., 1108</v>
      </c>
      <c r="B180" s="79"/>
      <c r="C180" s="50" t="s">
        <v>171</v>
      </c>
      <c r="D180" s="50">
        <f>(31.587+2.25)*10.764</f>
        <v>364.22146800000002</v>
      </c>
      <c r="E180" s="50">
        <v>0</v>
      </c>
      <c r="F180" s="63">
        <f t="shared" si="11"/>
        <v>546.33220200000005</v>
      </c>
      <c r="G180" s="78" t="str">
        <f t="shared" si="12"/>
        <v>1st to 7th &amp; 9th to 11th Floor for Residential</v>
      </c>
      <c r="H180" s="79"/>
      <c r="I180" s="36"/>
      <c r="J180" s="36">
        <f t="shared" si="6"/>
        <v>3824325.4140000003</v>
      </c>
      <c r="K180" s="62">
        <f t="shared" si="7"/>
        <v>1.5</v>
      </c>
    </row>
    <row r="181" spans="1:16" s="52" customFormat="1" ht="15.75" customHeight="1" x14ac:dyDescent="0.35">
      <c r="A181" s="70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,..,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109 ,.., 1109</v>
      </c>
      <c r="B181" s="70"/>
      <c r="C181" s="65" t="s">
        <v>171</v>
      </c>
      <c r="D181" s="65">
        <f t="shared" ref="D181:D183" si="13">(31.587+2.25)*10.764</f>
        <v>364.22146800000002</v>
      </c>
      <c r="E181" s="65">
        <v>0</v>
      </c>
      <c r="F181" s="65">
        <f t="shared" si="11"/>
        <v>546.33220200000005</v>
      </c>
      <c r="G181" s="70" t="str">
        <f t="shared" si="12"/>
        <v>1st to 7th &amp; 9th to 11th Floor for Residential</v>
      </c>
      <c r="H181" s="70"/>
      <c r="I181" s="36"/>
      <c r="J181" s="36">
        <f t="shared" si="6"/>
        <v>3824325.4140000003</v>
      </c>
      <c r="K181" s="62">
        <f t="shared" si="7"/>
        <v>1.5</v>
      </c>
    </row>
    <row r="182" spans="1:16" s="52" customFormat="1" ht="15.75" customHeight="1" x14ac:dyDescent="0.35">
      <c r="A182" s="70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,..,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110 ,.., 1110</v>
      </c>
      <c r="B182" s="70"/>
      <c r="C182" s="65" t="s">
        <v>171</v>
      </c>
      <c r="D182" s="65">
        <f t="shared" si="13"/>
        <v>364.22146800000002</v>
      </c>
      <c r="E182" s="65">
        <v>0</v>
      </c>
      <c r="F182" s="65">
        <f t="shared" si="11"/>
        <v>546.33220200000005</v>
      </c>
      <c r="G182" s="70" t="str">
        <f t="shared" si="12"/>
        <v>1st to 7th &amp; 9th to 11th Floor for Residential</v>
      </c>
      <c r="H182" s="70"/>
      <c r="I182" s="36"/>
      <c r="J182" s="36">
        <f t="shared" si="6"/>
        <v>3824325.4140000003</v>
      </c>
      <c r="K182" s="62">
        <f t="shared" si="7"/>
        <v>1.5</v>
      </c>
    </row>
    <row r="183" spans="1:16" s="52" customFormat="1" ht="15.75" customHeight="1" x14ac:dyDescent="0.35">
      <c r="A183" s="70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,..,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111 ,.., 1111</v>
      </c>
      <c r="B183" s="70"/>
      <c r="C183" s="65" t="s">
        <v>171</v>
      </c>
      <c r="D183" s="65">
        <f t="shared" si="13"/>
        <v>364.22146800000002</v>
      </c>
      <c r="E183" s="65">
        <v>0</v>
      </c>
      <c r="F183" s="65">
        <f t="shared" si="11"/>
        <v>546.33220200000005</v>
      </c>
      <c r="G183" s="70" t="str">
        <f t="shared" si="12"/>
        <v>1st to 7th &amp; 9th to 11th Floor for Residential</v>
      </c>
      <c r="H183" s="70"/>
      <c r="I183" s="36"/>
      <c r="J183" s="36">
        <f t="shared" si="6"/>
        <v>3824325.4140000003</v>
      </c>
      <c r="K183" s="62">
        <f t="shared" si="7"/>
        <v>1.5</v>
      </c>
    </row>
    <row r="184" spans="1:16" s="52" customFormat="1" ht="15.75" customHeight="1" x14ac:dyDescent="0.35">
      <c r="A184" s="86" t="s">
        <v>172</v>
      </c>
      <c r="B184" s="86"/>
      <c r="C184" s="86"/>
      <c r="D184" s="86"/>
      <c r="E184" s="86"/>
      <c r="F184" s="86"/>
      <c r="G184" s="86"/>
      <c r="H184" s="86"/>
      <c r="I184" s="36"/>
      <c r="J184" s="36">
        <f t="shared" si="6"/>
        <v>0</v>
      </c>
      <c r="K184" s="62" t="e">
        <f t="shared" si="7"/>
        <v>#DIV/0!</v>
      </c>
      <c r="P184" s="37"/>
    </row>
    <row r="185" spans="1:16" s="52" customFormat="1" x14ac:dyDescent="0.35">
      <c r="A185" s="70">
        <v>801</v>
      </c>
      <c r="B185" s="70"/>
      <c r="C185" s="65" t="s">
        <v>170</v>
      </c>
      <c r="D185" s="65">
        <f>(48.637+2.25)*10.764</f>
        <v>547.74766799999998</v>
      </c>
      <c r="E185" s="65">
        <v>0</v>
      </c>
      <c r="F185" s="65">
        <f t="shared" ref="F185:F192" si="14">D185*(($F$148)+1)+(IF(E185&lt;101,E185,IF(E185&lt;201,E185/2,IF(E185&lt;=301,E185/3,E185/4))))</f>
        <v>821.62150199999996</v>
      </c>
      <c r="G185" s="70" t="str">
        <f>A184</f>
        <v>8th Floor (Part Refuge Area)</v>
      </c>
      <c r="H185" s="70"/>
      <c r="I185" s="36">
        <f>(4.65*2.9+2.1*2.45+2.9*3.45+2.9*3.45+2.15*1.2+1.2*1.9+2.9*0.9+2.25*1)*10.764</f>
        <v>520.54704000000004</v>
      </c>
      <c r="J185" s="36">
        <f t="shared" si="6"/>
        <v>5751350.5139999995</v>
      </c>
      <c r="K185" s="62">
        <f t="shared" si="7"/>
        <v>1.5</v>
      </c>
    </row>
    <row r="186" spans="1:16" s="52" customFormat="1" x14ac:dyDescent="0.35">
      <c r="A186" s="70">
        <v>802</v>
      </c>
      <c r="B186" s="70"/>
      <c r="C186" s="65" t="s">
        <v>171</v>
      </c>
      <c r="D186" s="65">
        <f>(31.587+2.25)*10.764</f>
        <v>364.22146800000002</v>
      </c>
      <c r="E186" s="65">
        <v>0</v>
      </c>
      <c r="F186" s="65">
        <f t="shared" si="14"/>
        <v>546.33220200000005</v>
      </c>
      <c r="G186" s="70" t="str">
        <f t="shared" ref="G186:G195" si="15">G185</f>
        <v>8th Floor (Part Refuge Area)</v>
      </c>
      <c r="H186" s="70"/>
      <c r="I186" s="36"/>
      <c r="J186" s="36">
        <f t="shared" si="6"/>
        <v>3824325.4140000003</v>
      </c>
      <c r="K186" s="62">
        <f t="shared" si="7"/>
        <v>1.5</v>
      </c>
    </row>
    <row r="187" spans="1:16" s="52" customFormat="1" ht="15.75" customHeight="1" x14ac:dyDescent="0.35">
      <c r="A187" s="70">
        <v>803</v>
      </c>
      <c r="B187" s="70"/>
      <c r="C187" s="65" t="s">
        <v>171</v>
      </c>
      <c r="D187" s="65">
        <f>(31.587+2.25)*10.764</f>
        <v>364.22146800000002</v>
      </c>
      <c r="E187" s="65">
        <v>0</v>
      </c>
      <c r="F187" s="65">
        <f t="shared" si="14"/>
        <v>546.33220200000005</v>
      </c>
      <c r="G187" s="70" t="str">
        <f t="shared" si="15"/>
        <v>8th Floor (Part Refuge Area)</v>
      </c>
      <c r="H187" s="70"/>
      <c r="I187" s="36"/>
      <c r="J187" s="36">
        <f t="shared" si="6"/>
        <v>3824325.4140000003</v>
      </c>
      <c r="K187" s="62">
        <f t="shared" si="7"/>
        <v>1.5</v>
      </c>
    </row>
    <row r="188" spans="1:16" s="52" customFormat="1" ht="15.75" customHeight="1" x14ac:dyDescent="0.35">
      <c r="A188" s="70">
        <v>804</v>
      </c>
      <c r="B188" s="70"/>
      <c r="C188" s="65" t="s">
        <v>171</v>
      </c>
      <c r="D188" s="65">
        <f>(31.587+2.25)*10.764</f>
        <v>364.22146800000002</v>
      </c>
      <c r="E188" s="65">
        <v>0</v>
      </c>
      <c r="F188" s="65">
        <f t="shared" si="14"/>
        <v>546.33220200000005</v>
      </c>
      <c r="G188" s="70" t="str">
        <f t="shared" si="15"/>
        <v>8th Floor (Part Refuge Area)</v>
      </c>
      <c r="H188" s="70"/>
      <c r="I188" s="36"/>
      <c r="J188" s="36">
        <f t="shared" si="6"/>
        <v>3824325.4140000003</v>
      </c>
      <c r="K188" s="62">
        <f t="shared" si="7"/>
        <v>1.5</v>
      </c>
    </row>
    <row r="189" spans="1:16" s="52" customFormat="1" ht="15.75" customHeight="1" x14ac:dyDescent="0.35">
      <c r="A189" s="70">
        <v>805</v>
      </c>
      <c r="B189" s="70"/>
      <c r="C189" s="65" t="s">
        <v>171</v>
      </c>
      <c r="D189" s="65">
        <f>(31.587+2.25)*10.764</f>
        <v>364.22146800000002</v>
      </c>
      <c r="E189" s="65">
        <v>0</v>
      </c>
      <c r="F189" s="65">
        <f t="shared" si="14"/>
        <v>546.33220200000005</v>
      </c>
      <c r="G189" s="70" t="str">
        <f t="shared" si="15"/>
        <v>8th Floor (Part Refuge Area)</v>
      </c>
      <c r="H189" s="70"/>
      <c r="I189" s="36"/>
      <c r="J189" s="36">
        <f t="shared" si="6"/>
        <v>3824325.4140000003</v>
      </c>
      <c r="K189" s="62">
        <f t="shared" si="7"/>
        <v>1.5</v>
      </c>
    </row>
    <row r="190" spans="1:16" s="52" customFormat="1" ht="15.75" customHeight="1" x14ac:dyDescent="0.35">
      <c r="A190" s="78">
        <v>806</v>
      </c>
      <c r="B190" s="79"/>
      <c r="C190" s="50" t="s">
        <v>170</v>
      </c>
      <c r="D190" s="50">
        <f>(48.637+2.25)*10.764</f>
        <v>547.74766799999998</v>
      </c>
      <c r="E190" s="50">
        <v>0</v>
      </c>
      <c r="F190" s="63">
        <f t="shared" si="14"/>
        <v>821.62150199999996</v>
      </c>
      <c r="G190" s="78" t="str">
        <f t="shared" si="15"/>
        <v>8th Floor (Part Refuge Area)</v>
      </c>
      <c r="H190" s="79"/>
      <c r="I190" s="36"/>
      <c r="J190" s="36">
        <f t="shared" si="6"/>
        <v>5751350.5139999995</v>
      </c>
      <c r="K190" s="62">
        <f t="shared" si="7"/>
        <v>1.5</v>
      </c>
    </row>
    <row r="191" spans="1:16" s="52" customFormat="1" ht="15.75" customHeight="1" x14ac:dyDescent="0.35">
      <c r="A191" s="78">
        <v>807</v>
      </c>
      <c r="B191" s="79"/>
      <c r="C191" s="50" t="s">
        <v>170</v>
      </c>
      <c r="D191" s="50">
        <f>(48.637+2.25)*10.764</f>
        <v>547.74766799999998</v>
      </c>
      <c r="E191" s="50">
        <v>0</v>
      </c>
      <c r="F191" s="63">
        <f t="shared" si="14"/>
        <v>821.62150199999996</v>
      </c>
      <c r="G191" s="78" t="str">
        <f t="shared" si="15"/>
        <v>8th Floor (Part Refuge Area)</v>
      </c>
      <c r="H191" s="79"/>
      <c r="I191" s="36"/>
      <c r="J191" s="36">
        <f t="shared" si="6"/>
        <v>5751350.5139999995</v>
      </c>
      <c r="K191" s="62">
        <f t="shared" si="7"/>
        <v>1.5</v>
      </c>
    </row>
    <row r="192" spans="1:16" s="52" customFormat="1" ht="15.75" customHeight="1" x14ac:dyDescent="0.35">
      <c r="A192" s="78">
        <v>808</v>
      </c>
      <c r="B192" s="79"/>
      <c r="C192" s="50" t="s">
        <v>171</v>
      </c>
      <c r="D192" s="50">
        <f>(31.587+2.25)*10.764</f>
        <v>364.22146800000002</v>
      </c>
      <c r="E192" s="50">
        <v>0</v>
      </c>
      <c r="F192" s="63">
        <f t="shared" si="14"/>
        <v>546.33220200000005</v>
      </c>
      <c r="G192" s="78" t="str">
        <f t="shared" si="15"/>
        <v>8th Floor (Part Refuge Area)</v>
      </c>
      <c r="H192" s="79"/>
      <c r="I192" s="36"/>
      <c r="J192" s="36">
        <f t="shared" si="6"/>
        <v>3824325.4140000003</v>
      </c>
      <c r="K192" s="62">
        <f t="shared" si="7"/>
        <v>1.5</v>
      </c>
    </row>
    <row r="193" spans="1:16" s="52" customFormat="1" ht="15.75" customHeight="1" x14ac:dyDescent="0.35">
      <c r="A193" s="78">
        <v>809</v>
      </c>
      <c r="B193" s="79"/>
      <c r="C193" s="78" t="s">
        <v>173</v>
      </c>
      <c r="D193" s="84"/>
      <c r="E193" s="84"/>
      <c r="F193" s="79"/>
      <c r="G193" s="78" t="str">
        <f t="shared" si="15"/>
        <v>8th Floor (Part Refuge Area)</v>
      </c>
      <c r="H193" s="79"/>
      <c r="I193" s="36"/>
      <c r="J193" s="36">
        <f t="shared" si="6"/>
        <v>0</v>
      </c>
      <c r="K193" s="62" t="e">
        <f t="shared" si="7"/>
        <v>#DIV/0!</v>
      </c>
    </row>
    <row r="194" spans="1:16" s="52" customFormat="1" ht="15.75" customHeight="1" x14ac:dyDescent="0.35">
      <c r="A194" s="78">
        <v>810</v>
      </c>
      <c r="B194" s="79"/>
      <c r="C194" s="50" t="s">
        <v>171</v>
      </c>
      <c r="D194" s="50">
        <f t="shared" ref="D194:D195" si="16">(31.587+2.25)*10.764</f>
        <v>364.22146800000002</v>
      </c>
      <c r="E194" s="50">
        <v>0</v>
      </c>
      <c r="F194" s="63">
        <f t="shared" ref="F194:F195" si="17">D194*(($F$148)+1)+(IF(E194&lt;101,E194,IF(E194&lt;201,E194/2,IF(E194&lt;=301,E194/3,E194/4))))</f>
        <v>546.33220200000005</v>
      </c>
      <c r="G194" s="78" t="str">
        <f t="shared" si="15"/>
        <v>8th Floor (Part Refuge Area)</v>
      </c>
      <c r="H194" s="79"/>
      <c r="I194" s="36"/>
      <c r="J194" s="36">
        <f t="shared" si="6"/>
        <v>3824325.4140000003</v>
      </c>
      <c r="K194" s="62">
        <f t="shared" si="7"/>
        <v>1.5</v>
      </c>
    </row>
    <row r="195" spans="1:16" s="52" customFormat="1" ht="15.75" customHeight="1" x14ac:dyDescent="0.35">
      <c r="A195" s="78">
        <v>811</v>
      </c>
      <c r="B195" s="79"/>
      <c r="C195" s="50" t="s">
        <v>171</v>
      </c>
      <c r="D195" s="50">
        <f t="shared" si="16"/>
        <v>364.22146800000002</v>
      </c>
      <c r="E195" s="50">
        <v>0</v>
      </c>
      <c r="F195" s="63">
        <f t="shared" si="17"/>
        <v>546.33220200000005</v>
      </c>
      <c r="G195" s="78" t="str">
        <f t="shared" si="15"/>
        <v>8th Floor (Part Refuge Area)</v>
      </c>
      <c r="H195" s="79"/>
      <c r="I195" s="36"/>
      <c r="J195" s="36">
        <f t="shared" si="6"/>
        <v>3824325.4140000003</v>
      </c>
      <c r="K195" s="62">
        <f t="shared" si="7"/>
        <v>1.5</v>
      </c>
    </row>
    <row r="196" spans="1:16" x14ac:dyDescent="0.35">
      <c r="A196" s="85" t="s">
        <v>176</v>
      </c>
      <c r="B196" s="85"/>
      <c r="C196" s="85"/>
      <c r="D196" s="85"/>
      <c r="E196" s="85"/>
      <c r="F196" s="85"/>
      <c r="G196" s="85"/>
      <c r="H196" s="85"/>
      <c r="J196" s="36">
        <f t="shared" si="6"/>
        <v>0</v>
      </c>
      <c r="K196" s="62" t="e">
        <f t="shared" si="7"/>
        <v>#DIV/0!</v>
      </c>
    </row>
    <row r="197" spans="1:16" x14ac:dyDescent="0.35">
      <c r="A197" s="85" t="s">
        <v>175</v>
      </c>
      <c r="B197" s="85"/>
      <c r="C197" s="85"/>
      <c r="D197" s="85"/>
      <c r="E197" s="85"/>
      <c r="F197" s="85"/>
      <c r="G197" s="85"/>
      <c r="H197" s="85"/>
      <c r="J197" s="36">
        <f t="shared" si="6"/>
        <v>0</v>
      </c>
      <c r="K197" s="62" t="e">
        <f t="shared" si="7"/>
        <v>#DIV/0!</v>
      </c>
    </row>
    <row r="198" spans="1:16" s="45" customFormat="1" ht="15.75" customHeight="1" x14ac:dyDescent="0.35">
      <c r="A198" s="80" t="s">
        <v>180</v>
      </c>
      <c r="B198" s="81"/>
      <c r="C198" s="81"/>
      <c r="D198" s="81"/>
      <c r="E198" s="81"/>
      <c r="F198" s="81"/>
      <c r="G198" s="81"/>
      <c r="H198" s="82"/>
      <c r="I198" s="36"/>
      <c r="J198" s="36">
        <f t="shared" si="6"/>
        <v>0</v>
      </c>
      <c r="K198" s="62" t="e">
        <f t="shared" si="7"/>
        <v>#DIV/0!</v>
      </c>
      <c r="P198" s="37"/>
    </row>
    <row r="199" spans="1:16" s="45" customFormat="1" x14ac:dyDescent="0.35">
      <c r="A199" s="78">
        <v>101</v>
      </c>
      <c r="B199" s="79"/>
      <c r="C199" s="42" t="s">
        <v>171</v>
      </c>
      <c r="D199" s="42">
        <f t="shared" ref="D199:D204" si="18">(32.587+2.25)*10.764</f>
        <v>374.98546800000003</v>
      </c>
      <c r="E199" s="42">
        <v>0</v>
      </c>
      <c r="F199" s="63">
        <f t="shared" ref="F199:F209" si="19">D199*(($F$148)+1)+(IF(E199&lt;101,E199,IF(E199&lt;201,E199/2,IF(E199&lt;=301,E199/3,E199/4))))</f>
        <v>562.47820200000001</v>
      </c>
      <c r="G199" s="78" t="str">
        <f>A198</f>
        <v>1st Floor for Residential</v>
      </c>
      <c r="H199" s="79"/>
      <c r="I199" s="36">
        <f>4157000/F199</f>
        <v>7390.5086192122335</v>
      </c>
      <c r="J199" s="36">
        <f t="shared" si="6"/>
        <v>3937347.4139999999</v>
      </c>
      <c r="K199" s="62">
        <f t="shared" si="7"/>
        <v>1.5</v>
      </c>
    </row>
    <row r="200" spans="1:16" s="45" customFormat="1" x14ac:dyDescent="0.35">
      <c r="A200" s="78">
        <v>102</v>
      </c>
      <c r="B200" s="79"/>
      <c r="C200" s="42" t="s">
        <v>171</v>
      </c>
      <c r="D200" s="50">
        <f t="shared" si="18"/>
        <v>374.98546800000003</v>
      </c>
      <c r="E200" s="42">
        <v>0</v>
      </c>
      <c r="F200" s="63">
        <f t="shared" si="19"/>
        <v>562.47820200000001</v>
      </c>
      <c r="G200" s="78" t="str">
        <f t="shared" ref="G200:G209" si="20">G199</f>
        <v>1st Floor for Residential</v>
      </c>
      <c r="H200" s="79"/>
      <c r="I200" s="36"/>
      <c r="J200" s="36">
        <f t="shared" si="6"/>
        <v>3937347.4139999999</v>
      </c>
      <c r="K200" s="62">
        <f t="shared" si="7"/>
        <v>1.5</v>
      </c>
    </row>
    <row r="201" spans="1:16" s="45" customFormat="1" ht="15.75" customHeight="1" x14ac:dyDescent="0.35">
      <c r="A201" s="78">
        <v>103</v>
      </c>
      <c r="B201" s="79"/>
      <c r="C201" s="42" t="s">
        <v>171</v>
      </c>
      <c r="D201" s="50">
        <f t="shared" si="18"/>
        <v>374.98546800000003</v>
      </c>
      <c r="E201" s="42">
        <v>0</v>
      </c>
      <c r="F201" s="63">
        <f t="shared" si="19"/>
        <v>562.47820200000001</v>
      </c>
      <c r="G201" s="78" t="str">
        <f t="shared" si="20"/>
        <v>1st Floor for Residential</v>
      </c>
      <c r="H201" s="79"/>
      <c r="I201" s="36"/>
      <c r="J201" s="36">
        <f t="shared" si="6"/>
        <v>3937347.4139999999</v>
      </c>
      <c r="K201" s="62">
        <f t="shared" si="7"/>
        <v>1.5</v>
      </c>
    </row>
    <row r="202" spans="1:16" s="45" customFormat="1" ht="15.75" customHeight="1" x14ac:dyDescent="0.35">
      <c r="A202" s="78">
        <v>104</v>
      </c>
      <c r="B202" s="79"/>
      <c r="C202" s="42" t="s">
        <v>171</v>
      </c>
      <c r="D202" s="50">
        <f t="shared" si="18"/>
        <v>374.98546800000003</v>
      </c>
      <c r="E202" s="42">
        <v>0</v>
      </c>
      <c r="F202" s="63">
        <f t="shared" si="19"/>
        <v>562.47820200000001</v>
      </c>
      <c r="G202" s="78" t="str">
        <f t="shared" si="20"/>
        <v>1st Floor for Residential</v>
      </c>
      <c r="H202" s="79"/>
      <c r="I202" s="36"/>
      <c r="J202" s="36">
        <f t="shared" si="6"/>
        <v>3937347.4139999999</v>
      </c>
      <c r="K202" s="62">
        <f t="shared" si="7"/>
        <v>1.5</v>
      </c>
    </row>
    <row r="203" spans="1:16" s="45" customFormat="1" ht="15.75" customHeight="1" x14ac:dyDescent="0.35">
      <c r="A203" s="78">
        <v>105</v>
      </c>
      <c r="B203" s="79"/>
      <c r="C203" s="42" t="s">
        <v>171</v>
      </c>
      <c r="D203" s="50">
        <f t="shared" si="18"/>
        <v>374.98546800000003</v>
      </c>
      <c r="E203" s="42">
        <v>0</v>
      </c>
      <c r="F203" s="63">
        <f t="shared" si="19"/>
        <v>562.47820200000001</v>
      </c>
      <c r="G203" s="78" t="str">
        <f t="shared" si="20"/>
        <v>1st Floor for Residential</v>
      </c>
      <c r="H203" s="79"/>
      <c r="I203" s="36"/>
      <c r="J203" s="36">
        <f t="shared" si="6"/>
        <v>3937347.4139999999</v>
      </c>
      <c r="K203" s="62">
        <f t="shared" si="7"/>
        <v>1.5</v>
      </c>
    </row>
    <row r="204" spans="1:16" s="52" customFormat="1" ht="15.75" customHeight="1" x14ac:dyDescent="0.35">
      <c r="A204" s="78">
        <v>106</v>
      </c>
      <c r="B204" s="79"/>
      <c r="C204" s="50" t="s">
        <v>171</v>
      </c>
      <c r="D204" s="50">
        <f t="shared" si="18"/>
        <v>374.98546800000003</v>
      </c>
      <c r="E204" s="50">
        <v>0</v>
      </c>
      <c r="F204" s="63">
        <f t="shared" si="19"/>
        <v>562.47820200000001</v>
      </c>
      <c r="G204" s="78" t="str">
        <f t="shared" si="20"/>
        <v>1st Floor for Residential</v>
      </c>
      <c r="H204" s="79"/>
      <c r="I204" s="36"/>
      <c r="J204" s="36">
        <f t="shared" si="6"/>
        <v>3937347.4139999999</v>
      </c>
      <c r="K204" s="62">
        <f t="shared" si="7"/>
        <v>1.5</v>
      </c>
    </row>
    <row r="205" spans="1:16" s="52" customFormat="1" ht="15.75" customHeight="1" x14ac:dyDescent="0.35">
      <c r="A205" s="78">
        <v>107</v>
      </c>
      <c r="B205" s="79"/>
      <c r="C205" s="50" t="s">
        <v>170</v>
      </c>
      <c r="D205" s="50">
        <f>(48.637+2.25)*10.764</f>
        <v>547.74766799999998</v>
      </c>
      <c r="E205" s="50">
        <f>(2.25*2.425)*10.764</f>
        <v>58.731074999999997</v>
      </c>
      <c r="F205" s="63">
        <f t="shared" si="19"/>
        <v>880.352577</v>
      </c>
      <c r="G205" s="78" t="str">
        <f t="shared" si="20"/>
        <v>1st Floor for Residential</v>
      </c>
      <c r="H205" s="79"/>
      <c r="I205" s="36">
        <f>8047000/F205</f>
        <v>9140.6559260858503</v>
      </c>
      <c r="J205" s="36">
        <f t="shared" si="6"/>
        <v>6162468.0389999999</v>
      </c>
      <c r="K205" s="62">
        <f t="shared" si="7"/>
        <v>1.6072228663509345</v>
      </c>
    </row>
    <row r="206" spans="1:16" s="52" customFormat="1" ht="15.75" customHeight="1" x14ac:dyDescent="0.35">
      <c r="A206" s="78">
        <v>108</v>
      </c>
      <c r="B206" s="79"/>
      <c r="C206" s="50" t="s">
        <v>170</v>
      </c>
      <c r="D206" s="50">
        <f>(48.637+2.25)*10.764</f>
        <v>547.74766799999998</v>
      </c>
      <c r="E206" s="50">
        <f>(2.25*2.425)*10.764</f>
        <v>58.731074999999997</v>
      </c>
      <c r="F206" s="63">
        <f t="shared" si="19"/>
        <v>880.352577</v>
      </c>
      <c r="G206" s="78" t="str">
        <f t="shared" si="20"/>
        <v>1st Floor for Residential</v>
      </c>
      <c r="H206" s="79"/>
      <c r="I206" s="36"/>
      <c r="J206" s="36">
        <f t="shared" si="6"/>
        <v>6162468.0389999999</v>
      </c>
      <c r="K206" s="62">
        <f t="shared" si="7"/>
        <v>1.6072228663509345</v>
      </c>
    </row>
    <row r="207" spans="1:16" s="52" customFormat="1" ht="15.75" customHeight="1" x14ac:dyDescent="0.35">
      <c r="A207" s="78">
        <v>109</v>
      </c>
      <c r="B207" s="79"/>
      <c r="C207" s="50" t="s">
        <v>171</v>
      </c>
      <c r="D207" s="50">
        <f>(32.587+2.25)*10.764</f>
        <v>374.98546800000003</v>
      </c>
      <c r="E207" s="50">
        <v>0</v>
      </c>
      <c r="F207" s="63">
        <f t="shared" si="19"/>
        <v>562.47820200000001</v>
      </c>
      <c r="G207" s="78" t="str">
        <f t="shared" si="20"/>
        <v>1st Floor for Residential</v>
      </c>
      <c r="H207" s="79"/>
      <c r="I207" s="36"/>
      <c r="J207" s="36">
        <f t="shared" si="6"/>
        <v>3937347.4139999999</v>
      </c>
      <c r="K207" s="62">
        <f t="shared" si="7"/>
        <v>1.5</v>
      </c>
    </row>
    <row r="208" spans="1:16" s="52" customFormat="1" ht="15.75" customHeight="1" x14ac:dyDescent="0.35">
      <c r="A208" s="78">
        <v>110</v>
      </c>
      <c r="B208" s="79"/>
      <c r="C208" s="50" t="s">
        <v>170</v>
      </c>
      <c r="D208" s="50">
        <f>(48.637+2.25)*10.764</f>
        <v>547.74766799999998</v>
      </c>
      <c r="E208" s="50">
        <v>0</v>
      </c>
      <c r="F208" s="63">
        <f t="shared" si="19"/>
        <v>821.62150199999996</v>
      </c>
      <c r="G208" s="78" t="str">
        <f t="shared" si="20"/>
        <v>1st Floor for Residential</v>
      </c>
      <c r="H208" s="79"/>
      <c r="I208" s="36"/>
      <c r="J208" s="36">
        <f t="shared" si="6"/>
        <v>5751350.5139999995</v>
      </c>
      <c r="K208" s="62">
        <f t="shared" si="7"/>
        <v>1.5</v>
      </c>
    </row>
    <row r="209" spans="1:16" s="52" customFormat="1" ht="15.75" customHeight="1" x14ac:dyDescent="0.35">
      <c r="A209" s="78">
        <v>111</v>
      </c>
      <c r="B209" s="79"/>
      <c r="C209" s="50" t="s">
        <v>170</v>
      </c>
      <c r="D209" s="50">
        <f>(48.637+2.25)*10.764</f>
        <v>547.74766799999998</v>
      </c>
      <c r="E209" s="50">
        <v>0</v>
      </c>
      <c r="F209" s="63">
        <f t="shared" si="19"/>
        <v>821.62150199999996</v>
      </c>
      <c r="G209" s="78" t="str">
        <f t="shared" si="20"/>
        <v>1st Floor for Residential</v>
      </c>
      <c r="H209" s="79"/>
      <c r="I209" s="36"/>
      <c r="J209" s="36">
        <f t="shared" si="6"/>
        <v>5751350.5139999995</v>
      </c>
      <c r="K209" s="62">
        <f t="shared" si="7"/>
        <v>1.5</v>
      </c>
    </row>
    <row r="210" spans="1:16" s="52" customFormat="1" ht="15.75" customHeight="1" x14ac:dyDescent="0.35">
      <c r="A210" s="80" t="s">
        <v>179</v>
      </c>
      <c r="B210" s="81"/>
      <c r="C210" s="81"/>
      <c r="D210" s="81"/>
      <c r="E210" s="81"/>
      <c r="F210" s="81"/>
      <c r="G210" s="81"/>
      <c r="H210" s="82"/>
      <c r="I210" s="36"/>
      <c r="J210" s="36">
        <f t="shared" si="6"/>
        <v>0</v>
      </c>
      <c r="K210" s="62" t="e">
        <f t="shared" si="7"/>
        <v>#DIV/0!</v>
      </c>
      <c r="P210" s="37"/>
    </row>
    <row r="211" spans="1:16" s="52" customFormat="1" x14ac:dyDescent="0.35">
      <c r="A211" s="78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10^ROW(INDIRECT("1:"&amp;LEN((LEFT(A210,SUM(LEN(A210)-LEN(SUBSTITUTE(A210,{"0","1","2"},""))))))))/10))*100+1&amp;""&amp;" ,..,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",LEN(A210))),LEN(A210)))))))/10))*100+1</f>
        <v>201 ,.., 1101</v>
      </c>
      <c r="B211" s="79"/>
      <c r="C211" s="50" t="s">
        <v>171</v>
      </c>
      <c r="D211" s="50">
        <f>(31.587+2.25)*10.764</f>
        <v>364.22146800000002</v>
      </c>
      <c r="E211" s="50">
        <v>0</v>
      </c>
      <c r="F211" s="63">
        <f t="shared" ref="F211:F221" si="21">D211*(($F$148)+1)+(IF(E211&lt;101,E211,IF(E211&lt;201,E211/2,IF(E211&lt;=301,E211/3,E211/4))))</f>
        <v>546.33220200000005</v>
      </c>
      <c r="G211" s="78" t="str">
        <f>A210</f>
        <v>2nd to 7th &amp; 9th to 11th Floor</v>
      </c>
      <c r="H211" s="79"/>
      <c r="I211" s="36"/>
      <c r="J211" s="36">
        <f t="shared" si="6"/>
        <v>3824325.4140000003</v>
      </c>
      <c r="K211" s="62">
        <f t="shared" si="7"/>
        <v>1.5</v>
      </c>
    </row>
    <row r="212" spans="1:16" s="52" customFormat="1" x14ac:dyDescent="0.35">
      <c r="A212" s="78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,..,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202 ,.., 1102</v>
      </c>
      <c r="B212" s="79"/>
      <c r="C212" s="50" t="s">
        <v>171</v>
      </c>
      <c r="D212" s="50">
        <f t="shared" ref="D212:D216" si="22">(31.587+2.25)*10.764</f>
        <v>364.22146800000002</v>
      </c>
      <c r="E212" s="50">
        <v>0</v>
      </c>
      <c r="F212" s="63">
        <f t="shared" si="21"/>
        <v>546.33220200000005</v>
      </c>
      <c r="G212" s="78" t="str">
        <f t="shared" ref="G212:G221" si="23">G211</f>
        <v>2nd to 7th &amp; 9th to 11th Floor</v>
      </c>
      <c r="H212" s="79"/>
      <c r="I212" s="36"/>
      <c r="J212" s="36">
        <f t="shared" si="6"/>
        <v>3824325.4140000003</v>
      </c>
      <c r="K212" s="62">
        <f t="shared" si="7"/>
        <v>1.5</v>
      </c>
    </row>
    <row r="213" spans="1:16" s="52" customFormat="1" ht="15.75" customHeight="1" x14ac:dyDescent="0.35">
      <c r="A213" s="78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,..,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203 ,.., 1103</v>
      </c>
      <c r="B213" s="79"/>
      <c r="C213" s="50" t="s">
        <v>171</v>
      </c>
      <c r="D213" s="50">
        <f t="shared" si="22"/>
        <v>364.22146800000002</v>
      </c>
      <c r="E213" s="50">
        <v>0</v>
      </c>
      <c r="F213" s="63">
        <f t="shared" si="21"/>
        <v>546.33220200000005</v>
      </c>
      <c r="G213" s="78" t="str">
        <f t="shared" si="23"/>
        <v>2nd to 7th &amp; 9th to 11th Floor</v>
      </c>
      <c r="H213" s="79"/>
      <c r="I213" s="36"/>
      <c r="J213" s="36">
        <f t="shared" si="6"/>
        <v>3824325.4140000003</v>
      </c>
      <c r="K213" s="62">
        <f t="shared" si="7"/>
        <v>1.5</v>
      </c>
    </row>
    <row r="214" spans="1:16" s="52" customFormat="1" ht="15.75" customHeight="1" x14ac:dyDescent="0.35">
      <c r="A214" s="78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,..,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204 ,.., 1104</v>
      </c>
      <c r="B214" s="79"/>
      <c r="C214" s="50" t="s">
        <v>171</v>
      </c>
      <c r="D214" s="50">
        <f t="shared" si="22"/>
        <v>364.22146800000002</v>
      </c>
      <c r="E214" s="50">
        <v>0</v>
      </c>
      <c r="F214" s="63">
        <f t="shared" si="21"/>
        <v>546.33220200000005</v>
      </c>
      <c r="G214" s="78" t="str">
        <f t="shared" si="23"/>
        <v>2nd to 7th &amp; 9th to 11th Floor</v>
      </c>
      <c r="H214" s="79"/>
      <c r="I214" s="36"/>
      <c r="J214" s="36">
        <f t="shared" ref="J214:J217" si="24">F214*7100</f>
        <v>3878958.6342000002</v>
      </c>
      <c r="K214" s="62">
        <f t="shared" si="7"/>
        <v>1.5</v>
      </c>
    </row>
    <row r="215" spans="1:16" s="52" customFormat="1" ht="15.75" customHeight="1" x14ac:dyDescent="0.35">
      <c r="A215" s="78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,..,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205 ,.., 1105</v>
      </c>
      <c r="B215" s="79"/>
      <c r="C215" s="50" t="s">
        <v>171</v>
      </c>
      <c r="D215" s="50">
        <f t="shared" si="22"/>
        <v>364.22146800000002</v>
      </c>
      <c r="E215" s="50">
        <v>0</v>
      </c>
      <c r="F215" s="63">
        <f t="shared" si="21"/>
        <v>546.33220200000005</v>
      </c>
      <c r="G215" s="78" t="str">
        <f t="shared" si="23"/>
        <v>2nd to 7th &amp; 9th to 11th Floor</v>
      </c>
      <c r="H215" s="79"/>
      <c r="I215" s="36"/>
      <c r="J215" s="36">
        <f t="shared" si="24"/>
        <v>3878958.6342000002</v>
      </c>
      <c r="K215" s="62">
        <f t="shared" si="7"/>
        <v>1.5</v>
      </c>
    </row>
    <row r="216" spans="1:16" s="52" customFormat="1" ht="15.75" customHeight="1" x14ac:dyDescent="0.35">
      <c r="A216" s="78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,..,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206 ,.., 1106</v>
      </c>
      <c r="B216" s="79"/>
      <c r="C216" s="50" t="s">
        <v>171</v>
      </c>
      <c r="D216" s="50">
        <f t="shared" si="22"/>
        <v>364.22146800000002</v>
      </c>
      <c r="E216" s="50">
        <v>0</v>
      </c>
      <c r="F216" s="63">
        <f t="shared" si="21"/>
        <v>546.33220200000005</v>
      </c>
      <c r="G216" s="78" t="str">
        <f t="shared" si="23"/>
        <v>2nd to 7th &amp; 9th to 11th Floor</v>
      </c>
      <c r="H216" s="79"/>
      <c r="I216" s="36"/>
      <c r="J216" s="36">
        <f t="shared" si="24"/>
        <v>3878958.6342000002</v>
      </c>
      <c r="K216" s="62">
        <f t="shared" si="7"/>
        <v>1.5</v>
      </c>
    </row>
    <row r="217" spans="1:16" s="52" customFormat="1" ht="15.75" customHeight="1" x14ac:dyDescent="0.35">
      <c r="A217" s="78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,..,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207 ,.., 1107</v>
      </c>
      <c r="B217" s="79"/>
      <c r="C217" s="50" t="s">
        <v>170</v>
      </c>
      <c r="D217" s="50">
        <f>(48.637+2.25)*10.764</f>
        <v>547.74766799999998</v>
      </c>
      <c r="E217" s="50">
        <v>0</v>
      </c>
      <c r="F217" s="63">
        <f t="shared" si="21"/>
        <v>821.62150199999996</v>
      </c>
      <c r="G217" s="78" t="str">
        <f t="shared" si="23"/>
        <v>2nd to 7th &amp; 9th to 11th Floor</v>
      </c>
      <c r="H217" s="79"/>
      <c r="I217" s="36">
        <f>8041000/F217</f>
        <v>9786.7448459254174</v>
      </c>
      <c r="J217" s="36">
        <f t="shared" si="24"/>
        <v>5833512.6641999995</v>
      </c>
      <c r="K217" s="62">
        <f t="shared" si="7"/>
        <v>1.5</v>
      </c>
    </row>
    <row r="218" spans="1:16" s="52" customFormat="1" ht="15.75" customHeight="1" x14ac:dyDescent="0.35">
      <c r="A218" s="78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,..,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208 ,.., 1108</v>
      </c>
      <c r="B218" s="79"/>
      <c r="C218" s="50" t="s">
        <v>170</v>
      </c>
      <c r="D218" s="50">
        <f>(48.637+2.25)*10.764</f>
        <v>547.74766799999998</v>
      </c>
      <c r="E218" s="50">
        <v>0</v>
      </c>
      <c r="F218" s="63">
        <f t="shared" si="21"/>
        <v>821.62150199999996</v>
      </c>
      <c r="G218" s="78" t="str">
        <f t="shared" si="23"/>
        <v>2nd to 7th &amp; 9th to 11th Floor</v>
      </c>
      <c r="H218" s="79"/>
      <c r="I218" s="36"/>
      <c r="J218" s="36">
        <f t="shared" ref="J218:J231" si="25">F218*7100</f>
        <v>5833512.6641999995</v>
      </c>
      <c r="K218" s="62">
        <f t="shared" ref="K218:K233" si="26">F218/D218</f>
        <v>1.5</v>
      </c>
    </row>
    <row r="219" spans="1:16" s="52" customFormat="1" ht="15.75" customHeight="1" x14ac:dyDescent="0.35">
      <c r="A219" s="78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,..,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209 ,.., 1109</v>
      </c>
      <c r="B219" s="79"/>
      <c r="C219" s="50" t="s">
        <v>171</v>
      </c>
      <c r="D219" s="50">
        <f t="shared" ref="D219" si="27">(31.587+2.25)*10.764</f>
        <v>364.22146800000002</v>
      </c>
      <c r="E219" s="50">
        <v>0</v>
      </c>
      <c r="F219" s="63">
        <f t="shared" si="21"/>
        <v>546.33220200000005</v>
      </c>
      <c r="G219" s="78" t="str">
        <f t="shared" si="23"/>
        <v>2nd to 7th &amp; 9th to 11th Floor</v>
      </c>
      <c r="H219" s="79"/>
      <c r="I219" s="36"/>
      <c r="J219" s="36">
        <f t="shared" si="25"/>
        <v>3878958.6342000002</v>
      </c>
      <c r="K219" s="62">
        <f t="shared" si="26"/>
        <v>1.5</v>
      </c>
    </row>
    <row r="220" spans="1:16" s="52" customFormat="1" ht="15.75" customHeight="1" x14ac:dyDescent="0.35">
      <c r="A220" s="78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,..,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210 ,.., 1110</v>
      </c>
      <c r="B220" s="79"/>
      <c r="C220" s="50" t="s">
        <v>170</v>
      </c>
      <c r="D220" s="50">
        <f>(48.637+2.25)*10.764</f>
        <v>547.74766799999998</v>
      </c>
      <c r="E220" s="50">
        <v>0</v>
      </c>
      <c r="F220" s="63">
        <f t="shared" si="21"/>
        <v>821.62150199999996</v>
      </c>
      <c r="G220" s="78" t="str">
        <f t="shared" si="23"/>
        <v>2nd to 7th &amp; 9th to 11th Floor</v>
      </c>
      <c r="H220" s="79"/>
      <c r="I220" s="36"/>
      <c r="J220" s="36">
        <f t="shared" si="25"/>
        <v>5833512.6641999995</v>
      </c>
      <c r="K220" s="62">
        <f t="shared" si="26"/>
        <v>1.5</v>
      </c>
    </row>
    <row r="221" spans="1:16" s="52" customFormat="1" ht="15.75" customHeight="1" x14ac:dyDescent="0.35">
      <c r="A221" s="78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,..,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211 ,.., 1111</v>
      </c>
      <c r="B221" s="79"/>
      <c r="C221" s="50" t="s">
        <v>170</v>
      </c>
      <c r="D221" s="50">
        <f>(48.637+2.25)*10.764</f>
        <v>547.74766799999998</v>
      </c>
      <c r="E221" s="50">
        <v>0</v>
      </c>
      <c r="F221" s="63">
        <f t="shared" si="21"/>
        <v>821.62150199999996</v>
      </c>
      <c r="G221" s="78" t="str">
        <f t="shared" si="23"/>
        <v>2nd to 7th &amp; 9th to 11th Floor</v>
      </c>
      <c r="H221" s="79"/>
      <c r="I221" s="36"/>
      <c r="J221" s="36">
        <f t="shared" si="25"/>
        <v>5833512.6641999995</v>
      </c>
      <c r="K221" s="62">
        <f t="shared" si="26"/>
        <v>1.5</v>
      </c>
    </row>
    <row r="222" spans="1:16" s="45" customFormat="1" x14ac:dyDescent="0.35">
      <c r="A222" s="86" t="s">
        <v>172</v>
      </c>
      <c r="B222" s="86"/>
      <c r="C222" s="86"/>
      <c r="D222" s="86"/>
      <c r="E222" s="86"/>
      <c r="F222" s="86"/>
      <c r="G222" s="86"/>
      <c r="H222" s="86"/>
      <c r="I222" s="36"/>
      <c r="J222" s="36">
        <f t="shared" si="25"/>
        <v>0</v>
      </c>
      <c r="K222" s="62" t="e">
        <f t="shared" si="26"/>
        <v>#DIV/0!</v>
      </c>
      <c r="L222" s="83"/>
      <c r="M222" s="83"/>
    </row>
    <row r="223" spans="1:16" s="45" customFormat="1" x14ac:dyDescent="0.35">
      <c r="A223" s="70">
        <f>LEFT(A222,SUM(LEN(A222)-LEN(SUBSTITUTE(A222,{"0","1","2","3","4","5","6","7","8","9"},""))))*100+1</f>
        <v>801</v>
      </c>
      <c r="B223" s="70"/>
      <c r="C223" s="65" t="s">
        <v>171</v>
      </c>
      <c r="D223" s="65">
        <f>(31.587+2.25)*10.764</f>
        <v>364.22146800000002</v>
      </c>
      <c r="E223" s="65">
        <v>0</v>
      </c>
      <c r="F223" s="65">
        <f t="shared" ref="F223:F226" si="28">D223*(($F$148)+1)+(IF(E223&lt;101,E223,IF(E223&lt;201,E223/2,IF(E223&lt;=301,E223/3,E223/4))))</f>
        <v>546.33220200000005</v>
      </c>
      <c r="G223" s="70" t="str">
        <f>A222</f>
        <v>8th Floor (Part Refuge Area)</v>
      </c>
      <c r="H223" s="70"/>
      <c r="I223" s="36"/>
      <c r="J223" s="36">
        <f t="shared" si="25"/>
        <v>3878958.6342000002</v>
      </c>
      <c r="K223" s="62">
        <f t="shared" si="26"/>
        <v>1.5</v>
      </c>
      <c r="N223" s="36"/>
    </row>
    <row r="224" spans="1:16" s="45" customFormat="1" x14ac:dyDescent="0.35">
      <c r="A224" s="70">
        <f t="shared" ref="A224:A233" si="29">A223+1</f>
        <v>802</v>
      </c>
      <c r="B224" s="70"/>
      <c r="C224" s="65" t="s">
        <v>171</v>
      </c>
      <c r="D224" s="65">
        <f t="shared" ref="D224:D228" si="30">(31.587+2.25)*10.764</f>
        <v>364.22146800000002</v>
      </c>
      <c r="E224" s="65">
        <v>0</v>
      </c>
      <c r="F224" s="65">
        <f t="shared" si="28"/>
        <v>546.33220200000005</v>
      </c>
      <c r="G224" s="70" t="str">
        <f t="shared" ref="G224:G233" si="31">G223</f>
        <v>8th Floor (Part Refuge Area)</v>
      </c>
      <c r="H224" s="70"/>
      <c r="I224" s="36"/>
      <c r="J224" s="36">
        <f t="shared" si="25"/>
        <v>3878958.6342000002</v>
      </c>
      <c r="K224" s="62">
        <f t="shared" si="26"/>
        <v>1.5</v>
      </c>
      <c r="N224" s="36"/>
    </row>
    <row r="225" spans="1:14" s="45" customFormat="1" x14ac:dyDescent="0.35">
      <c r="A225" s="70">
        <f t="shared" si="29"/>
        <v>803</v>
      </c>
      <c r="B225" s="70"/>
      <c r="C225" s="65" t="s">
        <v>171</v>
      </c>
      <c r="D225" s="65">
        <f t="shared" si="30"/>
        <v>364.22146800000002</v>
      </c>
      <c r="E225" s="65">
        <v>0</v>
      </c>
      <c r="F225" s="65">
        <f t="shared" si="28"/>
        <v>546.33220200000005</v>
      </c>
      <c r="G225" s="70" t="str">
        <f t="shared" si="31"/>
        <v>8th Floor (Part Refuge Area)</v>
      </c>
      <c r="H225" s="70"/>
      <c r="I225" s="36"/>
      <c r="J225" s="36">
        <f t="shared" si="25"/>
        <v>3878958.6342000002</v>
      </c>
      <c r="K225" s="62">
        <f t="shared" si="26"/>
        <v>1.5</v>
      </c>
      <c r="N225" s="36"/>
    </row>
    <row r="226" spans="1:14" s="45" customFormat="1" x14ac:dyDescent="0.35">
      <c r="A226" s="70">
        <f t="shared" si="29"/>
        <v>804</v>
      </c>
      <c r="B226" s="70"/>
      <c r="C226" s="65" t="s">
        <v>171</v>
      </c>
      <c r="D226" s="65">
        <f t="shared" si="30"/>
        <v>364.22146800000002</v>
      </c>
      <c r="E226" s="65">
        <v>0</v>
      </c>
      <c r="F226" s="65">
        <f t="shared" si="28"/>
        <v>546.33220200000005</v>
      </c>
      <c r="G226" s="70" t="str">
        <f t="shared" si="31"/>
        <v>8th Floor (Part Refuge Area)</v>
      </c>
      <c r="H226" s="70"/>
      <c r="I226" s="36"/>
      <c r="J226" s="36">
        <f t="shared" si="25"/>
        <v>3878958.6342000002</v>
      </c>
      <c r="K226" s="62">
        <f t="shared" si="26"/>
        <v>1.5</v>
      </c>
      <c r="N226" s="36"/>
    </row>
    <row r="227" spans="1:14" s="45" customFormat="1" x14ac:dyDescent="0.35">
      <c r="A227" s="70">
        <f t="shared" si="29"/>
        <v>805</v>
      </c>
      <c r="B227" s="70"/>
      <c r="C227" s="70" t="s">
        <v>173</v>
      </c>
      <c r="D227" s="70"/>
      <c r="E227" s="70"/>
      <c r="F227" s="70"/>
      <c r="G227" s="70" t="str">
        <f t="shared" si="31"/>
        <v>8th Floor (Part Refuge Area)</v>
      </c>
      <c r="H227" s="70"/>
      <c r="I227" s="36"/>
      <c r="J227" s="36">
        <f t="shared" si="25"/>
        <v>0</v>
      </c>
      <c r="K227" s="62" t="e">
        <f t="shared" si="26"/>
        <v>#DIV/0!</v>
      </c>
      <c r="N227" s="36"/>
    </row>
    <row r="228" spans="1:14" s="52" customFormat="1" x14ac:dyDescent="0.35">
      <c r="A228" s="70">
        <f t="shared" si="29"/>
        <v>806</v>
      </c>
      <c r="B228" s="70"/>
      <c r="C228" s="65" t="s">
        <v>171</v>
      </c>
      <c r="D228" s="65">
        <f t="shared" si="30"/>
        <v>364.22146800000002</v>
      </c>
      <c r="E228" s="65">
        <v>0</v>
      </c>
      <c r="F228" s="65">
        <f t="shared" ref="F228:F233" si="32">D228*(($F$148)+1)+(IF(E228&lt;101,E228,IF(E228&lt;201,E228/2,IF(E228&lt;=301,E228/3,E228/4))))</f>
        <v>546.33220200000005</v>
      </c>
      <c r="G228" s="70" t="str">
        <f t="shared" si="31"/>
        <v>8th Floor (Part Refuge Area)</v>
      </c>
      <c r="H228" s="70"/>
      <c r="I228" s="36"/>
      <c r="J228" s="36">
        <f t="shared" si="25"/>
        <v>3878958.6342000002</v>
      </c>
      <c r="K228" s="62">
        <f t="shared" si="26"/>
        <v>1.5</v>
      </c>
      <c r="N228" s="36"/>
    </row>
    <row r="229" spans="1:14" s="52" customFormat="1" x14ac:dyDescent="0.35">
      <c r="A229" s="70">
        <f t="shared" si="29"/>
        <v>807</v>
      </c>
      <c r="B229" s="70"/>
      <c r="C229" s="65" t="s">
        <v>170</v>
      </c>
      <c r="D229" s="65">
        <f>(48.637+2.25)*10.764</f>
        <v>547.74766799999998</v>
      </c>
      <c r="E229" s="65">
        <v>0</v>
      </c>
      <c r="F229" s="65">
        <f t="shared" si="32"/>
        <v>821.62150199999996</v>
      </c>
      <c r="G229" s="70" t="str">
        <f t="shared" si="31"/>
        <v>8th Floor (Part Refuge Area)</v>
      </c>
      <c r="H229" s="70"/>
      <c r="I229" s="36"/>
      <c r="J229" s="36">
        <f t="shared" si="25"/>
        <v>5833512.6641999995</v>
      </c>
      <c r="K229" s="62">
        <f t="shared" si="26"/>
        <v>1.5</v>
      </c>
      <c r="N229" s="36"/>
    </row>
    <row r="230" spans="1:14" s="52" customFormat="1" x14ac:dyDescent="0.35">
      <c r="A230" s="70">
        <f t="shared" si="29"/>
        <v>808</v>
      </c>
      <c r="B230" s="70"/>
      <c r="C230" s="65" t="s">
        <v>170</v>
      </c>
      <c r="D230" s="65">
        <f>(48.637+2.25)*10.764</f>
        <v>547.74766799999998</v>
      </c>
      <c r="E230" s="65">
        <v>0</v>
      </c>
      <c r="F230" s="65">
        <f t="shared" si="32"/>
        <v>821.62150199999996</v>
      </c>
      <c r="G230" s="70" t="str">
        <f t="shared" si="31"/>
        <v>8th Floor (Part Refuge Area)</v>
      </c>
      <c r="H230" s="70"/>
      <c r="I230" s="36"/>
      <c r="J230" s="36">
        <f t="shared" si="25"/>
        <v>5833512.6641999995</v>
      </c>
      <c r="K230" s="62">
        <f t="shared" si="26"/>
        <v>1.5</v>
      </c>
      <c r="N230" s="36"/>
    </row>
    <row r="231" spans="1:14" s="52" customFormat="1" x14ac:dyDescent="0.35">
      <c r="A231" s="70">
        <f t="shared" si="29"/>
        <v>809</v>
      </c>
      <c r="B231" s="70"/>
      <c r="C231" s="50" t="s">
        <v>171</v>
      </c>
      <c r="D231" s="50">
        <f t="shared" ref="D231" si="33">(31.587+2.25)*10.764</f>
        <v>364.22146800000002</v>
      </c>
      <c r="E231" s="50">
        <v>0</v>
      </c>
      <c r="F231" s="63">
        <f t="shared" si="32"/>
        <v>546.33220200000005</v>
      </c>
      <c r="G231" s="70" t="str">
        <f t="shared" si="31"/>
        <v>8th Floor (Part Refuge Area)</v>
      </c>
      <c r="H231" s="70"/>
      <c r="I231" s="36"/>
      <c r="J231" s="36">
        <f t="shared" si="25"/>
        <v>3878958.6342000002</v>
      </c>
      <c r="K231" s="62">
        <f t="shared" si="26"/>
        <v>1.5</v>
      </c>
      <c r="N231" s="36"/>
    </row>
    <row r="232" spans="1:14" s="52" customFormat="1" x14ac:dyDescent="0.35">
      <c r="A232" s="70">
        <f t="shared" si="29"/>
        <v>810</v>
      </c>
      <c r="B232" s="70"/>
      <c r="C232" s="50" t="s">
        <v>170</v>
      </c>
      <c r="D232" s="50">
        <f>(48.637+2.25)*10.764</f>
        <v>547.74766799999998</v>
      </c>
      <c r="E232" s="50">
        <v>0</v>
      </c>
      <c r="F232" s="63">
        <f t="shared" si="32"/>
        <v>821.62150199999996</v>
      </c>
      <c r="G232" s="70" t="str">
        <f t="shared" si="31"/>
        <v>8th Floor (Part Refuge Area)</v>
      </c>
      <c r="H232" s="70"/>
      <c r="I232" s="36"/>
      <c r="K232" s="62">
        <f t="shared" si="26"/>
        <v>1.5</v>
      </c>
      <c r="N232" s="36"/>
    </row>
    <row r="233" spans="1:14" s="52" customFormat="1" x14ac:dyDescent="0.35">
      <c r="A233" s="69">
        <f t="shared" si="29"/>
        <v>811</v>
      </c>
      <c r="B233" s="69"/>
      <c r="C233" s="59" t="s">
        <v>170</v>
      </c>
      <c r="D233" s="59">
        <f>(48.637+2.25)*10.764</f>
        <v>547.74766799999998</v>
      </c>
      <c r="E233" s="59">
        <v>0</v>
      </c>
      <c r="F233" s="63">
        <f t="shared" si="32"/>
        <v>821.62150199999996</v>
      </c>
      <c r="G233" s="69" t="str">
        <f t="shared" si="31"/>
        <v>8th Floor (Part Refuge Area)</v>
      </c>
      <c r="H233" s="69"/>
      <c r="I233" s="36"/>
      <c r="K233" s="62">
        <f t="shared" si="26"/>
        <v>1.5</v>
      </c>
      <c r="N233" s="36"/>
    </row>
    <row r="234" spans="1:14" s="35" customFormat="1" x14ac:dyDescent="0.35">
      <c r="A234" s="126" t="s">
        <v>69</v>
      </c>
      <c r="B234" s="126"/>
      <c r="C234" s="126"/>
      <c r="D234" s="126"/>
      <c r="E234" s="126"/>
      <c r="F234" s="126"/>
      <c r="G234" s="126"/>
      <c r="H234" s="126"/>
    </row>
    <row r="235" spans="1:14" s="35" customFormat="1" ht="32.5" customHeight="1" x14ac:dyDescent="0.35">
      <c r="A235" s="60" t="s">
        <v>155</v>
      </c>
      <c r="B235" s="107" t="s">
        <v>220</v>
      </c>
      <c r="C235" s="160"/>
      <c r="D235" s="160"/>
      <c r="E235" s="160"/>
      <c r="F235" s="160"/>
      <c r="G235" s="160"/>
      <c r="H235" s="161"/>
    </row>
    <row r="236" spans="1:14" s="35" customFormat="1" x14ac:dyDescent="0.35">
      <c r="A236" s="60" t="s">
        <v>155</v>
      </c>
      <c r="B236" s="107" t="str">
        <f>(IF(F147="Saleable area Loading :","We have considered Saleable area of Flats as per our Calculation.","We considered Saleable area of Flat as per Builder area Sheet."))</f>
        <v>We have considered Saleable area of Flats as per our Calculation.</v>
      </c>
      <c r="C236" s="108"/>
      <c r="D236" s="108"/>
      <c r="E236" s="108"/>
      <c r="F236" s="108"/>
      <c r="G236" s="108"/>
      <c r="H236" s="109"/>
    </row>
    <row r="237" spans="1:14" s="35" customFormat="1" x14ac:dyDescent="0.35">
      <c r="A237" s="44" t="s">
        <v>155</v>
      </c>
      <c r="B237" s="107" t="str">
        <f>(IF(F133="Saleable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7" s="108"/>
      <c r="D237" s="108"/>
      <c r="E237" s="108"/>
      <c r="F237" s="108"/>
      <c r="G237" s="108"/>
      <c r="H237" s="109"/>
    </row>
    <row r="238" spans="1:14" s="35" customFormat="1" x14ac:dyDescent="0.35">
      <c r="A238" s="44" t="s">
        <v>155</v>
      </c>
      <c r="B238" s="157" t="s">
        <v>126</v>
      </c>
      <c r="C238" s="158"/>
      <c r="D238" s="158"/>
      <c r="E238" s="158"/>
      <c r="F238" s="158"/>
      <c r="G238" s="158"/>
      <c r="H238" s="159"/>
    </row>
    <row r="239" spans="1:14" s="35" customFormat="1" x14ac:dyDescent="0.35">
      <c r="A239" s="44" t="s">
        <v>155</v>
      </c>
      <c r="B239" s="157" t="s">
        <v>201</v>
      </c>
      <c r="C239" s="158"/>
      <c r="D239" s="158"/>
      <c r="E239" s="158"/>
      <c r="F239" s="158"/>
      <c r="G239" s="158"/>
      <c r="H239" s="159"/>
    </row>
    <row r="240" spans="1:14" s="35" customFormat="1" x14ac:dyDescent="0.35">
      <c r="A240" s="44" t="s">
        <v>155</v>
      </c>
      <c r="B240" s="157" t="s">
        <v>154</v>
      </c>
      <c r="C240" s="158"/>
      <c r="D240" s="158"/>
      <c r="E240" s="158"/>
      <c r="F240" s="158"/>
      <c r="G240" s="158"/>
      <c r="H240" s="159"/>
    </row>
    <row r="241" spans="1:8" s="35" customFormat="1" x14ac:dyDescent="0.35">
      <c r="A241" s="44" t="s">
        <v>155</v>
      </c>
      <c r="B241" s="157" t="s">
        <v>127</v>
      </c>
      <c r="C241" s="158"/>
      <c r="D241" s="158"/>
      <c r="E241" s="158"/>
      <c r="F241" s="158"/>
      <c r="G241" s="158"/>
      <c r="H241" s="159"/>
    </row>
    <row r="242" spans="1:8" s="35" customFormat="1" ht="34.5" customHeight="1" x14ac:dyDescent="0.35">
      <c r="A242" s="44" t="s">
        <v>155</v>
      </c>
      <c r="B242" s="157" t="s">
        <v>156</v>
      </c>
      <c r="C242" s="158"/>
      <c r="D242" s="158"/>
      <c r="E242" s="158"/>
      <c r="F242" s="158"/>
      <c r="G242" s="158"/>
      <c r="H242" s="159"/>
    </row>
    <row r="243" spans="1:8" s="35" customFormat="1" x14ac:dyDescent="0.35">
      <c r="A243" s="60" t="s">
        <v>155</v>
      </c>
      <c r="B243" s="107" t="s">
        <v>128</v>
      </c>
      <c r="C243" s="108"/>
      <c r="D243" s="108"/>
      <c r="E243" s="108"/>
      <c r="F243" s="108"/>
      <c r="G243" s="108"/>
      <c r="H243" s="109"/>
    </row>
    <row r="244" spans="1:8" s="35" customFormat="1" hidden="1" x14ac:dyDescent="0.35">
      <c r="A244" s="60" t="s">
        <v>155</v>
      </c>
      <c r="B244" s="107" t="s">
        <v>206</v>
      </c>
      <c r="C244" s="108"/>
      <c r="D244" s="108"/>
      <c r="E244" s="108"/>
      <c r="F244" s="108"/>
      <c r="G244" s="108"/>
      <c r="H244" s="109"/>
    </row>
    <row r="245" spans="1:8" x14ac:dyDescent="0.35">
      <c r="A245" s="127" t="s">
        <v>62</v>
      </c>
      <c r="B245" s="127"/>
      <c r="C245" s="127"/>
      <c r="D245" s="127"/>
      <c r="E245" s="127"/>
      <c r="F245" s="127"/>
      <c r="G245" s="127"/>
      <c r="H245" s="127"/>
    </row>
    <row r="246" spans="1:8" x14ac:dyDescent="0.35">
      <c r="A246" s="88" t="s">
        <v>63</v>
      </c>
      <c r="B246" s="88"/>
      <c r="C246" s="88"/>
      <c r="D246" s="88"/>
      <c r="E246" s="88"/>
      <c r="F246" s="88"/>
      <c r="G246" s="88"/>
      <c r="H246" s="88"/>
    </row>
    <row r="247" spans="1:8" ht="15.75" customHeight="1" x14ac:dyDescent="0.35">
      <c r="A247" s="89" t="s">
        <v>64</v>
      </c>
      <c r="B247" s="89"/>
      <c r="C247" s="89"/>
      <c r="D247" s="89"/>
      <c r="E247" s="89"/>
      <c r="F247" s="89"/>
      <c r="G247" s="89"/>
      <c r="H247" s="89"/>
    </row>
    <row r="248" spans="1:8" x14ac:dyDescent="0.35">
      <c r="A248" s="88" t="s">
        <v>65</v>
      </c>
      <c r="B248" s="88"/>
      <c r="C248" s="88"/>
      <c r="D248" s="88"/>
      <c r="E248" s="88"/>
      <c r="F248" s="88"/>
      <c r="G248" s="88"/>
      <c r="H248" s="88"/>
    </row>
    <row r="249" spans="1:8" x14ac:dyDescent="0.35">
      <c r="A249" s="88" t="s">
        <v>66</v>
      </c>
      <c r="B249" s="88"/>
      <c r="C249" s="88"/>
      <c r="D249" s="88"/>
      <c r="E249" s="88"/>
      <c r="F249" s="88"/>
      <c r="G249" s="88"/>
      <c r="H249" s="88"/>
    </row>
    <row r="250" spans="1:8" hidden="1" x14ac:dyDescent="0.35">
      <c r="A250" s="88" t="s">
        <v>129</v>
      </c>
      <c r="B250" s="88"/>
      <c r="C250" s="88"/>
      <c r="D250" s="88"/>
      <c r="E250" s="88"/>
      <c r="F250" s="88"/>
      <c r="G250" s="88"/>
      <c r="H250" s="88"/>
    </row>
    <row r="251" spans="1:8" ht="35.25" hidden="1" customHeight="1" x14ac:dyDescent="0.35">
      <c r="A251" s="114" t="s">
        <v>130</v>
      </c>
      <c r="B251" s="114"/>
      <c r="C251" s="114"/>
      <c r="D251" s="114"/>
      <c r="E251" s="114"/>
      <c r="F251" s="114"/>
      <c r="G251" s="114"/>
      <c r="H251" s="114"/>
    </row>
    <row r="252" spans="1:8" x14ac:dyDescent="0.35">
      <c r="A252" s="123" t="s">
        <v>79</v>
      </c>
      <c r="B252" s="123"/>
      <c r="C252" s="123" t="s">
        <v>209</v>
      </c>
      <c r="D252" s="123"/>
      <c r="E252" s="123" t="s">
        <v>109</v>
      </c>
      <c r="F252" s="123"/>
      <c r="G252" s="123" t="s">
        <v>219</v>
      </c>
      <c r="H252" s="123"/>
    </row>
    <row r="253" spans="1:8" x14ac:dyDescent="0.35">
      <c r="A253" s="122" t="s">
        <v>81</v>
      </c>
      <c r="B253" s="122"/>
      <c r="C253" s="122"/>
      <c r="D253" s="122"/>
      <c r="E253" s="122"/>
      <c r="F253" s="122"/>
      <c r="G253" s="122"/>
      <c r="H253" s="122"/>
    </row>
    <row r="254" spans="1:8" x14ac:dyDescent="0.35">
      <c r="A254" s="122"/>
      <c r="B254" s="122"/>
      <c r="C254" s="122"/>
      <c r="D254" s="122"/>
      <c r="E254" s="122"/>
      <c r="F254" s="122"/>
      <c r="G254" s="122"/>
      <c r="H254" s="122"/>
    </row>
    <row r="255" spans="1:8" x14ac:dyDescent="0.35">
      <c r="A255" s="122"/>
      <c r="B255" s="122"/>
      <c r="C255" s="122"/>
      <c r="D255" s="122"/>
      <c r="E255" s="122"/>
      <c r="F255" s="122"/>
      <c r="G255" s="122"/>
      <c r="H255" s="122"/>
    </row>
    <row r="256" spans="1:8" x14ac:dyDescent="0.35">
      <c r="A256" s="122"/>
      <c r="B256" s="122"/>
      <c r="C256" s="122"/>
      <c r="D256" s="122"/>
      <c r="E256" s="122"/>
      <c r="F256" s="122"/>
      <c r="G256" s="122"/>
      <c r="H256" s="122"/>
    </row>
    <row r="257" spans="1:8" x14ac:dyDescent="0.35">
      <c r="A257" s="38" t="s">
        <v>67</v>
      </c>
      <c r="B257" s="39"/>
      <c r="C257" s="39"/>
      <c r="D257" s="38" t="str">
        <f>E8</f>
        <v>Mangalam</v>
      </c>
      <c r="F257" s="39"/>
      <c r="G257" s="39"/>
      <c r="H257" s="39"/>
    </row>
    <row r="258" spans="1:8" x14ac:dyDescent="0.35">
      <c r="A258" s="39"/>
      <c r="B258" s="39"/>
      <c r="C258" s="39"/>
      <c r="D258" s="39"/>
      <c r="E258" s="39"/>
      <c r="F258" s="39"/>
      <c r="G258" s="39"/>
      <c r="H258" s="39"/>
    </row>
    <row r="259" spans="1:8" x14ac:dyDescent="0.35">
      <c r="A259" s="39"/>
      <c r="B259" s="39"/>
      <c r="C259" s="39"/>
      <c r="D259" s="39"/>
      <c r="E259" s="39"/>
      <c r="F259" s="39"/>
      <c r="G259" s="39"/>
      <c r="H259" s="39"/>
    </row>
    <row r="260" spans="1:8" ht="15" customHeight="1" x14ac:dyDescent="0.35"/>
    <row r="302" spans="1:1" x14ac:dyDescent="0.35">
      <c r="A302" s="41" t="s">
        <v>68</v>
      </c>
    </row>
  </sheetData>
  <mergeCells count="481">
    <mergeCell ref="A133:A134"/>
    <mergeCell ref="B133:B134"/>
    <mergeCell ref="C133:C134"/>
    <mergeCell ref="D133:D134"/>
    <mergeCell ref="E133:E134"/>
    <mergeCell ref="G133:H134"/>
    <mergeCell ref="A147:A148"/>
    <mergeCell ref="B147:B148"/>
    <mergeCell ref="C147:C148"/>
    <mergeCell ref="D147:D148"/>
    <mergeCell ref="E147:E148"/>
    <mergeCell ref="G147:H148"/>
    <mergeCell ref="B242:H242"/>
    <mergeCell ref="A46:B46"/>
    <mergeCell ref="C46:H46"/>
    <mergeCell ref="B240:H240"/>
    <mergeCell ref="A99:B99"/>
    <mergeCell ref="A100:B100"/>
    <mergeCell ref="G84:H93"/>
    <mergeCell ref="A85:B85"/>
    <mergeCell ref="A86:B86"/>
    <mergeCell ref="A87:B87"/>
    <mergeCell ref="F110:H110"/>
    <mergeCell ref="A110:E110"/>
    <mergeCell ref="G200:H200"/>
    <mergeCell ref="G226:H226"/>
    <mergeCell ref="G223:H223"/>
    <mergeCell ref="A112:E112"/>
    <mergeCell ref="A138:B138"/>
    <mergeCell ref="A139:B139"/>
    <mergeCell ref="A140:B140"/>
    <mergeCell ref="A141:B141"/>
    <mergeCell ref="A113:E113"/>
    <mergeCell ref="F118:H118"/>
    <mergeCell ref="A165:B165"/>
    <mergeCell ref="F108:H108"/>
    <mergeCell ref="F113:H113"/>
    <mergeCell ref="F112:H112"/>
    <mergeCell ref="G97:H97"/>
    <mergeCell ref="A98:B98"/>
    <mergeCell ref="E98:F107"/>
    <mergeCell ref="G201:H201"/>
    <mergeCell ref="G199:H199"/>
    <mergeCell ref="A119:E119"/>
    <mergeCell ref="G130:H130"/>
    <mergeCell ref="C128:D128"/>
    <mergeCell ref="E128:F128"/>
    <mergeCell ref="G128:H128"/>
    <mergeCell ref="C126:D126"/>
    <mergeCell ref="G126:H126"/>
    <mergeCell ref="A130:B130"/>
    <mergeCell ref="E130:F130"/>
    <mergeCell ref="C130:D130"/>
    <mergeCell ref="A161:H161"/>
    <mergeCell ref="G165:H165"/>
    <mergeCell ref="A162:B162"/>
    <mergeCell ref="A152:H152"/>
    <mergeCell ref="A153:B153"/>
    <mergeCell ref="G153:H153"/>
    <mergeCell ref="A154:B154"/>
    <mergeCell ref="B241:H241"/>
    <mergeCell ref="B237:H237"/>
    <mergeCell ref="B235:H235"/>
    <mergeCell ref="B236:H236"/>
    <mergeCell ref="B238:H238"/>
    <mergeCell ref="B239:H239"/>
    <mergeCell ref="A82:B82"/>
    <mergeCell ref="C82:H82"/>
    <mergeCell ref="A83:B83"/>
    <mergeCell ref="E83:F83"/>
    <mergeCell ref="G83:H83"/>
    <mergeCell ref="A114:E114"/>
    <mergeCell ref="F114:H114"/>
    <mergeCell ref="A115:E115"/>
    <mergeCell ref="A117:E117"/>
    <mergeCell ref="F111:H111"/>
    <mergeCell ref="A116:E116"/>
    <mergeCell ref="A101:B101"/>
    <mergeCell ref="A102:B102"/>
    <mergeCell ref="A103:B103"/>
    <mergeCell ref="A105:B105"/>
    <mergeCell ref="A106:B106"/>
    <mergeCell ref="A111:E111"/>
    <mergeCell ref="A108:E108"/>
    <mergeCell ref="A227:B227"/>
    <mergeCell ref="A224:B224"/>
    <mergeCell ref="A225:B225"/>
    <mergeCell ref="A226:B226"/>
    <mergeCell ref="G227:H227"/>
    <mergeCell ref="G203:H203"/>
    <mergeCell ref="G202:H202"/>
    <mergeCell ref="L165:M165"/>
    <mergeCell ref="G162:H162"/>
    <mergeCell ref="L162:M162"/>
    <mergeCell ref="A163:B163"/>
    <mergeCell ref="G163:H163"/>
    <mergeCell ref="L163:M163"/>
    <mergeCell ref="A164:B164"/>
    <mergeCell ref="G164:H164"/>
    <mergeCell ref="L164:M164"/>
    <mergeCell ref="A206:B206"/>
    <mergeCell ref="G206:H206"/>
    <mergeCell ref="A168:B168"/>
    <mergeCell ref="G168:H168"/>
    <mergeCell ref="L168:M168"/>
    <mergeCell ref="A169:B169"/>
    <mergeCell ref="G169:H169"/>
    <mergeCell ref="L169:M169"/>
    <mergeCell ref="L222:M222"/>
    <mergeCell ref="A146:H146"/>
    <mergeCell ref="G154:H154"/>
    <mergeCell ref="A155:B155"/>
    <mergeCell ref="G139:H139"/>
    <mergeCell ref="G141:H141"/>
    <mergeCell ref="A149:H149"/>
    <mergeCell ref="A150:H150"/>
    <mergeCell ref="A151:H151"/>
    <mergeCell ref="A204:B204"/>
    <mergeCell ref="G204:H204"/>
    <mergeCell ref="A205:B205"/>
    <mergeCell ref="G205:H205"/>
    <mergeCell ref="L141:M141"/>
    <mergeCell ref="L140:M140"/>
    <mergeCell ref="L139:M139"/>
    <mergeCell ref="G155:H155"/>
    <mergeCell ref="A156:B156"/>
    <mergeCell ref="G156:H156"/>
    <mergeCell ref="A157:B157"/>
    <mergeCell ref="G157:H157"/>
    <mergeCell ref="A158:B158"/>
    <mergeCell ref="L166:M166"/>
    <mergeCell ref="L167:M167"/>
    <mergeCell ref="L138:M138"/>
    <mergeCell ref="A77:B77"/>
    <mergeCell ref="C127:D127"/>
    <mergeCell ref="E127:F127"/>
    <mergeCell ref="G127:H127"/>
    <mergeCell ref="F115:H115"/>
    <mergeCell ref="A109:E109"/>
    <mergeCell ref="A94:B94"/>
    <mergeCell ref="C94:H94"/>
    <mergeCell ref="A137:H137"/>
    <mergeCell ref="A84:B84"/>
    <mergeCell ref="E84:F93"/>
    <mergeCell ref="A91:B91"/>
    <mergeCell ref="A92:B92"/>
    <mergeCell ref="A93:B93"/>
    <mergeCell ref="A96:B96"/>
    <mergeCell ref="C96:H96"/>
    <mergeCell ref="A97:B97"/>
    <mergeCell ref="E97:F97"/>
    <mergeCell ref="G98:H107"/>
    <mergeCell ref="E70:F79"/>
    <mergeCell ref="G70:H79"/>
    <mergeCell ref="A78:B78"/>
    <mergeCell ref="A79:B79"/>
    <mergeCell ref="A39:D39"/>
    <mergeCell ref="E39:H39"/>
    <mergeCell ref="F31:H31"/>
    <mergeCell ref="F32:H32"/>
    <mergeCell ref="C30:E30"/>
    <mergeCell ref="F33:H33"/>
    <mergeCell ref="F34:H34"/>
    <mergeCell ref="A37:B37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6:B36"/>
    <mergeCell ref="C36:H36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D60:H60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59:C59"/>
    <mergeCell ref="A60:C60"/>
    <mergeCell ref="D59:H59"/>
    <mergeCell ref="C49:E49"/>
    <mergeCell ref="A56:C58"/>
    <mergeCell ref="D56:H56"/>
    <mergeCell ref="D57:H57"/>
    <mergeCell ref="C48:E48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253:H256"/>
    <mergeCell ref="A252:B252"/>
    <mergeCell ref="E252:F252"/>
    <mergeCell ref="C252:D252"/>
    <mergeCell ref="G252:H252"/>
    <mergeCell ref="A122:H122"/>
    <mergeCell ref="A120:E120"/>
    <mergeCell ref="F120:H120"/>
    <mergeCell ref="A121:E121"/>
    <mergeCell ref="F121:H121"/>
    <mergeCell ref="A222:H222"/>
    <mergeCell ref="A201:B201"/>
    <mergeCell ref="A248:H248"/>
    <mergeCell ref="A125:H125"/>
    <mergeCell ref="A251:H251"/>
    <mergeCell ref="A249:H249"/>
    <mergeCell ref="A234:H234"/>
    <mergeCell ref="A198:H198"/>
    <mergeCell ref="A203:B203"/>
    <mergeCell ref="A202:B202"/>
    <mergeCell ref="A199:B199"/>
    <mergeCell ref="G140:H140"/>
    <mergeCell ref="A245:H245"/>
    <mergeCell ref="A246:H246"/>
    <mergeCell ref="E126:F126"/>
    <mergeCell ref="E123:F123"/>
    <mergeCell ref="A131:H131"/>
    <mergeCell ref="G225:H225"/>
    <mergeCell ref="A123:B123"/>
    <mergeCell ref="F116:H116"/>
    <mergeCell ref="C123:D123"/>
    <mergeCell ref="F119:H119"/>
    <mergeCell ref="F117:H117"/>
    <mergeCell ref="A200:B200"/>
    <mergeCell ref="A132:H132"/>
    <mergeCell ref="G123:H123"/>
    <mergeCell ref="A118:E118"/>
    <mergeCell ref="C124:D124"/>
    <mergeCell ref="E124:F124"/>
    <mergeCell ref="G224:H224"/>
    <mergeCell ref="G173:H173"/>
    <mergeCell ref="A174:B174"/>
    <mergeCell ref="G174:H174"/>
    <mergeCell ref="A175:B175"/>
    <mergeCell ref="G175:H175"/>
    <mergeCell ref="A176:B176"/>
    <mergeCell ref="G176:H176"/>
    <mergeCell ref="A177:B177"/>
    <mergeCell ref="B243:H243"/>
    <mergeCell ref="B244:H244"/>
    <mergeCell ref="G138:H138"/>
    <mergeCell ref="A51:B51"/>
    <mergeCell ref="C51:E51"/>
    <mergeCell ref="A48:B48"/>
    <mergeCell ref="A52:H52"/>
    <mergeCell ref="A53:C53"/>
    <mergeCell ref="A54:C54"/>
    <mergeCell ref="D54:H54"/>
    <mergeCell ref="G51:H51"/>
    <mergeCell ref="D58:H58"/>
    <mergeCell ref="G159:H159"/>
    <mergeCell ref="A160:B160"/>
    <mergeCell ref="G160:H160"/>
    <mergeCell ref="A166:B166"/>
    <mergeCell ref="G166:H166"/>
    <mergeCell ref="A167:B167"/>
    <mergeCell ref="G167:H167"/>
    <mergeCell ref="C169:F169"/>
    <mergeCell ref="A170:H170"/>
    <mergeCell ref="A171:H171"/>
    <mergeCell ref="A172:H172"/>
    <mergeCell ref="A173:B173"/>
    <mergeCell ref="E40:H40"/>
    <mergeCell ref="A40:D40"/>
    <mergeCell ref="A250:H250"/>
    <mergeCell ref="A247:H247"/>
    <mergeCell ref="A223:B223"/>
    <mergeCell ref="A126:B126"/>
    <mergeCell ref="A88:B88"/>
    <mergeCell ref="A89:B89"/>
    <mergeCell ref="A90:B90"/>
    <mergeCell ref="A80:B80"/>
    <mergeCell ref="C80:H80"/>
    <mergeCell ref="A104:B104"/>
    <mergeCell ref="A75:B75"/>
    <mergeCell ref="F109:H109"/>
    <mergeCell ref="G124:H124"/>
    <mergeCell ref="A107:B107"/>
    <mergeCell ref="A47:B47"/>
    <mergeCell ref="C47:E47"/>
    <mergeCell ref="G47:H47"/>
    <mergeCell ref="G49:H49"/>
    <mergeCell ref="D53:H53"/>
    <mergeCell ref="G158:H158"/>
    <mergeCell ref="A159:B159"/>
    <mergeCell ref="G177:H177"/>
    <mergeCell ref="A178:B178"/>
    <mergeCell ref="G178:H178"/>
    <mergeCell ref="A186:B186"/>
    <mergeCell ref="G186:H186"/>
    <mergeCell ref="A187:B187"/>
    <mergeCell ref="G187:H187"/>
    <mergeCell ref="A188:B188"/>
    <mergeCell ref="G188:H188"/>
    <mergeCell ref="A179:B179"/>
    <mergeCell ref="G179:H179"/>
    <mergeCell ref="A180:B180"/>
    <mergeCell ref="G180:H180"/>
    <mergeCell ref="A181:B181"/>
    <mergeCell ref="G181:H181"/>
    <mergeCell ref="A182:B182"/>
    <mergeCell ref="G182:H182"/>
    <mergeCell ref="A183:B183"/>
    <mergeCell ref="G183:H183"/>
    <mergeCell ref="A194:B194"/>
    <mergeCell ref="G194:H194"/>
    <mergeCell ref="A195:B195"/>
    <mergeCell ref="G195:H195"/>
    <mergeCell ref="C193:F193"/>
    <mergeCell ref="A196:H196"/>
    <mergeCell ref="A197:H197"/>
    <mergeCell ref="A135:H135"/>
    <mergeCell ref="A136:H136"/>
    <mergeCell ref="A142:B142"/>
    <mergeCell ref="G142:H142"/>
    <mergeCell ref="A189:B189"/>
    <mergeCell ref="G189:H189"/>
    <mergeCell ref="A190:B190"/>
    <mergeCell ref="G190:H190"/>
    <mergeCell ref="A191:B191"/>
    <mergeCell ref="G191:H191"/>
    <mergeCell ref="A192:B192"/>
    <mergeCell ref="G192:H192"/>
    <mergeCell ref="A193:B193"/>
    <mergeCell ref="G193:H193"/>
    <mergeCell ref="A184:H184"/>
    <mergeCell ref="A185:B185"/>
    <mergeCell ref="G185:H185"/>
    <mergeCell ref="L142:M142"/>
    <mergeCell ref="A143:B143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A207:B207"/>
    <mergeCell ref="G207:H207"/>
    <mergeCell ref="A208:B208"/>
    <mergeCell ref="G208:H208"/>
    <mergeCell ref="A209:B209"/>
    <mergeCell ref="G209:H209"/>
    <mergeCell ref="A210:H210"/>
    <mergeCell ref="A211:B211"/>
    <mergeCell ref="G211:H211"/>
    <mergeCell ref="A220:B220"/>
    <mergeCell ref="G220:H220"/>
    <mergeCell ref="A221:B221"/>
    <mergeCell ref="G221:H221"/>
    <mergeCell ref="A212:B212"/>
    <mergeCell ref="G212:H212"/>
    <mergeCell ref="A213:B213"/>
    <mergeCell ref="G213:H213"/>
    <mergeCell ref="A214:B214"/>
    <mergeCell ref="G214:H214"/>
    <mergeCell ref="A215:B215"/>
    <mergeCell ref="G215:H215"/>
    <mergeCell ref="A216:B216"/>
    <mergeCell ref="G216:H216"/>
    <mergeCell ref="A233:B233"/>
    <mergeCell ref="G233:H233"/>
    <mergeCell ref="C227:F227"/>
    <mergeCell ref="C129:D129"/>
    <mergeCell ref="E129:F129"/>
    <mergeCell ref="G129:H129"/>
    <mergeCell ref="A127:A128"/>
    <mergeCell ref="C50:H50"/>
    <mergeCell ref="A228:B228"/>
    <mergeCell ref="G228:H228"/>
    <mergeCell ref="A229:B229"/>
    <mergeCell ref="G229:H229"/>
    <mergeCell ref="A230:B230"/>
    <mergeCell ref="G230:H230"/>
    <mergeCell ref="A231:B231"/>
    <mergeCell ref="G231:H231"/>
    <mergeCell ref="A232:B232"/>
    <mergeCell ref="G232:H232"/>
    <mergeCell ref="A217:B217"/>
    <mergeCell ref="G217:H217"/>
    <mergeCell ref="A218:B218"/>
    <mergeCell ref="G218:H218"/>
    <mergeCell ref="A219:B219"/>
    <mergeCell ref="G219:H219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256" max="16383" man="1"/>
    <brk id="3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D37" sqref="D37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74" t="s">
        <v>110</v>
      </c>
      <c r="C3" s="174"/>
      <c r="D3" s="174"/>
      <c r="E3" s="174"/>
      <c r="F3" s="174"/>
      <c r="G3" s="174"/>
      <c r="H3" s="174"/>
    </row>
    <row r="4" spans="1:9" x14ac:dyDescent="0.35">
      <c r="A4" s="3"/>
      <c r="B4" s="4" t="s">
        <v>111</v>
      </c>
      <c r="C4" s="4" t="s">
        <v>112</v>
      </c>
      <c r="D4" s="4" t="s">
        <v>70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3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2025-08-11T05:47:28Z</cp:lastPrinted>
  <dcterms:created xsi:type="dcterms:W3CDTF">2019-07-16T09:29:46Z</dcterms:created>
  <dcterms:modified xsi:type="dcterms:W3CDTF">2025-08-11T05:48:32Z</dcterms:modified>
</cp:coreProperties>
</file>