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8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K96" i="1"/>
  <c r="J97" i="1"/>
  <c r="J96" i="1"/>
  <c r="K103" i="1"/>
  <c r="L105" i="1" l="1"/>
  <c r="L104" i="1"/>
  <c r="L103" i="1"/>
  <c r="M81" i="1" s="1"/>
  <c r="K104" i="1"/>
  <c r="K105" i="1"/>
  <c r="G96" i="1"/>
  <c r="D132" i="1"/>
  <c r="D131" i="1"/>
  <c r="D130" i="1"/>
  <c r="D105" i="1"/>
  <c r="I105" i="1" s="1"/>
  <c r="D104" i="1"/>
  <c r="I104" i="1" s="1"/>
  <c r="D103" i="1"/>
  <c r="K81" i="1" l="1"/>
  <c r="I81" i="1" s="1"/>
  <c r="E96" i="1"/>
  <c r="E97" i="1" s="1"/>
  <c r="I103" i="1"/>
  <c r="C96" i="1"/>
  <c r="C97" i="1" s="1"/>
  <c r="G130" i="1"/>
  <c r="F107" i="1" l="1"/>
  <c r="E43" i="1" l="1"/>
  <c r="E44" i="1" s="1"/>
  <c r="C15" i="1" l="1"/>
  <c r="E30" i="1" l="1"/>
  <c r="F108" i="1" l="1"/>
  <c r="F109" i="1"/>
  <c r="F110" i="1"/>
  <c r="A108" i="1"/>
  <c r="A109" i="1" s="1"/>
  <c r="A110" i="1" s="1"/>
  <c r="G107" i="1"/>
  <c r="G108" i="1" s="1"/>
  <c r="G109" i="1" s="1"/>
  <c r="G110" i="1" s="1"/>
  <c r="F93" i="1" l="1"/>
  <c r="B136" i="1" l="1"/>
  <c r="A124" i="1"/>
  <c r="A118" i="1"/>
  <c r="F128" i="1" l="1"/>
  <c r="F127" i="1"/>
  <c r="F126" i="1"/>
  <c r="F125" i="1"/>
  <c r="F124" i="1"/>
  <c r="F122" i="1"/>
  <c r="F121" i="1"/>
  <c r="F120" i="1"/>
  <c r="F119" i="1"/>
  <c r="F118" i="1"/>
  <c r="F116" i="1"/>
  <c r="F115" i="1"/>
  <c r="F113" i="1"/>
  <c r="F112" i="1"/>
  <c r="F114" i="1"/>
  <c r="A125" i="1"/>
  <c r="A119" i="1"/>
  <c r="G9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4" i="1"/>
  <c r="G124" i="1"/>
  <c r="G125" i="1" s="1"/>
  <c r="G126" i="1" s="1"/>
  <c r="G127" i="1" s="1"/>
  <c r="G128" i="1" s="1"/>
  <c r="G103" i="1"/>
  <c r="G118" i="1"/>
  <c r="G119" i="1" s="1"/>
  <c r="G120" i="1" s="1"/>
  <c r="G121" i="1" s="1"/>
  <c r="G122" i="1" s="1"/>
  <c r="G112" i="1"/>
  <c r="G113" i="1" s="1"/>
  <c r="G114" i="1" s="1"/>
  <c r="G115" i="1" s="1"/>
  <c r="G116" i="1" s="1"/>
  <c r="A112" i="1"/>
  <c r="A113" i="1" s="1"/>
  <c r="A114" i="1" s="1"/>
  <c r="A115" i="1" s="1"/>
  <c r="A116" i="1" s="1"/>
  <c r="C66" i="1"/>
  <c r="B67" i="1" s="1"/>
  <c r="D55" i="1"/>
  <c r="G50" i="1"/>
  <c r="G51" i="1" s="1"/>
  <c r="C50" i="1"/>
  <c r="C51" i="1" s="1"/>
  <c r="E27" i="1"/>
  <c r="E25" i="1"/>
  <c r="E7" i="1"/>
  <c r="E3" i="1"/>
  <c r="A120" i="1"/>
  <c r="A126" i="1"/>
  <c r="D60" i="1" l="1"/>
  <c r="H67" i="1"/>
  <c r="A121" i="1"/>
  <c r="A127" i="1"/>
  <c r="D78" i="1" l="1"/>
  <c r="D74" i="1"/>
  <c r="D79" i="1"/>
  <c r="J70" i="1"/>
  <c r="D77" i="1"/>
  <c r="J71" i="1"/>
  <c r="C70" i="1" s="1"/>
  <c r="D70" i="1" s="1"/>
  <c r="D76" i="1"/>
  <c r="J69" i="1"/>
  <c r="D75" i="1"/>
  <c r="J72" i="1"/>
  <c r="J73" i="1" s="1"/>
  <c r="J78" i="1" s="1"/>
  <c r="D73" i="1"/>
  <c r="J66" i="1"/>
  <c r="J68" i="1" s="1"/>
  <c r="J74" i="1"/>
  <c r="J75" i="1" s="1"/>
  <c r="J76" i="1" s="1"/>
  <c r="J77" i="1" s="1"/>
  <c r="D72" i="1"/>
  <c r="A122" i="1"/>
  <c r="A128" i="1"/>
  <c r="J79" i="1" l="1"/>
  <c r="C71" i="1" l="1"/>
  <c r="G70" i="1" s="1"/>
  <c r="D64" i="1" s="1"/>
  <c r="D65" i="1" s="1"/>
  <c r="E70" i="1" l="1"/>
  <c r="D71" i="1"/>
  <c r="I67" i="1" s="1"/>
  <c r="I68" i="1" s="1"/>
  <c r="J67" i="1"/>
  <c r="F65" i="1"/>
  <c r="I66" i="1" l="1"/>
  <c r="C68" i="1" s="1"/>
</calcChain>
</file>

<file path=xl/sharedStrings.xml><?xml version="1.0" encoding="utf-8"?>
<sst xmlns="http://schemas.openxmlformats.org/spreadsheetml/2006/main" count="261" uniqueCount="222">
  <si>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</si>
  <si>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</si>
  <si>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</si>
  <si>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</si>
  <si>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</si>
  <si>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</si>
  <si>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</si>
  <si>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</si>
  <si>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</si>
  <si>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</si>
  <si>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</si>
  <si>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</si>
  <si>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</si>
  <si>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</si>
  <si>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</si>
  <si>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</si>
  <si>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</si>
  <si>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</si>
  <si>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</si>
  <si>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</si>
  <si>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</si>
  <si>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</si>
  <si>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</si>
  <si>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</si>
  <si>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</si>
  <si>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</si>
  <si>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</si>
  <si>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</si>
  <si>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</si>
  <si>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</si>
  <si>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</si>
  <si>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</si>
  <si>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</si>
  <si>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</si>
  <si>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</si>
  <si>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</si>
  <si>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</si>
  <si>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</si>
  <si>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</si>
  <si>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</si>
  <si>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</si>
  <si>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</si>
  <si>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</si>
  <si>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</si>
  <si>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</si>
  <si>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</si>
  <si>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</si>
  <si>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</si>
  <si>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</si>
  <si>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</si>
  <si>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</si>
  <si>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</si>
  <si>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</si>
  <si>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</si>
  <si>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</si>
  <si>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</si>
  <si>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</si>
  <si>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</si>
  <si>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</si>
  <si>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</si>
  <si>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</si>
  <si>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</si>
  <si>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</si>
  <si>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</si>
  <si>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</si>
  <si>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</si>
  <si>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</si>
  <si>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</si>
  <si>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</si>
  <si>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</si>
  <si>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</si>
  <si>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</si>
  <si>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</si>
  <si>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</si>
  <si>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</si>
  <si>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</si>
  <si>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</si>
  <si>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</si>
  <si>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</si>
  <si>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</si>
  <si>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</si>
  <si>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</si>
  <si>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</si>
  <si>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</si>
  <si>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</si>
  <si>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</si>
  <si>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</si>
  <si>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</si>
  <si>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</si>
  <si>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</si>
  <si>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</si>
  <si>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</si>
  <si>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</si>
  <si>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</si>
  <si>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</si>
  <si>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</si>
  <si>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</si>
  <si>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</si>
  <si>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</si>
  <si>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</si>
  <si>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</si>
  <si>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</si>
  <si>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</si>
  <si>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</si>
  <si>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</si>
  <si>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</si>
  <si>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</si>
  <si>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</si>
  <si>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</si>
  <si>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</si>
  <si>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</si>
  <si>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</si>
  <si>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</si>
  <si>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</si>
  <si>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</si>
  <si>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</si>
  <si>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</si>
  <si>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</si>
  <si>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</si>
  <si>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</si>
  <si>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</si>
  <si>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</si>
  <si>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</si>
  <si>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</si>
  <si>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</si>
  <si>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</si>
  <si>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</si>
  <si>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</si>
  <si>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</si>
  <si>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</si>
  <si>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</si>
  <si>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</si>
  <si>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</si>
  <si>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</si>
  <si>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</si>
  <si>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</si>
  <si>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</si>
  <si>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</si>
  <si>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</si>
  <si>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</si>
  <si>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</si>
  <si>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</si>
  <si>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</si>
  <si>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</si>
  <si>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</si>
  <si>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</si>
  <si>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</si>
  <si>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</si>
  <si>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</si>
  <si>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</si>
  <si>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</si>
  <si>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</si>
  <si>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</si>
  <si>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</si>
  <si>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</si>
  <si>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</si>
  <si>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</si>
  <si>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</si>
  <si>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</si>
  <si>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</si>
  <si>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</si>
  <si>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</si>
  <si>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</si>
  <si>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</si>
  <si>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</si>
  <si>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</si>
  <si>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</si>
  <si>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</si>
  <si>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</si>
  <si>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</si>
  <si>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</si>
  <si>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</si>
  <si>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</si>
  <si>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</si>
  <si>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</si>
  <si>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Badlapur</t>
  </si>
  <si>
    <t>Shri Balaji Neom</t>
  </si>
  <si>
    <t>Shree Balaji Classic</t>
  </si>
  <si>
    <t>P51700050400</t>
  </si>
  <si>
    <t>Survey No</t>
  </si>
  <si>
    <t>12/B</t>
  </si>
  <si>
    <t>Pisavli</t>
  </si>
  <si>
    <t>Thane</t>
  </si>
  <si>
    <t>Kalyan</t>
  </si>
  <si>
    <t>Ground Floor for Parking</t>
  </si>
  <si>
    <t>1BHK</t>
  </si>
  <si>
    <t>1st to 6th, 8th to 11th, 13th to 16th &amp; 18th to 19th Floor for Residential</t>
  </si>
  <si>
    <t>7th, 12th &amp; 17th Floor (Part Refuge Floor)</t>
  </si>
  <si>
    <t>We considered Gross carpet area = Net carpet + Balcony + A.P. Area.</t>
  </si>
  <si>
    <t>Flats</t>
  </si>
  <si>
    <t>20th Recreational Floor</t>
  </si>
  <si>
    <t>Flats - 57</t>
  </si>
  <si>
    <t>As per RERA - 31/12/2026</t>
  </si>
  <si>
    <t>Construction work is in process at the time of Visit.</t>
  </si>
  <si>
    <t>Pipeline Road</t>
  </si>
  <si>
    <t>https://goo.gl/maps/8FNjYzhDe8osRE166?coh=178572&amp;entry=tt</t>
  </si>
  <si>
    <t>19.2203614, 73.1225572</t>
  </si>
  <si>
    <t>3.1 KM from Kalyan Railway Station</t>
  </si>
  <si>
    <t>Gr/Stilt + 1st to 19th + 20th (Recreational Floor)</t>
  </si>
  <si>
    <t>KDMC/TPD/BP/27 Village/2022-23/24</t>
  </si>
  <si>
    <t>Kalyan Dombivli Municipal Corporation</t>
  </si>
  <si>
    <t>Slum</t>
  </si>
  <si>
    <t>Open Plot</t>
  </si>
  <si>
    <t>Ahmahf Empire</t>
  </si>
  <si>
    <t>Builder</t>
  </si>
  <si>
    <t>Approved Plans, CC, Sale Plans, Builder Saleable Area</t>
  </si>
  <si>
    <t>Inspection</t>
  </si>
  <si>
    <t>MIS</t>
  </si>
  <si>
    <t>Online</t>
  </si>
  <si>
    <t>Community area, Outdoor gym, Game zone, Kids play area, Yoga &amp; Meditation zone, Sitout area, Power back up for lifts &amp; common area, Fire fighting system</t>
  </si>
  <si>
    <t>Mr. Sangram Patil – 8169500815</t>
  </si>
  <si>
    <t>Builder Saleable area</t>
  </si>
  <si>
    <t xml:space="preserve">Builder </t>
  </si>
  <si>
    <t>Housing</t>
  </si>
  <si>
    <t xml:space="preserve">https://housing.com/in/buy/projects/page/296969-shri-balaji-classic-by-shri-balaji-neom-in-kalyan-east </t>
  </si>
  <si>
    <t>Kalyan (East)</t>
  </si>
  <si>
    <t>Name of the Project as per RERA</t>
  </si>
  <si>
    <t>Name of the Project as per Builder</t>
  </si>
  <si>
    <t>Shri Balaji Classic</t>
  </si>
  <si>
    <t>Mangesh Laxman Bapardekar</t>
  </si>
  <si>
    <t>Mr. Vinod : 8928417192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</si>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</sst>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10"/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1" fontId="10" fillId="0" borderId="18" xfId="0" applyNumberFormat="1" applyFont="1" applyBorder="1" applyAlignment="1" applyProtection="1">
      <alignment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397643</xdr:colOff>
      <xdr:row>269</xdr:row>
      <xdr:rowOff>92558</xdr:rowOff>
    </xdr:from>
    <xdr:to>
      <xdr:col>6</xdr:col>
      <xdr:colOff>389938</xdr:colOff>
      <xdr:row>288</xdr:row>
      <xdr:rowOff>69272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9643" y="58576058"/>
          <a:ext cx="4140000" cy="37607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554177</xdr:colOff>
      <xdr:row>246</xdr:row>
      <xdr:rowOff>86590</xdr:rowOff>
    </xdr:from>
    <xdr:to>
      <xdr:col>7</xdr:col>
      <xdr:colOff>216087</xdr:colOff>
      <xdr:row>269</xdr:row>
      <xdr:rowOff>10197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4177" y="53989431"/>
          <a:ext cx="5350933" cy="45042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710045</xdr:colOff>
      <xdr:row>202</xdr:row>
      <xdr:rowOff>155862</xdr:rowOff>
    </xdr:from>
    <xdr:to>
      <xdr:col>7</xdr:col>
      <xdr:colOff>61022</xdr:colOff>
      <xdr:row>228</xdr:row>
      <xdr:rowOff>167428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0045" y="45295703"/>
          <a:ext cx="5040000" cy="51897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398317</xdr:colOff>
      <xdr:row>214</xdr:row>
      <xdr:rowOff>69273</xdr:rowOff>
    </xdr:from>
    <xdr:to>
      <xdr:col>4</xdr:col>
      <xdr:colOff>8659</xdr:colOff>
      <xdr:row>218</xdr:row>
      <xdr:rowOff>187037</xdr:rowOff>
    </xdr:to>
    <xdr:sp macro="" textlink="">
      <xdr:nvSpPr>
        <xdr:cNvPr id="5" name="Rounded Rectangle 4"/>
        <xdr:cNvSpPr/>
      </xdr:nvSpPr>
      <xdr:spPr>
        <a:xfrm>
          <a:off x="2805544" y="47599023"/>
          <a:ext cx="554183" cy="9144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361950</xdr:colOff>
      <xdr:row>154</xdr:row>
      <xdr:rowOff>139700</xdr:rowOff>
    </xdr:from>
    <xdr:to>
      <xdr:col>7</xdr:col>
      <xdr:colOff>896853</xdr:colOff>
      <xdr:row>190</xdr:row>
      <xdr:rowOff>69818</xdr:rowOff>
    </xdr:to>
    <xdr:grpSp>
      <xdr:nvGrpSpPr>
        <xdr:cNvPr id="22" name="Group 21"/>
        <xdr:cNvGrpSpPr/>
      </xdr:nvGrpSpPr>
      <xdr:grpSpPr>
        <a:xfrm>
          <a:off x="361950" y="26206450"/>
          <a:ext cx="6510253" cy="7010368"/>
          <a:chOff x="361950" y="26206450"/>
          <a:chExt cx="6510253" cy="7010368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86621" y="3120081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26206450"/>
            <a:ext cx="2076835" cy="27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1267" y="3120081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86622" y="2908163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95368" y="26206450"/>
            <a:ext cx="2076835" cy="27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7332" y="2908191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7687" y="2908163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6977" y="2908163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64847" y="3120081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7687" y="3120081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8659" y="26206450"/>
            <a:ext cx="2076835" cy="277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78442</xdr:rowOff>
    </xdr:from>
    <xdr:to>
      <xdr:col>4</xdr:col>
      <xdr:colOff>110824</xdr:colOff>
      <xdr:row>29</xdr:row>
      <xdr:rowOff>66460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6148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383490</xdr:colOff>
      <xdr:row>13</xdr:row>
      <xdr:rowOff>78442</xdr:rowOff>
    </xdr:from>
    <xdr:to>
      <xdr:col>10</xdr:col>
      <xdr:colOff>494313</xdr:colOff>
      <xdr:row>29</xdr:row>
      <xdr:rowOff>66460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2666" y="2566148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96969-shri-balaji-classic-by-shri-balaji-neom-in-kalyan-east" TargetMode="External"/><Relationship Id="rId1" Type="http://schemas.openxmlformats.org/officeDocument/2006/relationships/hyperlink" Target="https://goo.gl/maps/8FNjYzhDe8osRE166?coh=178572&amp;entry=tt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6"/>
  <sheetViews>
    <sheetView tabSelected="1" view="pageBreakPreview" topLeftCell="A34" zoomScaleNormal="100" zoomScaleSheetLayoutView="100" workbookViewId="0">
      <selection activeCell="I38" sqref="I38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9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05" t="s">
        <v>171</v>
      </c>
      <c r="B1" s="105"/>
      <c r="C1" s="105"/>
      <c r="D1" s="105"/>
      <c r="E1" s="105"/>
      <c r="F1" s="105"/>
      <c r="G1" s="105"/>
      <c r="H1" s="105"/>
    </row>
    <row r="2" spans="1:8" ht="16.5" customHeight="1" x14ac:dyDescent="0.35">
      <c r="A2" s="71" t="s">
        <v>0</v>
      </c>
      <c r="B2" s="71"/>
      <c r="C2" s="71"/>
      <c r="D2" s="71"/>
      <c r="E2" s="71"/>
      <c r="F2" s="71"/>
      <c r="G2" s="71"/>
      <c r="H2" s="71"/>
    </row>
    <row r="3" spans="1:8" x14ac:dyDescent="0.35">
      <c r="A3" s="106" t="s">
        <v>1</v>
      </c>
      <c r="B3" s="106"/>
      <c r="C3" s="106"/>
      <c r="D3" s="106"/>
      <c r="E3" s="106" t="str">
        <f ca="1">TEXT(TODAY(),"DD/MM/YYYY")</f>
        <v>08/08/2025</v>
      </c>
      <c r="F3" s="106"/>
      <c r="G3" s="106"/>
      <c r="H3" s="106"/>
    </row>
    <row r="4" spans="1:8" ht="15" customHeight="1" x14ac:dyDescent="0.35">
      <c r="A4" s="106" t="s">
        <v>2</v>
      </c>
      <c r="B4" s="106"/>
      <c r="C4" s="106"/>
      <c r="D4" s="106"/>
      <c r="E4" s="106" t="s">
        <v>175</v>
      </c>
      <c r="F4" s="106"/>
      <c r="G4" s="106"/>
      <c r="H4" s="106"/>
    </row>
    <row r="5" spans="1:8" x14ac:dyDescent="0.35">
      <c r="A5" s="106" t="s">
        <v>3</v>
      </c>
      <c r="B5" s="106"/>
      <c r="C5" s="106"/>
      <c r="D5" s="106"/>
      <c r="E5" s="108">
        <v>45877</v>
      </c>
      <c r="F5" s="109"/>
      <c r="G5" s="109"/>
      <c r="H5" s="109"/>
    </row>
    <row r="6" spans="1:8" ht="16.5" customHeight="1" x14ac:dyDescent="0.35">
      <c r="A6" s="106" t="s">
        <v>4</v>
      </c>
      <c r="B6" s="106"/>
      <c r="C6" s="106"/>
      <c r="D6" s="106"/>
      <c r="E6" s="106" t="s">
        <v>176</v>
      </c>
      <c r="F6" s="106"/>
      <c r="G6" s="106"/>
      <c r="H6" s="106"/>
    </row>
    <row r="7" spans="1:8" ht="15" customHeight="1" x14ac:dyDescent="0.35">
      <c r="A7" s="106" t="s">
        <v>5</v>
      </c>
      <c r="B7" s="106"/>
      <c r="C7" s="106"/>
      <c r="D7" s="106"/>
      <c r="E7" s="106" t="str">
        <f>E6</f>
        <v>Shri Balaji Neom</v>
      </c>
      <c r="F7" s="106"/>
      <c r="G7" s="106"/>
      <c r="H7" s="106"/>
    </row>
    <row r="8" spans="1:8" x14ac:dyDescent="0.35">
      <c r="A8" s="106" t="s">
        <v>217</v>
      </c>
      <c r="B8" s="106"/>
      <c r="C8" s="106"/>
      <c r="D8" s="106"/>
      <c r="E8" s="107" t="s">
        <v>218</v>
      </c>
      <c r="F8" s="107"/>
      <c r="G8" s="107"/>
      <c r="H8" s="107"/>
    </row>
    <row r="9" spans="1:8" x14ac:dyDescent="0.35">
      <c r="A9" s="106" t="s">
        <v>216</v>
      </c>
      <c r="B9" s="106"/>
      <c r="C9" s="106"/>
      <c r="D9" s="106"/>
      <c r="E9" s="107" t="s">
        <v>177</v>
      </c>
      <c r="F9" s="107"/>
      <c r="G9" s="107"/>
      <c r="H9" s="107"/>
    </row>
    <row r="10" spans="1:8" x14ac:dyDescent="0.35">
      <c r="A10" s="106" t="s">
        <v>173</v>
      </c>
      <c r="B10" s="106"/>
      <c r="C10" s="106"/>
      <c r="D10" s="106"/>
      <c r="E10" s="106" t="s">
        <v>210</v>
      </c>
      <c r="F10" s="106"/>
      <c r="G10" s="106"/>
      <c r="H10" s="106"/>
    </row>
    <row r="11" spans="1:8" x14ac:dyDescent="0.35">
      <c r="A11" s="106" t="s">
        <v>174</v>
      </c>
      <c r="B11" s="106"/>
      <c r="C11" s="106"/>
      <c r="D11" s="106"/>
      <c r="E11" s="106" t="s">
        <v>220</v>
      </c>
      <c r="F11" s="106"/>
      <c r="G11" s="106"/>
      <c r="H11" s="106"/>
    </row>
    <row r="12" spans="1:8" x14ac:dyDescent="0.35">
      <c r="A12" s="106" t="s">
        <v>6</v>
      </c>
      <c r="B12" s="106"/>
      <c r="C12" s="106"/>
      <c r="D12" s="106"/>
      <c r="E12" s="106" t="s">
        <v>125</v>
      </c>
      <c r="F12" s="106"/>
      <c r="G12" s="106"/>
      <c r="H12" s="106"/>
    </row>
    <row r="13" spans="1:8" x14ac:dyDescent="0.35">
      <c r="A13" s="72" t="s">
        <v>7</v>
      </c>
      <c r="B13" s="72"/>
      <c r="C13" s="72"/>
      <c r="D13" s="72"/>
      <c r="E13" s="104" t="s">
        <v>205</v>
      </c>
      <c r="F13" s="104"/>
      <c r="G13" s="104"/>
      <c r="H13" s="104"/>
    </row>
    <row r="14" spans="1:8" x14ac:dyDescent="0.35">
      <c r="A14" s="72" t="s">
        <v>8</v>
      </c>
      <c r="B14" s="72"/>
      <c r="C14" s="72"/>
      <c r="D14" s="72"/>
      <c r="E14" s="104" t="s">
        <v>178</v>
      </c>
      <c r="F14" s="106"/>
      <c r="G14" s="106"/>
      <c r="H14" s="106"/>
    </row>
    <row r="15" spans="1:8" ht="33.75" customHeight="1" x14ac:dyDescent="0.35">
      <c r="A15" s="102" t="s">
        <v>9</v>
      </c>
      <c r="B15" s="102"/>
      <c r="C15" s="10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Shri Balaji Classic, Survey No.12/B, near Ahmahf Empire, Pipeline Road, , Pisavli, Kalyan (East), Kalyan, Thane - 421306.</v>
      </c>
      <c r="D15" s="102"/>
      <c r="E15" s="102"/>
      <c r="F15" s="102"/>
      <c r="G15" s="102"/>
      <c r="H15" s="102"/>
    </row>
    <row r="16" spans="1:8" x14ac:dyDescent="0.35">
      <c r="A16" s="104" t="s">
        <v>179</v>
      </c>
      <c r="B16" s="104"/>
      <c r="C16" s="104" t="s">
        <v>180</v>
      </c>
      <c r="D16" s="104"/>
      <c r="E16" s="104"/>
      <c r="F16" s="104"/>
      <c r="G16" s="104"/>
      <c r="H16" s="104"/>
    </row>
    <row r="17" spans="1:8" ht="15.75" customHeight="1" x14ac:dyDescent="0.35">
      <c r="A17" s="104" t="s">
        <v>169</v>
      </c>
      <c r="B17" s="104"/>
      <c r="C17" s="104" t="s">
        <v>29</v>
      </c>
      <c r="D17" s="104"/>
      <c r="E17" s="104"/>
      <c r="F17" s="104"/>
      <c r="G17" s="104"/>
      <c r="H17" s="104"/>
    </row>
    <row r="18" spans="1:8" ht="15.75" customHeight="1" x14ac:dyDescent="0.35">
      <c r="A18" s="102" t="s">
        <v>10</v>
      </c>
      <c r="B18" s="102"/>
      <c r="C18" s="106" t="s">
        <v>194</v>
      </c>
      <c r="D18" s="106"/>
      <c r="E18" s="102" t="s">
        <v>74</v>
      </c>
      <c r="F18" s="102"/>
      <c r="G18" s="104" t="s">
        <v>181</v>
      </c>
      <c r="H18" s="104"/>
    </row>
    <row r="19" spans="1:8" x14ac:dyDescent="0.35">
      <c r="A19" s="72" t="s">
        <v>12</v>
      </c>
      <c r="B19" s="72"/>
      <c r="C19" s="104" t="s">
        <v>215</v>
      </c>
      <c r="D19" s="104"/>
      <c r="E19" s="102" t="s">
        <v>11</v>
      </c>
      <c r="F19" s="102"/>
      <c r="G19" s="110" t="s">
        <v>182</v>
      </c>
      <c r="H19" s="110"/>
    </row>
    <row r="20" spans="1:8" x14ac:dyDescent="0.35">
      <c r="A20" s="72" t="s">
        <v>75</v>
      </c>
      <c r="B20" s="72"/>
      <c r="C20" s="104" t="s">
        <v>183</v>
      </c>
      <c r="D20" s="104"/>
      <c r="E20" s="102" t="s">
        <v>13</v>
      </c>
      <c r="F20" s="102"/>
      <c r="G20" s="104">
        <v>421306</v>
      </c>
      <c r="H20" s="104"/>
    </row>
    <row r="21" spans="1:8" ht="32.25" customHeight="1" x14ac:dyDescent="0.35">
      <c r="A21" s="72" t="s">
        <v>126</v>
      </c>
      <c r="B21" s="72"/>
      <c r="C21" s="104" t="s">
        <v>203</v>
      </c>
      <c r="D21" s="104"/>
      <c r="E21" s="102" t="s">
        <v>14</v>
      </c>
      <c r="F21" s="102"/>
      <c r="G21" s="104" t="s">
        <v>197</v>
      </c>
      <c r="H21" s="104"/>
    </row>
    <row r="22" spans="1:8" ht="15" customHeight="1" x14ac:dyDescent="0.35">
      <c r="A22" s="102" t="s">
        <v>77</v>
      </c>
      <c r="B22" s="102"/>
      <c r="C22" s="102"/>
      <c r="D22" s="102"/>
      <c r="E22" s="106" t="s">
        <v>15</v>
      </c>
      <c r="F22" s="106"/>
      <c r="G22" s="106"/>
      <c r="H22" s="106"/>
    </row>
    <row r="23" spans="1:8" ht="18.75" customHeight="1" x14ac:dyDescent="0.35">
      <c r="A23" s="102"/>
      <c r="B23" s="102"/>
      <c r="C23" s="102"/>
      <c r="D23" s="102"/>
      <c r="E23" s="106"/>
      <c r="F23" s="106"/>
      <c r="G23" s="106"/>
      <c r="H23" s="106"/>
    </row>
    <row r="24" spans="1:8" ht="15" customHeight="1" x14ac:dyDescent="0.35">
      <c r="A24" s="102" t="s">
        <v>16</v>
      </c>
      <c r="B24" s="102"/>
      <c r="C24" s="102"/>
      <c r="D24" s="102"/>
      <c r="E24" s="104" t="s">
        <v>17</v>
      </c>
      <c r="F24" s="104"/>
      <c r="G24" s="104"/>
      <c r="H24" s="104"/>
    </row>
    <row r="25" spans="1:8" ht="15" customHeight="1" x14ac:dyDescent="0.35">
      <c r="A25" s="72" t="s">
        <v>18</v>
      </c>
      <c r="B25" s="72"/>
      <c r="C25" s="72"/>
      <c r="D25" s="72"/>
      <c r="E25" s="104" t="str">
        <f>IF(AND(G19="Mumbai"),"Upper Class","Middle Class")</f>
        <v>Middle Class</v>
      </c>
      <c r="F25" s="104"/>
      <c r="G25" s="104"/>
      <c r="H25" s="104"/>
    </row>
    <row r="26" spans="1:8" x14ac:dyDescent="0.35">
      <c r="A26" s="72" t="s">
        <v>19</v>
      </c>
      <c r="B26" s="72"/>
      <c r="C26" s="72"/>
      <c r="D26" s="72"/>
      <c r="E26" s="104" t="s">
        <v>20</v>
      </c>
      <c r="F26" s="104"/>
      <c r="G26" s="104"/>
      <c r="H26" s="104"/>
    </row>
    <row r="27" spans="1:8" ht="15.75" customHeight="1" x14ac:dyDescent="0.35">
      <c r="A27" s="72" t="s">
        <v>21</v>
      </c>
      <c r="B27" s="72"/>
      <c r="C27" s="72"/>
      <c r="D27" s="72"/>
      <c r="E27" s="104" t="str">
        <f>IF(AND(G19="Mumbai"),"Developed","Developing")</f>
        <v>Developing</v>
      </c>
      <c r="F27" s="104"/>
      <c r="G27" s="104"/>
      <c r="H27" s="104"/>
    </row>
    <row r="28" spans="1:8" x14ac:dyDescent="0.35">
      <c r="A28" s="72" t="s">
        <v>22</v>
      </c>
      <c r="B28" s="72"/>
      <c r="C28" s="72"/>
      <c r="D28" s="72"/>
      <c r="E28" s="104" t="s">
        <v>23</v>
      </c>
      <c r="F28" s="104"/>
      <c r="G28" s="104"/>
      <c r="H28" s="104"/>
    </row>
    <row r="29" spans="1:8" ht="15.75" customHeight="1" x14ac:dyDescent="0.35">
      <c r="A29" s="72" t="s">
        <v>82</v>
      </c>
      <c r="B29" s="72"/>
      <c r="C29" s="72"/>
      <c r="D29" s="72"/>
      <c r="E29" s="104" t="s">
        <v>83</v>
      </c>
      <c r="F29" s="104"/>
      <c r="G29" s="104"/>
      <c r="H29" s="104"/>
    </row>
    <row r="30" spans="1:8" ht="15" customHeight="1" x14ac:dyDescent="0.35">
      <c r="A30" s="72" t="s">
        <v>32</v>
      </c>
      <c r="B30" s="72"/>
      <c r="C30" s="72"/>
      <c r="D30" s="72"/>
      <c r="E30" s="10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04"/>
      <c r="G30" s="104"/>
      <c r="H30" s="104"/>
    </row>
    <row r="31" spans="1:8" ht="15.75" customHeight="1" x14ac:dyDescent="0.35">
      <c r="A31" s="72" t="s">
        <v>94</v>
      </c>
      <c r="B31" s="72"/>
      <c r="C31" s="72"/>
      <c r="D31" s="72"/>
      <c r="E31" s="104" t="s">
        <v>33</v>
      </c>
      <c r="F31" s="104"/>
      <c r="G31" s="104"/>
      <c r="H31" s="104"/>
    </row>
    <row r="32" spans="1:8" s="19" customFormat="1" x14ac:dyDescent="0.35">
      <c r="A32" s="114" t="s">
        <v>95</v>
      </c>
      <c r="B32" s="114"/>
      <c r="C32" s="111" t="s">
        <v>28</v>
      </c>
      <c r="D32" s="111"/>
      <c r="E32" s="111"/>
      <c r="F32" s="111" t="s">
        <v>30</v>
      </c>
      <c r="G32" s="111"/>
      <c r="H32" s="111"/>
    </row>
    <row r="33" spans="1:8" s="19" customFormat="1" x14ac:dyDescent="0.35">
      <c r="A33" s="113" t="s">
        <v>24</v>
      </c>
      <c r="B33" s="113" t="s">
        <v>29</v>
      </c>
      <c r="C33" s="112" t="s">
        <v>29</v>
      </c>
      <c r="D33" s="112"/>
      <c r="E33" s="112"/>
      <c r="F33" s="112" t="s">
        <v>194</v>
      </c>
      <c r="G33" s="112"/>
      <c r="H33" s="112"/>
    </row>
    <row r="34" spans="1:8" x14ac:dyDescent="0.35">
      <c r="A34" s="113" t="s">
        <v>25</v>
      </c>
      <c r="B34" s="113" t="s">
        <v>29</v>
      </c>
      <c r="C34" s="112" t="s">
        <v>29</v>
      </c>
      <c r="D34" s="112"/>
      <c r="E34" s="112"/>
      <c r="F34" s="112" t="s">
        <v>201</v>
      </c>
      <c r="G34" s="112"/>
      <c r="H34" s="112"/>
    </row>
    <row r="35" spans="1:8" s="19" customFormat="1" x14ac:dyDescent="0.35">
      <c r="A35" s="113" t="s">
        <v>27</v>
      </c>
      <c r="B35" s="113" t="s">
        <v>29</v>
      </c>
      <c r="C35" s="112" t="s">
        <v>29</v>
      </c>
      <c r="D35" s="112"/>
      <c r="E35" s="112"/>
      <c r="F35" s="112" t="s">
        <v>202</v>
      </c>
      <c r="G35" s="112"/>
      <c r="H35" s="112"/>
    </row>
    <row r="36" spans="1:8" x14ac:dyDescent="0.35">
      <c r="A36" s="113" t="s">
        <v>26</v>
      </c>
      <c r="B36" s="113" t="s">
        <v>29</v>
      </c>
      <c r="C36" s="112" t="s">
        <v>29</v>
      </c>
      <c r="D36" s="112"/>
      <c r="E36" s="112"/>
      <c r="F36" s="112" t="s">
        <v>203</v>
      </c>
      <c r="G36" s="112"/>
      <c r="H36" s="112"/>
    </row>
    <row r="37" spans="1:8" x14ac:dyDescent="0.35">
      <c r="A37" s="72" t="s">
        <v>31</v>
      </c>
      <c r="B37" s="72"/>
      <c r="C37" s="72"/>
      <c r="D37" s="72"/>
      <c r="E37" s="72"/>
      <c r="F37" s="72"/>
      <c r="G37" s="72"/>
      <c r="H37" s="72"/>
    </row>
    <row r="38" spans="1:8" ht="15.75" customHeight="1" x14ac:dyDescent="0.35">
      <c r="A38" s="72" t="s">
        <v>172</v>
      </c>
      <c r="B38" s="72"/>
      <c r="C38" s="116" t="s">
        <v>196</v>
      </c>
      <c r="D38" s="116"/>
      <c r="E38" s="116"/>
      <c r="F38" s="116"/>
      <c r="G38" s="116"/>
      <c r="H38" s="116"/>
    </row>
    <row r="39" spans="1:8" x14ac:dyDescent="0.35">
      <c r="A39" s="72" t="s">
        <v>168</v>
      </c>
      <c r="B39" s="72"/>
      <c r="C39" s="117" t="s">
        <v>195</v>
      </c>
      <c r="D39" s="104"/>
      <c r="E39" s="104"/>
      <c r="F39" s="104"/>
      <c r="G39" s="104"/>
      <c r="H39" s="104"/>
    </row>
    <row r="40" spans="1:8" x14ac:dyDescent="0.35">
      <c r="A40" s="116" t="s">
        <v>34</v>
      </c>
      <c r="B40" s="116"/>
      <c r="C40" s="116"/>
      <c r="D40" s="116"/>
      <c r="E40" s="116"/>
      <c r="F40" s="116"/>
      <c r="G40" s="116"/>
      <c r="H40" s="116"/>
    </row>
    <row r="41" spans="1:8" x14ac:dyDescent="0.35">
      <c r="A41" s="72" t="s">
        <v>35</v>
      </c>
      <c r="B41" s="72"/>
      <c r="C41" s="72"/>
      <c r="D41" s="72"/>
      <c r="E41" s="115">
        <v>582.03</v>
      </c>
      <c r="F41" s="115"/>
      <c r="G41" s="115"/>
      <c r="H41" s="115"/>
    </row>
    <row r="42" spans="1:8" x14ac:dyDescent="0.35">
      <c r="A42" s="72" t="s">
        <v>36</v>
      </c>
      <c r="B42" s="72"/>
      <c r="C42" s="72"/>
      <c r="D42" s="72"/>
      <c r="E42" s="122">
        <v>1.1000000000000001</v>
      </c>
      <c r="F42" s="122"/>
      <c r="G42" s="122"/>
      <c r="H42" s="122"/>
    </row>
    <row r="43" spans="1:8" x14ac:dyDescent="0.35">
      <c r="A43" s="72" t="s">
        <v>37</v>
      </c>
      <c r="B43" s="72"/>
      <c r="C43" s="72"/>
      <c r="D43" s="72"/>
      <c r="E43" s="122">
        <f>E45/E41-E42</f>
        <v>4.5986066010343123</v>
      </c>
      <c r="F43" s="122"/>
      <c r="G43" s="122"/>
      <c r="H43" s="122"/>
    </row>
    <row r="44" spans="1:8" x14ac:dyDescent="0.35">
      <c r="A44" s="72" t="s">
        <v>38</v>
      </c>
      <c r="B44" s="72"/>
      <c r="C44" s="72"/>
      <c r="D44" s="72"/>
      <c r="E44" s="122">
        <f>E42+E43</f>
        <v>5.6986066010343119</v>
      </c>
      <c r="F44" s="122"/>
      <c r="G44" s="122"/>
      <c r="H44" s="122"/>
    </row>
    <row r="45" spans="1:8" x14ac:dyDescent="0.35">
      <c r="A45" s="72" t="s">
        <v>93</v>
      </c>
      <c r="B45" s="72"/>
      <c r="C45" s="72"/>
      <c r="D45" s="72"/>
      <c r="E45" s="123">
        <v>3316.76</v>
      </c>
      <c r="F45" s="123"/>
      <c r="G45" s="123"/>
      <c r="H45" s="123"/>
    </row>
    <row r="46" spans="1:8" x14ac:dyDescent="0.35">
      <c r="A46" s="106" t="s">
        <v>39</v>
      </c>
      <c r="B46" s="106"/>
      <c r="C46" s="106"/>
      <c r="D46" s="106"/>
      <c r="E46" s="106" t="s">
        <v>125</v>
      </c>
      <c r="F46" s="106"/>
      <c r="G46" s="106"/>
      <c r="H46" s="106"/>
    </row>
    <row r="47" spans="1:8" x14ac:dyDescent="0.35">
      <c r="A47" s="116" t="s">
        <v>40</v>
      </c>
      <c r="B47" s="116"/>
      <c r="C47" s="116"/>
      <c r="D47" s="116"/>
      <c r="E47" s="116"/>
      <c r="F47" s="116"/>
      <c r="G47" s="116"/>
      <c r="H47" s="116"/>
    </row>
    <row r="48" spans="1:8" ht="33.75" customHeight="1" x14ac:dyDescent="0.35">
      <c r="A48" s="118" t="s">
        <v>156</v>
      </c>
      <c r="B48" s="119"/>
      <c r="C48" s="156" t="s">
        <v>200</v>
      </c>
      <c r="D48" s="157"/>
      <c r="E48" s="157"/>
      <c r="F48" s="157"/>
      <c r="G48" s="157"/>
      <c r="H48" s="158"/>
    </row>
    <row r="49" spans="1:14" ht="15.75" customHeight="1" x14ac:dyDescent="0.35">
      <c r="A49" s="118" t="s">
        <v>41</v>
      </c>
      <c r="B49" s="119"/>
      <c r="C49" s="118" t="s">
        <v>199</v>
      </c>
      <c r="D49" s="145"/>
      <c r="E49" s="119"/>
      <c r="F49" s="17" t="s">
        <v>42</v>
      </c>
      <c r="G49" s="150">
        <v>44910</v>
      </c>
      <c r="H49" s="119"/>
    </row>
    <row r="50" spans="1:14" x14ac:dyDescent="0.35">
      <c r="A50" s="118" t="s">
        <v>43</v>
      </c>
      <c r="B50" s="119"/>
      <c r="C50" s="118" t="str">
        <f>C49</f>
        <v>KDMC/TPD/BP/27 Village/2022-23/24</v>
      </c>
      <c r="D50" s="145"/>
      <c r="E50" s="119"/>
      <c r="F50" s="17" t="s">
        <v>42</v>
      </c>
      <c r="G50" s="150">
        <f>G49</f>
        <v>44910</v>
      </c>
      <c r="H50" s="151"/>
    </row>
    <row r="51" spans="1:14" s="20" customFormat="1" ht="15.75" customHeight="1" x14ac:dyDescent="0.35">
      <c r="A51" s="152" t="s">
        <v>160</v>
      </c>
      <c r="B51" s="153"/>
      <c r="C51" s="118" t="str">
        <f>C50</f>
        <v>KDMC/TPD/BP/27 Village/2022-23/24</v>
      </c>
      <c r="D51" s="145"/>
      <c r="E51" s="119"/>
      <c r="F51" s="17" t="s">
        <v>42</v>
      </c>
      <c r="G51" s="150">
        <f>G50</f>
        <v>44910</v>
      </c>
      <c r="H51" s="151"/>
    </row>
    <row r="52" spans="1:14" s="20" customFormat="1" x14ac:dyDescent="0.35">
      <c r="A52" s="154"/>
      <c r="B52" s="155"/>
      <c r="C52" s="118" t="s">
        <v>198</v>
      </c>
      <c r="D52" s="145"/>
      <c r="E52" s="145"/>
      <c r="F52" s="145"/>
      <c r="G52" s="145"/>
      <c r="H52" s="119"/>
    </row>
    <row r="53" spans="1:14" ht="33" customHeight="1" x14ac:dyDescent="0.35">
      <c r="A53" s="135" t="s">
        <v>44</v>
      </c>
      <c r="B53" s="137"/>
      <c r="C53" s="135" t="s">
        <v>107</v>
      </c>
      <c r="D53" s="136"/>
      <c r="E53" s="137"/>
      <c r="F53" s="41" t="s">
        <v>42</v>
      </c>
      <c r="G53" s="120" t="s">
        <v>29</v>
      </c>
      <c r="H53" s="121"/>
    </row>
    <row r="54" spans="1:14" x14ac:dyDescent="0.35">
      <c r="A54" s="103" t="s">
        <v>46</v>
      </c>
      <c r="B54" s="103"/>
      <c r="C54" s="103"/>
      <c r="D54" s="103"/>
      <c r="E54" s="103"/>
      <c r="F54" s="103"/>
      <c r="G54" s="103"/>
      <c r="H54" s="103"/>
    </row>
    <row r="55" spans="1:14" x14ac:dyDescent="0.35">
      <c r="A55" s="102" t="s">
        <v>92</v>
      </c>
      <c r="B55" s="102"/>
      <c r="C55" s="102"/>
      <c r="D55" s="72">
        <f>E45</f>
        <v>3316.76</v>
      </c>
      <c r="E55" s="72"/>
      <c r="F55" s="72"/>
      <c r="G55" s="72"/>
      <c r="H55" s="72"/>
    </row>
    <row r="56" spans="1:14" x14ac:dyDescent="0.35">
      <c r="A56" s="104" t="s">
        <v>47</v>
      </c>
      <c r="B56" s="106"/>
      <c r="C56" s="106"/>
      <c r="D56" s="106" t="s">
        <v>191</v>
      </c>
      <c r="E56" s="106"/>
      <c r="F56" s="106"/>
      <c r="G56" s="106"/>
      <c r="H56" s="106"/>
      <c r="I56" s="21"/>
    </row>
    <row r="57" spans="1:14" x14ac:dyDescent="0.35">
      <c r="A57" s="147" t="s">
        <v>48</v>
      </c>
      <c r="B57" s="148"/>
      <c r="C57" s="149"/>
      <c r="D57" s="140" t="s">
        <v>198</v>
      </c>
      <c r="E57" s="146"/>
      <c r="F57" s="146"/>
      <c r="G57" s="146"/>
      <c r="H57" s="146"/>
    </row>
    <row r="58" spans="1:14" ht="15.75" customHeight="1" x14ac:dyDescent="0.35">
      <c r="A58" s="147" t="s">
        <v>90</v>
      </c>
      <c r="B58" s="148"/>
      <c r="C58" s="148"/>
      <c r="D58" s="104" t="s">
        <v>198</v>
      </c>
      <c r="E58" s="106"/>
      <c r="F58" s="106"/>
      <c r="G58" s="106"/>
      <c r="H58" s="106"/>
    </row>
    <row r="59" spans="1:14" ht="15.75" customHeight="1" x14ac:dyDescent="0.35">
      <c r="A59" s="72" t="s">
        <v>45</v>
      </c>
      <c r="B59" s="72"/>
      <c r="C59" s="72"/>
      <c r="D59" s="138" t="s">
        <v>192</v>
      </c>
      <c r="E59" s="138"/>
      <c r="F59" s="138"/>
      <c r="G59" s="138"/>
      <c r="H59" s="138"/>
      <c r="J59" s="22"/>
      <c r="K59" s="21"/>
      <c r="N59" s="21"/>
    </row>
    <row r="60" spans="1:14" ht="15.75" customHeight="1" x14ac:dyDescent="0.35">
      <c r="A60" s="72" t="s">
        <v>88</v>
      </c>
      <c r="B60" s="72"/>
      <c r="C60" s="72"/>
      <c r="D60" s="139" t="str">
        <f>(IF(G53="NA","60 Years After Completion",IF(G53&lt;&gt;"NA",""&amp;60-ROUNDDOWN((E3-G53)/360,0)&amp;" Years"," ")))</f>
        <v>60 Years After Completion</v>
      </c>
      <c r="E60" s="139"/>
      <c r="F60" s="139"/>
      <c r="G60" s="139"/>
      <c r="H60" s="139"/>
      <c r="N60" s="21"/>
    </row>
    <row r="61" spans="1:14" ht="15.75" customHeight="1" x14ac:dyDescent="0.35">
      <c r="A61" s="72" t="s">
        <v>89</v>
      </c>
      <c r="B61" s="72"/>
      <c r="C61" s="72"/>
      <c r="D61" s="102" t="s">
        <v>23</v>
      </c>
      <c r="E61" s="102"/>
      <c r="F61" s="102"/>
      <c r="G61" s="102"/>
      <c r="H61" s="102"/>
      <c r="J61" s="23"/>
      <c r="K61" s="23"/>
    </row>
    <row r="62" spans="1:14" ht="34.5" customHeight="1" x14ac:dyDescent="0.35">
      <c r="A62" s="72" t="s">
        <v>76</v>
      </c>
      <c r="B62" s="72"/>
      <c r="C62" s="72"/>
      <c r="D62" s="104" t="s">
        <v>209</v>
      </c>
      <c r="E62" s="102"/>
      <c r="F62" s="102"/>
      <c r="G62" s="102"/>
      <c r="H62" s="102"/>
    </row>
    <row r="63" spans="1:14" x14ac:dyDescent="0.35">
      <c r="A63" s="102" t="s">
        <v>153</v>
      </c>
      <c r="B63" s="102"/>
      <c r="C63" s="102"/>
      <c r="D63" s="102" t="s">
        <v>29</v>
      </c>
      <c r="E63" s="102"/>
      <c r="F63" s="102"/>
      <c r="G63" s="102"/>
      <c r="H63" s="102"/>
      <c r="I63" s="24"/>
      <c r="J63" s="24"/>
      <c r="K63" s="24"/>
      <c r="L63" s="24"/>
      <c r="M63" s="24"/>
      <c r="N63" s="24"/>
    </row>
    <row r="64" spans="1:14" ht="15.75" customHeight="1" x14ac:dyDescent="0.35">
      <c r="A64" s="141" t="s">
        <v>87</v>
      </c>
      <c r="B64" s="141"/>
      <c r="C64" s="141"/>
      <c r="D64" s="140" t="str">
        <f ca="1">(IF(G70&gt;95%,"Nothing",IF(G70&gt;0%,"Cement, Aggregate, Steel, etc",IF(G70=0%,"Work not yet Started"))))</f>
        <v>Cement, Aggregate, Steel, etc</v>
      </c>
      <c r="E64" s="140"/>
      <c r="F64" s="140"/>
      <c r="G64" s="140"/>
      <c r="H64" s="140"/>
      <c r="J64" s="23"/>
    </row>
    <row r="65" spans="1:13" ht="33.75" customHeight="1" thickBot="1" x14ac:dyDescent="0.4">
      <c r="A65" s="134" t="s">
        <v>120</v>
      </c>
      <c r="B65" s="134"/>
      <c r="C65" s="134"/>
      <c r="D65" s="140" t="str">
        <f ca="1">(IF(D64="Nothing","Yes",IF(D64="Cement, Aggregate, Steel, etc","Under Construction",IF(D64="Work not yet Started","Work not yet Started"))))</f>
        <v>Under Construction</v>
      </c>
      <c r="E65" s="140"/>
      <c r="F65" s="140" t="str">
        <f ca="1">(IF(D64="Nothing","Yes",IF(D64="Cement, Aggregate, Steel, etc","Under Construction",IF(D64="Work not yet Started","Work not yet Started"))))</f>
        <v>Under Construction</v>
      </c>
      <c r="G65" s="140"/>
      <c r="H65" s="140"/>
    </row>
    <row r="66" spans="1:13" ht="15.75" customHeight="1" x14ac:dyDescent="0.35">
      <c r="A66" s="127" t="s">
        <v>144</v>
      </c>
      <c r="B66" s="128"/>
      <c r="C66" s="129" t="str">
        <f>D58</f>
        <v>Gr/Stilt + 1st to 19th + 20th (Recreational Floor)</v>
      </c>
      <c r="D66" s="130"/>
      <c r="E66" s="130"/>
      <c r="F66" s="130"/>
      <c r="G66" s="130"/>
      <c r="H66" s="131"/>
      <c r="I66" s="43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8 Floor, Flooring upto 5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8 Floor, Flooring upto 5 Floor</v>
      </c>
    </row>
    <row r="67" spans="1:13" x14ac:dyDescent="0.35">
      <c r="A67" s="15" t="s">
        <v>146</v>
      </c>
      <c r="B67" s="53">
        <f>IF(AND(ISNUMBER(SEARCH("1B",C66))),1,IF(AND(ISNUMBER(SEARCH("2B",C66))),2,IF(AND(ISNUMBER(SEARCH("3B",C66))),3,IF(AND(ISNUMBER(SEARCH("4B",C66))),4,IF(ISNUMBER(SEARCH("5B",C66)),5,0)))))</f>
        <v>0</v>
      </c>
      <c r="C67" s="53" t="s">
        <v>73</v>
      </c>
      <c r="D67" s="53">
        <v>1</v>
      </c>
      <c r="E67" s="53" t="s">
        <v>72</v>
      </c>
      <c r="F67" s="53">
        <v>0</v>
      </c>
      <c r="G67" s="53" t="s">
        <v>81</v>
      </c>
      <c r="H67" s="16">
        <f ca="1">--TRIM(RIGHT(SUBSTITUTE(LEFT(C66,_xlfn.AGGREGATE(16,6,FIND({0,1,2,3,4,5,6,7,8,9},C66,ROW(INDIRECT("1:"&amp;LEN(C66)))),1))," ",REPT(" ",LEN(C66))),LEN(C66)))</f>
        <v>20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3" ht="33" customHeight="1" x14ac:dyDescent="0.35">
      <c r="A68" s="126" t="s">
        <v>91</v>
      </c>
      <c r="B68" s="107"/>
      <c r="C68" s="132" t="str">
        <f ca="1">I66</f>
        <v>Excavation, Plinth, RCC Slab, Brickwork, Internal Plaster Completed, External Plaster upto 8 Floor, Flooring upto 5 Floor Completed</v>
      </c>
      <c r="D68" s="132"/>
      <c r="E68" s="132"/>
      <c r="F68" s="132"/>
      <c r="G68" s="132"/>
      <c r="H68" s="133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3" ht="15.75" customHeight="1" x14ac:dyDescent="0.35">
      <c r="A69" s="124" t="s">
        <v>49</v>
      </c>
      <c r="B69" s="125"/>
      <c r="C69" s="59" t="s">
        <v>143</v>
      </c>
      <c r="D69" s="59" t="s">
        <v>84</v>
      </c>
      <c r="E69" s="125" t="s">
        <v>86</v>
      </c>
      <c r="F69" s="125"/>
      <c r="G69" s="125" t="s">
        <v>85</v>
      </c>
      <c r="H69" s="142"/>
      <c r="I69" s="13" t="s">
        <v>145</v>
      </c>
      <c r="J69" s="25">
        <f ca="1">H67*25%</f>
        <v>5</v>
      </c>
    </row>
    <row r="70" spans="1:13" x14ac:dyDescent="0.35">
      <c r="A70" s="125" t="s">
        <v>132</v>
      </c>
      <c r="B70" s="125"/>
      <c r="C70" s="67">
        <f ca="1">J71</f>
        <v>20</v>
      </c>
      <c r="D70" s="60">
        <f ca="1">((100/H67)*C70)/100</f>
        <v>1</v>
      </c>
      <c r="E70" s="165">
        <f ca="1">(((C71/H67*10)+(40/(D67+F67+H67)*C72)+(7.5/(H67)*C73)+(7.5/(H67)*C74)+(10/H67*C75)+(10/H67*C76)+(5/H67*C77)+(5/H67*C78)+(5/H67*C79))/100)</f>
        <v>0.71499999999999997</v>
      </c>
      <c r="F70" s="165"/>
      <c r="G70" s="165">
        <f ca="1">((((C70/H67)*20)+((C71/H67)*25)+(30/(H67+F67+D67)*C72)+(5/H67*C73)+(5/H67*C74)+(5/H67*C75)+(5/H67*C76)+(0/H67*C77)+(0/H67*C78)+(5/H67*C79))/100)</f>
        <v>0.88249999999999995</v>
      </c>
      <c r="H70" s="165"/>
      <c r="I70" s="13" t="s">
        <v>102</v>
      </c>
      <c r="J70" s="26">
        <f ca="1">H67*50%</f>
        <v>10</v>
      </c>
    </row>
    <row r="71" spans="1:13" x14ac:dyDescent="0.35">
      <c r="A71" s="125" t="s">
        <v>50</v>
      </c>
      <c r="B71" s="125"/>
      <c r="C71" s="61">
        <f ca="1">J79</f>
        <v>20</v>
      </c>
      <c r="D71" s="60">
        <f ca="1">((100/H67)*C71)/100</f>
        <v>1</v>
      </c>
      <c r="E71" s="165"/>
      <c r="F71" s="165"/>
      <c r="G71" s="165"/>
      <c r="H71" s="165"/>
      <c r="I71" s="13" t="s">
        <v>103</v>
      </c>
      <c r="J71" s="26">
        <f ca="1">H67</f>
        <v>20</v>
      </c>
    </row>
    <row r="72" spans="1:13" ht="15.75" customHeight="1" x14ac:dyDescent="0.35">
      <c r="A72" s="125" t="s">
        <v>133</v>
      </c>
      <c r="B72" s="125"/>
      <c r="C72" s="67">
        <v>21</v>
      </c>
      <c r="D72" s="60">
        <f ca="1">((100/(D67+F67+H67))*C72)/100</f>
        <v>1</v>
      </c>
      <c r="E72" s="165"/>
      <c r="F72" s="165"/>
      <c r="G72" s="165"/>
      <c r="H72" s="165"/>
      <c r="I72" s="13" t="s">
        <v>104</v>
      </c>
      <c r="J72" s="27">
        <f ca="1">(IF(B67&gt;1,(H67/(B67+2)),H67/4))</f>
        <v>5</v>
      </c>
    </row>
    <row r="73" spans="1:13" ht="15.75" customHeight="1" x14ac:dyDescent="0.35">
      <c r="A73" s="125" t="s">
        <v>140</v>
      </c>
      <c r="B73" s="125" t="s">
        <v>134</v>
      </c>
      <c r="C73" s="67">
        <v>20</v>
      </c>
      <c r="D73" s="60">
        <f ca="1">((100/H67)*C73)/100</f>
        <v>1</v>
      </c>
      <c r="E73" s="165"/>
      <c r="F73" s="165"/>
      <c r="G73" s="165"/>
      <c r="H73" s="165"/>
      <c r="I73" s="13" t="s">
        <v>105</v>
      </c>
      <c r="J73" s="27">
        <f ca="1">(IF(B67&gt;1,(H67/(B67+2)+J72),H67/4+J72))</f>
        <v>10</v>
      </c>
    </row>
    <row r="74" spans="1:13" ht="15.75" customHeight="1" x14ac:dyDescent="0.35">
      <c r="A74" s="125" t="s">
        <v>141</v>
      </c>
      <c r="B74" s="125" t="s">
        <v>134</v>
      </c>
      <c r="C74" s="67">
        <v>20</v>
      </c>
      <c r="D74" s="60">
        <f ca="1">((100/H67)*C74)/100</f>
        <v>1</v>
      </c>
      <c r="E74" s="165"/>
      <c r="F74" s="165"/>
      <c r="G74" s="165"/>
      <c r="H74" s="165"/>
      <c r="I74" s="13" t="s">
        <v>151</v>
      </c>
      <c r="J74" s="27">
        <f>(IF(B67&gt;1,(H67/(B67+2)+J73),0))</f>
        <v>0</v>
      </c>
    </row>
    <row r="75" spans="1:13" ht="15" customHeight="1" x14ac:dyDescent="0.35">
      <c r="A75" s="125" t="s">
        <v>139</v>
      </c>
      <c r="B75" s="125" t="s">
        <v>136</v>
      </c>
      <c r="C75" s="67">
        <v>8</v>
      </c>
      <c r="D75" s="60">
        <f ca="1">((100/(H67))*C75)/100</f>
        <v>0.4</v>
      </c>
      <c r="E75" s="165"/>
      <c r="F75" s="165"/>
      <c r="G75" s="165"/>
      <c r="H75" s="165"/>
      <c r="I75" s="13" t="s">
        <v>147</v>
      </c>
      <c r="J75" s="27">
        <f>(IF(B67&gt;2,(H67/(B67+2)+J74),0))</f>
        <v>0</v>
      </c>
    </row>
    <row r="76" spans="1:13" ht="15.75" customHeight="1" x14ac:dyDescent="0.35">
      <c r="A76" s="125" t="s">
        <v>135</v>
      </c>
      <c r="B76" s="125" t="s">
        <v>135</v>
      </c>
      <c r="C76" s="67">
        <v>5</v>
      </c>
      <c r="D76" s="60">
        <f ca="1">((100/H67)*C76)/100</f>
        <v>0.25</v>
      </c>
      <c r="E76" s="165"/>
      <c r="F76" s="165"/>
      <c r="G76" s="165"/>
      <c r="H76" s="165"/>
      <c r="I76" s="13" t="s">
        <v>148</v>
      </c>
      <c r="J76" s="28">
        <f>(IF(B67&gt;3,(H67/(B67+2)+J75),0))</f>
        <v>0</v>
      </c>
    </row>
    <row r="77" spans="1:13" ht="15.75" customHeight="1" x14ac:dyDescent="0.35">
      <c r="A77" s="125" t="s">
        <v>142</v>
      </c>
      <c r="B77" s="125"/>
      <c r="C77" s="67">
        <v>0</v>
      </c>
      <c r="D77" s="60">
        <f ca="1">((100/H67)*C77)/100</f>
        <v>0</v>
      </c>
      <c r="E77" s="165"/>
      <c r="F77" s="165"/>
      <c r="G77" s="165"/>
      <c r="H77" s="165"/>
      <c r="I77" s="13" t="s">
        <v>149</v>
      </c>
      <c r="J77" s="27">
        <f>(IF(B67&gt;4,(H67/(B67+2)+J76),0))</f>
        <v>0</v>
      </c>
    </row>
    <row r="78" spans="1:13" ht="15.75" customHeight="1" x14ac:dyDescent="0.35">
      <c r="A78" s="125" t="s">
        <v>137</v>
      </c>
      <c r="B78" s="125" t="s">
        <v>137</v>
      </c>
      <c r="C78" s="67">
        <v>0</v>
      </c>
      <c r="D78" s="60">
        <f ca="1">((100/(H67))*C78)/100</f>
        <v>0</v>
      </c>
      <c r="E78" s="165"/>
      <c r="F78" s="165"/>
      <c r="G78" s="165"/>
      <c r="H78" s="165"/>
      <c r="I78" s="13" t="s">
        <v>152</v>
      </c>
      <c r="J78" s="27">
        <f ca="1">(IF(B67=1,(H67/(B67+3)+J73),IF(B67=0,(H67/4+J73),IF(B67&gt;1,0))))</f>
        <v>15</v>
      </c>
    </row>
    <row r="79" spans="1:13" ht="16" thickBot="1" x14ac:dyDescent="0.4">
      <c r="A79" s="125" t="s">
        <v>138</v>
      </c>
      <c r="B79" s="125"/>
      <c r="C79" s="67">
        <v>0</v>
      </c>
      <c r="D79" s="60">
        <f ca="1">((100/(H67))*C79)/100</f>
        <v>0</v>
      </c>
      <c r="E79" s="165"/>
      <c r="F79" s="165"/>
      <c r="G79" s="165"/>
      <c r="H79" s="165"/>
      <c r="I79" s="14" t="s">
        <v>106</v>
      </c>
      <c r="J79" s="29">
        <f ca="1">(IF(B67&gt;1.5,(H67/(B67+2)+J73+MAX(0,J74-J73)+MAX(0,J75-J74)+MAX(0,J76-J75)+MAX(0,J77-J76)+MAX(0,J78-J77)),IF(B67=1,(H67/(B67+3)+J78),IF(B67=0,H67/4+J78))))</f>
        <v>20</v>
      </c>
    </row>
    <row r="80" spans="1:13" x14ac:dyDescent="0.35">
      <c r="A80" s="116" t="s">
        <v>161</v>
      </c>
      <c r="B80" s="116"/>
      <c r="C80" s="116"/>
      <c r="D80" s="116"/>
      <c r="E80" s="116"/>
      <c r="F80" s="71" t="s">
        <v>166</v>
      </c>
      <c r="G80" s="71"/>
      <c r="H80" s="71"/>
      <c r="I80" s="62"/>
      <c r="J80" s="62" t="s">
        <v>204</v>
      </c>
      <c r="K80" s="62" t="s">
        <v>206</v>
      </c>
      <c r="L80" s="62" t="s">
        <v>207</v>
      </c>
      <c r="M80" s="62" t="s">
        <v>208</v>
      </c>
    </row>
    <row r="81" spans="1:13" x14ac:dyDescent="0.35">
      <c r="A81" s="72" t="s">
        <v>164</v>
      </c>
      <c r="B81" s="72"/>
      <c r="C81" s="72"/>
      <c r="D81" s="72"/>
      <c r="E81" s="72"/>
      <c r="F81" s="68">
        <v>6000</v>
      </c>
      <c r="G81" s="68"/>
      <c r="H81" s="68"/>
      <c r="I81" s="63">
        <f>AVERAGE(J81:M81)</f>
        <v>5673.4126984126988</v>
      </c>
      <c r="J81" s="62">
        <v>5500</v>
      </c>
      <c r="K81" s="63">
        <f>AVERAGE(K103:K105)</f>
        <v>6366.1375661375669</v>
      </c>
      <c r="L81" s="62">
        <v>6000</v>
      </c>
      <c r="M81" s="63">
        <f>AVERAGE(L103:L105)</f>
        <v>4827.5132275132273</v>
      </c>
    </row>
    <row r="82" spans="1:13" hidden="1" x14ac:dyDescent="0.35">
      <c r="A82" s="72" t="s">
        <v>163</v>
      </c>
      <c r="B82" s="72"/>
      <c r="C82" s="72"/>
      <c r="D82" s="72"/>
      <c r="E82" s="72"/>
      <c r="F82" s="68"/>
      <c r="G82" s="68"/>
      <c r="H82" s="68"/>
      <c r="I82" s="62"/>
      <c r="J82" s="62"/>
      <c r="K82" s="62"/>
      <c r="L82" s="62"/>
      <c r="M82" s="62"/>
    </row>
    <row r="83" spans="1:13" hidden="1" x14ac:dyDescent="0.35">
      <c r="A83" s="72" t="s">
        <v>165</v>
      </c>
      <c r="B83" s="72"/>
      <c r="C83" s="72"/>
      <c r="D83" s="72"/>
      <c r="E83" s="72"/>
      <c r="F83" s="68"/>
      <c r="G83" s="68"/>
      <c r="H83" s="68"/>
      <c r="I83" s="62"/>
      <c r="J83" s="62"/>
      <c r="K83" s="62"/>
      <c r="L83" s="62"/>
      <c r="M83" s="62"/>
    </row>
    <row r="84" spans="1:13" s="30" customFormat="1" hidden="1" x14ac:dyDescent="0.3">
      <c r="A84" s="72" t="s">
        <v>162</v>
      </c>
      <c r="B84" s="72"/>
      <c r="C84" s="72"/>
      <c r="D84" s="72"/>
      <c r="E84" s="72"/>
      <c r="F84" s="68"/>
      <c r="G84" s="68"/>
      <c r="H84" s="68"/>
    </row>
    <row r="85" spans="1:13" s="30" customFormat="1" hidden="1" x14ac:dyDescent="0.3">
      <c r="A85" s="72" t="s">
        <v>96</v>
      </c>
      <c r="B85" s="72"/>
      <c r="C85" s="72"/>
      <c r="D85" s="72"/>
      <c r="E85" s="72"/>
      <c r="F85" s="68"/>
      <c r="G85" s="68"/>
      <c r="H85" s="68"/>
    </row>
    <row r="86" spans="1:13" s="30" customFormat="1" hidden="1" x14ac:dyDescent="0.3">
      <c r="A86" s="72" t="s">
        <v>97</v>
      </c>
      <c r="B86" s="72"/>
      <c r="C86" s="72"/>
      <c r="D86" s="72"/>
      <c r="E86" s="72"/>
      <c r="F86" s="68"/>
      <c r="G86" s="68"/>
      <c r="H86" s="68"/>
    </row>
    <row r="87" spans="1:13" s="30" customFormat="1" hidden="1" x14ac:dyDescent="0.3">
      <c r="A87" s="72" t="s">
        <v>167</v>
      </c>
      <c r="B87" s="72"/>
      <c r="C87" s="72"/>
      <c r="D87" s="72"/>
      <c r="E87" s="72"/>
      <c r="F87" s="68"/>
      <c r="G87" s="68"/>
      <c r="H87" s="68"/>
    </row>
    <row r="88" spans="1:13" s="30" customFormat="1" hidden="1" x14ac:dyDescent="0.3">
      <c r="A88" s="72" t="s">
        <v>98</v>
      </c>
      <c r="B88" s="72"/>
      <c r="C88" s="72"/>
      <c r="D88" s="72"/>
      <c r="E88" s="72"/>
      <c r="F88" s="68"/>
      <c r="G88" s="68"/>
      <c r="H88" s="68"/>
    </row>
    <row r="89" spans="1:13" s="30" customFormat="1" hidden="1" x14ac:dyDescent="0.3">
      <c r="A89" s="72" t="s">
        <v>99</v>
      </c>
      <c r="B89" s="72"/>
      <c r="C89" s="72"/>
      <c r="D89" s="72"/>
      <c r="E89" s="72"/>
      <c r="F89" s="68"/>
      <c r="G89" s="68"/>
      <c r="H89" s="68"/>
    </row>
    <row r="90" spans="1:13" s="30" customFormat="1" hidden="1" x14ac:dyDescent="0.3">
      <c r="A90" s="72" t="s">
        <v>100</v>
      </c>
      <c r="B90" s="72"/>
      <c r="C90" s="72"/>
      <c r="D90" s="72"/>
      <c r="E90" s="72"/>
      <c r="F90" s="68"/>
      <c r="G90" s="68"/>
      <c r="H90" s="68"/>
    </row>
    <row r="91" spans="1:13" s="30" customFormat="1" hidden="1" x14ac:dyDescent="0.3">
      <c r="A91" s="72" t="s">
        <v>101</v>
      </c>
      <c r="B91" s="72"/>
      <c r="C91" s="72"/>
      <c r="D91" s="72"/>
      <c r="E91" s="72"/>
      <c r="F91" s="68"/>
      <c r="G91" s="68"/>
      <c r="H91" s="68"/>
    </row>
    <row r="92" spans="1:13" x14ac:dyDescent="0.35">
      <c r="A92" s="72" t="s">
        <v>51</v>
      </c>
      <c r="B92" s="72"/>
      <c r="C92" s="72"/>
      <c r="D92" s="72"/>
      <c r="E92" s="72"/>
      <c r="F92" s="68">
        <v>200000</v>
      </c>
      <c r="G92" s="68"/>
      <c r="H92" s="68"/>
    </row>
    <row r="93" spans="1:13" s="31" customFormat="1" x14ac:dyDescent="0.35">
      <c r="A93" s="116" t="s">
        <v>52</v>
      </c>
      <c r="B93" s="116"/>
      <c r="C93" s="116"/>
      <c r="D93" s="116"/>
      <c r="E93" s="116"/>
      <c r="F93" s="68">
        <f>F81*0.8</f>
        <v>4800</v>
      </c>
      <c r="G93" s="68"/>
      <c r="H93" s="68"/>
    </row>
    <row r="94" spans="1:13" s="32" customFormat="1" x14ac:dyDescent="0.35">
      <c r="A94" s="78" t="s">
        <v>71</v>
      </c>
      <c r="B94" s="78"/>
      <c r="C94" s="78"/>
      <c r="D94" s="78"/>
      <c r="E94" s="78"/>
      <c r="F94" s="78"/>
      <c r="G94" s="78"/>
      <c r="H94" s="78"/>
    </row>
    <row r="95" spans="1:13" s="32" customFormat="1" ht="15.75" customHeight="1" x14ac:dyDescent="0.35">
      <c r="A95" s="82" t="s">
        <v>53</v>
      </c>
      <c r="B95" s="82"/>
      <c r="C95" s="74" t="s">
        <v>79</v>
      </c>
      <c r="D95" s="74"/>
      <c r="E95" s="79" t="s">
        <v>54</v>
      </c>
      <c r="F95" s="79"/>
      <c r="G95" s="82" t="s">
        <v>55</v>
      </c>
      <c r="H95" s="82"/>
      <c r="J95" s="65" t="s">
        <v>212</v>
      </c>
      <c r="K95" s="65" t="s">
        <v>213</v>
      </c>
    </row>
    <row r="96" spans="1:13" s="32" customFormat="1" x14ac:dyDescent="0.35">
      <c r="A96" s="160" t="s">
        <v>189</v>
      </c>
      <c r="B96" s="160"/>
      <c r="C96" s="80">
        <f>COUNT(D103:D105)*16+COUNT(D130:D132)*3</f>
        <v>57</v>
      </c>
      <c r="D96" s="80"/>
      <c r="E96" s="81">
        <f>SUM(D103:D105)*16+SUM(D130:D132)*3</f>
        <v>22991.17743</v>
      </c>
      <c r="F96" s="81"/>
      <c r="G96" s="81">
        <f>SUM(F103:F105)*16+SUM(F130:F132)*3</f>
        <v>35815</v>
      </c>
      <c r="H96" s="81"/>
      <c r="J96" s="32">
        <f>3437500/625</f>
        <v>5500</v>
      </c>
      <c r="K96" s="32">
        <f>3000000/F103</f>
        <v>4800</v>
      </c>
    </row>
    <row r="97" spans="1:14" s="32" customFormat="1" x14ac:dyDescent="0.35">
      <c r="A97" s="78" t="s">
        <v>155</v>
      </c>
      <c r="B97" s="78"/>
      <c r="C97" s="74">
        <f>SUM(C96)</f>
        <v>57</v>
      </c>
      <c r="D97" s="74"/>
      <c r="E97" s="163">
        <f>SUM(E96)</f>
        <v>22991.17743</v>
      </c>
      <c r="F97" s="79"/>
      <c r="G97" s="82">
        <f>SUM(G96)</f>
        <v>35815</v>
      </c>
      <c r="H97" s="82"/>
      <c r="J97" s="64">
        <f>3465000/630</f>
        <v>5500</v>
      </c>
      <c r="K97" s="64">
        <f>3050000/F104</f>
        <v>4841.269841269841</v>
      </c>
    </row>
    <row r="98" spans="1:14" s="31" customFormat="1" x14ac:dyDescent="0.35">
      <c r="A98" s="143" t="s">
        <v>56</v>
      </c>
      <c r="B98" s="143"/>
      <c r="C98" s="143"/>
      <c r="D98" s="143"/>
      <c r="E98" s="143"/>
      <c r="F98" s="143"/>
      <c r="G98" s="143"/>
      <c r="H98" s="143"/>
    </row>
    <row r="99" spans="1:14" x14ac:dyDescent="0.35">
      <c r="A99" s="71" t="s">
        <v>57</v>
      </c>
      <c r="B99" s="71"/>
      <c r="C99" s="71"/>
      <c r="D99" s="71"/>
      <c r="E99" s="71"/>
      <c r="F99" s="71"/>
      <c r="G99" s="71"/>
      <c r="H99" s="71"/>
      <c r="I99" s="66" t="s">
        <v>214</v>
      </c>
    </row>
    <row r="100" spans="1:14" ht="47.25" customHeight="1" x14ac:dyDescent="0.35">
      <c r="A100" s="52" t="s">
        <v>123</v>
      </c>
      <c r="B100" s="52" t="s">
        <v>124</v>
      </c>
      <c r="C100" s="50" t="s">
        <v>58</v>
      </c>
      <c r="D100" s="50" t="s">
        <v>59</v>
      </c>
      <c r="E100" s="51" t="s">
        <v>60</v>
      </c>
      <c r="F100" s="40" t="s">
        <v>211</v>
      </c>
      <c r="G100" s="161" t="s">
        <v>61</v>
      </c>
      <c r="H100" s="162"/>
      <c r="I100" s="33"/>
    </row>
    <row r="101" spans="1:14" s="48" customFormat="1" x14ac:dyDescent="0.35">
      <c r="A101" s="75" t="s">
        <v>184</v>
      </c>
      <c r="B101" s="76"/>
      <c r="C101" s="76"/>
      <c r="D101" s="76"/>
      <c r="E101" s="76"/>
      <c r="F101" s="76"/>
      <c r="G101" s="76"/>
      <c r="H101" s="77"/>
      <c r="J101" s="33"/>
    </row>
    <row r="102" spans="1:14" s="34" customFormat="1" x14ac:dyDescent="0.35">
      <c r="A102" s="75" t="s">
        <v>186</v>
      </c>
      <c r="B102" s="76"/>
      <c r="C102" s="76"/>
      <c r="D102" s="76"/>
      <c r="E102" s="76"/>
      <c r="F102" s="76"/>
      <c r="G102" s="76"/>
      <c r="H102" s="77"/>
      <c r="I102" s="33"/>
    </row>
    <row r="103" spans="1:14" s="34" customFormat="1" ht="15.75" customHeight="1" x14ac:dyDescent="0.35">
      <c r="A103" s="69">
        <v>1</v>
      </c>
      <c r="B103" s="70"/>
      <c r="C103" s="39" t="s">
        <v>185</v>
      </c>
      <c r="D103" s="56">
        <f>(4.2*2.75+2.4*2.1+2.75*2.75+1.1*0.6+1.8*1.2+1.8*1.2+0.9*2.15+0.75*(2.75+2.75)+1*2.1)*10.764</f>
        <v>401.41646999999995</v>
      </c>
      <c r="E103" s="56">
        <v>0</v>
      </c>
      <c r="F103" s="39">
        <v>625</v>
      </c>
      <c r="G103" s="83" t="str">
        <f>A102</f>
        <v>1st to 6th, 8th to 11th, 13th to 16th &amp; 18th to 19th Floor for Residential</v>
      </c>
      <c r="H103" s="84"/>
      <c r="I103" s="55">
        <f>J103/D103</f>
        <v>1.5569864385484733</v>
      </c>
      <c r="J103" s="56">
        <v>625</v>
      </c>
      <c r="K103" s="33">
        <f>4000000/F103</f>
        <v>6400</v>
      </c>
      <c r="L103" s="34">
        <f>3000000/F103</f>
        <v>4800</v>
      </c>
    </row>
    <row r="104" spans="1:14" s="34" customFormat="1" x14ac:dyDescent="0.35">
      <c r="A104" s="69">
        <v>2</v>
      </c>
      <c r="B104" s="70"/>
      <c r="C104" s="47" t="s">
        <v>185</v>
      </c>
      <c r="D104" s="56">
        <f>(4.2*2.75+2.4*2.1+2.75*3.35+1.65*1.2+1.2*0.9+0.9*1.25+0.9*1.5+0.75*(2.75+2.75)+1*2.1)*10.764</f>
        <v>404.32275000000004</v>
      </c>
      <c r="E104" s="56">
        <v>0</v>
      </c>
      <c r="F104" s="39">
        <v>630</v>
      </c>
      <c r="G104" s="85"/>
      <c r="H104" s="86"/>
      <c r="I104" s="55">
        <f>J104/D104</f>
        <v>1.5581611472517931</v>
      </c>
      <c r="J104" s="34">
        <v>630</v>
      </c>
      <c r="K104" s="33">
        <f t="shared" ref="K104:K105" si="0">4000000/F104</f>
        <v>6349.2063492063489</v>
      </c>
      <c r="L104" s="33">
        <f>3050000/F104</f>
        <v>4841.269841269841</v>
      </c>
    </row>
    <row r="105" spans="1:14" s="34" customFormat="1" x14ac:dyDescent="0.35">
      <c r="A105" s="69">
        <v>3</v>
      </c>
      <c r="B105" s="70"/>
      <c r="C105" s="47" t="s">
        <v>185</v>
      </c>
      <c r="D105" s="56">
        <f>(4.2*2.75+2.4*2.1+2.75*3.35+1.65*1.2+1.2*0.9+0.9*1.25+0.9*1.5+0.75*(2.75+2.75)+1*2.1)*10.764</f>
        <v>404.32275000000004</v>
      </c>
      <c r="E105" s="56">
        <v>0</v>
      </c>
      <c r="F105" s="49">
        <v>630</v>
      </c>
      <c r="G105" s="87"/>
      <c r="H105" s="88"/>
      <c r="I105" s="55">
        <f>J105/D105</f>
        <v>1.5581611472517931</v>
      </c>
      <c r="J105" s="54">
        <v>630</v>
      </c>
      <c r="K105" s="33">
        <f t="shared" si="0"/>
        <v>6349.2063492063489</v>
      </c>
      <c r="L105" s="33">
        <f>3050000/F105</f>
        <v>4841.269841269841</v>
      </c>
    </row>
    <row r="106" spans="1:14" s="34" customFormat="1" hidden="1" x14ac:dyDescent="0.35">
      <c r="A106" s="75" t="s">
        <v>121</v>
      </c>
      <c r="B106" s="76"/>
      <c r="C106" s="76"/>
      <c r="D106" s="76"/>
      <c r="E106" s="76"/>
      <c r="F106" s="76"/>
      <c r="G106" s="76"/>
      <c r="H106" s="77"/>
      <c r="J106" s="33"/>
    </row>
    <row r="107" spans="1:14" s="34" customFormat="1" hidden="1" x14ac:dyDescent="0.35">
      <c r="A107" s="69">
        <v>1</v>
      </c>
      <c r="B107" s="70"/>
      <c r="C107" s="39"/>
      <c r="D107" s="39"/>
      <c r="E107" s="39">
        <v>0</v>
      </c>
      <c r="F107" s="39" t="e">
        <f>D107*((#REF!)+1)+(IF(E107&lt;101,E107,IF(E107&lt;201,E107/2,IF(E107&lt;=301,E107/3,E107/4))))</f>
        <v>#REF!</v>
      </c>
      <c r="G107" s="69" t="str">
        <f>A106</f>
        <v>Ground Floor</v>
      </c>
      <c r="H107" s="70"/>
      <c r="I107" s="33"/>
      <c r="L107" s="144"/>
      <c r="M107" s="144"/>
      <c r="N107" s="33"/>
    </row>
    <row r="108" spans="1:14" s="34" customFormat="1" hidden="1" x14ac:dyDescent="0.35">
      <c r="A108" s="69">
        <f t="shared" ref="A108:A110" si="1">A107+1</f>
        <v>2</v>
      </c>
      <c r="B108" s="70"/>
      <c r="C108" s="39"/>
      <c r="D108" s="39"/>
      <c r="E108" s="39">
        <v>0</v>
      </c>
      <c r="F108" s="39" t="e">
        <f>D108*((#REF!)+1)+(IF(E108&lt;101,E108,IF(E108&lt;201,E108/2,IF(E108&lt;=301,E108/3,E108/4))))</f>
        <v>#REF!</v>
      </c>
      <c r="G108" s="69" t="str">
        <f t="shared" ref="G108:G110" si="2">G107</f>
        <v>Ground Floor</v>
      </c>
      <c r="H108" s="70"/>
      <c r="I108" s="33"/>
      <c r="L108" s="144"/>
      <c r="M108" s="144"/>
      <c r="N108" s="33"/>
    </row>
    <row r="109" spans="1:14" s="34" customFormat="1" hidden="1" x14ac:dyDescent="0.35">
      <c r="A109" s="69">
        <f t="shared" si="1"/>
        <v>3</v>
      </c>
      <c r="B109" s="70"/>
      <c r="C109" s="39"/>
      <c r="D109" s="39"/>
      <c r="E109" s="39">
        <v>0</v>
      </c>
      <c r="F109" s="39" t="e">
        <f>D109*((#REF!)+1)+(IF(E109&lt;101,E109,IF(E109&lt;201,E109/2,IF(E109&lt;=301,E109/3,E109/4))))</f>
        <v>#REF!</v>
      </c>
      <c r="G109" s="69" t="str">
        <f t="shared" si="2"/>
        <v>Ground Floor</v>
      </c>
      <c r="H109" s="70"/>
      <c r="I109" s="33"/>
      <c r="L109" s="144"/>
      <c r="M109" s="144"/>
      <c r="N109" s="33"/>
    </row>
    <row r="110" spans="1:14" s="34" customFormat="1" hidden="1" x14ac:dyDescent="0.35">
      <c r="A110" s="69">
        <f t="shared" si="1"/>
        <v>4</v>
      </c>
      <c r="B110" s="70"/>
      <c r="C110" s="39"/>
      <c r="D110" s="39"/>
      <c r="E110" s="39">
        <v>0</v>
      </c>
      <c r="F110" s="39" t="e">
        <f>D110*((#REF!)+1)+(IF(E110&lt;101,E110,IF(E110&lt;201,E110/2,IF(E110&lt;=301,E110/3,E110/4))))</f>
        <v>#REF!</v>
      </c>
      <c r="G110" s="69" t="str">
        <f t="shared" si="2"/>
        <v>Ground Floor</v>
      </c>
      <c r="H110" s="70"/>
      <c r="I110" s="33"/>
      <c r="L110" s="144"/>
      <c r="M110" s="144"/>
      <c r="N110" s="33"/>
    </row>
    <row r="111" spans="1:14" s="34" customFormat="1" hidden="1" x14ac:dyDescent="0.35">
      <c r="A111" s="159" t="s">
        <v>122</v>
      </c>
      <c r="B111" s="159"/>
      <c r="C111" s="159"/>
      <c r="D111" s="159"/>
      <c r="E111" s="159"/>
      <c r="F111" s="159"/>
      <c r="G111" s="159"/>
      <c r="H111" s="159"/>
      <c r="I111" s="33"/>
      <c r="L111" s="144"/>
      <c r="M111" s="144"/>
    </row>
    <row r="112" spans="1:14" s="34" customFormat="1" hidden="1" x14ac:dyDescent="0.35">
      <c r="A112" s="73">
        <f>LEFT(A111,SUM(LEN(A111)-LEN(SUBSTITUTE(A111,{"0","1","2","3","4","5","6","7","8","9"},""))))*100+1</f>
        <v>201</v>
      </c>
      <c r="B112" s="73"/>
      <c r="C112" s="39"/>
      <c r="D112" s="39"/>
      <c r="E112" s="39">
        <v>0</v>
      </c>
      <c r="F112" s="39" t="e">
        <f>D112*((#REF!)+1)+(IF(E112&lt;101,E112,IF(E112&lt;201,E112/2,IF(E112&lt;=301,E112/3,E112/4))))</f>
        <v>#REF!</v>
      </c>
      <c r="G112" s="73" t="str">
        <f>A111</f>
        <v>2nd Floor</v>
      </c>
      <c r="H112" s="73"/>
      <c r="I112" s="33"/>
      <c r="N112" s="33"/>
    </row>
    <row r="113" spans="1:14" s="34" customFormat="1" hidden="1" x14ac:dyDescent="0.35">
      <c r="A113" s="73">
        <f>A112+1</f>
        <v>202</v>
      </c>
      <c r="B113" s="73"/>
      <c r="C113" s="39"/>
      <c r="D113" s="39"/>
      <c r="E113" s="39">
        <v>0</v>
      </c>
      <c r="F113" s="39" t="e">
        <f>D113*((#REF!)+1)+(IF(E113&lt;101,E113,IF(E113&lt;201,E113/2,IF(E113&lt;=301,E113/3,E113/4))))</f>
        <v>#REF!</v>
      </c>
      <c r="G113" s="73" t="str">
        <f>G112</f>
        <v>2nd Floor</v>
      </c>
      <c r="H113" s="73"/>
      <c r="I113" s="33"/>
      <c r="N113" s="33"/>
    </row>
    <row r="114" spans="1:14" s="34" customFormat="1" hidden="1" x14ac:dyDescent="0.35">
      <c r="A114" s="73">
        <f>A113+1</f>
        <v>203</v>
      </c>
      <c r="B114" s="73"/>
      <c r="C114" s="39"/>
      <c r="D114" s="39"/>
      <c r="E114" s="39">
        <v>0</v>
      </c>
      <c r="F114" s="39" t="e">
        <f>D114*((#REF!)+1)+(IF(E114&lt;101,E114,IF(E114&lt;201,E114/2,IF(E114&lt;=301,E114/3,E114/4))))</f>
        <v>#REF!</v>
      </c>
      <c r="G114" s="73" t="str">
        <f>G113</f>
        <v>2nd Floor</v>
      </c>
      <c r="H114" s="73"/>
      <c r="I114" s="33"/>
      <c r="N114" s="33"/>
    </row>
    <row r="115" spans="1:14" s="34" customFormat="1" hidden="1" x14ac:dyDescent="0.35">
      <c r="A115" s="73">
        <f>A114+1</f>
        <v>204</v>
      </c>
      <c r="B115" s="73"/>
      <c r="C115" s="39"/>
      <c r="D115" s="39"/>
      <c r="E115" s="39">
        <v>0</v>
      </c>
      <c r="F115" s="39" t="e">
        <f>D115*((#REF!)+1)+(IF(E115&lt;101,E115,IF(E115&lt;201,E115/2,IF(E115&lt;=301,E115/3,E115/4))))</f>
        <v>#REF!</v>
      </c>
      <c r="G115" s="73" t="str">
        <f>G114</f>
        <v>2nd Floor</v>
      </c>
      <c r="H115" s="73"/>
      <c r="I115" s="33"/>
      <c r="N115" s="33"/>
    </row>
    <row r="116" spans="1:14" s="34" customFormat="1" hidden="1" x14ac:dyDescent="0.35">
      <c r="A116" s="73">
        <f>A115+1</f>
        <v>205</v>
      </c>
      <c r="B116" s="73"/>
      <c r="C116" s="39"/>
      <c r="D116" s="39"/>
      <c r="E116" s="39">
        <v>0</v>
      </c>
      <c r="F116" s="39" t="e">
        <f>D116*((#REF!)+1)+(IF(E116&lt;101,E116,IF(E116&lt;201,E116/2,IF(E116&lt;=301,E116/3,E116/4))))</f>
        <v>#REF!</v>
      </c>
      <c r="G116" s="73" t="str">
        <f>G115</f>
        <v>2nd Floor</v>
      </c>
      <c r="H116" s="73"/>
      <c r="I116" s="33"/>
      <c r="N116" s="33"/>
    </row>
    <row r="117" spans="1:14" s="34" customFormat="1" ht="15.75" hidden="1" customHeight="1" x14ac:dyDescent="0.35">
      <c r="A117" s="75" t="s">
        <v>154</v>
      </c>
      <c r="B117" s="76"/>
      <c r="C117" s="76"/>
      <c r="D117" s="76"/>
      <c r="E117" s="76"/>
      <c r="F117" s="76"/>
      <c r="G117" s="76"/>
      <c r="H117" s="77"/>
      <c r="I117" s="33"/>
    </row>
    <row r="118" spans="1:14" s="34" customFormat="1" hidden="1" x14ac:dyDescent="0.35">
      <c r="A118" s="69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10^ROW(INDIRECT("1:"&amp;LEN((LEFT(A117,SUM(LEN(A117)-LEN(SUBSTITUTE(A117,{"0","1","2"},""))))))))/10))*100+1&amp;""&amp;" ,..,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",LEN(A117))),LEN(A117)))))))/10))*100+1</f>
        <v>301 ,.., 1501</v>
      </c>
      <c r="B118" s="70"/>
      <c r="C118" s="39"/>
      <c r="D118" s="39"/>
      <c r="E118" s="39">
        <v>0</v>
      </c>
      <c r="F118" s="39" t="e">
        <f>D118*((#REF!)+1)+(IF(E118&lt;101,E118,IF(E118&lt;201,E118/2,IF(E118&lt;=301,E118/3,E118/4))))</f>
        <v>#REF!</v>
      </c>
      <c r="G118" s="69" t="str">
        <f>A117</f>
        <v>3rd, 5th, 7th, 9th, 11th, 13th, 15th Floor</v>
      </c>
      <c r="H118" s="70"/>
      <c r="I118" s="33"/>
    </row>
    <row r="119" spans="1:14" s="34" customFormat="1" hidden="1" x14ac:dyDescent="0.35">
      <c r="A119" s="69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,..,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302 ,.., 1502</v>
      </c>
      <c r="B119" s="70"/>
      <c r="C119" s="39"/>
      <c r="D119" s="39"/>
      <c r="E119" s="39">
        <v>0</v>
      </c>
      <c r="F119" s="39" t="e">
        <f>D119*((#REF!)+1)+(IF(E119&lt;101,E119,IF(E119&lt;201,E119/2,IF(E119&lt;=301,E119/3,E119/4))))</f>
        <v>#REF!</v>
      </c>
      <c r="G119" s="69" t="str">
        <f>G118</f>
        <v>3rd, 5th, 7th, 9th, 11th, 13th, 15th Floor</v>
      </c>
      <c r="H119" s="70"/>
      <c r="I119" s="33"/>
    </row>
    <row r="120" spans="1:14" s="34" customFormat="1" ht="15.75" hidden="1" customHeight="1" x14ac:dyDescent="0.35">
      <c r="A120" s="69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,..,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303 ,.., 1503</v>
      </c>
      <c r="B120" s="70"/>
      <c r="C120" s="39"/>
      <c r="D120" s="39"/>
      <c r="E120" s="39">
        <v>0</v>
      </c>
      <c r="F120" s="39" t="e">
        <f>D120*((#REF!)+1)+(IF(E120&lt;101,E120,IF(E120&lt;201,E120/2,IF(E120&lt;=301,E120/3,E120/4))))</f>
        <v>#REF!</v>
      </c>
      <c r="G120" s="69" t="str">
        <f>G119</f>
        <v>3rd, 5th, 7th, 9th, 11th, 13th, 15th Floor</v>
      </c>
      <c r="H120" s="70"/>
      <c r="I120" s="33"/>
    </row>
    <row r="121" spans="1:14" s="34" customFormat="1" ht="15.75" hidden="1" customHeight="1" x14ac:dyDescent="0.35">
      <c r="A121" s="69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,..,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304 ,.., 1504</v>
      </c>
      <c r="B121" s="70"/>
      <c r="C121" s="39"/>
      <c r="D121" s="39"/>
      <c r="E121" s="39">
        <v>0</v>
      </c>
      <c r="F121" s="39" t="e">
        <f>D121*((#REF!)+1)+(IF(E121&lt;101,E121,IF(E121&lt;201,E121/2,IF(E121&lt;=301,E121/3,E121/4))))</f>
        <v>#REF!</v>
      </c>
      <c r="G121" s="69" t="str">
        <f>G120</f>
        <v>3rd, 5th, 7th, 9th, 11th, 13th, 15th Floor</v>
      </c>
      <c r="H121" s="70"/>
      <c r="I121" s="33"/>
    </row>
    <row r="122" spans="1:14" s="34" customFormat="1" ht="15.75" hidden="1" customHeight="1" x14ac:dyDescent="0.35">
      <c r="A122" s="69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,..,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305 ,.., 1505</v>
      </c>
      <c r="B122" s="70"/>
      <c r="C122" s="39"/>
      <c r="D122" s="39"/>
      <c r="E122" s="39">
        <v>0</v>
      </c>
      <c r="F122" s="39" t="e">
        <f>D122*((#REF!)+1)+(IF(E122&lt;101,E122,IF(E122&lt;201,E122/2,IF(E122&lt;=301,E122/3,E122/4))))</f>
        <v>#REF!</v>
      </c>
      <c r="G122" s="69" t="str">
        <f>G121</f>
        <v>3rd, 5th, 7th, 9th, 11th, 13th, 15th Floor</v>
      </c>
      <c r="H122" s="70"/>
      <c r="I122" s="33"/>
    </row>
    <row r="123" spans="1:14" s="34" customFormat="1" hidden="1" x14ac:dyDescent="0.35">
      <c r="A123" s="75" t="s">
        <v>150</v>
      </c>
      <c r="B123" s="76"/>
      <c r="C123" s="76"/>
      <c r="D123" s="76"/>
      <c r="E123" s="76"/>
      <c r="F123" s="76"/>
      <c r="G123" s="76"/>
      <c r="H123" s="77"/>
      <c r="I123" s="33"/>
    </row>
    <row r="124" spans="1:14" s="34" customFormat="1" hidden="1" x14ac:dyDescent="0.35">
      <c r="A124" s="69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10^ROW(INDIRECT("1:"&amp;LEN((LEFT(A123,SUM(LEN(A123)-LEN(SUBSTITUTE(A123,{"0","1","2"},""))))))))/10))*100+1&amp;""&amp;" &amp;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",LEN(A123))),LEN(A123)))))))/10))*100+1</f>
        <v>201 &amp; 501</v>
      </c>
      <c r="B124" s="70"/>
      <c r="C124" s="39"/>
      <c r="D124" s="39"/>
      <c r="E124" s="39">
        <v>0</v>
      </c>
      <c r="F124" s="39" t="e">
        <f>D124*((#REF!)+1)+(IF(E124&lt;101,E124,IF(E124&lt;201,E124/2,IF(E124&lt;=301,E124/3,E124/4))))</f>
        <v>#REF!</v>
      </c>
      <c r="G124" s="69" t="str">
        <f>A123</f>
        <v>2nd &amp; 5th Floor</v>
      </c>
      <c r="H124" s="70"/>
      <c r="I124" s="33"/>
    </row>
    <row r="125" spans="1:14" s="34" customFormat="1" hidden="1" x14ac:dyDescent="0.35">
      <c r="A125" s="69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&amp;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202 &amp; 502</v>
      </c>
      <c r="B125" s="70"/>
      <c r="C125" s="39"/>
      <c r="D125" s="39"/>
      <c r="E125" s="39">
        <v>0</v>
      </c>
      <c r="F125" s="39" t="e">
        <f>D125*((#REF!)+1)+(IF(E125&lt;101,E125,IF(E125&lt;201,E125/2,IF(E125&lt;=301,E125/3,E125/4))))</f>
        <v>#REF!</v>
      </c>
      <c r="G125" s="69" t="str">
        <f t="shared" ref="G125:G128" si="3">G124</f>
        <v>2nd &amp; 5th Floor</v>
      </c>
      <c r="H125" s="70"/>
      <c r="I125" s="33"/>
    </row>
    <row r="126" spans="1:14" s="34" customFormat="1" hidden="1" x14ac:dyDescent="0.35">
      <c r="A126" s="69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&amp;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203 &amp; 503</v>
      </c>
      <c r="B126" s="70"/>
      <c r="C126" s="39"/>
      <c r="D126" s="39"/>
      <c r="E126" s="39">
        <v>0</v>
      </c>
      <c r="F126" s="39" t="e">
        <f>D126*((#REF!)+1)+(IF(E126&lt;101,E126,IF(E126&lt;201,E126/2,IF(E126&lt;=301,E126/3,E126/4))))</f>
        <v>#REF!</v>
      </c>
      <c r="G126" s="69" t="str">
        <f t="shared" si="3"/>
        <v>2nd &amp; 5th Floor</v>
      </c>
      <c r="H126" s="70"/>
      <c r="I126" s="33"/>
    </row>
    <row r="127" spans="1:14" s="34" customFormat="1" hidden="1" x14ac:dyDescent="0.35">
      <c r="A127" s="69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&amp;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204 &amp; 504</v>
      </c>
      <c r="B127" s="70"/>
      <c r="C127" s="39"/>
      <c r="D127" s="39"/>
      <c r="E127" s="39">
        <v>0</v>
      </c>
      <c r="F127" s="39" t="e">
        <f>D127*((#REF!)+1)+(IF(E127&lt;101,E127,IF(E127&lt;201,E127/2,IF(E127&lt;=301,E127/3,E127/4))))</f>
        <v>#REF!</v>
      </c>
      <c r="G127" s="69" t="str">
        <f t="shared" si="3"/>
        <v>2nd &amp; 5th Floor</v>
      </c>
      <c r="H127" s="70"/>
      <c r="I127" s="33"/>
    </row>
    <row r="128" spans="1:14" s="34" customFormat="1" hidden="1" x14ac:dyDescent="0.35">
      <c r="A128" s="69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&amp;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205 &amp; 505</v>
      </c>
      <c r="B128" s="70"/>
      <c r="C128" s="39"/>
      <c r="D128" s="39"/>
      <c r="E128" s="39">
        <v>0</v>
      </c>
      <c r="F128" s="39" t="e">
        <f>D128*((#REF!)+1)+(IF(E128&lt;101,E128,IF(E128&lt;201,E128/2,IF(E128&lt;=301,E128/3,E128/4))))</f>
        <v>#REF!</v>
      </c>
      <c r="G128" s="69" t="str">
        <f t="shared" si="3"/>
        <v>2nd &amp; 5th Floor</v>
      </c>
      <c r="H128" s="70"/>
      <c r="I128" s="33"/>
    </row>
    <row r="129" spans="1:9" s="48" customFormat="1" x14ac:dyDescent="0.35">
      <c r="A129" s="75" t="s">
        <v>187</v>
      </c>
      <c r="B129" s="76"/>
      <c r="C129" s="76"/>
      <c r="D129" s="76"/>
      <c r="E129" s="76"/>
      <c r="F129" s="76"/>
      <c r="G129" s="76"/>
      <c r="H129" s="77"/>
      <c r="I129" s="33"/>
    </row>
    <row r="130" spans="1:9" s="48" customFormat="1" ht="15.75" customHeight="1" x14ac:dyDescent="0.35">
      <c r="A130" s="69">
        <v>1</v>
      </c>
      <c r="B130" s="70"/>
      <c r="C130" s="47" t="s">
        <v>185</v>
      </c>
      <c r="D130" s="56">
        <f>(4.2*2.75+2.4*2.1+2.75*2.75+1.1*0.6+1.8*1.2+1.8*1.2+0.9*2.15+0.75*(2.75+2.75)+1*2.1)*10.764</f>
        <v>401.41646999999995</v>
      </c>
      <c r="E130" s="56">
        <v>0</v>
      </c>
      <c r="F130" s="49">
        <v>625</v>
      </c>
      <c r="G130" s="83" t="str">
        <f>A129</f>
        <v>7th, 12th &amp; 17th Floor (Part Refuge Floor)</v>
      </c>
      <c r="H130" s="84"/>
      <c r="I130" s="33"/>
    </row>
    <row r="131" spans="1:9" s="48" customFormat="1" x14ac:dyDescent="0.35">
      <c r="A131" s="69">
        <v>2</v>
      </c>
      <c r="B131" s="70"/>
      <c r="C131" s="47" t="s">
        <v>185</v>
      </c>
      <c r="D131" s="56">
        <f>(4.2*2.75+2.4*2.1+2.75*3.35+1.65*1.2+1.2*0.9+0.9*1.25+0.9*1.5+0.75*(2.75+2.75)+1*2.1)*10.764</f>
        <v>404.32275000000004</v>
      </c>
      <c r="E131" s="56">
        <v>0</v>
      </c>
      <c r="F131" s="49">
        <v>630</v>
      </c>
      <c r="G131" s="85"/>
      <c r="H131" s="86"/>
      <c r="I131" s="33"/>
    </row>
    <row r="132" spans="1:9" s="48" customFormat="1" x14ac:dyDescent="0.35">
      <c r="A132" s="69">
        <v>3</v>
      </c>
      <c r="B132" s="70"/>
      <c r="C132" s="47" t="s">
        <v>185</v>
      </c>
      <c r="D132" s="56">
        <f>(4.2*2.75+2.4*2.1+2.75*3.35+1.65*1.2+1.2*0.9+0.9*1.25+0.9*1.5+0.75*(2.75+2.75)+1*2.1)*10.764</f>
        <v>404.32275000000004</v>
      </c>
      <c r="E132" s="56">
        <v>0</v>
      </c>
      <c r="F132" s="49">
        <v>630</v>
      </c>
      <c r="G132" s="87"/>
      <c r="H132" s="88"/>
      <c r="I132" s="33"/>
    </row>
    <row r="133" spans="1:9" s="54" customFormat="1" x14ac:dyDescent="0.35">
      <c r="A133" s="75" t="s">
        <v>190</v>
      </c>
      <c r="B133" s="76"/>
      <c r="C133" s="76"/>
      <c r="D133" s="76"/>
      <c r="E133" s="76"/>
      <c r="F133" s="76"/>
      <c r="G133" s="76"/>
      <c r="H133" s="77"/>
      <c r="I133" s="33"/>
    </row>
    <row r="134" spans="1:9" s="32" customFormat="1" x14ac:dyDescent="0.35">
      <c r="A134" s="99" t="s">
        <v>69</v>
      </c>
      <c r="B134" s="99"/>
      <c r="C134" s="99"/>
      <c r="D134" s="99"/>
      <c r="E134" s="99"/>
      <c r="F134" s="99"/>
      <c r="G134" s="99"/>
      <c r="H134" s="99"/>
    </row>
    <row r="135" spans="1:9" s="58" customFormat="1" x14ac:dyDescent="0.35">
      <c r="A135" s="57" t="s">
        <v>158</v>
      </c>
      <c r="B135" s="89" t="s">
        <v>193</v>
      </c>
      <c r="C135" s="90"/>
      <c r="D135" s="90"/>
      <c r="E135" s="90"/>
      <c r="F135" s="90"/>
      <c r="G135" s="90"/>
      <c r="H135" s="91"/>
    </row>
    <row r="136" spans="1:9" s="32" customFormat="1" x14ac:dyDescent="0.35">
      <c r="A136" s="42" t="s">
        <v>158</v>
      </c>
      <c r="B136" s="92" t="str">
        <f>(IF(F100="Saleable area Loading :","We have considered Saleable area of Flats as per our Calculation.","We considered Saleable area of Flat as per Builder area Sheet."))</f>
        <v>We considered Saleable area of Flat as per Builder area Sheet.</v>
      </c>
      <c r="C136" s="93"/>
      <c r="D136" s="93"/>
      <c r="E136" s="93"/>
      <c r="F136" s="93"/>
      <c r="G136" s="93"/>
      <c r="H136" s="94"/>
    </row>
    <row r="137" spans="1:9" s="32" customFormat="1" x14ac:dyDescent="0.35">
      <c r="A137" s="42" t="s">
        <v>158</v>
      </c>
      <c r="B137" s="96" t="s">
        <v>127</v>
      </c>
      <c r="C137" s="97"/>
      <c r="D137" s="97"/>
      <c r="E137" s="97"/>
      <c r="F137" s="97"/>
      <c r="G137" s="97"/>
      <c r="H137" s="98"/>
    </row>
    <row r="138" spans="1:9" s="32" customFormat="1" x14ac:dyDescent="0.35">
      <c r="A138" s="42" t="s">
        <v>158</v>
      </c>
      <c r="B138" s="96" t="s">
        <v>188</v>
      </c>
      <c r="C138" s="97"/>
      <c r="D138" s="97"/>
      <c r="E138" s="97"/>
      <c r="F138" s="97"/>
      <c r="G138" s="97"/>
      <c r="H138" s="98"/>
    </row>
    <row r="139" spans="1:9" s="32" customFormat="1" x14ac:dyDescent="0.35">
      <c r="A139" s="42" t="s">
        <v>158</v>
      </c>
      <c r="B139" s="96" t="s">
        <v>157</v>
      </c>
      <c r="C139" s="97"/>
      <c r="D139" s="97"/>
      <c r="E139" s="97"/>
      <c r="F139" s="97"/>
      <c r="G139" s="97"/>
      <c r="H139" s="98"/>
    </row>
    <row r="140" spans="1:9" s="32" customFormat="1" x14ac:dyDescent="0.35">
      <c r="A140" s="42" t="s">
        <v>158</v>
      </c>
      <c r="B140" s="96" t="s">
        <v>128</v>
      </c>
      <c r="C140" s="97"/>
      <c r="D140" s="97"/>
      <c r="E140" s="97"/>
      <c r="F140" s="97"/>
      <c r="G140" s="97"/>
      <c r="H140" s="98"/>
    </row>
    <row r="141" spans="1:9" s="32" customFormat="1" ht="34.5" customHeight="1" x14ac:dyDescent="0.35">
      <c r="A141" s="42" t="s">
        <v>158</v>
      </c>
      <c r="B141" s="96" t="s">
        <v>159</v>
      </c>
      <c r="C141" s="97"/>
      <c r="D141" s="97"/>
      <c r="E141" s="97"/>
      <c r="F141" s="97"/>
      <c r="G141" s="97"/>
      <c r="H141" s="98"/>
    </row>
    <row r="142" spans="1:9" s="32" customFormat="1" x14ac:dyDescent="0.35">
      <c r="A142" s="42" t="s">
        <v>158</v>
      </c>
      <c r="B142" s="96" t="s">
        <v>129</v>
      </c>
      <c r="C142" s="97"/>
      <c r="D142" s="97"/>
      <c r="E142" s="97"/>
      <c r="F142" s="97"/>
      <c r="G142" s="97"/>
      <c r="H142" s="98"/>
    </row>
    <row r="143" spans="1:9" x14ac:dyDescent="0.35">
      <c r="A143" s="103" t="s">
        <v>62</v>
      </c>
      <c r="B143" s="103"/>
      <c r="C143" s="103"/>
      <c r="D143" s="103"/>
      <c r="E143" s="103"/>
      <c r="F143" s="103"/>
      <c r="G143" s="103"/>
      <c r="H143" s="103"/>
    </row>
    <row r="144" spans="1:9" x14ac:dyDescent="0.35">
      <c r="A144" s="72" t="s">
        <v>63</v>
      </c>
      <c r="B144" s="72"/>
      <c r="C144" s="72"/>
      <c r="D144" s="72"/>
      <c r="E144" s="72"/>
      <c r="F144" s="72"/>
      <c r="G144" s="72"/>
      <c r="H144" s="72"/>
    </row>
    <row r="145" spans="1:8" ht="15.75" customHeight="1" x14ac:dyDescent="0.35">
      <c r="A145" s="95" t="s">
        <v>64</v>
      </c>
      <c r="B145" s="95"/>
      <c r="C145" s="95"/>
      <c r="D145" s="95"/>
      <c r="E145" s="95"/>
      <c r="F145" s="95"/>
      <c r="G145" s="95"/>
      <c r="H145" s="95"/>
    </row>
    <row r="146" spans="1:8" x14ac:dyDescent="0.35">
      <c r="A146" s="72" t="s">
        <v>65</v>
      </c>
      <c r="B146" s="72"/>
      <c r="C146" s="72"/>
      <c r="D146" s="72"/>
      <c r="E146" s="72"/>
      <c r="F146" s="72"/>
      <c r="G146" s="72"/>
      <c r="H146" s="72"/>
    </row>
    <row r="147" spans="1:8" x14ac:dyDescent="0.35">
      <c r="A147" s="72" t="s">
        <v>66</v>
      </c>
      <c r="B147" s="72"/>
      <c r="C147" s="72"/>
      <c r="D147" s="72"/>
      <c r="E147" s="72"/>
      <c r="F147" s="72"/>
      <c r="G147" s="72"/>
      <c r="H147" s="72"/>
    </row>
    <row r="148" spans="1:8" hidden="1" x14ac:dyDescent="0.35">
      <c r="A148" s="72" t="s">
        <v>130</v>
      </c>
      <c r="B148" s="72"/>
      <c r="C148" s="72"/>
      <c r="D148" s="72"/>
      <c r="E148" s="72"/>
      <c r="F148" s="72"/>
      <c r="G148" s="72"/>
      <c r="H148" s="72"/>
    </row>
    <row r="149" spans="1:8" hidden="1" x14ac:dyDescent="0.35">
      <c r="A149" s="102" t="s">
        <v>131</v>
      </c>
      <c r="B149" s="102"/>
      <c r="C149" s="102"/>
      <c r="D149" s="102"/>
      <c r="E149" s="102"/>
      <c r="F149" s="102"/>
      <c r="G149" s="102"/>
      <c r="H149" s="102"/>
    </row>
    <row r="150" spans="1:8" x14ac:dyDescent="0.35">
      <c r="A150" s="101" t="s">
        <v>78</v>
      </c>
      <c r="B150" s="101"/>
      <c r="C150" s="101" t="s">
        <v>219</v>
      </c>
      <c r="D150" s="101"/>
      <c r="E150" s="101" t="s">
        <v>108</v>
      </c>
      <c r="F150" s="101"/>
      <c r="G150" s="101" t="s">
        <v>221</v>
      </c>
      <c r="H150" s="101"/>
    </row>
    <row r="151" spans="1:8" x14ac:dyDescent="0.35">
      <c r="A151" s="100" t="s">
        <v>80</v>
      </c>
      <c r="B151" s="100"/>
      <c r="C151" s="100"/>
      <c r="D151" s="100"/>
      <c r="E151" s="100"/>
      <c r="F151" s="100"/>
      <c r="G151" s="100"/>
      <c r="H151" s="100"/>
    </row>
    <row r="152" spans="1:8" x14ac:dyDescent="0.35">
      <c r="A152" s="100"/>
      <c r="B152" s="100"/>
      <c r="C152" s="100"/>
      <c r="D152" s="100"/>
      <c r="E152" s="100"/>
      <c r="F152" s="100"/>
      <c r="G152" s="100"/>
      <c r="H152" s="100"/>
    </row>
    <row r="153" spans="1:8" x14ac:dyDescent="0.35">
      <c r="A153" s="100"/>
      <c r="B153" s="100"/>
      <c r="C153" s="100"/>
      <c r="D153" s="100"/>
      <c r="E153" s="100"/>
      <c r="F153" s="100"/>
      <c r="G153" s="100"/>
      <c r="H153" s="100"/>
    </row>
    <row r="154" spans="1:8" x14ac:dyDescent="0.35">
      <c r="A154" s="35" t="s">
        <v>67</v>
      </c>
      <c r="B154" s="36"/>
      <c r="C154" s="36"/>
      <c r="D154" s="35" t="str">
        <f>E8</f>
        <v>Shri Balaji Classic</v>
      </c>
      <c r="F154" s="36"/>
      <c r="G154" s="36"/>
      <c r="H154" s="36"/>
    </row>
    <row r="155" spans="1:8" x14ac:dyDescent="0.35">
      <c r="A155" s="36"/>
      <c r="B155" s="36"/>
      <c r="C155" s="36"/>
      <c r="D155" s="36"/>
      <c r="E155" s="36"/>
      <c r="F155" s="36"/>
      <c r="G155" s="36"/>
      <c r="H155" s="36"/>
    </row>
    <row r="156" spans="1:8" x14ac:dyDescent="0.35">
      <c r="A156" s="36"/>
      <c r="B156" s="36"/>
      <c r="C156" s="36"/>
      <c r="D156" s="36"/>
      <c r="E156" s="36"/>
      <c r="F156" s="36"/>
      <c r="G156" s="36"/>
      <c r="H156" s="36"/>
    </row>
    <row r="157" spans="1:8" ht="15" customHeight="1" x14ac:dyDescent="0.35"/>
    <row r="195" spans="1:1" hidden="1" x14ac:dyDescent="0.35"/>
    <row r="196" spans="1:1" hidden="1" x14ac:dyDescent="0.35"/>
    <row r="197" spans="1:1" hidden="1" x14ac:dyDescent="0.35"/>
    <row r="198" spans="1:1" hidden="1" x14ac:dyDescent="0.35"/>
    <row r="199" spans="1:1" hidden="1" x14ac:dyDescent="0.35"/>
    <row r="200" spans="1:1" hidden="1" x14ac:dyDescent="0.35"/>
    <row r="201" spans="1:1" hidden="1" x14ac:dyDescent="0.35"/>
    <row r="202" spans="1:1" x14ac:dyDescent="0.35">
      <c r="A202" s="38" t="s">
        <v>170</v>
      </c>
    </row>
    <row r="246" spans="1:1" x14ac:dyDescent="0.35">
      <c r="A246" s="38" t="s">
        <v>68</v>
      </c>
    </row>
  </sheetData>
  <mergeCells count="281">
    <mergeCell ref="A48:B48"/>
    <mergeCell ref="C48:H48"/>
    <mergeCell ref="F82:H82"/>
    <mergeCell ref="A82:E82"/>
    <mergeCell ref="A111:H111"/>
    <mergeCell ref="A96:B96"/>
    <mergeCell ref="A95:B95"/>
    <mergeCell ref="G100:H100"/>
    <mergeCell ref="G96:H96"/>
    <mergeCell ref="C95:D95"/>
    <mergeCell ref="G95:H95"/>
    <mergeCell ref="A98:H98"/>
    <mergeCell ref="A102:H102"/>
    <mergeCell ref="A101:H101"/>
    <mergeCell ref="A97:B97"/>
    <mergeCell ref="E97:F97"/>
    <mergeCell ref="A92:E92"/>
    <mergeCell ref="F92:H92"/>
    <mergeCell ref="A93:E93"/>
    <mergeCell ref="F93:H93"/>
    <mergeCell ref="A58:C58"/>
    <mergeCell ref="D58:H58"/>
    <mergeCell ref="C50:E50"/>
    <mergeCell ref="A53:B53"/>
    <mergeCell ref="A9:D9"/>
    <mergeCell ref="E9:H9"/>
    <mergeCell ref="A89:E89"/>
    <mergeCell ref="F83:H83"/>
    <mergeCell ref="A88:E88"/>
    <mergeCell ref="A83:E83"/>
    <mergeCell ref="A80:E80"/>
    <mergeCell ref="F84:H84"/>
    <mergeCell ref="C52:H52"/>
    <mergeCell ref="F87:H87"/>
    <mergeCell ref="A81:E81"/>
    <mergeCell ref="A46:D46"/>
    <mergeCell ref="A47:H47"/>
    <mergeCell ref="D57:H57"/>
    <mergeCell ref="A57:C57"/>
    <mergeCell ref="G50:H50"/>
    <mergeCell ref="A51:B52"/>
    <mergeCell ref="A76:B76"/>
    <mergeCell ref="F85:H85"/>
    <mergeCell ref="C49:E49"/>
    <mergeCell ref="G49:H49"/>
    <mergeCell ref="G51:H51"/>
    <mergeCell ref="D55:H55"/>
    <mergeCell ref="C51:E51"/>
    <mergeCell ref="G122:H122"/>
    <mergeCell ref="G121:H121"/>
    <mergeCell ref="A122:B122"/>
    <mergeCell ref="G119:H119"/>
    <mergeCell ref="G115:H115"/>
    <mergeCell ref="G112:H112"/>
    <mergeCell ref="G103:H105"/>
    <mergeCell ref="L111:M111"/>
    <mergeCell ref="A116:B116"/>
    <mergeCell ref="A113:B113"/>
    <mergeCell ref="A114:B114"/>
    <mergeCell ref="G114:H114"/>
    <mergeCell ref="L110:M110"/>
    <mergeCell ref="G107:H107"/>
    <mergeCell ref="L107:M107"/>
    <mergeCell ref="A108:B108"/>
    <mergeCell ref="G108:H108"/>
    <mergeCell ref="L108:M108"/>
    <mergeCell ref="A109:B109"/>
    <mergeCell ref="G109:H109"/>
    <mergeCell ref="L109:M109"/>
    <mergeCell ref="A110:B110"/>
    <mergeCell ref="A103:B103"/>
    <mergeCell ref="A121:B121"/>
    <mergeCell ref="C53:E53"/>
    <mergeCell ref="A86:E86"/>
    <mergeCell ref="F86:H86"/>
    <mergeCell ref="A87:E87"/>
    <mergeCell ref="A85:E85"/>
    <mergeCell ref="A60:C60"/>
    <mergeCell ref="D59:H59"/>
    <mergeCell ref="E70:F79"/>
    <mergeCell ref="G70:H79"/>
    <mergeCell ref="A78:B78"/>
    <mergeCell ref="A79:B79"/>
    <mergeCell ref="D60:H60"/>
    <mergeCell ref="D65:H65"/>
    <mergeCell ref="A63:C63"/>
    <mergeCell ref="D63:H63"/>
    <mergeCell ref="A64:C64"/>
    <mergeCell ref="D64:H64"/>
    <mergeCell ref="A70:B70"/>
    <mergeCell ref="G69:H69"/>
    <mergeCell ref="A75:B75"/>
    <mergeCell ref="F81:H81"/>
    <mergeCell ref="A84:E84"/>
    <mergeCell ref="F80:H80"/>
    <mergeCell ref="A43:D43"/>
    <mergeCell ref="E43:H43"/>
    <mergeCell ref="E44:H44"/>
    <mergeCell ref="E45:H45"/>
    <mergeCell ref="E46:H46"/>
    <mergeCell ref="A44:D44"/>
    <mergeCell ref="A45:D45"/>
    <mergeCell ref="A77:B77"/>
    <mergeCell ref="A37:H37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A36:B36"/>
    <mergeCell ref="C36:E36"/>
    <mergeCell ref="A41:D41"/>
    <mergeCell ref="E41:H41"/>
    <mergeCell ref="F33:H33"/>
    <mergeCell ref="F34:H34"/>
    <mergeCell ref="A40:H40"/>
    <mergeCell ref="A59:C59"/>
    <mergeCell ref="F36:H36"/>
    <mergeCell ref="A38:B38"/>
    <mergeCell ref="C38:H38"/>
    <mergeCell ref="A39:B39"/>
    <mergeCell ref="C39:H39"/>
    <mergeCell ref="A35:B35"/>
    <mergeCell ref="C35:E35"/>
    <mergeCell ref="A50:B50"/>
    <mergeCell ref="A54:H54"/>
    <mergeCell ref="A55:C55"/>
    <mergeCell ref="A56:C56"/>
    <mergeCell ref="D56:H56"/>
    <mergeCell ref="G53:H53"/>
    <mergeCell ref="E42:H42"/>
    <mergeCell ref="A42:D42"/>
    <mergeCell ref="A49:B49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E26:H26"/>
    <mergeCell ref="A28:D28"/>
    <mergeCell ref="E28:H28"/>
    <mergeCell ref="A25:D25"/>
    <mergeCell ref="E25:H25"/>
    <mergeCell ref="A29:D29"/>
    <mergeCell ref="E29:H29"/>
    <mergeCell ref="A26:D26"/>
    <mergeCell ref="A30:D30"/>
    <mergeCell ref="E30:H30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6:B16"/>
    <mergeCell ref="A13:D13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G128:H128"/>
    <mergeCell ref="A127:B127"/>
    <mergeCell ref="G127:H127"/>
    <mergeCell ref="A129:H129"/>
    <mergeCell ref="A17:B17"/>
    <mergeCell ref="C17:H1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51:H153"/>
    <mergeCell ref="A150:B150"/>
    <mergeCell ref="E150:F150"/>
    <mergeCell ref="C150:D150"/>
    <mergeCell ref="G150:H150"/>
    <mergeCell ref="A149:H149"/>
    <mergeCell ref="A147:H147"/>
    <mergeCell ref="B141:H141"/>
    <mergeCell ref="B139:H139"/>
    <mergeCell ref="A146:H146"/>
    <mergeCell ref="A143:H143"/>
    <mergeCell ref="A144:H144"/>
    <mergeCell ref="B142:H142"/>
    <mergeCell ref="B140:H140"/>
    <mergeCell ref="A130:B130"/>
    <mergeCell ref="G130:H132"/>
    <mergeCell ref="B135:H135"/>
    <mergeCell ref="B136:H136"/>
    <mergeCell ref="A126:B126"/>
    <mergeCell ref="G126:H126"/>
    <mergeCell ref="A148:H148"/>
    <mergeCell ref="A145:H145"/>
    <mergeCell ref="A112:B112"/>
    <mergeCell ref="A133:H133"/>
    <mergeCell ref="G125:H125"/>
    <mergeCell ref="A123:H123"/>
    <mergeCell ref="A124:B124"/>
    <mergeCell ref="A120:B120"/>
    <mergeCell ref="B137:H137"/>
    <mergeCell ref="B138:H138"/>
    <mergeCell ref="G124:H124"/>
    <mergeCell ref="A134:H134"/>
    <mergeCell ref="A131:B131"/>
    <mergeCell ref="A132:B132"/>
    <mergeCell ref="A117:H117"/>
    <mergeCell ref="G120:H120"/>
    <mergeCell ref="A125:B125"/>
    <mergeCell ref="A128:B128"/>
    <mergeCell ref="F88:H88"/>
    <mergeCell ref="F91:H91"/>
    <mergeCell ref="F89:H89"/>
    <mergeCell ref="A119:B119"/>
    <mergeCell ref="A99:H99"/>
    <mergeCell ref="A90:E90"/>
    <mergeCell ref="G113:H113"/>
    <mergeCell ref="C97:D97"/>
    <mergeCell ref="A106:H106"/>
    <mergeCell ref="A118:B118"/>
    <mergeCell ref="G110:H110"/>
    <mergeCell ref="F90:H90"/>
    <mergeCell ref="A94:H94"/>
    <mergeCell ref="E95:F95"/>
    <mergeCell ref="C96:D96"/>
    <mergeCell ref="E96:F96"/>
    <mergeCell ref="G118:H118"/>
    <mergeCell ref="A107:B107"/>
    <mergeCell ref="A105:B105"/>
    <mergeCell ref="A104:B104"/>
    <mergeCell ref="A115:B115"/>
    <mergeCell ref="G116:H116"/>
    <mergeCell ref="A91:E91"/>
    <mergeCell ref="G97:H97"/>
  </mergeCells>
  <hyperlinks>
    <hyperlink ref="C39" r:id="rId1"/>
    <hyperlink ref="I99" r:id="rId2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79" max="16383" man="1"/>
    <brk id="153" max="16383" man="1"/>
    <brk id="201" max="16383" man="1"/>
    <brk id="245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J7" sqref="J7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4" t="s">
        <v>109</v>
      </c>
      <c r="C3" s="164"/>
      <c r="D3" s="164"/>
      <c r="E3" s="164"/>
      <c r="F3" s="164"/>
      <c r="G3" s="164"/>
      <c r="H3" s="164"/>
    </row>
    <row r="4" spans="1:9" x14ac:dyDescent="0.3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2025-08-08T10:39:36Z</cp:lastPrinted>
  <dcterms:created xsi:type="dcterms:W3CDTF">2019-07-16T09:29:46Z</dcterms:created>
  <dcterms:modified xsi:type="dcterms:W3CDTF">2025-08-08T10:39:50Z</dcterms:modified>
</cp:coreProperties>
</file>