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11-08-2025\"/>
    </mc:Choice>
  </mc:AlternateContent>
  <bookViews>
    <workbookView xWindow="0" yWindow="0" windowWidth="19200" windowHeight="6640" tabRatio="574"/>
  </bookViews>
  <sheets>
    <sheet name="Report" sheetId="1" r:id="rId1"/>
    <sheet name="valuation" sheetId="5" r:id="rId2"/>
    <sheet name="Research" sheetId="4" r:id="rId3"/>
  </sheets>
  <definedNames>
    <definedName name="_xlnm._FilterDatabase" localSheetId="0" hidden="1">Report!$A$128:$H$243</definedName>
    <definedName name="_xlnm.Print_Area" localSheetId="0">Report!$A$1:$H$374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D243" i="1"/>
  <c r="B217" i="1"/>
  <c r="D214" i="1"/>
  <c r="A214" i="1"/>
  <c r="D213" i="1"/>
  <c r="A213" i="1"/>
  <c r="D212" i="1"/>
  <c r="A212" i="1"/>
  <c r="D211" i="1"/>
  <c r="A211" i="1"/>
  <c r="D210" i="1"/>
  <c r="A210" i="1"/>
  <c r="D209" i="1"/>
  <c r="A209" i="1"/>
  <c r="A208" i="1"/>
  <c r="G207" i="1"/>
  <c r="D207" i="1"/>
  <c r="D205" i="1"/>
  <c r="A205" i="1"/>
  <c r="D204" i="1"/>
  <c r="A204" i="1"/>
  <c r="D203" i="1"/>
  <c r="A203" i="1"/>
  <c r="D202" i="1"/>
  <c r="A202" i="1"/>
  <c r="D201" i="1"/>
  <c r="A201" i="1"/>
  <c r="D200" i="1"/>
  <c r="A200" i="1"/>
  <c r="I199" i="1"/>
  <c r="D199" i="1"/>
  <c r="A199" i="1"/>
  <c r="I198" i="1"/>
  <c r="G198" i="1"/>
  <c r="D198" i="1"/>
  <c r="D192" i="1"/>
  <c r="A192" i="1"/>
  <c r="D191" i="1"/>
  <c r="A191" i="1"/>
  <c r="D190" i="1"/>
  <c r="A190" i="1"/>
  <c r="D189" i="1"/>
  <c r="A189" i="1"/>
  <c r="D188" i="1"/>
  <c r="A188" i="1"/>
  <c r="A187" i="1"/>
  <c r="D186" i="1"/>
  <c r="A186" i="1"/>
  <c r="G185" i="1"/>
  <c r="D185" i="1"/>
  <c r="D183" i="1"/>
  <c r="A183" i="1"/>
  <c r="D182" i="1"/>
  <c r="A182" i="1"/>
  <c r="D181" i="1"/>
  <c r="A181" i="1"/>
  <c r="D180" i="1"/>
  <c r="A180" i="1"/>
  <c r="D179" i="1"/>
  <c r="A179" i="1"/>
  <c r="D178" i="1"/>
  <c r="A178" i="1"/>
  <c r="D177" i="1"/>
  <c r="A177" i="1"/>
  <c r="G176" i="1"/>
  <c r="D176" i="1"/>
  <c r="A174" i="1"/>
  <c r="D173" i="1"/>
  <c r="A173" i="1"/>
  <c r="D172" i="1"/>
  <c r="A172" i="1"/>
  <c r="A171" i="1"/>
  <c r="D170" i="1"/>
  <c r="A170" i="1"/>
  <c r="D169" i="1"/>
  <c r="A169" i="1"/>
  <c r="D168" i="1"/>
  <c r="A168" i="1"/>
  <c r="G167" i="1"/>
  <c r="D167" i="1"/>
  <c r="D161" i="1"/>
  <c r="A161" i="1"/>
  <c r="D160" i="1"/>
  <c r="A160" i="1"/>
  <c r="D159" i="1"/>
  <c r="A159" i="1"/>
  <c r="D158" i="1"/>
  <c r="A158" i="1"/>
  <c r="D157" i="1"/>
  <c r="A157" i="1"/>
  <c r="D156" i="1"/>
  <c r="A156" i="1"/>
  <c r="A155" i="1"/>
  <c r="G154" i="1"/>
  <c r="D154" i="1"/>
  <c r="D152" i="1"/>
  <c r="A152" i="1"/>
  <c r="D151" i="1"/>
  <c r="A151" i="1"/>
  <c r="D150" i="1"/>
  <c r="A150" i="1"/>
  <c r="D149" i="1"/>
  <c r="A149" i="1"/>
  <c r="D148" i="1"/>
  <c r="A148" i="1"/>
  <c r="D147" i="1"/>
  <c r="A147" i="1"/>
  <c r="I146" i="1"/>
  <c r="D146" i="1"/>
  <c r="A146" i="1"/>
  <c r="I145" i="1"/>
  <c r="G145" i="1"/>
  <c r="D145" i="1"/>
  <c r="D143" i="1"/>
  <c r="A143" i="1"/>
  <c r="D142" i="1"/>
  <c r="A142" i="1"/>
  <c r="D141" i="1"/>
  <c r="A141" i="1"/>
  <c r="D140" i="1"/>
  <c r="A140" i="1"/>
  <c r="D139" i="1"/>
  <c r="A139" i="1"/>
  <c r="D138" i="1"/>
  <c r="A138" i="1"/>
  <c r="I137" i="1"/>
  <c r="D137" i="1"/>
  <c r="A137" i="1"/>
  <c r="I136" i="1"/>
  <c r="G136" i="1"/>
  <c r="D136" i="1"/>
  <c r="G125" i="1"/>
  <c r="E125" i="1"/>
  <c r="C125" i="1"/>
  <c r="G124" i="1"/>
  <c r="E124" i="1"/>
  <c r="C124" i="1"/>
  <c r="G123" i="1"/>
  <c r="E123" i="1"/>
  <c r="C123" i="1"/>
  <c r="G122" i="1"/>
  <c r="E122" i="1"/>
  <c r="C122" i="1"/>
  <c r="F119" i="1"/>
  <c r="J108" i="1"/>
  <c r="J107" i="1"/>
  <c r="J106" i="1"/>
  <c r="J105" i="1"/>
  <c r="B98" i="1"/>
  <c r="J94" i="1"/>
  <c r="J93" i="1"/>
  <c r="J92" i="1"/>
  <c r="J91" i="1"/>
  <c r="B84" i="1"/>
  <c r="J80" i="1"/>
  <c r="J79" i="1"/>
  <c r="J78" i="1"/>
  <c r="J77" i="1"/>
  <c r="B70" i="1"/>
  <c r="D63" i="1"/>
  <c r="G51" i="1"/>
  <c r="G50" i="1"/>
  <c r="C50" i="1"/>
  <c r="E44" i="1"/>
  <c r="E43" i="1"/>
  <c r="I42" i="1"/>
  <c r="E30" i="1"/>
  <c r="E27" i="1"/>
  <c r="E25" i="1"/>
  <c r="C15" i="1"/>
  <c r="I14" i="1"/>
  <c r="Z12" i="1"/>
  <c r="E7" i="1"/>
  <c r="E3" i="1"/>
  <c r="H70" i="1"/>
  <c r="H98" i="1"/>
  <c r="H84" i="1"/>
  <c r="D93" i="1" l="1"/>
  <c r="J88" i="1"/>
  <c r="C87" i="1" s="1"/>
  <c r="D87" i="1" s="1"/>
  <c r="D96" i="1"/>
  <c r="D92" i="1"/>
  <c r="J86" i="1"/>
  <c r="D95" i="1"/>
  <c r="D91" i="1"/>
  <c r="J87" i="1"/>
  <c r="J83" i="1"/>
  <c r="J85" i="1" s="1"/>
  <c r="D94" i="1"/>
  <c r="D90" i="1"/>
  <c r="J89" i="1"/>
  <c r="J90" i="1" s="1"/>
  <c r="J95" i="1" s="1"/>
  <c r="J96" i="1" s="1"/>
  <c r="C88" i="1" s="1"/>
  <c r="D89" i="1"/>
  <c r="D109" i="1"/>
  <c r="D108" i="1"/>
  <c r="D104" i="1"/>
  <c r="D105" i="1"/>
  <c r="J103" i="1"/>
  <c r="J104" i="1" s="1"/>
  <c r="J109" i="1" s="1"/>
  <c r="J110" i="1" s="1"/>
  <c r="C102" i="1" s="1"/>
  <c r="J101" i="1"/>
  <c r="D107" i="1"/>
  <c r="D103" i="1"/>
  <c r="J102" i="1"/>
  <c r="C101" i="1" s="1"/>
  <c r="J100" i="1"/>
  <c r="J97" i="1"/>
  <c r="J99" i="1" s="1"/>
  <c r="D110" i="1"/>
  <c r="D106" i="1"/>
  <c r="J74" i="1"/>
  <c r="C73" i="1" s="1"/>
  <c r="D73" i="1" s="1"/>
  <c r="J72" i="1"/>
  <c r="J69" i="1"/>
  <c r="J71" i="1" s="1"/>
  <c r="J75" i="1"/>
  <c r="J76" i="1" s="1"/>
  <c r="J81" i="1" s="1"/>
  <c r="J82" i="1" s="1"/>
  <c r="C74" i="1" s="1"/>
  <c r="D82" i="1"/>
  <c r="D78" i="1"/>
  <c r="D79" i="1"/>
  <c r="D81" i="1"/>
  <c r="D77" i="1"/>
  <c r="J73" i="1"/>
  <c r="D80" i="1"/>
  <c r="D76" i="1"/>
  <c r="D75" i="1"/>
  <c r="E73" i="1" l="1"/>
  <c r="D74" i="1"/>
  <c r="I70" i="1" s="1"/>
  <c r="I71" i="1" s="1"/>
  <c r="E87" i="1"/>
  <c r="D88" i="1"/>
  <c r="I84" i="1" s="1"/>
  <c r="I85" i="1" s="1"/>
  <c r="E101" i="1"/>
  <c r="D102" i="1"/>
  <c r="G73" i="1"/>
  <c r="J70" i="1"/>
  <c r="G101" i="1"/>
  <c r="D67" i="1" s="1"/>
  <c r="G87" i="1"/>
  <c r="J84" i="1"/>
  <c r="D101" i="1"/>
  <c r="J98" i="1" s="1"/>
  <c r="I83" i="1" l="1"/>
  <c r="C85" i="1" s="1"/>
  <c r="I69" i="1"/>
  <c r="C71" i="1" s="1"/>
  <c r="F68" i="1"/>
  <c r="D68" i="1"/>
  <c r="I98" i="1"/>
  <c r="I99" i="1" l="1"/>
  <c r="I97" i="1" s="1"/>
  <c r="C99" i="1" s="1"/>
</calcChain>
</file>

<file path=xl/comments1.xml><?xml version="1.0" encoding="utf-8"?>
<comments xmlns="http://schemas.openxmlformats.org/spreadsheetml/2006/main">
  <authors>
    <author>Sachin</author>
  </authors>
  <commentList>
    <comment ref="E12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exisiting Building is provided write it or else
NA</t>
        </r>
      </text>
    </comment>
    <comment ref="D58" authorId="0" shapeId="0">
      <text>
        <r>
          <rPr>
            <b/>
            <sz val="9"/>
            <rFont val="Tahoma"/>
            <family val="2"/>
          </rPr>
          <t>Sachin:</t>
        </r>
        <r>
          <rPr>
            <sz val="9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<sst xmlns="http://schemas.openxmlformats.org/spreadsheetml/2006/main" count="542" uniqueCount="301">
  <si>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</si>
  <si>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</si>
  <si>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</si>
  <si>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</si>
  <si>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</si>
  <si>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</si>
  <si>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</si>
  <si>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 xml:space="preserve">Chariot Properties LLP
</t>
  </si>
  <si>
    <t>Name of the builder company</t>
  </si>
  <si>
    <t>Name of the Project</t>
  </si>
  <si>
    <t>Sai Suncity Phase 3</t>
  </si>
  <si>
    <t>Provided Contact Details (Name &amp; Contact No.)</t>
  </si>
  <si>
    <t>Mr.Avinash 9152241764</t>
  </si>
  <si>
    <t>Site Person - Contact Details (Name &amp; Contact No.)</t>
  </si>
  <si>
    <t>Name / No of the Building</t>
  </si>
  <si>
    <r>
      <rPr>
        <sz val="12"/>
        <color theme="1"/>
        <rFont val="Times New Roman"/>
        <family val="1"/>
      </rPr>
      <t>Cluster 3</t>
    </r>
    <r>
      <rPr>
        <sz val="12"/>
        <rFont val="Times New Roman"/>
        <family val="1"/>
      </rPr>
      <t xml:space="preserve">
Tower 9 (Type E) Altair,
Tower 10 (Type C) Avior,
Tower 11 (Type F) Atria</t>
    </r>
  </si>
  <si>
    <t>Name / No of the Existing Building</t>
  </si>
  <si>
    <t>NA</t>
  </si>
  <si>
    <t xml:space="preserve">Thane </t>
  </si>
  <si>
    <t>Palghar</t>
  </si>
  <si>
    <t>Mumbai</t>
  </si>
  <si>
    <t>Raigad</t>
  </si>
  <si>
    <t>Pune</t>
  </si>
  <si>
    <t>Docouments Provided</t>
  </si>
  <si>
    <t>Approved Plans, CC, Airport NOC, Cost Sheet &amp; EC.</t>
  </si>
  <si>
    <t>Thane</t>
  </si>
  <si>
    <t>Mokhada</t>
  </si>
  <si>
    <t>Andheri</t>
  </si>
  <si>
    <t>Alibag</t>
  </si>
  <si>
    <t>Pune City</t>
  </si>
  <si>
    <t>RERA No.</t>
  </si>
  <si>
    <t>Shahpur</t>
  </si>
  <si>
    <t>Talasari</t>
  </si>
  <si>
    <t>Borivali</t>
  </si>
  <si>
    <t>Panvel</t>
  </si>
  <si>
    <t>Haveli</t>
  </si>
  <si>
    <t xml:space="preserve">Project location details       </t>
  </si>
  <si>
    <t>Kalyan</t>
  </si>
  <si>
    <t>Vasai</t>
  </si>
  <si>
    <t>Kurla</t>
  </si>
  <si>
    <t>Uran</t>
  </si>
  <si>
    <t>Khed</t>
  </si>
  <si>
    <t>Survey No</t>
  </si>
  <si>
    <t>33(PT), 61(PT), 62/1(PT)</t>
  </si>
  <si>
    <t>Bhiwandi</t>
  </si>
  <si>
    <t>Vikramgad</t>
  </si>
  <si>
    <t>Karjat</t>
  </si>
  <si>
    <t>Baramati</t>
  </si>
  <si>
    <t>Locality</t>
  </si>
  <si>
    <t>Ghot</t>
  </si>
  <si>
    <t>Ulhasnagar</t>
  </si>
  <si>
    <t>Khalapur</t>
  </si>
  <si>
    <t>Junnar</t>
  </si>
  <si>
    <t>Road</t>
  </si>
  <si>
    <t>Internal Road</t>
  </si>
  <si>
    <t>Locality/Village</t>
  </si>
  <si>
    <t>Ambernath</t>
  </si>
  <si>
    <t>Dahanu</t>
  </si>
  <si>
    <t>Pen</t>
  </si>
  <si>
    <t>Shirur</t>
  </si>
  <si>
    <t>City</t>
  </si>
  <si>
    <t>Taloja East</t>
  </si>
  <si>
    <t>District</t>
  </si>
  <si>
    <t>Murbad</t>
  </si>
  <si>
    <t>Wada</t>
  </si>
  <si>
    <t>Sudhagad</t>
  </si>
  <si>
    <t>Indapur</t>
  </si>
  <si>
    <t>Taluka</t>
  </si>
  <si>
    <t>Pin Code</t>
  </si>
  <si>
    <t>Mahad</t>
  </si>
  <si>
    <t>Daund</t>
  </si>
  <si>
    <t>Nearby Landmark</t>
  </si>
  <si>
    <t>Arihant Anshula Taloja</t>
  </si>
  <si>
    <t xml:space="preserve">Distance from city centre: </t>
  </si>
  <si>
    <t>3.80KM from Taloja Metro Station</t>
  </si>
  <si>
    <t>Roha</t>
  </si>
  <si>
    <t>Mawal</t>
  </si>
  <si>
    <t>Accessibility to the Project from the City: (Proximity to civic amenities like school, hospital, market, etc.)</t>
  </si>
  <si>
    <t>all available at  1 to 2 km.</t>
  </si>
  <si>
    <t>Mangaon</t>
  </si>
  <si>
    <t>Ambegaon</t>
  </si>
  <si>
    <t>Poladpur</t>
  </si>
  <si>
    <t>Purandhar</t>
  </si>
  <si>
    <t>Does property have Electricity / Water / Drainage Connection</t>
  </si>
  <si>
    <t>Yes</t>
  </si>
  <si>
    <t>Mahasala</t>
  </si>
  <si>
    <t>Bhor</t>
  </si>
  <si>
    <t>Class of locality</t>
  </si>
  <si>
    <t>Shriwardhan</t>
  </si>
  <si>
    <t>Mulshi</t>
  </si>
  <si>
    <t>Nature of land with topographical condtion</t>
  </si>
  <si>
    <t>Plane</t>
  </si>
  <si>
    <t>Murud</t>
  </si>
  <si>
    <t>Velhe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</si>
  <si>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</si>
  <si>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</si>
  <si>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</si>
  <si>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</si>
  <si>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</si>
  <si>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</si>
  <si>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</si>
  <si>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</si>
  <si>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</si>
  <si>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</si>
  <si>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</si>
  <si>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</si>
  <si>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S. No 27 to 32</t>
  </si>
  <si>
    <t>Open Plot</t>
  </si>
  <si>
    <t>West</t>
  </si>
  <si>
    <t>S. No 60</t>
  </si>
  <si>
    <t>North</t>
  </si>
  <si>
    <t>S. No 34</t>
  </si>
  <si>
    <t>South</t>
  </si>
  <si>
    <t>S. No 25, 63, 67 &amp;68</t>
  </si>
  <si>
    <t>Does the boundaries at site match, as mentioned in the Docoumentation: NA</t>
  </si>
  <si>
    <t>Latitude, Longitude</t>
  </si>
  <si>
    <t>19.088611,73.111650</t>
  </si>
  <si>
    <t>Location Link</t>
  </si>
  <si>
    <t>https://goo.gl/maps/Me3ic76m3MNjFLEn9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</si>
  <si>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</si>
  <si>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</si>
  <si>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</si>
  <si>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</si>
  <si>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</si>
  <si>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</si>
  <si>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</si>
  <si>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>03 Building</t>
  </si>
  <si>
    <t xml:space="preserve">Approval Detail : Plan approval </t>
  </si>
  <si>
    <t>Name of Municipal Corporation/Authority</t>
  </si>
  <si>
    <t>Panvel Municipal Corporation, Panvel-Raigad</t>
  </si>
  <si>
    <t xml:space="preserve">Layout Approval No     </t>
  </si>
  <si>
    <t>PMP/NRV/16179/2719/2023</t>
  </si>
  <si>
    <t>Dated</t>
  </si>
  <si>
    <t xml:space="preserve">Approved Floor plan No.  </t>
  </si>
  <si>
    <t>Commencement-CC No</t>
  </si>
  <si>
    <t>PMC/TP/Ghot/33(Pt.),61,62/1(Pt.)/
21-23/16179/2719/2023</t>
  </si>
  <si>
    <t>Valid Up to: 
Cluster 3</t>
  </si>
  <si>
    <t>Tower 9 (Altair) = B + Gr/St + P1 to P3 + 4th R.G Podium (Pt) + 5th to 32nd Floor
Tower 10 (Avior)= B + Gr/St + P1 to P3 + 4th R.G Podium (Pt) + 5th to 32nd Floor
Tower 11 (Atria) = B + Gr/St + P1 to P3 + 4th R.G Podium (Pt) + 5th to 32nd Floor</t>
  </si>
  <si>
    <t xml:space="preserve">Environmental Clearance
Certificate No.
Valid Up to: 
</t>
  </si>
  <si>
    <t xml:space="preserve">SIA/MH/INFRA2/430547/2023
</t>
  </si>
  <si>
    <t>18/18/2023</t>
  </si>
  <si>
    <t>Airport NOC  No.: 
Approved upto :</t>
  </si>
  <si>
    <t>NAVI/WEST/B/090621/573972
54.85M (AMSL)</t>
  </si>
  <si>
    <t>Dated
Valid Upto:</t>
  </si>
  <si>
    <t>10/12/2021
09/12/2029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</si>
  <si>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</si>
  <si>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</si>
  <si>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</si>
  <si>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</si>
  <si>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</si>
  <si>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- 676</t>
  </si>
  <si>
    <t>Approved no of Floors</t>
  </si>
  <si>
    <t>Tower 9, 10 &amp; 11 =  1B + Gr + 3P + 4th + 5th to 32nd  Floor</t>
  </si>
  <si>
    <t>Proposed no of Floors</t>
  </si>
  <si>
    <t>Expected Completion</t>
  </si>
  <si>
    <t>As per RERA - 30/12/2028</t>
  </si>
  <si>
    <t>Projected life of the structure</t>
  </si>
  <si>
    <t xml:space="preserve">Quality of construction: </t>
  </si>
  <si>
    <r>
      <rPr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</si>
  <si>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Basketball Court, Jogging Track, Billiards Table, Swimming Pools, Gymnasium, Tennis Court.</t>
  </si>
  <si>
    <t>https://housing.com/in/buy/projects/page/276381-paradise-sai-suncity-by-paradise-group-in-taloja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</si>
  <si>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</si>
  <si>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</si>
  <si>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</si>
  <si>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</si>
  <si>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Tower 9 =  1B + Gr + 3P + 4th + 5th to 32nd  Floor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</si>
  <si>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</si>
  <si>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</si>
  <si>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</si>
  <si>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</si>
  <si>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</si>
  <si>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</si>
  <si>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</si>
  <si>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</si>
  <si>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</si>
  <si>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</si>
  <si>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</si>
  <si>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</si>
  <si>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</si>
  <si>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</si>
  <si>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</si>
  <si>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</si>
  <si>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</si>
  <si>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</si>
  <si>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</si>
  <si>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</si>
  <si>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</si>
  <si>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</si>
  <si>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</si>
  <si>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</si>
  <si>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</si>
  <si>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</si>
  <si>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</si>
  <si>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</si>
  <si>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</si>
  <si>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</si>
  <si>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</si>
  <si>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</si>
  <si>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</si>
  <si>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Tower 10 =  1B + Gr + 3P + 4th + 5th to 32nd  Floor</t>
  </si>
  <si>
    <t>Tower 11 =  1B + Gr + 3P + 4th + 5th to 32nd  Floor</t>
  </si>
  <si>
    <t xml:space="preserve">Recommended Rates of the Property : </t>
  </si>
  <si>
    <t>On Saleable Area</t>
  </si>
  <si>
    <t>Builder sale area added that’s why rate is decresed on 30/11/2023 by smith</t>
  </si>
  <si>
    <t>Recommended rate of the Flat Per Sq. Ft.
(Inclusive of all other charges)</t>
  </si>
  <si>
    <t>Salable area change of flat No. 905 = from 695 to 715 by shailesh on 09/05/2025 cost sheet</t>
  </si>
  <si>
    <t>70% loading for flats</t>
  </si>
  <si>
    <t>Recommended rate of the Shop Per Sq. Ft.
(Inclusive of all other charges)</t>
  </si>
  <si>
    <t>Floor Rise Rate from 3rd  Floor</t>
  </si>
  <si>
    <t>Development Charges</t>
  </si>
  <si>
    <t>Rate 5800 to 6103</t>
  </si>
  <si>
    <t>Society Formation Charges</t>
  </si>
  <si>
    <t>Society Maintenance Charges</t>
  </si>
  <si>
    <t xml:space="preserve">Recommended rate of Parking </t>
  </si>
  <si>
    <t>Distressed valuation of the Property</t>
  </si>
  <si>
    <t>Residential Area Details (Flats) :</t>
  </si>
  <si>
    <t>Building &amp; Wing</t>
  </si>
  <si>
    <t>No. of Units</t>
  </si>
  <si>
    <t>Total Carpet Area</t>
  </si>
  <si>
    <t>Total Saleable Area</t>
  </si>
  <si>
    <t>Tower 9 (Type E) Altair</t>
  </si>
  <si>
    <t>Tower 10 (Type C) Avior</t>
  </si>
  <si>
    <t>Tower 11 (Type F) Atria</t>
  </si>
  <si>
    <t>Grand Total</t>
  </si>
  <si>
    <t>Building details Floor Wise</t>
  </si>
  <si>
    <t xml:space="preserve">Details of Residential in Building   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</si>
  <si>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</si>
  <si>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 (Sale Plan)</t>
  </si>
  <si>
    <t>Description</t>
  </si>
  <si>
    <t>Gross Carpet area</t>
  </si>
  <si>
    <t>Attached Terrace area</t>
  </si>
  <si>
    <t>Builder Saleable area</t>
  </si>
  <si>
    <t>Floor</t>
  </si>
  <si>
    <t>Cluster 3</t>
  </si>
  <si>
    <t>Tower 9 (Type E ) Altair</t>
  </si>
  <si>
    <t>Basement Floor For Parking</t>
  </si>
  <si>
    <t>Ground Floor For Parking</t>
  </si>
  <si>
    <t>1st, 2nd &amp; 3rd Podium Floor For Parking</t>
  </si>
  <si>
    <t>4th to 6th, 8th, 10th, 11th, 13th to 16th, 18th to 21st, 23rd to 26th &amp; 28th to 31st Floor For Residential</t>
  </si>
  <si>
    <t>1BHK</t>
  </si>
  <si>
    <t>2BHK</t>
  </si>
  <si>
    <t>9th Floor For Residential</t>
  </si>
  <si>
    <t>Salable area change from 695 to 715</t>
  </si>
  <si>
    <t>7th, 12th, 17th, 22nd, 27th &amp; 32nd Floor (Part Refuge Area)</t>
  </si>
  <si>
    <t>Refuge Area</t>
  </si>
  <si>
    <t>4th Floor For Residential &amp; Part Podium</t>
  </si>
  <si>
    <t xml:space="preserve">5th, 6th, 8th to 11th, 13th to 16th, 18th to 21st, 23rd to 26th &amp; 28th to 31st Floor </t>
  </si>
  <si>
    <t>Tower 11 (Type F ) Atria</t>
  </si>
  <si>
    <t>4th to 6th, 8th to 11th, 13th to 16th, 18th to 21st, 23rd to 26th &amp; 28th to 31st Floor For Residential</t>
  </si>
  <si>
    <t xml:space="preserve">Remarks:  </t>
  </si>
  <si>
    <t>*</t>
  </si>
  <si>
    <t>Construction work is in process at the time of Visit.</t>
  </si>
  <si>
    <t>We considered Carpet area as per Approved Plan.</t>
  </si>
  <si>
    <t>We considered Gross carpet area = Net carpet + Balcony.</t>
  </si>
  <si>
    <t>We have considered proposed No. of Floor for Stage Calculation.</t>
  </si>
  <si>
    <t>We have considered rate by verifying it from market inquire.</t>
  </si>
  <si>
    <t>Recommended rate should be considered as all inclusive rate if other charges are not mentioned. (Excluding GST &amp; other government Taxes)</t>
  </si>
  <si>
    <t>Car parking is subjected to authentic documentation.</t>
  </si>
  <si>
    <t>As per Rera</t>
  </si>
  <si>
    <t>As per Approved Plan</t>
  </si>
  <si>
    <t>Phase III</t>
  </si>
  <si>
    <t>Tower 2 (Type E) Altair</t>
  </si>
  <si>
    <t>Tower 3 (Type C) Avior</t>
  </si>
  <si>
    <t>Tower 2 (Type F) Atria</t>
  </si>
  <si>
    <t xml:space="preserve">Recommended Rates/ Other charges of the Property have been revised on 30/11/2023 due to addition of builder sale area provided by bank.
</t>
  </si>
  <si>
    <t xml:space="preserve">Recommended Rates/Other Charges of the Property have been revised on 08/05/2025.
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</si>
  <si>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</si>
  <si>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</si>
  <si>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</si>
  <si>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</si>
  <si>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</si>
  <si>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</si>
  <si>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</si>
  <si>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</si>
  <si>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</si>
  <si>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</si>
  <si>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</si>
  <si>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</si>
  <si>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</si>
  <si>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</si>
  <si>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</si>
  <si>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</si>
  <si>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</si>
  <si>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</si>
  <si>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</si>
  <si>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</si>
  <si>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</si>
  <si>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</si>
  <si>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</si>
  <si>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</si>
  <si>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</si>
  <si>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Approved Plans, CC, Sale Plans, Builder Saleable Area, Cost Sheet, Airport Noc, Railway Noc, OC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</si>
  <si>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</si>
  <si>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</si>
  <si>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</si>
  <si>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</si>
  <si>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</si>
  <si>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Mr. Rupesh : 8657766979</t>
  </si>
  <si>
    <t>P52000046738</t>
  </si>
  <si>
    <t>Pooja Kawale</t>
  </si>
  <si>
    <t>Sunil Peravi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</si>
</sst>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* #,##0_ ;_ * \-#,##0_ ;_ * &quot;-&quot;??_ ;_ @_ "/>
  </numFmts>
  <fonts count="27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1">
    <xf numFmtId="0" fontId="0" fillId="0" borderId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18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8" applyFont="1"/>
    <xf numFmtId="0" fontId="10" fillId="0" borderId="0" xfId="5" applyFont="1"/>
    <xf numFmtId="0" fontId="11" fillId="0" borderId="0" xfId="0" applyFont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11" fillId="0" borderId="0" xfId="8" applyFont="1" applyProtection="1">
      <protection locked="0"/>
    </xf>
    <xf numFmtId="0" fontId="11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vertical="top" wrapText="1"/>
      <protection locked="0"/>
    </xf>
    <xf numFmtId="0" fontId="13" fillId="0" borderId="1" xfId="8" applyFont="1" applyBorder="1" applyAlignment="1" applyProtection="1">
      <alignment vertical="top"/>
      <protection locked="0"/>
    </xf>
    <xf numFmtId="1" fontId="11" fillId="0" borderId="0" xfId="8" applyNumberFormat="1" applyFont="1"/>
    <xf numFmtId="14" fontId="11" fillId="0" borderId="0" xfId="8" applyNumberFormat="1" applyFont="1"/>
    <xf numFmtId="0" fontId="11" fillId="0" borderId="0" xfId="8" applyFont="1" applyProtection="1">
      <protection hidden="1"/>
    </xf>
    <xf numFmtId="0" fontId="7" fillId="0" borderId="17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/>
      <protection locked="0"/>
    </xf>
    <xf numFmtId="0" fontId="7" fillId="0" borderId="18" xfId="8" applyFont="1" applyBorder="1" applyAlignment="1" applyProtection="1">
      <alignment horizontal="center" vertical="top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9" fontId="11" fillId="0" borderId="1" xfId="2" applyFont="1" applyFill="1" applyBorder="1" applyAlignment="1" applyProtection="1">
      <alignment horizontal="center" vertical="top" wrapText="1"/>
      <protection locked="0"/>
    </xf>
    <xf numFmtId="1" fontId="11" fillId="0" borderId="1" xfId="8" applyNumberFormat="1" applyFont="1" applyBorder="1" applyAlignment="1" applyProtection="1">
      <alignment horizontal="center" vertical="top" wrapText="1"/>
      <protection locked="0"/>
    </xf>
    <xf numFmtId="0" fontId="11" fillId="0" borderId="23" xfId="8" applyFont="1" applyBorder="1" applyAlignment="1" applyProtection="1">
      <alignment horizontal="center" vertical="top" wrapText="1"/>
      <protection locked="0"/>
    </xf>
    <xf numFmtId="9" fontId="11" fillId="0" borderId="23" xfId="2" applyFont="1" applyFill="1" applyBorder="1" applyAlignment="1" applyProtection="1">
      <alignment horizontal="center" vertical="top" wrapText="1"/>
      <protection locked="0"/>
    </xf>
    <xf numFmtId="0" fontId="17" fillId="0" borderId="0" xfId="8" applyFont="1"/>
    <xf numFmtId="0" fontId="18" fillId="2" borderId="28" xfId="0" applyFont="1" applyFill="1" applyBorder="1"/>
    <xf numFmtId="0" fontId="19" fillId="0" borderId="29" xfId="0" applyFont="1" applyBorder="1"/>
    <xf numFmtId="0" fontId="19" fillId="0" borderId="1" xfId="0" applyFont="1" applyBorder="1"/>
    <xf numFmtId="0" fontId="19" fillId="0" borderId="18" xfId="0" applyFont="1" applyBorder="1"/>
    <xf numFmtId="0" fontId="20" fillId="0" borderId="0" xfId="0" applyFont="1" applyProtection="1">
      <protection hidden="1"/>
    </xf>
    <xf numFmtId="0" fontId="11" fillId="0" borderId="21" xfId="8" applyFont="1" applyBorder="1"/>
    <xf numFmtId="0" fontId="20" fillId="0" borderId="21" xfId="0" applyFont="1" applyBorder="1" applyProtection="1">
      <protection hidden="1"/>
    </xf>
    <xf numFmtId="1" fontId="0" fillId="0" borderId="21" xfId="0" applyNumberFormat="1" applyBorder="1"/>
    <xf numFmtId="1" fontId="0" fillId="0" borderId="21" xfId="0" applyNumberFormat="1" applyBorder="1" applyAlignment="1">
      <alignment horizontal="right"/>
    </xf>
    <xf numFmtId="0" fontId="20" fillId="0" borderId="30" xfId="0" applyFont="1" applyBorder="1" applyProtection="1">
      <protection hidden="1"/>
    </xf>
    <xf numFmtId="1" fontId="0" fillId="0" borderId="26" xfId="0" applyNumberFormat="1" applyBorder="1"/>
    <xf numFmtId="0" fontId="8" fillId="2" borderId="0" xfId="8" applyFont="1" applyFill="1"/>
    <xf numFmtId="9" fontId="11" fillId="0" borderId="0" xfId="8" applyNumberFormat="1" applyFont="1"/>
    <xf numFmtId="0" fontId="11" fillId="2" borderId="0" xfId="8" applyFont="1" applyFill="1"/>
    <xf numFmtId="1" fontId="11" fillId="0" borderId="0" xfId="8" applyNumberFormat="1" applyFont="1" applyAlignment="1">
      <alignment horizontal="center" vertical="center"/>
    </xf>
    <xf numFmtId="1" fontId="10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Fill="1" applyBorder="1" applyAlignment="1" applyProtection="1">
      <alignment horizontal="center" vertical="center" wrapText="1"/>
      <protection locked="0"/>
    </xf>
    <xf numFmtId="2" fontId="10" fillId="0" borderId="0" xfId="8" applyNumberFormat="1" applyFont="1" applyAlignment="1" applyProtection="1">
      <alignment horizontal="center" vertical="center" wrapText="1"/>
      <protection locked="0"/>
    </xf>
    <xf numFmtId="1" fontId="11" fillId="2" borderId="0" xfId="8" applyNumberFormat="1" applyFont="1" applyFill="1" applyAlignment="1">
      <alignment horizontal="center" vertical="center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8" applyFont="1" applyAlignment="1" applyProtection="1">
      <alignment vertical="top"/>
      <protection locked="0"/>
    </xf>
    <xf numFmtId="0" fontId="13" fillId="0" borderId="0" xfId="8" applyFont="1" applyAlignment="1" applyProtection="1">
      <alignment vertical="top" wrapText="1"/>
      <protection locked="0"/>
    </xf>
    <xf numFmtId="0" fontId="8" fillId="0" borderId="0" xfId="8" applyFont="1" applyProtection="1">
      <protection locked="0"/>
    </xf>
    <xf numFmtId="9" fontId="13" fillId="0" borderId="1" xfId="2" applyFont="1" applyFill="1" applyBorder="1" applyAlignment="1" applyProtection="1">
      <alignment horizontal="center" vertical="top" wrapText="1"/>
      <protection locked="0"/>
    </xf>
    <xf numFmtId="1" fontId="13" fillId="0" borderId="1" xfId="8" applyNumberFormat="1" applyFont="1" applyBorder="1" applyAlignment="1" applyProtection="1">
      <alignment horizontal="center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center" vertical="top" wrapText="1"/>
      <protection locked="0"/>
    </xf>
    <xf numFmtId="0" fontId="13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14" fontId="7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14" fillId="0" borderId="1" xfId="8" applyFont="1" applyBorder="1" applyAlignment="1" applyProtection="1">
      <alignment horizontal="left" vertical="top" wrapText="1"/>
      <protection locked="0"/>
    </xf>
    <xf numFmtId="0" fontId="14" fillId="0" borderId="1" xfId="8" applyFont="1" applyBorder="1" applyAlignment="1" applyProtection="1">
      <alignment horizontal="left" vertical="top"/>
      <protection locked="0"/>
    </xf>
    <xf numFmtId="0" fontId="11" fillId="0" borderId="1" xfId="8" applyFont="1" applyBorder="1" applyAlignment="1" applyProtection="1">
      <alignment horizontal="left" vertical="top"/>
      <protection locked="0"/>
    </xf>
    <xf numFmtId="0" fontId="10" fillId="0" borderId="1" xfId="8" applyFont="1" applyBorder="1" applyAlignment="1" applyProtection="1">
      <alignment horizontal="left" vertical="top"/>
      <protection locked="0"/>
    </xf>
    <xf numFmtId="0" fontId="11" fillId="0" borderId="1" xfId="8" applyFont="1" applyBorder="1" applyAlignment="1" applyProtection="1">
      <alignment horizontal="left" vertical="top" wrapText="1"/>
      <protection locked="0"/>
    </xf>
    <xf numFmtId="0" fontId="11" fillId="0" borderId="11" xfId="8" applyFont="1" applyBorder="1" applyAlignment="1">
      <alignment horizontal="center"/>
    </xf>
    <xf numFmtId="0" fontId="11" fillId="0" borderId="0" xfId="8" applyFont="1" applyAlignment="1">
      <alignment horizontal="center"/>
    </xf>
    <xf numFmtId="0" fontId="10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/>
      <protection locked="0"/>
    </xf>
    <xf numFmtId="0" fontId="14" fillId="0" borderId="1" xfId="8" applyFont="1" applyBorder="1" applyAlignment="1" applyProtection="1">
      <alignment horizontal="center"/>
      <protection locked="0"/>
    </xf>
    <xf numFmtId="0" fontId="14" fillId="0" borderId="1" xfId="8" applyFont="1" applyBorder="1" applyAlignment="1" applyProtection="1">
      <alignment horizontal="center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5" fillId="0" borderId="1" xfId="3" applyFill="1" applyBorder="1" applyAlignment="1" applyProtection="1">
      <alignment horizontal="left" vertical="top" wrapText="1"/>
      <protection locked="0"/>
    </xf>
    <xf numFmtId="2" fontId="7" fillId="0" borderId="1" xfId="8" applyNumberFormat="1" applyFont="1" applyBorder="1" applyAlignment="1" applyProtection="1">
      <alignment horizontal="left"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/>
      <protection locked="0"/>
    </xf>
    <xf numFmtId="2" fontId="7" fillId="0" borderId="1" xfId="8" applyNumberFormat="1" applyFont="1" applyBorder="1" applyAlignment="1" applyProtection="1">
      <alignment horizontal="left" vertical="top"/>
      <protection locked="0"/>
    </xf>
    <xf numFmtId="0" fontId="10" fillId="0" borderId="2" xfId="8" applyFont="1" applyBorder="1" applyAlignment="1" applyProtection="1">
      <alignment horizontal="left" vertical="top" wrapText="1"/>
      <protection locked="0"/>
    </xf>
    <xf numFmtId="0" fontId="10" fillId="0" borderId="4" xfId="8" applyFont="1" applyBorder="1" applyAlignment="1" applyProtection="1">
      <alignment horizontal="left" vertical="top" wrapText="1"/>
      <protection locked="0"/>
    </xf>
    <xf numFmtId="0" fontId="14" fillId="0" borderId="2" xfId="8" applyFont="1" applyBorder="1" applyAlignment="1" applyProtection="1">
      <alignment horizontal="left" vertical="top"/>
      <protection locked="0"/>
    </xf>
    <xf numFmtId="0" fontId="14" fillId="0" borderId="3" xfId="8" applyFont="1" applyBorder="1" applyAlignment="1" applyProtection="1">
      <alignment horizontal="left" vertical="top"/>
      <protection locked="0"/>
    </xf>
    <xf numFmtId="0" fontId="14" fillId="0" borderId="4" xfId="8" applyFont="1" applyBorder="1" applyAlignment="1" applyProtection="1">
      <alignment horizontal="left" vertical="top"/>
      <protection locked="0"/>
    </xf>
    <xf numFmtId="0" fontId="10" fillId="0" borderId="3" xfId="8" applyFont="1" applyBorder="1" applyAlignment="1" applyProtection="1">
      <alignment horizontal="left" vertical="top" wrapText="1"/>
      <protection locked="0"/>
    </xf>
    <xf numFmtId="14" fontId="10" fillId="0" borderId="2" xfId="8" applyNumberFormat="1" applyFont="1" applyBorder="1" applyAlignment="1" applyProtection="1">
      <alignment horizontal="left" vertical="top" wrapText="1"/>
      <protection locked="0"/>
    </xf>
    <xf numFmtId="14" fontId="10" fillId="0" borderId="4" xfId="8" applyNumberFormat="1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7" fillId="0" borderId="3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10" fillId="0" borderId="5" xfId="8" applyFont="1" applyBorder="1" applyAlignment="1" applyProtection="1">
      <alignment horizontal="left" vertical="top" wrapText="1"/>
      <protection locked="0"/>
    </xf>
    <xf numFmtId="0" fontId="10" fillId="0" borderId="6" xfId="8" applyFont="1" applyBorder="1" applyAlignment="1" applyProtection="1">
      <alignment horizontal="left" vertical="top" wrapText="1"/>
      <protection locked="0"/>
    </xf>
    <xf numFmtId="0" fontId="10" fillId="0" borderId="4" xfId="8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 wrapText="1"/>
      <protection locked="0"/>
    </xf>
    <xf numFmtId="0" fontId="13" fillId="0" borderId="4" xfId="8" applyFont="1" applyBorder="1" applyAlignment="1" applyProtection="1">
      <alignment horizontal="left" vertical="top" wrapText="1"/>
      <protection locked="0"/>
    </xf>
    <xf numFmtId="0" fontId="13" fillId="0" borderId="3" xfId="8" applyFont="1" applyBorder="1" applyAlignment="1" applyProtection="1">
      <alignment horizontal="left" vertical="top" wrapText="1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vertical="top" wrapText="1"/>
      <protection locked="0"/>
    </xf>
    <xf numFmtId="1" fontId="10" fillId="0" borderId="1" xfId="8" applyNumberFormat="1" applyFont="1" applyBorder="1" applyAlignment="1" applyProtection="1">
      <alignment horizontal="left" vertical="top" wrapText="1"/>
      <protection locked="0"/>
    </xf>
    <xf numFmtId="0" fontId="13" fillId="0" borderId="12" xfId="8" applyFont="1" applyBorder="1" applyAlignment="1" applyProtection="1">
      <alignment horizontal="left" vertical="top" wrapText="1"/>
      <protection locked="0"/>
    </xf>
    <xf numFmtId="0" fontId="13" fillId="0" borderId="13" xfId="8" applyFont="1" applyBorder="1" applyAlignment="1" applyProtection="1">
      <alignment horizontal="left" vertical="top" wrapText="1"/>
      <protection locked="0"/>
    </xf>
    <xf numFmtId="0" fontId="13" fillId="0" borderId="14" xfId="8" applyFont="1" applyBorder="1" applyAlignment="1" applyProtection="1">
      <alignment horizontal="left" vertical="top" wrapText="1"/>
      <protection locked="0"/>
    </xf>
    <xf numFmtId="0" fontId="13" fillId="0" borderId="15" xfId="8" applyFont="1" applyBorder="1" applyAlignment="1" applyProtection="1">
      <alignment horizontal="left" vertical="top" wrapText="1"/>
      <protection locked="0"/>
    </xf>
    <xf numFmtId="0" fontId="13" fillId="0" borderId="16" xfId="8" applyFont="1" applyBorder="1" applyAlignment="1" applyProtection="1">
      <alignment horizontal="left" vertical="top" wrapText="1"/>
      <protection locked="0"/>
    </xf>
    <xf numFmtId="0" fontId="14" fillId="0" borderId="17" xfId="8" applyFont="1" applyBorder="1" applyAlignment="1" applyProtection="1">
      <alignment horizontal="left" vertical="top"/>
      <protection locked="0"/>
    </xf>
    <xf numFmtId="0" fontId="14" fillId="0" borderId="18" xfId="8" applyFont="1" applyBorder="1" applyAlignment="1" applyProtection="1">
      <alignment horizontal="left" vertical="top" wrapText="1"/>
      <protection locked="0"/>
    </xf>
    <xf numFmtId="0" fontId="11" fillId="0" borderId="17" xfId="8" applyFont="1" applyBorder="1" applyAlignment="1" applyProtection="1">
      <alignment horizontal="center" vertical="top" wrapText="1"/>
      <protection locked="0"/>
    </xf>
    <xf numFmtId="0" fontId="11" fillId="0" borderId="1" xfId="8" applyFont="1" applyBorder="1" applyAlignment="1" applyProtection="1">
      <alignment horizontal="center" vertical="top" wrapText="1"/>
      <protection locked="0"/>
    </xf>
    <xf numFmtId="0" fontId="11" fillId="0" borderId="18" xfId="8" applyFont="1" applyBorder="1" applyAlignment="1" applyProtection="1">
      <alignment horizontal="center" vertical="top" wrapText="1"/>
      <protection locked="0"/>
    </xf>
    <xf numFmtId="0" fontId="11" fillId="0" borderId="22" xfId="8" applyFont="1" applyBorder="1" applyAlignment="1" applyProtection="1">
      <alignment horizontal="center" vertical="top" wrapText="1"/>
      <protection locked="0"/>
    </xf>
    <xf numFmtId="0" fontId="11" fillId="0" borderId="23" xfId="8" applyFont="1" applyBorder="1" applyAlignment="1" applyProtection="1">
      <alignment horizontal="center" vertical="top" wrapText="1"/>
      <protection locked="0"/>
    </xf>
    <xf numFmtId="9" fontId="11" fillId="0" borderId="7" xfId="2" applyFont="1" applyFill="1" applyBorder="1" applyAlignment="1" applyProtection="1">
      <alignment horizontal="center" vertical="center" wrapText="1"/>
      <protection locked="0"/>
    </xf>
    <xf numFmtId="9" fontId="11" fillId="0" borderId="8" xfId="2" applyFont="1" applyFill="1" applyBorder="1" applyAlignment="1" applyProtection="1">
      <alignment horizontal="center" vertical="center" wrapText="1"/>
      <protection locked="0"/>
    </xf>
    <xf numFmtId="9" fontId="11" fillId="0" borderId="11" xfId="2" applyFont="1" applyFill="1" applyBorder="1" applyAlignment="1" applyProtection="1">
      <alignment horizontal="center" vertical="center" wrapText="1"/>
      <protection locked="0"/>
    </xf>
    <xf numFmtId="9" fontId="11" fillId="0" borderId="20" xfId="2" applyFont="1" applyFill="1" applyBorder="1" applyAlignment="1" applyProtection="1">
      <alignment horizontal="center" vertical="center" wrapText="1"/>
      <protection locked="0"/>
    </xf>
    <xf numFmtId="9" fontId="11" fillId="0" borderId="24" xfId="2" applyFont="1" applyFill="1" applyBorder="1" applyAlignment="1" applyProtection="1">
      <alignment horizontal="center" vertical="center" wrapText="1"/>
      <protection locked="0"/>
    </xf>
    <xf numFmtId="9" fontId="11" fillId="0" borderId="25" xfId="2" applyFont="1" applyFill="1" applyBorder="1" applyAlignment="1" applyProtection="1">
      <alignment horizontal="center" vertical="center" wrapText="1"/>
      <protection locked="0"/>
    </xf>
    <xf numFmtId="9" fontId="11" fillId="0" borderId="19" xfId="2" applyFont="1" applyFill="1" applyBorder="1" applyAlignment="1" applyProtection="1">
      <alignment horizontal="center" vertical="center" wrapText="1"/>
      <protection locked="0"/>
    </xf>
    <xf numFmtId="9" fontId="11" fillId="0" borderId="21" xfId="2" applyFont="1" applyFill="1" applyBorder="1" applyAlignment="1" applyProtection="1">
      <alignment horizontal="center" vertical="center" wrapText="1"/>
      <protection locked="0"/>
    </xf>
    <xf numFmtId="9" fontId="11" fillId="0" borderId="26" xfId="2" applyFont="1" applyFill="1" applyBorder="1" applyAlignment="1" applyProtection="1">
      <alignment horizontal="center" vertical="center" wrapText="1"/>
      <protection locked="0"/>
    </xf>
    <xf numFmtId="0" fontId="13" fillId="0" borderId="27" xfId="8" applyFont="1" applyBorder="1" applyAlignment="1" applyProtection="1">
      <alignment horizontal="left" vertical="top"/>
      <protection locked="0"/>
    </xf>
    <xf numFmtId="0" fontId="13" fillId="0" borderId="27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167" fontId="14" fillId="0" borderId="1" xfId="1" applyNumberFormat="1" applyFont="1" applyFill="1" applyBorder="1" applyAlignment="1" applyProtection="1">
      <alignment horizontal="left" vertical="top"/>
      <protection locked="0"/>
    </xf>
    <xf numFmtId="167" fontId="7" fillId="0" borderId="1" xfId="1" applyNumberFormat="1" applyFont="1" applyFill="1" applyBorder="1" applyAlignment="1" applyProtection="1">
      <alignment horizontal="left" vertical="top"/>
      <protection locked="0"/>
    </xf>
    <xf numFmtId="167" fontId="11" fillId="0" borderId="1" xfId="1" applyNumberFormat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1" xfId="8" applyNumberFormat="1" applyFont="1" applyBorder="1" applyAlignment="1" applyProtection="1">
      <alignment horizontal="center" vertical="center" wrapText="1"/>
      <protection locked="0"/>
    </xf>
    <xf numFmtId="0" fontId="11" fillId="0" borderId="0" xfId="8" applyFont="1" applyAlignment="1">
      <alignment horizontal="center" vertical="center"/>
    </xf>
    <xf numFmtId="1" fontId="13" fillId="0" borderId="1" xfId="8" applyNumberFormat="1" applyFont="1" applyBorder="1" applyAlignment="1" applyProtection="1">
      <alignment horizontal="center" vertical="top" wrapText="1"/>
      <protection locked="0"/>
    </xf>
    <xf numFmtId="1" fontId="16" fillId="0" borderId="1" xfId="8" applyNumberFormat="1" applyFont="1" applyBorder="1" applyAlignment="1" applyProtection="1">
      <alignment horizontal="center" vertical="top" wrapText="1"/>
      <protection locked="0"/>
    </xf>
    <xf numFmtId="1" fontId="10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8" applyFont="1" applyFill="1" applyAlignment="1">
      <alignment horizontal="center" vertical="center"/>
    </xf>
    <xf numFmtId="1" fontId="14" fillId="0" borderId="1" xfId="8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14" fillId="0" borderId="1" xfId="0" applyNumberFormat="1" applyFont="1" applyBorder="1" applyAlignment="1" applyProtection="1">
      <alignment vertical="top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horizontal="center" vertical="center" wrapText="1"/>
      <protection locked="0"/>
    </xf>
    <xf numFmtId="1" fontId="10" fillId="0" borderId="3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8" applyFont="1" applyBorder="1" applyAlignment="1" applyProtection="1">
      <alignment horizontal="center" vertical="top" wrapText="1"/>
      <protection locked="0"/>
    </xf>
    <xf numFmtId="0" fontId="10" fillId="0" borderId="7" xfId="8" applyFont="1" applyBorder="1" applyAlignment="1" applyProtection="1">
      <alignment horizontal="left" vertical="top" wrapText="1"/>
      <protection locked="0"/>
    </xf>
    <xf numFmtId="0" fontId="10" fillId="0" borderId="8" xfId="8" applyFont="1" applyBorder="1" applyAlignment="1" applyProtection="1">
      <alignment horizontal="left" vertical="top" wrapText="1"/>
      <protection locked="0"/>
    </xf>
    <xf numFmtId="0" fontId="10" fillId="0" borderId="1" xfId="8" applyFont="1" applyBorder="1" applyAlignment="1" applyProtection="1">
      <alignment vertical="top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0" fontId="3" fillId="0" borderId="1" xfId="10" applyFont="1" applyBorder="1" applyAlignment="1">
      <alignment horizontal="left"/>
    </xf>
    <xf numFmtId="0" fontId="18" fillId="2" borderId="13" xfId="0" applyFont="1" applyFill="1" applyBorder="1"/>
    <xf numFmtId="0" fontId="19" fillId="0" borderId="4" xfId="0" applyFont="1" applyBorder="1"/>
    <xf numFmtId="0" fontId="13" fillId="0" borderId="32" xfId="8" applyFont="1" applyBorder="1" applyAlignment="1" applyProtection="1">
      <alignment horizontal="left" vertical="top" wrapText="1"/>
      <protection locked="0"/>
    </xf>
    <xf numFmtId="0" fontId="13" fillId="0" borderId="6" xfId="8" applyFont="1" applyBorder="1" applyAlignment="1" applyProtection="1">
      <alignment horizontal="left" vertical="top" wrapText="1"/>
      <protection locked="0"/>
    </xf>
    <xf numFmtId="0" fontId="13" fillId="0" borderId="5" xfId="8" applyFont="1" applyBorder="1" applyAlignment="1" applyProtection="1">
      <alignment horizontal="left" vertical="top" wrapText="1"/>
      <protection locked="0"/>
    </xf>
    <xf numFmtId="0" fontId="13" fillId="0" borderId="33" xfId="8" applyFont="1" applyBorder="1" applyAlignment="1" applyProtection="1">
      <alignment horizontal="left" vertical="top" wrapText="1"/>
      <protection locked="0"/>
    </xf>
    <xf numFmtId="0" fontId="13" fillId="0" borderId="34" xfId="8" applyFont="1" applyBorder="1" applyAlignment="1" applyProtection="1">
      <alignment horizontal="left" vertical="top" wrapText="1"/>
      <protection locked="0"/>
    </xf>
    <xf numFmtId="9" fontId="11" fillId="0" borderId="1" xfId="2" applyFont="1" applyFill="1" applyBorder="1" applyAlignment="1" applyProtection="1">
      <alignment horizontal="center" vertical="center" wrapText="1"/>
      <protection locked="0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182566</xdr:colOff>
      <xdr:row>288</xdr:row>
      <xdr:rowOff>23814</xdr:rowOff>
    </xdr:from>
    <xdr:to>
      <xdr:col>6</xdr:col>
      <xdr:colOff>645458</xdr:colOff>
      <xdr:row>306</xdr:row>
      <xdr:rowOff>51939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944245" y="61833760"/>
          <a:ext cx="4615815" cy="362839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48260</xdr:colOff>
      <xdr:row>306</xdr:row>
      <xdr:rowOff>153035</xdr:rowOff>
    </xdr:from>
    <xdr:to>
      <xdr:col>5</xdr:col>
      <xdr:colOff>686593</xdr:colOff>
      <xdr:row>323</xdr:row>
      <xdr:rowOff>18011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610360" y="65563750"/>
          <a:ext cx="3209925" cy="3265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481015</xdr:colOff>
      <xdr:row>293</xdr:row>
      <xdr:rowOff>87176</xdr:rowOff>
    </xdr:from>
    <xdr:to>
      <xdr:col>2</xdr:col>
      <xdr:colOff>188915</xdr:colOff>
      <xdr:row>299</xdr:row>
      <xdr:rowOff>7801</xdr:rowOff>
    </xdr:to>
    <xdr:sp macro="" textlink="">
      <xdr:nvSpPr>
        <xdr:cNvPr id="22" name="Rectangle 21"/>
        <xdr:cNvSpPr/>
      </xdr:nvSpPr>
      <xdr:spPr>
        <a:xfrm>
          <a:off x="1242695" y="62897385"/>
          <a:ext cx="508000" cy="1120775"/>
        </a:xfrm>
        <a:prstGeom prst="rect">
          <a:avLst/>
        </a:prstGeom>
        <a:noFill/>
        <a:ln w="1270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83176</xdr:colOff>
      <xdr:row>290</xdr:row>
      <xdr:rowOff>130844</xdr:rowOff>
    </xdr:from>
    <xdr:to>
      <xdr:col>2</xdr:col>
      <xdr:colOff>573218</xdr:colOff>
      <xdr:row>293</xdr:row>
      <xdr:rowOff>61427</xdr:rowOff>
    </xdr:to>
    <xdr:sp macro="" textlink="">
      <xdr:nvSpPr>
        <xdr:cNvPr id="23" name="TextBox 4"/>
        <xdr:cNvSpPr txBox="1"/>
      </xdr:nvSpPr>
      <xdr:spPr>
        <a:xfrm>
          <a:off x="844550" y="62341125"/>
          <a:ext cx="1290320" cy="53022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IN" sz="1400" kern="120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Cluster 1</a:t>
          </a:r>
          <a:endParaRPr lang="en-IN" sz="1400">
            <a:solidFill>
              <a:srgbClr val="00B0F0"/>
            </a:solidFill>
            <a:effectLst/>
          </a:endParaRPr>
        </a:p>
        <a:p>
          <a:pPr algn="ctr"/>
          <a:r>
            <a:rPr lang="en-IN" sz="1400">
              <a:solidFill>
                <a:srgbClr val="00B0F0"/>
              </a:solidFill>
            </a:rPr>
            <a:t>Tower 1 &amp; 2 </a:t>
          </a:r>
        </a:p>
      </xdr:txBody>
    </xdr:sp>
    <xdr:clientData/>
  </xdr:twoCellAnchor>
  <xdr:twoCellAnchor>
    <xdr:from>
      <xdr:col>2</xdr:col>
      <xdr:colOff>276225</xdr:colOff>
      <xdr:row>300</xdr:row>
      <xdr:rowOff>16330</xdr:rowOff>
    </xdr:from>
    <xdr:to>
      <xdr:col>4</xdr:col>
      <xdr:colOff>613682</xdr:colOff>
      <xdr:row>303</xdr:row>
      <xdr:rowOff>95251</xdr:rowOff>
    </xdr:to>
    <xdr:sp macro="" textlink="">
      <xdr:nvSpPr>
        <xdr:cNvPr id="25" name="Rectangle 24"/>
        <xdr:cNvSpPr/>
      </xdr:nvSpPr>
      <xdr:spPr>
        <a:xfrm>
          <a:off x="1838325" y="64226440"/>
          <a:ext cx="2127885" cy="6794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solidFill>
              <a:srgbClr val="0070C0"/>
            </a:solidFill>
          </a:endParaRPr>
        </a:p>
      </xdr:txBody>
    </xdr:sp>
    <xdr:clientData/>
  </xdr:twoCellAnchor>
  <xdr:twoCellAnchor>
    <xdr:from>
      <xdr:col>2</xdr:col>
      <xdr:colOff>807390</xdr:colOff>
      <xdr:row>303</xdr:row>
      <xdr:rowOff>35272</xdr:rowOff>
    </xdr:from>
    <xdr:to>
      <xdr:col>4</xdr:col>
      <xdr:colOff>341470</xdr:colOff>
      <xdr:row>305</xdr:row>
      <xdr:rowOff>11847</xdr:rowOff>
    </xdr:to>
    <xdr:sp macro="" textlink="">
      <xdr:nvSpPr>
        <xdr:cNvPr id="26" name="TextBox 7"/>
        <xdr:cNvSpPr txBox="1"/>
      </xdr:nvSpPr>
      <xdr:spPr>
        <a:xfrm>
          <a:off x="2369185" y="64845565"/>
          <a:ext cx="1324610" cy="376555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>
              <a:solidFill>
                <a:srgbClr val="FF0000"/>
              </a:solidFill>
            </a:rPr>
            <a:t>Cluster 3</a:t>
          </a:r>
        </a:p>
      </xdr:txBody>
    </xdr:sp>
    <xdr:clientData/>
  </xdr:twoCellAnchor>
  <xdr:twoCellAnchor editAs="oneCell">
    <xdr:from>
      <xdr:col>0</xdr:col>
      <xdr:colOff>595319</xdr:colOff>
      <xdr:row>332</xdr:row>
      <xdr:rowOff>23814</xdr:rowOff>
    </xdr:from>
    <xdr:to>
      <xdr:col>7</xdr:col>
      <xdr:colOff>259319</xdr:colOff>
      <xdr:row>351</xdr:row>
      <xdr:rowOff>121129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594995" y="70634860"/>
          <a:ext cx="5340985" cy="38976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595319</xdr:colOff>
      <xdr:row>352</xdr:row>
      <xdr:rowOff>109481</xdr:rowOff>
    </xdr:from>
    <xdr:to>
      <xdr:col>7</xdr:col>
      <xdr:colOff>259319</xdr:colOff>
      <xdr:row>371</xdr:row>
      <xdr:rowOff>133991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4" cstate="screen"/>
        <a:srcRect/>
        <a:stretch>
          <a:fillRect/>
        </a:stretch>
      </xdr:blipFill>
      <xdr:spPr>
        <a:xfrm>
          <a:off x="594995" y="74721085"/>
          <a:ext cx="5340985" cy="38252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177117</xdr:colOff>
      <xdr:row>358</xdr:row>
      <xdr:rowOff>64850</xdr:rowOff>
    </xdr:from>
    <xdr:to>
      <xdr:col>4</xdr:col>
      <xdr:colOff>445404</xdr:colOff>
      <xdr:row>364</xdr:row>
      <xdr:rowOff>87075</xdr:rowOff>
    </xdr:to>
    <xdr:sp macro="" textlink="">
      <xdr:nvSpPr>
        <xdr:cNvPr id="29" name="Rectangle 28"/>
        <xdr:cNvSpPr/>
      </xdr:nvSpPr>
      <xdr:spPr>
        <a:xfrm>
          <a:off x="2586355" y="75876785"/>
          <a:ext cx="1211580" cy="1222375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oneCellAnchor>
    <xdr:from>
      <xdr:col>2</xdr:col>
      <xdr:colOff>499205</xdr:colOff>
      <xdr:row>301</xdr:row>
      <xdr:rowOff>37448</xdr:rowOff>
    </xdr:from>
    <xdr:ext cx="616772" cy="248851"/>
    <xdr:sp macro="" textlink="">
      <xdr:nvSpPr>
        <xdr:cNvPr id="2" name="TextBox 1"/>
        <xdr:cNvSpPr txBox="1"/>
      </xdr:nvSpPr>
      <xdr:spPr>
        <a:xfrm>
          <a:off x="2061210" y="64447420"/>
          <a:ext cx="616585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rgbClr val="FF0000"/>
              </a:solidFill>
            </a:rPr>
            <a:t>Tower</a:t>
          </a:r>
          <a:r>
            <a:rPr lang="en-IN" sz="1000" b="1" baseline="0">
              <a:solidFill>
                <a:srgbClr val="FF0000"/>
              </a:solidFill>
            </a:rPr>
            <a:t> 9</a:t>
          </a:r>
          <a:endParaRPr lang="en-IN" sz="10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8</xdr:col>
      <xdr:colOff>281610</xdr:colOff>
      <xdr:row>224</xdr:row>
      <xdr:rowOff>74543</xdr:rowOff>
    </xdr:from>
    <xdr:to>
      <xdr:col>13</xdr:col>
      <xdr:colOff>178697</xdr:colOff>
      <xdr:row>234</xdr:row>
      <xdr:rowOff>194513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5" cstate="screen"/>
        <a:stretch>
          <a:fillRect/>
        </a:stretch>
      </xdr:blipFill>
      <xdr:spPr>
        <a:xfrm>
          <a:off x="7415530" y="48661320"/>
          <a:ext cx="4021455" cy="2326640"/>
        </a:xfrm>
        <a:prstGeom prst="rect">
          <a:avLst/>
        </a:prstGeom>
      </xdr:spPr>
    </xdr:pic>
    <xdr:clientData/>
  </xdr:twoCellAnchor>
  <xdr:oneCellAnchor>
    <xdr:from>
      <xdr:col>3</xdr:col>
      <xdr:colOff>156305</xdr:colOff>
      <xdr:row>301</xdr:row>
      <xdr:rowOff>27923</xdr:rowOff>
    </xdr:from>
    <xdr:ext cx="681790" cy="248851"/>
    <xdr:sp macro="" textlink="">
      <xdr:nvSpPr>
        <xdr:cNvPr id="43" name="TextBox 42"/>
        <xdr:cNvSpPr txBox="1"/>
      </xdr:nvSpPr>
      <xdr:spPr>
        <a:xfrm>
          <a:off x="2566035" y="64437895"/>
          <a:ext cx="681355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rgbClr val="FF0000"/>
              </a:solidFill>
            </a:rPr>
            <a:t>Tower</a:t>
          </a:r>
          <a:r>
            <a:rPr lang="en-IN" sz="1000" b="1" baseline="0">
              <a:solidFill>
                <a:srgbClr val="FF0000"/>
              </a:solidFill>
            </a:rPr>
            <a:t> 10</a:t>
          </a:r>
          <a:endParaRPr lang="en-IN" sz="1000" b="1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689705</xdr:colOff>
      <xdr:row>301</xdr:row>
      <xdr:rowOff>27923</xdr:rowOff>
    </xdr:from>
    <xdr:ext cx="681790" cy="248851"/>
    <xdr:sp macro="" textlink="">
      <xdr:nvSpPr>
        <xdr:cNvPr id="44" name="TextBox 43"/>
        <xdr:cNvSpPr txBox="1"/>
      </xdr:nvSpPr>
      <xdr:spPr>
        <a:xfrm>
          <a:off x="3099435" y="64437895"/>
          <a:ext cx="681355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 b="1">
              <a:solidFill>
                <a:srgbClr val="FF0000"/>
              </a:solidFill>
            </a:rPr>
            <a:t>Tower</a:t>
          </a:r>
          <a:r>
            <a:rPr lang="en-IN" sz="1000" b="1" baseline="0">
              <a:solidFill>
                <a:srgbClr val="FF0000"/>
              </a:solidFill>
            </a:rPr>
            <a:t> 11</a:t>
          </a:r>
          <a:endParaRPr lang="en-IN" sz="1000" b="1">
            <a:solidFill>
              <a:srgbClr val="FF0000"/>
            </a:solidFill>
          </a:endParaRPr>
        </a:p>
      </xdr:txBody>
    </xdr:sp>
    <xdr:clientData/>
  </xdr:oneCellAnchor>
  <xdr:twoCellAnchor>
    <xdr:from>
      <xdr:col>2</xdr:col>
      <xdr:colOff>285750</xdr:colOff>
      <xdr:row>293</xdr:row>
      <xdr:rowOff>28682</xdr:rowOff>
    </xdr:from>
    <xdr:to>
      <xdr:col>4</xdr:col>
      <xdr:colOff>623207</xdr:colOff>
      <xdr:row>299</xdr:row>
      <xdr:rowOff>130735</xdr:rowOff>
    </xdr:to>
    <xdr:sp macro="" textlink="">
      <xdr:nvSpPr>
        <xdr:cNvPr id="45" name="Rectangle 44"/>
        <xdr:cNvSpPr/>
      </xdr:nvSpPr>
      <xdr:spPr>
        <a:xfrm>
          <a:off x="1847850" y="62838965"/>
          <a:ext cx="2127885" cy="1301750"/>
        </a:xfrm>
        <a:prstGeom prst="rect">
          <a:avLst/>
        </a:prstGeom>
        <a:noFill/>
        <a:ln w="952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>
            <a:ln w="9525">
              <a:solidFill>
                <a:schemeClr val="tx1"/>
              </a:solidFill>
            </a:ln>
            <a:solidFill>
              <a:srgbClr val="00B0F0"/>
            </a:solidFill>
          </a:endParaRPr>
        </a:p>
      </xdr:txBody>
    </xdr:sp>
    <xdr:clientData/>
  </xdr:twoCellAnchor>
  <xdr:twoCellAnchor>
    <xdr:from>
      <xdr:col>2</xdr:col>
      <xdr:colOff>835965</xdr:colOff>
      <xdr:row>291</xdr:row>
      <xdr:rowOff>57150</xdr:rowOff>
    </xdr:from>
    <xdr:to>
      <xdr:col>4</xdr:col>
      <xdr:colOff>370045</xdr:colOff>
      <xdr:row>292</xdr:row>
      <xdr:rowOff>168621</xdr:rowOff>
    </xdr:to>
    <xdr:sp macro="" textlink="">
      <xdr:nvSpPr>
        <xdr:cNvPr id="46" name="TextBox 7"/>
        <xdr:cNvSpPr txBox="1"/>
      </xdr:nvSpPr>
      <xdr:spPr>
        <a:xfrm>
          <a:off x="2397760" y="62467490"/>
          <a:ext cx="1324610" cy="311150"/>
        </a:xfrm>
        <a:prstGeom prst="rect">
          <a:avLst/>
        </a:prstGeom>
        <a:noFill/>
        <a:ln w="19050"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>
              <a:solidFill>
                <a:srgbClr val="00B0F0"/>
              </a:solidFill>
            </a:rPr>
            <a:t>Cluster 2</a:t>
          </a:r>
        </a:p>
      </xdr:txBody>
    </xdr:sp>
    <xdr:clientData/>
  </xdr:twoCellAnchor>
  <xdr:oneCellAnchor>
    <xdr:from>
      <xdr:col>2</xdr:col>
      <xdr:colOff>461105</xdr:colOff>
      <xdr:row>293</xdr:row>
      <xdr:rowOff>87901</xdr:rowOff>
    </xdr:from>
    <xdr:ext cx="609013" cy="248851"/>
    <xdr:sp macro="" textlink="">
      <xdr:nvSpPr>
        <xdr:cNvPr id="47" name="TextBox 46"/>
        <xdr:cNvSpPr txBox="1"/>
      </xdr:nvSpPr>
      <xdr:spPr>
        <a:xfrm>
          <a:off x="2023110" y="62898020"/>
          <a:ext cx="608965" cy="248920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>
              <a:solidFill>
                <a:srgbClr val="00B0F0"/>
              </a:solidFill>
            </a:rPr>
            <a:t>Tower</a:t>
          </a:r>
          <a:r>
            <a:rPr lang="en-IN" sz="1000" baseline="0">
              <a:solidFill>
                <a:srgbClr val="00B0F0"/>
              </a:solidFill>
            </a:rPr>
            <a:t> 3</a:t>
          </a:r>
          <a:endParaRPr lang="en-IN" sz="1000">
            <a:solidFill>
              <a:srgbClr val="00B0F0"/>
            </a:solidFill>
          </a:endParaRPr>
        </a:p>
      </xdr:txBody>
    </xdr:sp>
    <xdr:clientData/>
  </xdr:oneCellAnchor>
  <xdr:oneCellAnchor>
    <xdr:from>
      <xdr:col>3</xdr:col>
      <xdr:colOff>831692</xdr:colOff>
      <xdr:row>293</xdr:row>
      <xdr:rowOff>103993</xdr:rowOff>
    </xdr:from>
    <xdr:ext cx="609013" cy="248851"/>
    <xdr:sp macro="" textlink="">
      <xdr:nvSpPr>
        <xdr:cNvPr id="48" name="TextBox 47"/>
        <xdr:cNvSpPr txBox="1"/>
      </xdr:nvSpPr>
      <xdr:spPr>
        <a:xfrm>
          <a:off x="3241040" y="62913895"/>
          <a:ext cx="608965" cy="248920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>
              <a:solidFill>
                <a:srgbClr val="00B0F0"/>
              </a:solidFill>
            </a:rPr>
            <a:t>Tower</a:t>
          </a:r>
          <a:r>
            <a:rPr lang="en-IN" sz="1000" baseline="0">
              <a:solidFill>
                <a:srgbClr val="00B0F0"/>
              </a:solidFill>
            </a:rPr>
            <a:t> 5</a:t>
          </a:r>
          <a:endParaRPr lang="en-IN" sz="1000">
            <a:solidFill>
              <a:srgbClr val="00B0F0"/>
            </a:solidFill>
          </a:endParaRPr>
        </a:p>
      </xdr:txBody>
    </xdr:sp>
    <xdr:clientData/>
  </xdr:oneCellAnchor>
  <xdr:oneCellAnchor>
    <xdr:from>
      <xdr:col>3</xdr:col>
      <xdr:colOff>757858</xdr:colOff>
      <xdr:row>298</xdr:row>
      <xdr:rowOff>37200</xdr:rowOff>
    </xdr:from>
    <xdr:ext cx="609013" cy="248851"/>
    <xdr:sp macro="" textlink="">
      <xdr:nvSpPr>
        <xdr:cNvPr id="49" name="TextBox 48"/>
        <xdr:cNvSpPr txBox="1"/>
      </xdr:nvSpPr>
      <xdr:spPr>
        <a:xfrm>
          <a:off x="3167380" y="63847345"/>
          <a:ext cx="608965" cy="248920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>
              <a:solidFill>
                <a:srgbClr val="00B0F0"/>
              </a:solidFill>
            </a:rPr>
            <a:t>Tower</a:t>
          </a:r>
          <a:r>
            <a:rPr lang="en-IN" sz="1000" baseline="0">
              <a:solidFill>
                <a:srgbClr val="00B0F0"/>
              </a:solidFill>
            </a:rPr>
            <a:t> 6</a:t>
          </a:r>
          <a:endParaRPr lang="en-IN" sz="1000">
            <a:solidFill>
              <a:srgbClr val="00B0F0"/>
            </a:solidFill>
          </a:endParaRPr>
        </a:p>
      </xdr:txBody>
    </xdr:sp>
    <xdr:clientData/>
  </xdr:oneCellAnchor>
  <xdr:oneCellAnchor>
    <xdr:from>
      <xdr:col>2</xdr:col>
      <xdr:colOff>421584</xdr:colOff>
      <xdr:row>298</xdr:row>
      <xdr:rowOff>15666</xdr:rowOff>
    </xdr:from>
    <xdr:ext cx="609013" cy="248851"/>
    <xdr:sp macro="" textlink="">
      <xdr:nvSpPr>
        <xdr:cNvPr id="50" name="TextBox 49"/>
        <xdr:cNvSpPr txBox="1"/>
      </xdr:nvSpPr>
      <xdr:spPr>
        <a:xfrm>
          <a:off x="1983105" y="63825755"/>
          <a:ext cx="608965" cy="248920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>
              <a:solidFill>
                <a:srgbClr val="00B0F0"/>
              </a:solidFill>
            </a:rPr>
            <a:t>Tower</a:t>
          </a:r>
          <a:r>
            <a:rPr lang="en-IN" sz="1000" baseline="0">
              <a:solidFill>
                <a:srgbClr val="00B0F0"/>
              </a:solidFill>
            </a:rPr>
            <a:t> 8</a:t>
          </a:r>
          <a:endParaRPr lang="en-IN" sz="1000">
            <a:solidFill>
              <a:srgbClr val="00B0F0"/>
            </a:solidFill>
          </a:endParaRPr>
        </a:p>
      </xdr:txBody>
    </xdr:sp>
    <xdr:clientData/>
  </xdr:oneCellAnchor>
  <xdr:oneCellAnchor>
    <xdr:from>
      <xdr:col>3</xdr:col>
      <xdr:colOff>196061</xdr:colOff>
      <xdr:row>293</xdr:row>
      <xdr:rowOff>87902</xdr:rowOff>
    </xdr:from>
    <xdr:ext cx="609013" cy="248851"/>
    <xdr:sp macro="" textlink="">
      <xdr:nvSpPr>
        <xdr:cNvPr id="51" name="TextBox 50"/>
        <xdr:cNvSpPr txBox="1"/>
      </xdr:nvSpPr>
      <xdr:spPr>
        <a:xfrm>
          <a:off x="2605405" y="62898020"/>
          <a:ext cx="608965" cy="248920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>
              <a:solidFill>
                <a:srgbClr val="00B0F0"/>
              </a:solidFill>
            </a:rPr>
            <a:t>Tower</a:t>
          </a:r>
          <a:r>
            <a:rPr lang="en-IN" sz="1000" baseline="0">
              <a:solidFill>
                <a:srgbClr val="00B0F0"/>
              </a:solidFill>
            </a:rPr>
            <a:t> 4</a:t>
          </a:r>
          <a:endParaRPr lang="en-IN" sz="1000">
            <a:solidFill>
              <a:srgbClr val="00B0F0"/>
            </a:solidFill>
          </a:endParaRPr>
        </a:p>
      </xdr:txBody>
    </xdr:sp>
    <xdr:clientData/>
  </xdr:oneCellAnchor>
  <xdr:oneCellAnchor>
    <xdr:from>
      <xdr:col>3</xdr:col>
      <xdr:colOff>153227</xdr:colOff>
      <xdr:row>298</xdr:row>
      <xdr:rowOff>20635</xdr:rowOff>
    </xdr:from>
    <xdr:ext cx="609013" cy="248851"/>
    <xdr:sp macro="" textlink="">
      <xdr:nvSpPr>
        <xdr:cNvPr id="52" name="TextBox 51"/>
        <xdr:cNvSpPr txBox="1"/>
      </xdr:nvSpPr>
      <xdr:spPr>
        <a:xfrm>
          <a:off x="2562860" y="63830835"/>
          <a:ext cx="608965" cy="248920"/>
        </a:xfrm>
        <a:prstGeom prst="rect">
          <a:avLst/>
        </a:prstGeom>
        <a:noFill/>
        <a:ln w="1905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000">
              <a:solidFill>
                <a:srgbClr val="00B0F0"/>
              </a:solidFill>
            </a:rPr>
            <a:t>Tower</a:t>
          </a:r>
          <a:r>
            <a:rPr lang="en-IN" sz="1000" baseline="0">
              <a:solidFill>
                <a:srgbClr val="00B0F0"/>
              </a:solidFill>
            </a:rPr>
            <a:t> 7</a:t>
          </a:r>
          <a:endParaRPr lang="en-IN" sz="1000">
            <a:solidFill>
              <a:srgbClr val="00B0F0"/>
            </a:solidFill>
          </a:endParaRPr>
        </a:p>
      </xdr:txBody>
    </xdr:sp>
    <xdr:clientData/>
  </xdr:oneCellAnchor>
  <xdr:twoCellAnchor>
    <xdr:from>
      <xdr:col>0</xdr:col>
      <xdr:colOff>679450</xdr:colOff>
      <xdr:row>243</xdr:row>
      <xdr:rowOff>152400</xdr:rowOff>
    </xdr:from>
    <xdr:to>
      <xdr:col>7</xdr:col>
      <xdr:colOff>1080622</xdr:colOff>
      <xdr:row>276</xdr:row>
      <xdr:rowOff>35248</xdr:rowOff>
    </xdr:to>
    <xdr:grpSp>
      <xdr:nvGrpSpPr>
        <xdr:cNvPr id="4" name="Group 3"/>
        <xdr:cNvGrpSpPr/>
      </xdr:nvGrpSpPr>
      <xdr:grpSpPr>
        <a:xfrm>
          <a:off x="679450" y="52203350"/>
          <a:ext cx="6357472" cy="6372548"/>
          <a:chOff x="679450" y="52203350"/>
          <a:chExt cx="6357472" cy="6372548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88328" y="5677589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9450" y="5677589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450" y="522033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3889" y="5677589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449" y="5448962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96543" y="522033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96543" y="54489624"/>
            <a:ext cx="2880000" cy="2160000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</xdr:grpSp>
    <xdr:clientData/>
  </xdr:twoCellAnchor>
  <xdr:oneCellAnchor>
    <xdr:from>
      <xdr:col>5</xdr:col>
      <xdr:colOff>793750</xdr:colOff>
      <xdr:row>256</xdr:row>
      <xdr:rowOff>107950</xdr:rowOff>
    </xdr:from>
    <xdr:ext cx="771878" cy="280205"/>
    <xdr:sp macro="" textlink="">
      <xdr:nvSpPr>
        <xdr:cNvPr id="5" name="TextBox 4"/>
        <xdr:cNvSpPr txBox="1"/>
      </xdr:nvSpPr>
      <xdr:spPr>
        <a:xfrm>
          <a:off x="5130800" y="54711600"/>
          <a:ext cx="771878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Tower 11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e3ic76m3MNjFLEn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31"/>
  <sheetViews>
    <sheetView tabSelected="1" view="pageBreakPreview" topLeftCell="A249" zoomScaleNormal="100" workbookViewId="0">
      <selection activeCell="J257" sqref="J257"/>
    </sheetView>
  </sheetViews>
  <sheetFormatPr defaultColWidth="9.1796875" defaultRowHeight="15.5"/>
  <cols>
    <col min="1" max="1" width="11.453125" style="23" customWidth="1"/>
    <col min="2" max="2" width="12" style="23" customWidth="1"/>
    <col min="3" max="3" width="12.7265625" style="23" customWidth="1"/>
    <col min="4" max="4" width="14.1796875" style="23" customWidth="1"/>
    <col min="5" max="6" width="11.7265625" style="23" customWidth="1"/>
    <col min="7" max="7" width="11.453125" style="23" customWidth="1"/>
    <col min="8" max="8" width="21.81640625" style="23" customWidth="1"/>
    <col min="9" max="9" width="17.453125" style="24" customWidth="1"/>
    <col min="10" max="10" width="11.453125" style="24" customWidth="1"/>
    <col min="11" max="12" width="10.54296875" style="24" customWidth="1"/>
    <col min="13" max="13" width="11.81640625" style="24" customWidth="1"/>
    <col min="14" max="14" width="12.54296875" style="24" customWidth="1"/>
    <col min="15" max="15" width="9.81640625" style="24" customWidth="1"/>
    <col min="16" max="16" width="11.7265625" style="24" customWidth="1"/>
    <col min="17" max="247" width="9.1796875" style="24"/>
    <col min="248" max="248" width="8.7265625" style="24" customWidth="1"/>
    <col min="249" max="249" width="9.81640625" style="24" customWidth="1"/>
    <col min="250" max="250" width="14.453125" style="24" customWidth="1"/>
    <col min="251" max="251" width="7.26953125" style="24" customWidth="1"/>
    <col min="252" max="252" width="5.54296875" style="24" customWidth="1"/>
    <col min="253" max="253" width="9" style="24" customWidth="1"/>
    <col min="254" max="255" width="9.81640625" style="24" customWidth="1"/>
    <col min="256" max="256" width="11.1796875" style="24" customWidth="1"/>
    <col min="257" max="257" width="2.81640625" style="24" customWidth="1"/>
    <col min="258" max="258" width="3.54296875" style="24" customWidth="1"/>
    <col min="259" max="503" width="9.1796875" style="24"/>
    <col min="504" max="504" width="8.7265625" style="24" customWidth="1"/>
    <col min="505" max="505" width="9.81640625" style="24" customWidth="1"/>
    <col min="506" max="506" width="14.453125" style="24" customWidth="1"/>
    <col min="507" max="507" width="7.26953125" style="24" customWidth="1"/>
    <col min="508" max="508" width="5.54296875" style="24" customWidth="1"/>
    <col min="509" max="509" width="9" style="24" customWidth="1"/>
    <col min="510" max="511" width="9.81640625" style="24" customWidth="1"/>
    <col min="512" max="512" width="11.1796875" style="24" customWidth="1"/>
    <col min="513" max="513" width="2.81640625" style="24" customWidth="1"/>
    <col min="514" max="514" width="3.54296875" style="24" customWidth="1"/>
    <col min="515" max="759" width="9.1796875" style="24"/>
    <col min="760" max="760" width="8.7265625" style="24" customWidth="1"/>
    <col min="761" max="761" width="9.81640625" style="24" customWidth="1"/>
    <col min="762" max="762" width="14.453125" style="24" customWidth="1"/>
    <col min="763" max="763" width="7.26953125" style="24" customWidth="1"/>
    <col min="764" max="764" width="5.54296875" style="24" customWidth="1"/>
    <col min="765" max="765" width="9" style="24" customWidth="1"/>
    <col min="766" max="767" width="9.81640625" style="24" customWidth="1"/>
    <col min="768" max="768" width="11.1796875" style="24" customWidth="1"/>
    <col min="769" max="769" width="2.81640625" style="24" customWidth="1"/>
    <col min="770" max="770" width="3.54296875" style="24" customWidth="1"/>
    <col min="771" max="1015" width="9.1796875" style="24"/>
    <col min="1016" max="1016" width="8.7265625" style="24" customWidth="1"/>
    <col min="1017" max="1017" width="9.81640625" style="24" customWidth="1"/>
    <col min="1018" max="1018" width="14.453125" style="24" customWidth="1"/>
    <col min="1019" max="1019" width="7.26953125" style="24" customWidth="1"/>
    <col min="1020" max="1020" width="5.54296875" style="24" customWidth="1"/>
    <col min="1021" max="1021" width="9" style="24" customWidth="1"/>
    <col min="1022" max="1023" width="9.81640625" style="24" customWidth="1"/>
    <col min="1024" max="1024" width="11.1796875" style="24" customWidth="1"/>
    <col min="1025" max="1025" width="2.81640625" style="24" customWidth="1"/>
    <col min="1026" max="1026" width="3.54296875" style="24" customWidth="1"/>
    <col min="1027" max="1271" width="9.1796875" style="24"/>
    <col min="1272" max="1272" width="8.7265625" style="24" customWidth="1"/>
    <col min="1273" max="1273" width="9.81640625" style="24" customWidth="1"/>
    <col min="1274" max="1274" width="14.453125" style="24" customWidth="1"/>
    <col min="1275" max="1275" width="7.26953125" style="24" customWidth="1"/>
    <col min="1276" max="1276" width="5.54296875" style="24" customWidth="1"/>
    <col min="1277" max="1277" width="9" style="24" customWidth="1"/>
    <col min="1278" max="1279" width="9.81640625" style="24" customWidth="1"/>
    <col min="1280" max="1280" width="11.1796875" style="24" customWidth="1"/>
    <col min="1281" max="1281" width="2.81640625" style="24" customWidth="1"/>
    <col min="1282" max="1282" width="3.54296875" style="24" customWidth="1"/>
    <col min="1283" max="1527" width="9.1796875" style="24"/>
    <col min="1528" max="1528" width="8.7265625" style="24" customWidth="1"/>
    <col min="1529" max="1529" width="9.81640625" style="24" customWidth="1"/>
    <col min="1530" max="1530" width="14.453125" style="24" customWidth="1"/>
    <col min="1531" max="1531" width="7.26953125" style="24" customWidth="1"/>
    <col min="1532" max="1532" width="5.54296875" style="24" customWidth="1"/>
    <col min="1533" max="1533" width="9" style="24" customWidth="1"/>
    <col min="1534" max="1535" width="9.81640625" style="24" customWidth="1"/>
    <col min="1536" max="1536" width="11.1796875" style="24" customWidth="1"/>
    <col min="1537" max="1537" width="2.81640625" style="24" customWidth="1"/>
    <col min="1538" max="1538" width="3.54296875" style="24" customWidth="1"/>
    <col min="1539" max="1783" width="9.1796875" style="24"/>
    <col min="1784" max="1784" width="8.7265625" style="24" customWidth="1"/>
    <col min="1785" max="1785" width="9.81640625" style="24" customWidth="1"/>
    <col min="1786" max="1786" width="14.453125" style="24" customWidth="1"/>
    <col min="1787" max="1787" width="7.26953125" style="24" customWidth="1"/>
    <col min="1788" max="1788" width="5.54296875" style="24" customWidth="1"/>
    <col min="1789" max="1789" width="9" style="24" customWidth="1"/>
    <col min="1790" max="1791" width="9.81640625" style="24" customWidth="1"/>
    <col min="1792" max="1792" width="11.1796875" style="24" customWidth="1"/>
    <col min="1793" max="1793" width="2.81640625" style="24" customWidth="1"/>
    <col min="1794" max="1794" width="3.54296875" style="24" customWidth="1"/>
    <col min="1795" max="2039" width="9.1796875" style="24"/>
    <col min="2040" max="2040" width="8.7265625" style="24" customWidth="1"/>
    <col min="2041" max="2041" width="9.81640625" style="24" customWidth="1"/>
    <col min="2042" max="2042" width="14.453125" style="24" customWidth="1"/>
    <col min="2043" max="2043" width="7.26953125" style="24" customWidth="1"/>
    <col min="2044" max="2044" width="5.54296875" style="24" customWidth="1"/>
    <col min="2045" max="2045" width="9" style="24" customWidth="1"/>
    <col min="2046" max="2047" width="9.81640625" style="24" customWidth="1"/>
    <col min="2048" max="2048" width="11.1796875" style="24" customWidth="1"/>
    <col min="2049" max="2049" width="2.81640625" style="24" customWidth="1"/>
    <col min="2050" max="2050" width="3.54296875" style="24" customWidth="1"/>
    <col min="2051" max="2295" width="9.1796875" style="24"/>
    <col min="2296" max="2296" width="8.7265625" style="24" customWidth="1"/>
    <col min="2297" max="2297" width="9.81640625" style="24" customWidth="1"/>
    <col min="2298" max="2298" width="14.453125" style="24" customWidth="1"/>
    <col min="2299" max="2299" width="7.26953125" style="24" customWidth="1"/>
    <col min="2300" max="2300" width="5.54296875" style="24" customWidth="1"/>
    <col min="2301" max="2301" width="9" style="24" customWidth="1"/>
    <col min="2302" max="2303" width="9.81640625" style="24" customWidth="1"/>
    <col min="2304" max="2304" width="11.1796875" style="24" customWidth="1"/>
    <col min="2305" max="2305" width="2.81640625" style="24" customWidth="1"/>
    <col min="2306" max="2306" width="3.54296875" style="24" customWidth="1"/>
    <col min="2307" max="2551" width="9.1796875" style="24"/>
    <col min="2552" max="2552" width="8.7265625" style="24" customWidth="1"/>
    <col min="2553" max="2553" width="9.81640625" style="24" customWidth="1"/>
    <col min="2554" max="2554" width="14.453125" style="24" customWidth="1"/>
    <col min="2555" max="2555" width="7.26953125" style="24" customWidth="1"/>
    <col min="2556" max="2556" width="5.54296875" style="24" customWidth="1"/>
    <col min="2557" max="2557" width="9" style="24" customWidth="1"/>
    <col min="2558" max="2559" width="9.81640625" style="24" customWidth="1"/>
    <col min="2560" max="2560" width="11.1796875" style="24" customWidth="1"/>
    <col min="2561" max="2561" width="2.81640625" style="24" customWidth="1"/>
    <col min="2562" max="2562" width="3.54296875" style="24" customWidth="1"/>
    <col min="2563" max="2807" width="9.1796875" style="24"/>
    <col min="2808" max="2808" width="8.7265625" style="24" customWidth="1"/>
    <col min="2809" max="2809" width="9.81640625" style="24" customWidth="1"/>
    <col min="2810" max="2810" width="14.453125" style="24" customWidth="1"/>
    <col min="2811" max="2811" width="7.26953125" style="24" customWidth="1"/>
    <col min="2812" max="2812" width="5.54296875" style="24" customWidth="1"/>
    <col min="2813" max="2813" width="9" style="24" customWidth="1"/>
    <col min="2814" max="2815" width="9.81640625" style="24" customWidth="1"/>
    <col min="2816" max="2816" width="11.1796875" style="24" customWidth="1"/>
    <col min="2817" max="2817" width="2.81640625" style="24" customWidth="1"/>
    <col min="2818" max="2818" width="3.54296875" style="24" customWidth="1"/>
    <col min="2819" max="3063" width="9.1796875" style="24"/>
    <col min="3064" max="3064" width="8.7265625" style="24" customWidth="1"/>
    <col min="3065" max="3065" width="9.81640625" style="24" customWidth="1"/>
    <col min="3066" max="3066" width="14.453125" style="24" customWidth="1"/>
    <col min="3067" max="3067" width="7.26953125" style="24" customWidth="1"/>
    <col min="3068" max="3068" width="5.54296875" style="24" customWidth="1"/>
    <col min="3069" max="3069" width="9" style="24" customWidth="1"/>
    <col min="3070" max="3071" width="9.81640625" style="24" customWidth="1"/>
    <col min="3072" max="3072" width="11.1796875" style="24" customWidth="1"/>
    <col min="3073" max="3073" width="2.81640625" style="24" customWidth="1"/>
    <col min="3074" max="3074" width="3.54296875" style="24" customWidth="1"/>
    <col min="3075" max="3319" width="9.1796875" style="24"/>
    <col min="3320" max="3320" width="8.7265625" style="24" customWidth="1"/>
    <col min="3321" max="3321" width="9.81640625" style="24" customWidth="1"/>
    <col min="3322" max="3322" width="14.453125" style="24" customWidth="1"/>
    <col min="3323" max="3323" width="7.26953125" style="24" customWidth="1"/>
    <col min="3324" max="3324" width="5.54296875" style="24" customWidth="1"/>
    <col min="3325" max="3325" width="9" style="24" customWidth="1"/>
    <col min="3326" max="3327" width="9.81640625" style="24" customWidth="1"/>
    <col min="3328" max="3328" width="11.1796875" style="24" customWidth="1"/>
    <col min="3329" max="3329" width="2.81640625" style="24" customWidth="1"/>
    <col min="3330" max="3330" width="3.54296875" style="24" customWidth="1"/>
    <col min="3331" max="3575" width="9.1796875" style="24"/>
    <col min="3576" max="3576" width="8.7265625" style="24" customWidth="1"/>
    <col min="3577" max="3577" width="9.81640625" style="24" customWidth="1"/>
    <col min="3578" max="3578" width="14.453125" style="24" customWidth="1"/>
    <col min="3579" max="3579" width="7.26953125" style="24" customWidth="1"/>
    <col min="3580" max="3580" width="5.54296875" style="24" customWidth="1"/>
    <col min="3581" max="3581" width="9" style="24" customWidth="1"/>
    <col min="3582" max="3583" width="9.81640625" style="24" customWidth="1"/>
    <col min="3584" max="3584" width="11.1796875" style="24" customWidth="1"/>
    <col min="3585" max="3585" width="2.81640625" style="24" customWidth="1"/>
    <col min="3586" max="3586" width="3.54296875" style="24" customWidth="1"/>
    <col min="3587" max="3831" width="9.1796875" style="24"/>
    <col min="3832" max="3832" width="8.7265625" style="24" customWidth="1"/>
    <col min="3833" max="3833" width="9.81640625" style="24" customWidth="1"/>
    <col min="3834" max="3834" width="14.453125" style="24" customWidth="1"/>
    <col min="3835" max="3835" width="7.26953125" style="24" customWidth="1"/>
    <col min="3836" max="3836" width="5.54296875" style="24" customWidth="1"/>
    <col min="3837" max="3837" width="9" style="24" customWidth="1"/>
    <col min="3838" max="3839" width="9.81640625" style="24" customWidth="1"/>
    <col min="3840" max="3840" width="11.1796875" style="24" customWidth="1"/>
    <col min="3841" max="3841" width="2.81640625" style="24" customWidth="1"/>
    <col min="3842" max="3842" width="3.54296875" style="24" customWidth="1"/>
    <col min="3843" max="4087" width="9.1796875" style="24"/>
    <col min="4088" max="4088" width="8.7265625" style="24" customWidth="1"/>
    <col min="4089" max="4089" width="9.81640625" style="24" customWidth="1"/>
    <col min="4090" max="4090" width="14.453125" style="24" customWidth="1"/>
    <col min="4091" max="4091" width="7.26953125" style="24" customWidth="1"/>
    <col min="4092" max="4092" width="5.54296875" style="24" customWidth="1"/>
    <col min="4093" max="4093" width="9" style="24" customWidth="1"/>
    <col min="4094" max="4095" width="9.81640625" style="24" customWidth="1"/>
    <col min="4096" max="4096" width="11.1796875" style="24" customWidth="1"/>
    <col min="4097" max="4097" width="2.81640625" style="24" customWidth="1"/>
    <col min="4098" max="4098" width="3.54296875" style="24" customWidth="1"/>
    <col min="4099" max="4343" width="9.1796875" style="24"/>
    <col min="4344" max="4344" width="8.7265625" style="24" customWidth="1"/>
    <col min="4345" max="4345" width="9.81640625" style="24" customWidth="1"/>
    <col min="4346" max="4346" width="14.453125" style="24" customWidth="1"/>
    <col min="4347" max="4347" width="7.26953125" style="24" customWidth="1"/>
    <col min="4348" max="4348" width="5.54296875" style="24" customWidth="1"/>
    <col min="4349" max="4349" width="9" style="24" customWidth="1"/>
    <col min="4350" max="4351" width="9.81640625" style="24" customWidth="1"/>
    <col min="4352" max="4352" width="11.1796875" style="24" customWidth="1"/>
    <col min="4353" max="4353" width="2.81640625" style="24" customWidth="1"/>
    <col min="4354" max="4354" width="3.54296875" style="24" customWidth="1"/>
    <col min="4355" max="4599" width="9.1796875" style="24"/>
    <col min="4600" max="4600" width="8.7265625" style="24" customWidth="1"/>
    <col min="4601" max="4601" width="9.81640625" style="24" customWidth="1"/>
    <col min="4602" max="4602" width="14.453125" style="24" customWidth="1"/>
    <col min="4603" max="4603" width="7.26953125" style="24" customWidth="1"/>
    <col min="4604" max="4604" width="5.54296875" style="24" customWidth="1"/>
    <col min="4605" max="4605" width="9" style="24" customWidth="1"/>
    <col min="4606" max="4607" width="9.81640625" style="24" customWidth="1"/>
    <col min="4608" max="4608" width="11.1796875" style="24" customWidth="1"/>
    <col min="4609" max="4609" width="2.81640625" style="24" customWidth="1"/>
    <col min="4610" max="4610" width="3.54296875" style="24" customWidth="1"/>
    <col min="4611" max="4855" width="9.1796875" style="24"/>
    <col min="4856" max="4856" width="8.7265625" style="24" customWidth="1"/>
    <col min="4857" max="4857" width="9.81640625" style="24" customWidth="1"/>
    <col min="4858" max="4858" width="14.453125" style="24" customWidth="1"/>
    <col min="4859" max="4859" width="7.26953125" style="24" customWidth="1"/>
    <col min="4860" max="4860" width="5.54296875" style="24" customWidth="1"/>
    <col min="4861" max="4861" width="9" style="24" customWidth="1"/>
    <col min="4862" max="4863" width="9.81640625" style="24" customWidth="1"/>
    <col min="4864" max="4864" width="11.1796875" style="24" customWidth="1"/>
    <col min="4865" max="4865" width="2.81640625" style="24" customWidth="1"/>
    <col min="4866" max="4866" width="3.54296875" style="24" customWidth="1"/>
    <col min="4867" max="5111" width="9.1796875" style="24"/>
    <col min="5112" max="5112" width="8.7265625" style="24" customWidth="1"/>
    <col min="5113" max="5113" width="9.81640625" style="24" customWidth="1"/>
    <col min="5114" max="5114" width="14.453125" style="24" customWidth="1"/>
    <col min="5115" max="5115" width="7.26953125" style="24" customWidth="1"/>
    <col min="5116" max="5116" width="5.54296875" style="24" customWidth="1"/>
    <col min="5117" max="5117" width="9" style="24" customWidth="1"/>
    <col min="5118" max="5119" width="9.81640625" style="24" customWidth="1"/>
    <col min="5120" max="5120" width="11.1796875" style="24" customWidth="1"/>
    <col min="5121" max="5121" width="2.81640625" style="24" customWidth="1"/>
    <col min="5122" max="5122" width="3.54296875" style="24" customWidth="1"/>
    <col min="5123" max="5367" width="9.1796875" style="24"/>
    <col min="5368" max="5368" width="8.7265625" style="24" customWidth="1"/>
    <col min="5369" max="5369" width="9.81640625" style="24" customWidth="1"/>
    <col min="5370" max="5370" width="14.453125" style="24" customWidth="1"/>
    <col min="5371" max="5371" width="7.26953125" style="24" customWidth="1"/>
    <col min="5372" max="5372" width="5.54296875" style="24" customWidth="1"/>
    <col min="5373" max="5373" width="9" style="24" customWidth="1"/>
    <col min="5374" max="5375" width="9.81640625" style="24" customWidth="1"/>
    <col min="5376" max="5376" width="11.1796875" style="24" customWidth="1"/>
    <col min="5377" max="5377" width="2.81640625" style="24" customWidth="1"/>
    <col min="5378" max="5378" width="3.54296875" style="24" customWidth="1"/>
    <col min="5379" max="5623" width="9.1796875" style="24"/>
    <col min="5624" max="5624" width="8.7265625" style="24" customWidth="1"/>
    <col min="5625" max="5625" width="9.81640625" style="24" customWidth="1"/>
    <col min="5626" max="5626" width="14.453125" style="24" customWidth="1"/>
    <col min="5627" max="5627" width="7.26953125" style="24" customWidth="1"/>
    <col min="5628" max="5628" width="5.54296875" style="24" customWidth="1"/>
    <col min="5629" max="5629" width="9" style="24" customWidth="1"/>
    <col min="5630" max="5631" width="9.81640625" style="24" customWidth="1"/>
    <col min="5632" max="5632" width="11.1796875" style="24" customWidth="1"/>
    <col min="5633" max="5633" width="2.81640625" style="24" customWidth="1"/>
    <col min="5634" max="5634" width="3.54296875" style="24" customWidth="1"/>
    <col min="5635" max="5879" width="9.1796875" style="24"/>
    <col min="5880" max="5880" width="8.7265625" style="24" customWidth="1"/>
    <col min="5881" max="5881" width="9.81640625" style="24" customWidth="1"/>
    <col min="5882" max="5882" width="14.453125" style="24" customWidth="1"/>
    <col min="5883" max="5883" width="7.26953125" style="24" customWidth="1"/>
    <col min="5884" max="5884" width="5.54296875" style="24" customWidth="1"/>
    <col min="5885" max="5885" width="9" style="24" customWidth="1"/>
    <col min="5886" max="5887" width="9.81640625" style="24" customWidth="1"/>
    <col min="5888" max="5888" width="11.1796875" style="24" customWidth="1"/>
    <col min="5889" max="5889" width="2.81640625" style="24" customWidth="1"/>
    <col min="5890" max="5890" width="3.54296875" style="24" customWidth="1"/>
    <col min="5891" max="6135" width="9.1796875" style="24"/>
    <col min="6136" max="6136" width="8.7265625" style="24" customWidth="1"/>
    <col min="6137" max="6137" width="9.81640625" style="24" customWidth="1"/>
    <col min="6138" max="6138" width="14.453125" style="24" customWidth="1"/>
    <col min="6139" max="6139" width="7.26953125" style="24" customWidth="1"/>
    <col min="6140" max="6140" width="5.54296875" style="24" customWidth="1"/>
    <col min="6141" max="6141" width="9" style="24" customWidth="1"/>
    <col min="6142" max="6143" width="9.81640625" style="24" customWidth="1"/>
    <col min="6144" max="6144" width="11.1796875" style="24" customWidth="1"/>
    <col min="6145" max="6145" width="2.81640625" style="24" customWidth="1"/>
    <col min="6146" max="6146" width="3.54296875" style="24" customWidth="1"/>
    <col min="6147" max="6391" width="9.1796875" style="24"/>
    <col min="6392" max="6392" width="8.7265625" style="24" customWidth="1"/>
    <col min="6393" max="6393" width="9.81640625" style="24" customWidth="1"/>
    <col min="6394" max="6394" width="14.453125" style="24" customWidth="1"/>
    <col min="6395" max="6395" width="7.26953125" style="24" customWidth="1"/>
    <col min="6396" max="6396" width="5.54296875" style="24" customWidth="1"/>
    <col min="6397" max="6397" width="9" style="24" customWidth="1"/>
    <col min="6398" max="6399" width="9.81640625" style="24" customWidth="1"/>
    <col min="6400" max="6400" width="11.1796875" style="24" customWidth="1"/>
    <col min="6401" max="6401" width="2.81640625" style="24" customWidth="1"/>
    <col min="6402" max="6402" width="3.54296875" style="24" customWidth="1"/>
    <col min="6403" max="6647" width="9.1796875" style="24"/>
    <col min="6648" max="6648" width="8.7265625" style="24" customWidth="1"/>
    <col min="6649" max="6649" width="9.81640625" style="24" customWidth="1"/>
    <col min="6650" max="6650" width="14.453125" style="24" customWidth="1"/>
    <col min="6651" max="6651" width="7.26953125" style="24" customWidth="1"/>
    <col min="6652" max="6652" width="5.54296875" style="24" customWidth="1"/>
    <col min="6653" max="6653" width="9" style="24" customWidth="1"/>
    <col min="6654" max="6655" width="9.81640625" style="24" customWidth="1"/>
    <col min="6656" max="6656" width="11.1796875" style="24" customWidth="1"/>
    <col min="6657" max="6657" width="2.81640625" style="24" customWidth="1"/>
    <col min="6658" max="6658" width="3.54296875" style="24" customWidth="1"/>
    <col min="6659" max="6903" width="9.1796875" style="24"/>
    <col min="6904" max="6904" width="8.7265625" style="24" customWidth="1"/>
    <col min="6905" max="6905" width="9.81640625" style="24" customWidth="1"/>
    <col min="6906" max="6906" width="14.453125" style="24" customWidth="1"/>
    <col min="6907" max="6907" width="7.26953125" style="24" customWidth="1"/>
    <col min="6908" max="6908" width="5.54296875" style="24" customWidth="1"/>
    <col min="6909" max="6909" width="9" style="24" customWidth="1"/>
    <col min="6910" max="6911" width="9.81640625" style="24" customWidth="1"/>
    <col min="6912" max="6912" width="11.1796875" style="24" customWidth="1"/>
    <col min="6913" max="6913" width="2.81640625" style="24" customWidth="1"/>
    <col min="6914" max="6914" width="3.54296875" style="24" customWidth="1"/>
    <col min="6915" max="7159" width="9.1796875" style="24"/>
    <col min="7160" max="7160" width="8.7265625" style="24" customWidth="1"/>
    <col min="7161" max="7161" width="9.81640625" style="24" customWidth="1"/>
    <col min="7162" max="7162" width="14.453125" style="24" customWidth="1"/>
    <col min="7163" max="7163" width="7.26953125" style="24" customWidth="1"/>
    <col min="7164" max="7164" width="5.54296875" style="24" customWidth="1"/>
    <col min="7165" max="7165" width="9" style="24" customWidth="1"/>
    <col min="7166" max="7167" width="9.81640625" style="24" customWidth="1"/>
    <col min="7168" max="7168" width="11.1796875" style="24" customWidth="1"/>
    <col min="7169" max="7169" width="2.81640625" style="24" customWidth="1"/>
    <col min="7170" max="7170" width="3.54296875" style="24" customWidth="1"/>
    <col min="7171" max="7415" width="9.1796875" style="24"/>
    <col min="7416" max="7416" width="8.7265625" style="24" customWidth="1"/>
    <col min="7417" max="7417" width="9.81640625" style="24" customWidth="1"/>
    <col min="7418" max="7418" width="14.453125" style="24" customWidth="1"/>
    <col min="7419" max="7419" width="7.26953125" style="24" customWidth="1"/>
    <col min="7420" max="7420" width="5.54296875" style="24" customWidth="1"/>
    <col min="7421" max="7421" width="9" style="24" customWidth="1"/>
    <col min="7422" max="7423" width="9.81640625" style="24" customWidth="1"/>
    <col min="7424" max="7424" width="11.1796875" style="24" customWidth="1"/>
    <col min="7425" max="7425" width="2.81640625" style="24" customWidth="1"/>
    <col min="7426" max="7426" width="3.54296875" style="24" customWidth="1"/>
    <col min="7427" max="7671" width="9.1796875" style="24"/>
    <col min="7672" max="7672" width="8.7265625" style="24" customWidth="1"/>
    <col min="7673" max="7673" width="9.81640625" style="24" customWidth="1"/>
    <col min="7674" max="7674" width="14.453125" style="24" customWidth="1"/>
    <col min="7675" max="7675" width="7.26953125" style="24" customWidth="1"/>
    <col min="7676" max="7676" width="5.54296875" style="24" customWidth="1"/>
    <col min="7677" max="7677" width="9" style="24" customWidth="1"/>
    <col min="7678" max="7679" width="9.81640625" style="24" customWidth="1"/>
    <col min="7680" max="7680" width="11.1796875" style="24" customWidth="1"/>
    <col min="7681" max="7681" width="2.81640625" style="24" customWidth="1"/>
    <col min="7682" max="7682" width="3.54296875" style="24" customWidth="1"/>
    <col min="7683" max="7927" width="9.1796875" style="24"/>
    <col min="7928" max="7928" width="8.7265625" style="24" customWidth="1"/>
    <col min="7929" max="7929" width="9.81640625" style="24" customWidth="1"/>
    <col min="7930" max="7930" width="14.453125" style="24" customWidth="1"/>
    <col min="7931" max="7931" width="7.26953125" style="24" customWidth="1"/>
    <col min="7932" max="7932" width="5.54296875" style="24" customWidth="1"/>
    <col min="7933" max="7933" width="9" style="24" customWidth="1"/>
    <col min="7934" max="7935" width="9.81640625" style="24" customWidth="1"/>
    <col min="7936" max="7936" width="11.1796875" style="24" customWidth="1"/>
    <col min="7937" max="7937" width="2.81640625" style="24" customWidth="1"/>
    <col min="7938" max="7938" width="3.54296875" style="24" customWidth="1"/>
    <col min="7939" max="8183" width="9.1796875" style="24"/>
    <col min="8184" max="8184" width="8.7265625" style="24" customWidth="1"/>
    <col min="8185" max="8185" width="9.81640625" style="24" customWidth="1"/>
    <col min="8186" max="8186" width="14.453125" style="24" customWidth="1"/>
    <col min="8187" max="8187" width="7.26953125" style="24" customWidth="1"/>
    <col min="8188" max="8188" width="5.54296875" style="24" customWidth="1"/>
    <col min="8189" max="8189" width="9" style="24" customWidth="1"/>
    <col min="8190" max="8191" width="9.81640625" style="24" customWidth="1"/>
    <col min="8192" max="8192" width="11.1796875" style="24" customWidth="1"/>
    <col min="8193" max="8193" width="2.81640625" style="24" customWidth="1"/>
    <col min="8194" max="8194" width="3.54296875" style="24" customWidth="1"/>
    <col min="8195" max="8439" width="9.1796875" style="24"/>
    <col min="8440" max="8440" width="8.7265625" style="24" customWidth="1"/>
    <col min="8441" max="8441" width="9.81640625" style="24" customWidth="1"/>
    <col min="8442" max="8442" width="14.453125" style="24" customWidth="1"/>
    <col min="8443" max="8443" width="7.26953125" style="24" customWidth="1"/>
    <col min="8444" max="8444" width="5.54296875" style="24" customWidth="1"/>
    <col min="8445" max="8445" width="9" style="24" customWidth="1"/>
    <col min="8446" max="8447" width="9.81640625" style="24" customWidth="1"/>
    <col min="8448" max="8448" width="11.1796875" style="24" customWidth="1"/>
    <col min="8449" max="8449" width="2.81640625" style="24" customWidth="1"/>
    <col min="8450" max="8450" width="3.54296875" style="24" customWidth="1"/>
    <col min="8451" max="8695" width="9.1796875" style="24"/>
    <col min="8696" max="8696" width="8.7265625" style="24" customWidth="1"/>
    <col min="8697" max="8697" width="9.81640625" style="24" customWidth="1"/>
    <col min="8698" max="8698" width="14.453125" style="24" customWidth="1"/>
    <col min="8699" max="8699" width="7.26953125" style="24" customWidth="1"/>
    <col min="8700" max="8700" width="5.54296875" style="24" customWidth="1"/>
    <col min="8701" max="8701" width="9" style="24" customWidth="1"/>
    <col min="8702" max="8703" width="9.81640625" style="24" customWidth="1"/>
    <col min="8704" max="8704" width="11.1796875" style="24" customWidth="1"/>
    <col min="8705" max="8705" width="2.81640625" style="24" customWidth="1"/>
    <col min="8706" max="8706" width="3.54296875" style="24" customWidth="1"/>
    <col min="8707" max="8951" width="9.1796875" style="24"/>
    <col min="8952" max="8952" width="8.7265625" style="24" customWidth="1"/>
    <col min="8953" max="8953" width="9.81640625" style="24" customWidth="1"/>
    <col min="8954" max="8954" width="14.453125" style="24" customWidth="1"/>
    <col min="8955" max="8955" width="7.26953125" style="24" customWidth="1"/>
    <col min="8956" max="8956" width="5.54296875" style="24" customWidth="1"/>
    <col min="8957" max="8957" width="9" style="24" customWidth="1"/>
    <col min="8958" max="8959" width="9.81640625" style="24" customWidth="1"/>
    <col min="8960" max="8960" width="11.1796875" style="24" customWidth="1"/>
    <col min="8961" max="8961" width="2.81640625" style="24" customWidth="1"/>
    <col min="8962" max="8962" width="3.54296875" style="24" customWidth="1"/>
    <col min="8963" max="9207" width="9.1796875" style="24"/>
    <col min="9208" max="9208" width="8.7265625" style="24" customWidth="1"/>
    <col min="9209" max="9209" width="9.81640625" style="24" customWidth="1"/>
    <col min="9210" max="9210" width="14.453125" style="24" customWidth="1"/>
    <col min="9211" max="9211" width="7.26953125" style="24" customWidth="1"/>
    <col min="9212" max="9212" width="5.54296875" style="24" customWidth="1"/>
    <col min="9213" max="9213" width="9" style="24" customWidth="1"/>
    <col min="9214" max="9215" width="9.81640625" style="24" customWidth="1"/>
    <col min="9216" max="9216" width="11.1796875" style="24" customWidth="1"/>
    <col min="9217" max="9217" width="2.81640625" style="24" customWidth="1"/>
    <col min="9218" max="9218" width="3.54296875" style="24" customWidth="1"/>
    <col min="9219" max="9463" width="9.1796875" style="24"/>
    <col min="9464" max="9464" width="8.7265625" style="24" customWidth="1"/>
    <col min="9465" max="9465" width="9.81640625" style="24" customWidth="1"/>
    <col min="9466" max="9466" width="14.453125" style="24" customWidth="1"/>
    <col min="9467" max="9467" width="7.26953125" style="24" customWidth="1"/>
    <col min="9468" max="9468" width="5.54296875" style="24" customWidth="1"/>
    <col min="9469" max="9469" width="9" style="24" customWidth="1"/>
    <col min="9470" max="9471" width="9.81640625" style="24" customWidth="1"/>
    <col min="9472" max="9472" width="11.1796875" style="24" customWidth="1"/>
    <col min="9473" max="9473" width="2.81640625" style="24" customWidth="1"/>
    <col min="9474" max="9474" width="3.54296875" style="24" customWidth="1"/>
    <col min="9475" max="9719" width="9.1796875" style="24"/>
    <col min="9720" max="9720" width="8.7265625" style="24" customWidth="1"/>
    <col min="9721" max="9721" width="9.81640625" style="24" customWidth="1"/>
    <col min="9722" max="9722" width="14.453125" style="24" customWidth="1"/>
    <col min="9723" max="9723" width="7.26953125" style="24" customWidth="1"/>
    <col min="9724" max="9724" width="5.54296875" style="24" customWidth="1"/>
    <col min="9725" max="9725" width="9" style="24" customWidth="1"/>
    <col min="9726" max="9727" width="9.81640625" style="24" customWidth="1"/>
    <col min="9728" max="9728" width="11.1796875" style="24" customWidth="1"/>
    <col min="9729" max="9729" width="2.81640625" style="24" customWidth="1"/>
    <col min="9730" max="9730" width="3.54296875" style="24" customWidth="1"/>
    <col min="9731" max="9975" width="9.1796875" style="24"/>
    <col min="9976" max="9976" width="8.7265625" style="24" customWidth="1"/>
    <col min="9977" max="9977" width="9.81640625" style="24" customWidth="1"/>
    <col min="9978" max="9978" width="14.453125" style="24" customWidth="1"/>
    <col min="9979" max="9979" width="7.26953125" style="24" customWidth="1"/>
    <col min="9980" max="9980" width="5.54296875" style="24" customWidth="1"/>
    <col min="9981" max="9981" width="9" style="24" customWidth="1"/>
    <col min="9982" max="9983" width="9.81640625" style="24" customWidth="1"/>
    <col min="9984" max="9984" width="11.1796875" style="24" customWidth="1"/>
    <col min="9985" max="9985" width="2.81640625" style="24" customWidth="1"/>
    <col min="9986" max="9986" width="3.54296875" style="24" customWidth="1"/>
    <col min="9987" max="10231" width="9.1796875" style="24"/>
    <col min="10232" max="10232" width="8.7265625" style="24" customWidth="1"/>
    <col min="10233" max="10233" width="9.81640625" style="24" customWidth="1"/>
    <col min="10234" max="10234" width="14.453125" style="24" customWidth="1"/>
    <col min="10235" max="10235" width="7.26953125" style="24" customWidth="1"/>
    <col min="10236" max="10236" width="5.54296875" style="24" customWidth="1"/>
    <col min="10237" max="10237" width="9" style="24" customWidth="1"/>
    <col min="10238" max="10239" width="9.81640625" style="24" customWidth="1"/>
    <col min="10240" max="10240" width="11.1796875" style="24" customWidth="1"/>
    <col min="10241" max="10241" width="2.81640625" style="24" customWidth="1"/>
    <col min="10242" max="10242" width="3.54296875" style="24" customWidth="1"/>
    <col min="10243" max="10487" width="9.1796875" style="24"/>
    <col min="10488" max="10488" width="8.7265625" style="24" customWidth="1"/>
    <col min="10489" max="10489" width="9.81640625" style="24" customWidth="1"/>
    <col min="10490" max="10490" width="14.453125" style="24" customWidth="1"/>
    <col min="10491" max="10491" width="7.26953125" style="24" customWidth="1"/>
    <col min="10492" max="10492" width="5.54296875" style="24" customWidth="1"/>
    <col min="10493" max="10493" width="9" style="24" customWidth="1"/>
    <col min="10494" max="10495" width="9.81640625" style="24" customWidth="1"/>
    <col min="10496" max="10496" width="11.1796875" style="24" customWidth="1"/>
    <col min="10497" max="10497" width="2.81640625" style="24" customWidth="1"/>
    <col min="10498" max="10498" width="3.54296875" style="24" customWidth="1"/>
    <col min="10499" max="10743" width="9.1796875" style="24"/>
    <col min="10744" max="10744" width="8.7265625" style="24" customWidth="1"/>
    <col min="10745" max="10745" width="9.81640625" style="24" customWidth="1"/>
    <col min="10746" max="10746" width="14.453125" style="24" customWidth="1"/>
    <col min="10747" max="10747" width="7.26953125" style="24" customWidth="1"/>
    <col min="10748" max="10748" width="5.54296875" style="24" customWidth="1"/>
    <col min="10749" max="10749" width="9" style="24" customWidth="1"/>
    <col min="10750" max="10751" width="9.81640625" style="24" customWidth="1"/>
    <col min="10752" max="10752" width="11.1796875" style="24" customWidth="1"/>
    <col min="10753" max="10753" width="2.81640625" style="24" customWidth="1"/>
    <col min="10754" max="10754" width="3.54296875" style="24" customWidth="1"/>
    <col min="10755" max="10999" width="9.1796875" style="24"/>
    <col min="11000" max="11000" width="8.7265625" style="24" customWidth="1"/>
    <col min="11001" max="11001" width="9.81640625" style="24" customWidth="1"/>
    <col min="11002" max="11002" width="14.453125" style="24" customWidth="1"/>
    <col min="11003" max="11003" width="7.26953125" style="24" customWidth="1"/>
    <col min="11004" max="11004" width="5.54296875" style="24" customWidth="1"/>
    <col min="11005" max="11005" width="9" style="24" customWidth="1"/>
    <col min="11006" max="11007" width="9.81640625" style="24" customWidth="1"/>
    <col min="11008" max="11008" width="11.1796875" style="24" customWidth="1"/>
    <col min="11009" max="11009" width="2.81640625" style="24" customWidth="1"/>
    <col min="11010" max="11010" width="3.54296875" style="24" customWidth="1"/>
    <col min="11011" max="11255" width="9.1796875" style="24"/>
    <col min="11256" max="11256" width="8.7265625" style="24" customWidth="1"/>
    <col min="11257" max="11257" width="9.81640625" style="24" customWidth="1"/>
    <col min="11258" max="11258" width="14.453125" style="24" customWidth="1"/>
    <col min="11259" max="11259" width="7.26953125" style="24" customWidth="1"/>
    <col min="11260" max="11260" width="5.54296875" style="24" customWidth="1"/>
    <col min="11261" max="11261" width="9" style="24" customWidth="1"/>
    <col min="11262" max="11263" width="9.81640625" style="24" customWidth="1"/>
    <col min="11264" max="11264" width="11.1796875" style="24" customWidth="1"/>
    <col min="11265" max="11265" width="2.81640625" style="24" customWidth="1"/>
    <col min="11266" max="11266" width="3.54296875" style="24" customWidth="1"/>
    <col min="11267" max="11511" width="9.1796875" style="24"/>
    <col min="11512" max="11512" width="8.7265625" style="24" customWidth="1"/>
    <col min="11513" max="11513" width="9.81640625" style="24" customWidth="1"/>
    <col min="11514" max="11514" width="14.453125" style="24" customWidth="1"/>
    <col min="11515" max="11515" width="7.26953125" style="24" customWidth="1"/>
    <col min="11516" max="11516" width="5.54296875" style="24" customWidth="1"/>
    <col min="11517" max="11517" width="9" style="24" customWidth="1"/>
    <col min="11518" max="11519" width="9.81640625" style="24" customWidth="1"/>
    <col min="11520" max="11520" width="11.1796875" style="24" customWidth="1"/>
    <col min="11521" max="11521" width="2.81640625" style="24" customWidth="1"/>
    <col min="11522" max="11522" width="3.54296875" style="24" customWidth="1"/>
    <col min="11523" max="11767" width="9.1796875" style="24"/>
    <col min="11768" max="11768" width="8.7265625" style="24" customWidth="1"/>
    <col min="11769" max="11769" width="9.81640625" style="24" customWidth="1"/>
    <col min="11770" max="11770" width="14.453125" style="24" customWidth="1"/>
    <col min="11771" max="11771" width="7.26953125" style="24" customWidth="1"/>
    <col min="11772" max="11772" width="5.54296875" style="24" customWidth="1"/>
    <col min="11773" max="11773" width="9" style="24" customWidth="1"/>
    <col min="11774" max="11775" width="9.81640625" style="24" customWidth="1"/>
    <col min="11776" max="11776" width="11.1796875" style="24" customWidth="1"/>
    <col min="11777" max="11777" width="2.81640625" style="24" customWidth="1"/>
    <col min="11778" max="11778" width="3.54296875" style="24" customWidth="1"/>
    <col min="11779" max="12023" width="9.1796875" style="24"/>
    <col min="12024" max="12024" width="8.7265625" style="24" customWidth="1"/>
    <col min="12025" max="12025" width="9.81640625" style="24" customWidth="1"/>
    <col min="12026" max="12026" width="14.453125" style="24" customWidth="1"/>
    <col min="12027" max="12027" width="7.26953125" style="24" customWidth="1"/>
    <col min="12028" max="12028" width="5.54296875" style="24" customWidth="1"/>
    <col min="12029" max="12029" width="9" style="24" customWidth="1"/>
    <col min="12030" max="12031" width="9.81640625" style="24" customWidth="1"/>
    <col min="12032" max="12032" width="11.1796875" style="24" customWidth="1"/>
    <col min="12033" max="12033" width="2.81640625" style="24" customWidth="1"/>
    <col min="12034" max="12034" width="3.54296875" style="24" customWidth="1"/>
    <col min="12035" max="12279" width="9.1796875" style="24"/>
    <col min="12280" max="12280" width="8.7265625" style="24" customWidth="1"/>
    <col min="12281" max="12281" width="9.81640625" style="24" customWidth="1"/>
    <col min="12282" max="12282" width="14.453125" style="24" customWidth="1"/>
    <col min="12283" max="12283" width="7.26953125" style="24" customWidth="1"/>
    <col min="12284" max="12284" width="5.54296875" style="24" customWidth="1"/>
    <col min="12285" max="12285" width="9" style="24" customWidth="1"/>
    <col min="12286" max="12287" width="9.81640625" style="24" customWidth="1"/>
    <col min="12288" max="12288" width="11.1796875" style="24" customWidth="1"/>
    <col min="12289" max="12289" width="2.81640625" style="24" customWidth="1"/>
    <col min="12290" max="12290" width="3.54296875" style="24" customWidth="1"/>
    <col min="12291" max="12535" width="9.1796875" style="24"/>
    <col min="12536" max="12536" width="8.7265625" style="24" customWidth="1"/>
    <col min="12537" max="12537" width="9.81640625" style="24" customWidth="1"/>
    <col min="12538" max="12538" width="14.453125" style="24" customWidth="1"/>
    <col min="12539" max="12539" width="7.26953125" style="24" customWidth="1"/>
    <col min="12540" max="12540" width="5.54296875" style="24" customWidth="1"/>
    <col min="12541" max="12541" width="9" style="24" customWidth="1"/>
    <col min="12542" max="12543" width="9.81640625" style="24" customWidth="1"/>
    <col min="12544" max="12544" width="11.1796875" style="24" customWidth="1"/>
    <col min="12545" max="12545" width="2.81640625" style="24" customWidth="1"/>
    <col min="12546" max="12546" width="3.54296875" style="24" customWidth="1"/>
    <col min="12547" max="12791" width="9.1796875" style="24"/>
    <col min="12792" max="12792" width="8.7265625" style="24" customWidth="1"/>
    <col min="12793" max="12793" width="9.81640625" style="24" customWidth="1"/>
    <col min="12794" max="12794" width="14.453125" style="24" customWidth="1"/>
    <col min="12795" max="12795" width="7.26953125" style="24" customWidth="1"/>
    <col min="12796" max="12796" width="5.54296875" style="24" customWidth="1"/>
    <col min="12797" max="12797" width="9" style="24" customWidth="1"/>
    <col min="12798" max="12799" width="9.81640625" style="24" customWidth="1"/>
    <col min="12800" max="12800" width="11.1796875" style="24" customWidth="1"/>
    <col min="12801" max="12801" width="2.81640625" style="24" customWidth="1"/>
    <col min="12802" max="12802" width="3.54296875" style="24" customWidth="1"/>
    <col min="12803" max="13047" width="9.1796875" style="24"/>
    <col min="13048" max="13048" width="8.7265625" style="24" customWidth="1"/>
    <col min="13049" max="13049" width="9.81640625" style="24" customWidth="1"/>
    <col min="13050" max="13050" width="14.453125" style="24" customWidth="1"/>
    <col min="13051" max="13051" width="7.26953125" style="24" customWidth="1"/>
    <col min="13052" max="13052" width="5.54296875" style="24" customWidth="1"/>
    <col min="13053" max="13053" width="9" style="24" customWidth="1"/>
    <col min="13054" max="13055" width="9.81640625" style="24" customWidth="1"/>
    <col min="13056" max="13056" width="11.1796875" style="24" customWidth="1"/>
    <col min="13057" max="13057" width="2.81640625" style="24" customWidth="1"/>
    <col min="13058" max="13058" width="3.54296875" style="24" customWidth="1"/>
    <col min="13059" max="13303" width="9.1796875" style="24"/>
    <col min="13304" max="13304" width="8.7265625" style="24" customWidth="1"/>
    <col min="13305" max="13305" width="9.81640625" style="24" customWidth="1"/>
    <col min="13306" max="13306" width="14.453125" style="24" customWidth="1"/>
    <col min="13307" max="13307" width="7.26953125" style="24" customWidth="1"/>
    <col min="13308" max="13308" width="5.54296875" style="24" customWidth="1"/>
    <col min="13309" max="13309" width="9" style="24" customWidth="1"/>
    <col min="13310" max="13311" width="9.81640625" style="24" customWidth="1"/>
    <col min="13312" max="13312" width="11.1796875" style="24" customWidth="1"/>
    <col min="13313" max="13313" width="2.81640625" style="24" customWidth="1"/>
    <col min="13314" max="13314" width="3.54296875" style="24" customWidth="1"/>
    <col min="13315" max="13559" width="9.1796875" style="24"/>
    <col min="13560" max="13560" width="8.7265625" style="24" customWidth="1"/>
    <col min="13561" max="13561" width="9.81640625" style="24" customWidth="1"/>
    <col min="13562" max="13562" width="14.453125" style="24" customWidth="1"/>
    <col min="13563" max="13563" width="7.26953125" style="24" customWidth="1"/>
    <col min="13564" max="13564" width="5.54296875" style="24" customWidth="1"/>
    <col min="13565" max="13565" width="9" style="24" customWidth="1"/>
    <col min="13566" max="13567" width="9.81640625" style="24" customWidth="1"/>
    <col min="13568" max="13568" width="11.1796875" style="24" customWidth="1"/>
    <col min="13569" max="13569" width="2.81640625" style="24" customWidth="1"/>
    <col min="13570" max="13570" width="3.54296875" style="24" customWidth="1"/>
    <col min="13571" max="13815" width="9.1796875" style="24"/>
    <col min="13816" max="13816" width="8.7265625" style="24" customWidth="1"/>
    <col min="13817" max="13817" width="9.81640625" style="24" customWidth="1"/>
    <col min="13818" max="13818" width="14.453125" style="24" customWidth="1"/>
    <col min="13819" max="13819" width="7.26953125" style="24" customWidth="1"/>
    <col min="13820" max="13820" width="5.54296875" style="24" customWidth="1"/>
    <col min="13821" max="13821" width="9" style="24" customWidth="1"/>
    <col min="13822" max="13823" width="9.81640625" style="24" customWidth="1"/>
    <col min="13824" max="13824" width="11.1796875" style="24" customWidth="1"/>
    <col min="13825" max="13825" width="2.81640625" style="24" customWidth="1"/>
    <col min="13826" max="13826" width="3.54296875" style="24" customWidth="1"/>
    <col min="13827" max="14071" width="9.1796875" style="24"/>
    <col min="14072" max="14072" width="8.7265625" style="24" customWidth="1"/>
    <col min="14073" max="14073" width="9.81640625" style="24" customWidth="1"/>
    <col min="14074" max="14074" width="14.453125" style="24" customWidth="1"/>
    <col min="14075" max="14075" width="7.26953125" style="24" customWidth="1"/>
    <col min="14076" max="14076" width="5.54296875" style="24" customWidth="1"/>
    <col min="14077" max="14077" width="9" style="24" customWidth="1"/>
    <col min="14078" max="14079" width="9.81640625" style="24" customWidth="1"/>
    <col min="14080" max="14080" width="11.1796875" style="24" customWidth="1"/>
    <col min="14081" max="14081" width="2.81640625" style="24" customWidth="1"/>
    <col min="14082" max="14082" width="3.54296875" style="24" customWidth="1"/>
    <col min="14083" max="14327" width="9.1796875" style="24"/>
    <col min="14328" max="14328" width="8.7265625" style="24" customWidth="1"/>
    <col min="14329" max="14329" width="9.81640625" style="24" customWidth="1"/>
    <col min="14330" max="14330" width="14.453125" style="24" customWidth="1"/>
    <col min="14331" max="14331" width="7.26953125" style="24" customWidth="1"/>
    <col min="14332" max="14332" width="5.54296875" style="24" customWidth="1"/>
    <col min="14333" max="14333" width="9" style="24" customWidth="1"/>
    <col min="14334" max="14335" width="9.81640625" style="24" customWidth="1"/>
    <col min="14336" max="14336" width="11.1796875" style="24" customWidth="1"/>
    <col min="14337" max="14337" width="2.81640625" style="24" customWidth="1"/>
    <col min="14338" max="14338" width="3.54296875" style="24" customWidth="1"/>
    <col min="14339" max="14583" width="9.1796875" style="24"/>
    <col min="14584" max="14584" width="8.7265625" style="24" customWidth="1"/>
    <col min="14585" max="14585" width="9.81640625" style="24" customWidth="1"/>
    <col min="14586" max="14586" width="14.453125" style="24" customWidth="1"/>
    <col min="14587" max="14587" width="7.26953125" style="24" customWidth="1"/>
    <col min="14588" max="14588" width="5.54296875" style="24" customWidth="1"/>
    <col min="14589" max="14589" width="9" style="24" customWidth="1"/>
    <col min="14590" max="14591" width="9.81640625" style="24" customWidth="1"/>
    <col min="14592" max="14592" width="11.1796875" style="24" customWidth="1"/>
    <col min="14593" max="14593" width="2.81640625" style="24" customWidth="1"/>
    <col min="14594" max="14594" width="3.54296875" style="24" customWidth="1"/>
    <col min="14595" max="14839" width="9.1796875" style="24"/>
    <col min="14840" max="14840" width="8.7265625" style="24" customWidth="1"/>
    <col min="14841" max="14841" width="9.81640625" style="24" customWidth="1"/>
    <col min="14842" max="14842" width="14.453125" style="24" customWidth="1"/>
    <col min="14843" max="14843" width="7.26953125" style="24" customWidth="1"/>
    <col min="14844" max="14844" width="5.54296875" style="24" customWidth="1"/>
    <col min="14845" max="14845" width="9" style="24" customWidth="1"/>
    <col min="14846" max="14847" width="9.81640625" style="24" customWidth="1"/>
    <col min="14848" max="14848" width="11.1796875" style="24" customWidth="1"/>
    <col min="14849" max="14849" width="2.81640625" style="24" customWidth="1"/>
    <col min="14850" max="14850" width="3.54296875" style="24" customWidth="1"/>
    <col min="14851" max="15095" width="9.1796875" style="24"/>
    <col min="15096" max="15096" width="8.7265625" style="24" customWidth="1"/>
    <col min="15097" max="15097" width="9.81640625" style="24" customWidth="1"/>
    <col min="15098" max="15098" width="14.453125" style="24" customWidth="1"/>
    <col min="15099" max="15099" width="7.26953125" style="24" customWidth="1"/>
    <col min="15100" max="15100" width="5.54296875" style="24" customWidth="1"/>
    <col min="15101" max="15101" width="9" style="24" customWidth="1"/>
    <col min="15102" max="15103" width="9.81640625" style="24" customWidth="1"/>
    <col min="15104" max="15104" width="11.1796875" style="24" customWidth="1"/>
    <col min="15105" max="15105" width="2.81640625" style="24" customWidth="1"/>
    <col min="15106" max="15106" width="3.54296875" style="24" customWidth="1"/>
    <col min="15107" max="15351" width="9.1796875" style="24"/>
    <col min="15352" max="15352" width="8.7265625" style="24" customWidth="1"/>
    <col min="15353" max="15353" width="9.81640625" style="24" customWidth="1"/>
    <col min="15354" max="15354" width="14.453125" style="24" customWidth="1"/>
    <col min="15355" max="15355" width="7.26953125" style="24" customWidth="1"/>
    <col min="15356" max="15356" width="5.54296875" style="24" customWidth="1"/>
    <col min="15357" max="15357" width="9" style="24" customWidth="1"/>
    <col min="15358" max="15359" width="9.81640625" style="24" customWidth="1"/>
    <col min="15360" max="15360" width="11.1796875" style="24" customWidth="1"/>
    <col min="15361" max="15361" width="2.81640625" style="24" customWidth="1"/>
    <col min="15362" max="15362" width="3.54296875" style="24" customWidth="1"/>
    <col min="15363" max="15607" width="9.1796875" style="24"/>
    <col min="15608" max="15608" width="8.7265625" style="24" customWidth="1"/>
    <col min="15609" max="15609" width="9.81640625" style="24" customWidth="1"/>
    <col min="15610" max="15610" width="14.453125" style="24" customWidth="1"/>
    <col min="15611" max="15611" width="7.26953125" style="24" customWidth="1"/>
    <col min="15612" max="15612" width="5.54296875" style="24" customWidth="1"/>
    <col min="15613" max="15613" width="9" style="24" customWidth="1"/>
    <col min="15614" max="15615" width="9.81640625" style="24" customWidth="1"/>
    <col min="15616" max="15616" width="11.1796875" style="24" customWidth="1"/>
    <col min="15617" max="15617" width="2.81640625" style="24" customWidth="1"/>
    <col min="15618" max="15618" width="3.54296875" style="24" customWidth="1"/>
    <col min="15619" max="15863" width="9.1796875" style="24"/>
    <col min="15864" max="15864" width="8.7265625" style="24" customWidth="1"/>
    <col min="15865" max="15865" width="9.81640625" style="24" customWidth="1"/>
    <col min="15866" max="15866" width="14.453125" style="24" customWidth="1"/>
    <col min="15867" max="15867" width="7.26953125" style="24" customWidth="1"/>
    <col min="15868" max="15868" width="5.54296875" style="24" customWidth="1"/>
    <col min="15869" max="15869" width="9" style="24" customWidth="1"/>
    <col min="15870" max="15871" width="9.81640625" style="24" customWidth="1"/>
    <col min="15872" max="15872" width="11.1796875" style="24" customWidth="1"/>
    <col min="15873" max="15873" width="2.81640625" style="24" customWidth="1"/>
    <col min="15874" max="15874" width="3.54296875" style="24" customWidth="1"/>
    <col min="15875" max="16119" width="9.1796875" style="24"/>
    <col min="16120" max="16120" width="8.7265625" style="24" customWidth="1"/>
    <col min="16121" max="16121" width="9.81640625" style="24" customWidth="1"/>
    <col min="16122" max="16122" width="14.453125" style="24" customWidth="1"/>
    <col min="16123" max="16123" width="7.26953125" style="24" customWidth="1"/>
    <col min="16124" max="16124" width="5.54296875" style="24" customWidth="1"/>
    <col min="16125" max="16125" width="9" style="24" customWidth="1"/>
    <col min="16126" max="16127" width="9.81640625" style="24" customWidth="1"/>
    <col min="16128" max="16128" width="11.1796875" style="24" customWidth="1"/>
    <col min="16129" max="16129" width="2.81640625" style="24" customWidth="1"/>
    <col min="16130" max="16130" width="3.54296875" style="24" customWidth="1"/>
    <col min="16131" max="16384" width="9.1796875" style="24"/>
  </cols>
  <sheetData>
    <row r="1" spans="1:26" ht="46.5" customHeight="1">
      <c r="A1" s="67" t="s">
        <v>0</v>
      </c>
      <c r="B1" s="67"/>
      <c r="C1" s="67"/>
      <c r="D1" s="67"/>
      <c r="E1" s="67"/>
      <c r="F1" s="67"/>
      <c r="G1" s="67"/>
      <c r="H1" s="67"/>
    </row>
    <row r="2" spans="1:26" ht="16.5" customHeight="1">
      <c r="A2" s="68" t="s">
        <v>1</v>
      </c>
      <c r="B2" s="68"/>
      <c r="C2" s="68"/>
      <c r="D2" s="68"/>
      <c r="E2" s="68"/>
      <c r="F2" s="68"/>
      <c r="G2" s="68"/>
      <c r="H2" s="68"/>
    </row>
    <row r="3" spans="1:26">
      <c r="A3" s="69" t="s">
        <v>2</v>
      </c>
      <c r="B3" s="69"/>
      <c r="C3" s="69"/>
      <c r="D3" s="69"/>
      <c r="E3" s="69" t="str">
        <f ca="1">TEXT(TODAY(),"DD/MM/YYYY")</f>
        <v>12/08/2025</v>
      </c>
      <c r="F3" s="69"/>
      <c r="G3" s="69"/>
      <c r="H3" s="69"/>
    </row>
    <row r="4" spans="1:26" ht="15" customHeight="1">
      <c r="A4" s="69" t="s">
        <v>3</v>
      </c>
      <c r="B4" s="69"/>
      <c r="C4" s="69"/>
      <c r="D4" s="69"/>
      <c r="E4" s="69" t="s">
        <v>4</v>
      </c>
      <c r="F4" s="69"/>
      <c r="G4" s="69"/>
      <c r="H4" s="69"/>
    </row>
    <row r="5" spans="1:26">
      <c r="A5" s="69" t="s">
        <v>5</v>
      </c>
      <c r="B5" s="69"/>
      <c r="C5" s="69"/>
      <c r="D5" s="69"/>
      <c r="E5" s="70">
        <v>45880</v>
      </c>
      <c r="F5" s="69"/>
      <c r="G5" s="69"/>
      <c r="H5" s="69"/>
    </row>
    <row r="6" spans="1:26" ht="16.5" customHeight="1">
      <c r="A6" s="69" t="s">
        <v>6</v>
      </c>
      <c r="B6" s="69"/>
      <c r="C6" s="69"/>
      <c r="D6" s="69"/>
      <c r="E6" s="71" t="s">
        <v>7</v>
      </c>
      <c r="F6" s="69"/>
      <c r="G6" s="69"/>
      <c r="H6" s="69"/>
    </row>
    <row r="7" spans="1:26" ht="15" customHeight="1">
      <c r="A7" s="69" t="s">
        <v>8</v>
      </c>
      <c r="B7" s="69"/>
      <c r="C7" s="69"/>
      <c r="D7" s="69"/>
      <c r="E7" s="69" t="str">
        <f>E6</f>
        <v>Chariot Properties LLP</v>
      </c>
      <c r="F7" s="69"/>
      <c r="G7" s="69"/>
      <c r="H7" s="69"/>
    </row>
    <row r="8" spans="1:26">
      <c r="A8" s="69" t="s">
        <v>9</v>
      </c>
      <c r="B8" s="69"/>
      <c r="C8" s="69"/>
      <c r="D8" s="69"/>
      <c r="E8" s="72" t="s">
        <v>10</v>
      </c>
      <c r="F8" s="73"/>
      <c r="G8" s="73"/>
      <c r="H8" s="73"/>
    </row>
    <row r="9" spans="1:26">
      <c r="A9" s="69" t="s">
        <v>11</v>
      </c>
      <c r="B9" s="69"/>
      <c r="C9" s="69"/>
      <c r="D9" s="69"/>
      <c r="E9" s="74" t="s">
        <v>12</v>
      </c>
      <c r="F9" s="74"/>
      <c r="G9" s="74"/>
      <c r="H9" s="74"/>
    </row>
    <row r="10" spans="1:26">
      <c r="A10" s="69" t="s">
        <v>13</v>
      </c>
      <c r="B10" s="69"/>
      <c r="C10" s="69"/>
      <c r="D10" s="69"/>
      <c r="E10" s="69" t="s">
        <v>297</v>
      </c>
      <c r="F10" s="69"/>
      <c r="G10" s="69"/>
      <c r="H10" s="69"/>
    </row>
    <row r="11" spans="1:26" ht="66.75" customHeight="1">
      <c r="A11" s="69" t="s">
        <v>14</v>
      </c>
      <c r="B11" s="69"/>
      <c r="C11" s="69"/>
      <c r="D11" s="69"/>
      <c r="E11" s="71" t="s">
        <v>15</v>
      </c>
      <c r="F11" s="69"/>
      <c r="G11" s="69"/>
      <c r="H11" s="69"/>
    </row>
    <row r="12" spans="1:26">
      <c r="A12" s="69" t="s">
        <v>16</v>
      </c>
      <c r="B12" s="69"/>
      <c r="C12" s="69"/>
      <c r="D12" s="69"/>
      <c r="E12" s="69" t="s">
        <v>17</v>
      </c>
      <c r="F12" s="69"/>
      <c r="G12" s="69"/>
      <c r="H12" s="69"/>
      <c r="S12" s="2" t="s">
        <v>18</v>
      </c>
      <c r="T12" s="2" t="s">
        <v>19</v>
      </c>
      <c r="U12" s="2" t="s">
        <v>20</v>
      </c>
      <c r="V12" s="2" t="s">
        <v>21</v>
      </c>
      <c r="W12" s="2" t="s">
        <v>22</v>
      </c>
      <c r="X12"/>
      <c r="Y12" t="s">
        <v>21</v>
      </c>
      <c r="Z12" t="e">
        <f ca="1">OFFSET($S$12,1,MATCH($G19,$S$12:$W$12,0)-1,15,1)</f>
        <v>#VALUE!</v>
      </c>
    </row>
    <row r="13" spans="1:26">
      <c r="A13" s="75" t="s">
        <v>23</v>
      </c>
      <c r="B13" s="75"/>
      <c r="C13" s="75"/>
      <c r="D13" s="75"/>
      <c r="E13" s="76" t="s">
        <v>24</v>
      </c>
      <c r="F13" s="76"/>
      <c r="G13" s="76"/>
      <c r="H13" s="76"/>
      <c r="S13" s="2" t="s">
        <v>25</v>
      </c>
      <c r="T13" s="2" t="s">
        <v>26</v>
      </c>
      <c r="U13" s="2" t="s">
        <v>27</v>
      </c>
      <c r="V13" s="2" t="s">
        <v>28</v>
      </c>
      <c r="W13" s="2" t="s">
        <v>29</v>
      </c>
      <c r="X13"/>
      <c r="Y13"/>
      <c r="Z13"/>
    </row>
    <row r="14" spans="1:26">
      <c r="A14" s="75" t="s">
        <v>30</v>
      </c>
      <c r="B14" s="75"/>
      <c r="C14" s="75"/>
      <c r="D14" s="75"/>
      <c r="E14" s="71" t="s">
        <v>298</v>
      </c>
      <c r="F14" s="69"/>
      <c r="G14" s="69"/>
      <c r="H14" s="69"/>
      <c r="I14" s="77" t="e">
        <f ca="1">OFFSET($D$4,1,MATCH($J12,$D$4:$H$4,0)-1,15,1)</f>
        <v>#N/A</v>
      </c>
      <c r="J14" s="78"/>
      <c r="K14" s="78"/>
      <c r="L14" s="78"/>
      <c r="M14" s="78"/>
      <c r="N14" s="78"/>
      <c r="O14" s="78"/>
      <c r="P14" s="78"/>
      <c r="S14" s="2" t="s">
        <v>31</v>
      </c>
      <c r="T14" s="2" t="s">
        <v>32</v>
      </c>
      <c r="U14" s="2" t="s">
        <v>33</v>
      </c>
      <c r="V14" s="2" t="s">
        <v>34</v>
      </c>
      <c r="W14" s="2" t="s">
        <v>35</v>
      </c>
      <c r="X14"/>
      <c r="Y14"/>
      <c r="Z14"/>
    </row>
    <row r="15" spans="1:26" ht="35.25" customHeight="1">
      <c r="A15" s="79" t="s">
        <v>36</v>
      </c>
      <c r="B15" s="79"/>
      <c r="C15" s="7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Sai Suncity Phase 3, Survey No.33(PT), 61(PT), 62/1(PT), near Arihant Anshula Taloja, Internal Road, Ghot, Ghot, Taloja East, Panvel, Raigad - 410208.</v>
      </c>
      <c r="D15" s="79"/>
      <c r="E15" s="79"/>
      <c r="F15" s="79"/>
      <c r="G15" s="79"/>
      <c r="H15" s="79"/>
      <c r="S15" s="2" t="s">
        <v>37</v>
      </c>
      <c r="T15" s="2" t="s">
        <v>38</v>
      </c>
      <c r="U15" s="2" t="s">
        <v>39</v>
      </c>
      <c r="V15" s="2" t="s">
        <v>40</v>
      </c>
      <c r="W15" s="2" t="s">
        <v>41</v>
      </c>
      <c r="X15"/>
      <c r="Y15"/>
      <c r="Z15"/>
    </row>
    <row r="16" spans="1:26">
      <c r="A16" s="71" t="s">
        <v>42</v>
      </c>
      <c r="B16" s="71"/>
      <c r="C16" s="71" t="s">
        <v>43</v>
      </c>
      <c r="D16" s="71"/>
      <c r="E16" s="71"/>
      <c r="F16" s="71"/>
      <c r="G16" s="71"/>
      <c r="H16" s="71"/>
      <c r="S16" s="2" t="s">
        <v>44</v>
      </c>
      <c r="T16" s="2" t="s">
        <v>45</v>
      </c>
      <c r="U16" s="2"/>
      <c r="V16" s="2" t="s">
        <v>46</v>
      </c>
      <c r="W16" s="2" t="s">
        <v>47</v>
      </c>
      <c r="X16"/>
      <c r="Y16"/>
      <c r="Z16"/>
    </row>
    <row r="17" spans="1:26" ht="15.75" customHeight="1">
      <c r="A17" s="71" t="s">
        <v>48</v>
      </c>
      <c r="B17" s="71"/>
      <c r="C17" s="71" t="s">
        <v>49</v>
      </c>
      <c r="D17" s="71"/>
      <c r="E17" s="71"/>
      <c r="F17" s="71"/>
      <c r="G17" s="71"/>
      <c r="H17" s="71"/>
      <c r="S17" s="2" t="s">
        <v>50</v>
      </c>
      <c r="T17" s="2" t="s">
        <v>19</v>
      </c>
      <c r="U17" s="2"/>
      <c r="V17" s="2" t="s">
        <v>51</v>
      </c>
      <c r="W17" s="2" t="s">
        <v>52</v>
      </c>
      <c r="X17"/>
      <c r="Y17"/>
      <c r="Z17"/>
    </row>
    <row r="18" spans="1:26" ht="15.75" customHeight="1">
      <c r="A18" s="79" t="s">
        <v>53</v>
      </c>
      <c r="B18" s="79"/>
      <c r="C18" s="69" t="s">
        <v>54</v>
      </c>
      <c r="D18" s="69"/>
      <c r="E18" s="71" t="s">
        <v>55</v>
      </c>
      <c r="F18" s="71"/>
      <c r="G18" s="71" t="s">
        <v>49</v>
      </c>
      <c r="H18" s="71"/>
      <c r="S18" s="2" t="s">
        <v>56</v>
      </c>
      <c r="T18" s="2" t="s">
        <v>57</v>
      </c>
      <c r="U18" s="2"/>
      <c r="V18" s="2" t="s">
        <v>58</v>
      </c>
      <c r="W18" s="2" t="s">
        <v>59</v>
      </c>
      <c r="X18"/>
      <c r="Y18"/>
      <c r="Z18"/>
    </row>
    <row r="19" spans="1:26">
      <c r="A19" s="75" t="s">
        <v>60</v>
      </c>
      <c r="B19" s="75"/>
      <c r="C19" s="71" t="s">
        <v>61</v>
      </c>
      <c r="D19" s="71"/>
      <c r="E19" s="71" t="s">
        <v>62</v>
      </c>
      <c r="F19" s="71"/>
      <c r="G19" s="80" t="s">
        <v>21</v>
      </c>
      <c r="H19" s="80"/>
      <c r="S19" s="2" t="s">
        <v>63</v>
      </c>
      <c r="T19" s="2" t="s">
        <v>64</v>
      </c>
      <c r="U19" s="2"/>
      <c r="V19" s="2" t="s">
        <v>65</v>
      </c>
      <c r="W19" s="2" t="s">
        <v>66</v>
      </c>
      <c r="X19"/>
      <c r="Y19"/>
      <c r="Z19"/>
    </row>
    <row r="20" spans="1:26">
      <c r="A20" s="75" t="s">
        <v>67</v>
      </c>
      <c r="B20" s="75"/>
      <c r="C20" s="71" t="s">
        <v>34</v>
      </c>
      <c r="D20" s="71"/>
      <c r="E20" s="71" t="s">
        <v>68</v>
      </c>
      <c r="F20" s="71"/>
      <c r="G20" s="71">
        <v>410208</v>
      </c>
      <c r="H20" s="71"/>
      <c r="S20" s="2"/>
      <c r="T20" s="2"/>
      <c r="U20" s="2"/>
      <c r="V20" s="2" t="s">
        <v>69</v>
      </c>
      <c r="W20" s="2" t="s">
        <v>70</v>
      </c>
      <c r="X20"/>
      <c r="Y20"/>
      <c r="Z20"/>
    </row>
    <row r="21" spans="1:26" ht="33" customHeight="1">
      <c r="A21" s="75" t="s">
        <v>71</v>
      </c>
      <c r="B21" s="75"/>
      <c r="C21" s="71" t="s">
        <v>72</v>
      </c>
      <c r="D21" s="71"/>
      <c r="E21" s="71" t="s">
        <v>73</v>
      </c>
      <c r="F21" s="71"/>
      <c r="G21" s="71" t="s">
        <v>74</v>
      </c>
      <c r="H21" s="71"/>
      <c r="S21" s="2"/>
      <c r="T21" s="2"/>
      <c r="U21" s="2"/>
      <c r="V21" s="2" t="s">
        <v>75</v>
      </c>
      <c r="W21" s="2" t="s">
        <v>76</v>
      </c>
      <c r="X21"/>
      <c r="Y21"/>
      <c r="Z21"/>
    </row>
    <row r="22" spans="1:26" ht="15" customHeight="1">
      <c r="A22" s="79" t="s">
        <v>77</v>
      </c>
      <c r="B22" s="79"/>
      <c r="C22" s="79"/>
      <c r="D22" s="79"/>
      <c r="E22" s="69" t="s">
        <v>78</v>
      </c>
      <c r="F22" s="69"/>
      <c r="G22" s="69"/>
      <c r="H22" s="69"/>
      <c r="S22" s="2"/>
      <c r="T22" s="2"/>
      <c r="U22" s="2"/>
      <c r="V22" s="2" t="s">
        <v>79</v>
      </c>
      <c r="W22" s="2" t="s">
        <v>80</v>
      </c>
      <c r="X22"/>
      <c r="Y22"/>
      <c r="Z22"/>
    </row>
    <row r="23" spans="1:26" ht="18.75" customHeight="1">
      <c r="A23" s="79"/>
      <c r="B23" s="79"/>
      <c r="C23" s="79"/>
      <c r="D23" s="79"/>
      <c r="E23" s="69"/>
      <c r="F23" s="69"/>
      <c r="G23" s="69"/>
      <c r="H23" s="69"/>
      <c r="S23" s="2"/>
      <c r="T23" s="2"/>
      <c r="U23" s="2"/>
      <c r="V23" s="2" t="s">
        <v>81</v>
      </c>
      <c r="W23" s="2" t="s">
        <v>82</v>
      </c>
      <c r="X23"/>
      <c r="Y23"/>
      <c r="Z23"/>
    </row>
    <row r="24" spans="1:26" ht="15" customHeight="1">
      <c r="A24" s="79" t="s">
        <v>83</v>
      </c>
      <c r="B24" s="79"/>
      <c r="C24" s="79"/>
      <c r="D24" s="79"/>
      <c r="E24" s="71" t="s">
        <v>84</v>
      </c>
      <c r="F24" s="71"/>
      <c r="G24" s="71"/>
      <c r="H24" s="71"/>
      <c r="S24" s="2"/>
      <c r="T24" s="2"/>
      <c r="U24" s="2"/>
      <c r="V24" s="2" t="s">
        <v>85</v>
      </c>
      <c r="W24" s="2" t="s">
        <v>86</v>
      </c>
      <c r="X24"/>
      <c r="Y24"/>
      <c r="Z24"/>
    </row>
    <row r="25" spans="1:26" ht="15" customHeight="1">
      <c r="A25" s="75" t="s">
        <v>87</v>
      </c>
      <c r="B25" s="75"/>
      <c r="C25" s="75"/>
      <c r="D25" s="75"/>
      <c r="E25" s="71" t="str">
        <f>IF(AND(G19="Mumbai"),"Upper Class","Middle Class")</f>
        <v>Middle Class</v>
      </c>
      <c r="F25" s="71"/>
      <c r="G25" s="71"/>
      <c r="H25" s="71"/>
      <c r="S25" s="2"/>
      <c r="T25" s="2"/>
      <c r="U25" s="2"/>
      <c r="V25" s="2" t="s">
        <v>88</v>
      </c>
      <c r="W25" s="2" t="s">
        <v>89</v>
      </c>
      <c r="X25"/>
      <c r="Y25"/>
      <c r="Z25"/>
    </row>
    <row r="26" spans="1:26">
      <c r="A26" s="75" t="s">
        <v>90</v>
      </c>
      <c r="B26" s="75"/>
      <c r="C26" s="75"/>
      <c r="D26" s="75"/>
      <c r="E26" s="71" t="s">
        <v>91</v>
      </c>
      <c r="F26" s="71"/>
      <c r="G26" s="71"/>
      <c r="H26" s="71"/>
      <c r="S26" s="2"/>
      <c r="T26" s="2"/>
      <c r="U26" s="2"/>
      <c r="V26" s="2" t="s">
        <v>92</v>
      </c>
      <c r="W26" s="2" t="s">
        <v>93</v>
      </c>
      <c r="X26"/>
      <c r="Y26"/>
      <c r="Z26"/>
    </row>
    <row r="27" spans="1:26" ht="15.75" customHeight="1">
      <c r="A27" s="75" t="s">
        <v>94</v>
      </c>
      <c r="B27" s="75"/>
      <c r="C27" s="75"/>
      <c r="D27" s="75"/>
      <c r="E27" s="71" t="str">
        <f>IF(AND(G19="Mumbai"),"Developed","Developing")</f>
        <v>Developing</v>
      </c>
      <c r="F27" s="71"/>
      <c r="G27" s="71"/>
      <c r="H27" s="71"/>
    </row>
    <row r="28" spans="1:26">
      <c r="A28" s="75" t="s">
        <v>95</v>
      </c>
      <c r="B28" s="75"/>
      <c r="C28" s="75"/>
      <c r="D28" s="75"/>
      <c r="E28" s="71" t="s">
        <v>96</v>
      </c>
      <c r="F28" s="71"/>
      <c r="G28" s="71"/>
      <c r="H28" s="71"/>
    </row>
    <row r="29" spans="1:26" ht="15.75" customHeight="1">
      <c r="A29" s="75" t="s">
        <v>97</v>
      </c>
      <c r="B29" s="75"/>
      <c r="C29" s="75"/>
      <c r="D29" s="75"/>
      <c r="E29" s="71" t="s">
        <v>98</v>
      </c>
      <c r="F29" s="71"/>
      <c r="G29" s="71"/>
      <c r="H29" s="71"/>
    </row>
    <row r="30" spans="1:26" ht="15" customHeight="1">
      <c r="A30" s="75" t="s">
        <v>99</v>
      </c>
      <c r="B30" s="75"/>
      <c r="C30" s="75"/>
      <c r="D30" s="75"/>
      <c r="E30" s="7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</v>
      </c>
      <c r="F30" s="71"/>
      <c r="G30" s="71"/>
      <c r="H30" s="71"/>
    </row>
    <row r="31" spans="1:26" ht="15.75" customHeight="1">
      <c r="A31" s="75" t="s">
        <v>100</v>
      </c>
      <c r="B31" s="75"/>
      <c r="C31" s="75"/>
      <c r="D31" s="75"/>
      <c r="E31" s="71" t="s">
        <v>101</v>
      </c>
      <c r="F31" s="71"/>
      <c r="G31" s="71"/>
      <c r="H31" s="71"/>
    </row>
    <row r="32" spans="1:26" s="15" customFormat="1">
      <c r="A32" s="81" t="s">
        <v>102</v>
      </c>
      <c r="B32" s="81"/>
      <c r="C32" s="82" t="s">
        <v>103</v>
      </c>
      <c r="D32" s="82"/>
      <c r="E32" s="82"/>
      <c r="F32" s="82" t="s">
        <v>104</v>
      </c>
      <c r="G32" s="82"/>
      <c r="H32" s="82"/>
    </row>
    <row r="33" spans="1:9" s="15" customFormat="1">
      <c r="A33" s="83" t="s">
        <v>105</v>
      </c>
      <c r="B33" s="83" t="s">
        <v>17</v>
      </c>
      <c r="C33" s="84" t="s">
        <v>106</v>
      </c>
      <c r="D33" s="84"/>
      <c r="E33" s="84"/>
      <c r="F33" s="84" t="s">
        <v>107</v>
      </c>
      <c r="G33" s="84"/>
      <c r="H33" s="84"/>
    </row>
    <row r="34" spans="1:9">
      <c r="A34" s="83" t="s">
        <v>108</v>
      </c>
      <c r="B34" s="83" t="s">
        <v>17</v>
      </c>
      <c r="C34" s="84" t="s">
        <v>109</v>
      </c>
      <c r="D34" s="84"/>
      <c r="E34" s="84"/>
      <c r="F34" s="84" t="s">
        <v>54</v>
      </c>
      <c r="G34" s="84"/>
      <c r="H34" s="84"/>
    </row>
    <row r="35" spans="1:9" s="15" customFormat="1">
      <c r="A35" s="83" t="s">
        <v>110</v>
      </c>
      <c r="B35" s="83" t="s">
        <v>17</v>
      </c>
      <c r="C35" s="84" t="s">
        <v>111</v>
      </c>
      <c r="D35" s="84"/>
      <c r="E35" s="84"/>
      <c r="F35" s="84" t="s">
        <v>107</v>
      </c>
      <c r="G35" s="84"/>
      <c r="H35" s="84"/>
    </row>
    <row r="36" spans="1:9">
      <c r="A36" s="83" t="s">
        <v>112</v>
      </c>
      <c r="B36" s="83" t="s">
        <v>17</v>
      </c>
      <c r="C36" s="84" t="s">
        <v>113</v>
      </c>
      <c r="D36" s="84"/>
      <c r="E36" s="84"/>
      <c r="F36" s="84" t="s">
        <v>72</v>
      </c>
      <c r="G36" s="84"/>
      <c r="H36" s="84"/>
    </row>
    <row r="37" spans="1:9">
      <c r="A37" s="75" t="s">
        <v>114</v>
      </c>
      <c r="B37" s="75"/>
      <c r="C37" s="75"/>
      <c r="D37" s="75"/>
      <c r="E37" s="75"/>
      <c r="F37" s="75"/>
      <c r="G37" s="75"/>
      <c r="H37" s="75"/>
    </row>
    <row r="38" spans="1:9" ht="15.75" customHeight="1">
      <c r="A38" s="85" t="s">
        <v>115</v>
      </c>
      <c r="B38" s="85"/>
      <c r="C38" s="79" t="s">
        <v>116</v>
      </c>
      <c r="D38" s="75"/>
      <c r="E38" s="75"/>
      <c r="F38" s="75"/>
      <c r="G38" s="75"/>
      <c r="H38" s="75"/>
    </row>
    <row r="39" spans="1:9">
      <c r="A39" s="85" t="s">
        <v>117</v>
      </c>
      <c r="B39" s="85"/>
      <c r="C39" s="86" t="s">
        <v>118</v>
      </c>
      <c r="D39" s="71"/>
      <c r="E39" s="71"/>
      <c r="F39" s="71"/>
      <c r="G39" s="71"/>
      <c r="H39" s="71"/>
    </row>
    <row r="40" spans="1:9">
      <c r="A40" s="85" t="s">
        <v>119</v>
      </c>
      <c r="B40" s="85"/>
      <c r="C40" s="85"/>
      <c r="D40" s="85"/>
      <c r="E40" s="85"/>
      <c r="F40" s="85"/>
      <c r="G40" s="85"/>
      <c r="H40" s="85"/>
    </row>
    <row r="41" spans="1:9">
      <c r="A41" s="75" t="s">
        <v>120</v>
      </c>
      <c r="B41" s="75"/>
      <c r="C41" s="75"/>
      <c r="D41" s="75"/>
      <c r="E41" s="87">
        <v>83672.2</v>
      </c>
      <c r="F41" s="87"/>
      <c r="G41" s="87"/>
      <c r="H41" s="87"/>
    </row>
    <row r="42" spans="1:9">
      <c r="A42" s="75" t="s">
        <v>121</v>
      </c>
      <c r="B42" s="75"/>
      <c r="C42" s="75"/>
      <c r="D42" s="75"/>
      <c r="E42" s="88">
        <v>1.1000000000000001</v>
      </c>
      <c r="F42" s="88"/>
      <c r="G42" s="88"/>
      <c r="H42" s="88"/>
      <c r="I42" s="24">
        <f>92039.42/E41</f>
        <v>1.1000000000000001</v>
      </c>
    </row>
    <row r="43" spans="1:9">
      <c r="A43" s="75" t="s">
        <v>122</v>
      </c>
      <c r="B43" s="75"/>
      <c r="C43" s="75"/>
      <c r="D43" s="75"/>
      <c r="E43" s="88">
        <f>E45/E41-E42</f>
        <v>2.6126629872287301</v>
      </c>
      <c r="F43" s="88"/>
      <c r="G43" s="88"/>
      <c r="H43" s="88"/>
    </row>
    <row r="44" spans="1:9">
      <c r="A44" s="75" t="s">
        <v>123</v>
      </c>
      <c r="B44" s="75"/>
      <c r="C44" s="75"/>
      <c r="D44" s="75"/>
      <c r="E44" s="88">
        <f>E42+E43</f>
        <v>3.7126629872287298</v>
      </c>
      <c r="F44" s="88"/>
      <c r="G44" s="88"/>
      <c r="H44" s="88"/>
    </row>
    <row r="45" spans="1:9">
      <c r="A45" s="75" t="s">
        <v>124</v>
      </c>
      <c r="B45" s="75"/>
      <c r="C45" s="75"/>
      <c r="D45" s="75"/>
      <c r="E45" s="89">
        <v>310646.68</v>
      </c>
      <c r="F45" s="89"/>
      <c r="G45" s="89"/>
      <c r="H45" s="89"/>
    </row>
    <row r="46" spans="1:9">
      <c r="A46" s="69" t="s">
        <v>125</v>
      </c>
      <c r="B46" s="69"/>
      <c r="C46" s="69"/>
      <c r="D46" s="69"/>
      <c r="E46" s="69" t="s">
        <v>126</v>
      </c>
      <c r="F46" s="69"/>
      <c r="G46" s="69"/>
      <c r="H46" s="69"/>
    </row>
    <row r="47" spans="1:9">
      <c r="A47" s="85" t="s">
        <v>127</v>
      </c>
      <c r="B47" s="85"/>
      <c r="C47" s="85"/>
      <c r="D47" s="85"/>
      <c r="E47" s="85"/>
      <c r="F47" s="85"/>
      <c r="G47" s="85"/>
      <c r="H47" s="85"/>
    </row>
    <row r="48" spans="1:9" ht="33.75" customHeight="1">
      <c r="A48" s="90" t="s">
        <v>128</v>
      </c>
      <c r="B48" s="91"/>
      <c r="C48" s="92" t="s">
        <v>129</v>
      </c>
      <c r="D48" s="93"/>
      <c r="E48" s="93"/>
      <c r="F48" s="93"/>
      <c r="G48" s="93"/>
      <c r="H48" s="94"/>
    </row>
    <row r="49" spans="1:14" ht="15.75" customHeight="1">
      <c r="A49" s="90" t="s">
        <v>130</v>
      </c>
      <c r="B49" s="91"/>
      <c r="C49" s="90" t="s">
        <v>131</v>
      </c>
      <c r="D49" s="95"/>
      <c r="E49" s="91"/>
      <c r="F49" s="26" t="s">
        <v>132</v>
      </c>
      <c r="G49" s="96">
        <v>45160</v>
      </c>
      <c r="H49" s="97"/>
    </row>
    <row r="50" spans="1:14">
      <c r="A50" s="90" t="s">
        <v>133</v>
      </c>
      <c r="B50" s="91"/>
      <c r="C50" s="90" t="str">
        <f>C49</f>
        <v>PMP/NRV/16179/2719/2023</v>
      </c>
      <c r="D50" s="95"/>
      <c r="E50" s="91"/>
      <c r="F50" s="26" t="s">
        <v>132</v>
      </c>
      <c r="G50" s="96">
        <f>G49</f>
        <v>45160</v>
      </c>
      <c r="H50" s="97"/>
    </row>
    <row r="51" spans="1:14" s="16" customFormat="1" ht="31.5" customHeight="1">
      <c r="A51" s="90" t="s">
        <v>134</v>
      </c>
      <c r="B51" s="91"/>
      <c r="C51" s="98" t="s">
        <v>135</v>
      </c>
      <c r="D51" s="99"/>
      <c r="E51" s="100"/>
      <c r="F51" s="26" t="s">
        <v>132</v>
      </c>
      <c r="G51" s="96">
        <f>G50</f>
        <v>45160</v>
      </c>
      <c r="H51" s="97"/>
    </row>
    <row r="52" spans="1:14" s="16" customFormat="1" ht="51.75" customHeight="1">
      <c r="A52" s="101" t="s">
        <v>136</v>
      </c>
      <c r="B52" s="102"/>
      <c r="C52" s="90" t="s">
        <v>137</v>
      </c>
      <c r="D52" s="95"/>
      <c r="E52" s="95"/>
      <c r="F52" s="95"/>
      <c r="G52" s="95"/>
      <c r="H52" s="91"/>
    </row>
    <row r="53" spans="1:14" s="16" customFormat="1">
      <c r="A53" s="174" t="s">
        <v>138</v>
      </c>
      <c r="B53" s="175"/>
      <c r="C53" s="98" t="s">
        <v>139</v>
      </c>
      <c r="D53" s="99"/>
      <c r="E53" s="100"/>
      <c r="F53" s="26" t="s">
        <v>132</v>
      </c>
      <c r="G53" s="96" t="s">
        <v>140</v>
      </c>
      <c r="H53" s="97"/>
    </row>
    <row r="54" spans="1:14" s="16" customFormat="1" ht="47.25" customHeight="1">
      <c r="A54" s="101"/>
      <c r="B54" s="102"/>
      <c r="C54" s="90" t="s">
        <v>137</v>
      </c>
      <c r="D54" s="95"/>
      <c r="E54" s="95"/>
      <c r="F54" s="95"/>
      <c r="G54" s="95"/>
      <c r="H54" s="91"/>
    </row>
    <row r="55" spans="1:14" ht="37.5" customHeight="1">
      <c r="A55" s="90" t="s">
        <v>141</v>
      </c>
      <c r="B55" s="91"/>
      <c r="C55" s="90" t="s">
        <v>142</v>
      </c>
      <c r="D55" s="95"/>
      <c r="E55" s="91"/>
      <c r="F55" s="26" t="s">
        <v>143</v>
      </c>
      <c r="G55" s="96" t="s">
        <v>144</v>
      </c>
      <c r="H55" s="103"/>
    </row>
    <row r="56" spans="1:14">
      <c r="A56" s="104" t="s">
        <v>145</v>
      </c>
      <c r="B56" s="105"/>
      <c r="C56" s="104" t="s">
        <v>146</v>
      </c>
      <c r="D56" s="106"/>
      <c r="E56" s="105"/>
      <c r="F56" s="27" t="s">
        <v>132</v>
      </c>
      <c r="G56" s="107" t="s">
        <v>17</v>
      </c>
      <c r="H56" s="108"/>
    </row>
    <row r="57" spans="1:14">
      <c r="A57" s="109" t="s">
        <v>147</v>
      </c>
      <c r="B57" s="109"/>
      <c r="C57" s="109"/>
      <c r="D57" s="109"/>
      <c r="E57" s="109"/>
      <c r="F57" s="109"/>
      <c r="G57" s="109"/>
      <c r="H57" s="109"/>
    </row>
    <row r="58" spans="1:14">
      <c r="A58" s="79" t="s">
        <v>148</v>
      </c>
      <c r="B58" s="79"/>
      <c r="C58" s="79"/>
      <c r="D58" s="89">
        <v>50056.19</v>
      </c>
      <c r="E58" s="69"/>
      <c r="F58" s="69"/>
      <c r="G58" s="69"/>
      <c r="H58" s="69"/>
    </row>
    <row r="59" spans="1:14">
      <c r="A59" s="71" t="s">
        <v>149</v>
      </c>
      <c r="B59" s="69"/>
      <c r="C59" s="69"/>
      <c r="D59" s="74" t="s">
        <v>150</v>
      </c>
      <c r="E59" s="74"/>
      <c r="F59" s="74"/>
      <c r="G59" s="74"/>
      <c r="H59" s="74"/>
      <c r="I59" s="28"/>
    </row>
    <row r="60" spans="1:14">
      <c r="A60" s="110" t="s">
        <v>151</v>
      </c>
      <c r="B60" s="111"/>
      <c r="C60" s="112"/>
      <c r="D60" s="113" t="s">
        <v>152</v>
      </c>
      <c r="E60" s="114"/>
      <c r="F60" s="114"/>
      <c r="G60" s="114"/>
      <c r="H60" s="114"/>
    </row>
    <row r="61" spans="1:14" ht="15.75" customHeight="1">
      <c r="A61" s="110" t="s">
        <v>153</v>
      </c>
      <c r="B61" s="111"/>
      <c r="C61" s="111"/>
      <c r="D61" s="115" t="s">
        <v>152</v>
      </c>
      <c r="E61" s="115"/>
      <c r="F61" s="115"/>
      <c r="G61" s="115"/>
      <c r="H61" s="115"/>
    </row>
    <row r="62" spans="1:14" ht="15.75" customHeight="1">
      <c r="A62" s="75" t="s">
        <v>154</v>
      </c>
      <c r="B62" s="75"/>
      <c r="C62" s="75"/>
      <c r="D62" s="79" t="s">
        <v>155</v>
      </c>
      <c r="E62" s="79"/>
      <c r="F62" s="79"/>
      <c r="G62" s="79"/>
      <c r="H62" s="79"/>
      <c r="J62" s="29"/>
      <c r="K62" s="28"/>
      <c r="N62" s="28"/>
    </row>
    <row r="63" spans="1:14" ht="15.75" customHeight="1">
      <c r="A63" s="75" t="s">
        <v>156</v>
      </c>
      <c r="B63" s="75"/>
      <c r="C63" s="75"/>
      <c r="D63" s="116" t="str">
        <f>(IF(G56="NA","60 Years After Completion",IF(G56&lt;&gt;"NA",""&amp;60-ROUNDDOWN((E3-G56)/360,0)&amp;" Years"," ")))</f>
        <v>60 Years After Completion</v>
      </c>
      <c r="E63" s="116"/>
      <c r="F63" s="116"/>
      <c r="G63" s="116"/>
      <c r="H63" s="116"/>
      <c r="N63" s="28"/>
    </row>
    <row r="64" spans="1:14" ht="15.75" customHeight="1">
      <c r="A64" s="75" t="s">
        <v>157</v>
      </c>
      <c r="B64" s="75"/>
      <c r="C64" s="75"/>
      <c r="D64" s="79" t="s">
        <v>96</v>
      </c>
      <c r="E64" s="79"/>
      <c r="F64" s="79"/>
      <c r="G64" s="79"/>
      <c r="H64" s="79"/>
      <c r="J64" s="30"/>
      <c r="K64" s="30"/>
    </row>
    <row r="65" spans="1:14" ht="31.5" customHeight="1">
      <c r="A65" s="69" t="s">
        <v>158</v>
      </c>
      <c r="B65" s="69"/>
      <c r="C65" s="69"/>
      <c r="D65" s="71" t="s">
        <v>159</v>
      </c>
      <c r="E65" s="79"/>
      <c r="F65" s="79"/>
      <c r="G65" s="79"/>
      <c r="H65" s="79"/>
      <c r="J65" s="15" t="s">
        <v>160</v>
      </c>
    </row>
    <row r="66" spans="1:14">
      <c r="A66" s="79" t="s">
        <v>161</v>
      </c>
      <c r="B66" s="79"/>
      <c r="C66" s="79"/>
      <c r="D66" s="79" t="s">
        <v>17</v>
      </c>
      <c r="E66" s="79"/>
      <c r="F66" s="79"/>
      <c r="G66" s="79"/>
      <c r="H66" s="79"/>
      <c r="I66" s="39"/>
      <c r="J66" s="39"/>
      <c r="K66" s="39"/>
      <c r="L66" s="39"/>
      <c r="M66" s="39"/>
      <c r="N66" s="39"/>
    </row>
    <row r="67" spans="1:14" ht="15.75" customHeight="1">
      <c r="A67" s="75" t="s">
        <v>162</v>
      </c>
      <c r="B67" s="75"/>
      <c r="C67" s="75"/>
      <c r="D67" s="71" t="str">
        <f ca="1">(IF(G101&gt;95%,"Nothing",IF(G101&gt;0%,"Cement, Aggregate, Steel, etc",IF(G101=0%,"Work not yet Started"))))</f>
        <v>Cement, Aggregate, Steel, etc</v>
      </c>
      <c r="E67" s="71"/>
      <c r="F67" s="71"/>
      <c r="G67" s="71"/>
      <c r="H67" s="71"/>
      <c r="J67" s="30"/>
    </row>
    <row r="68" spans="1:14" ht="33.75" customHeight="1">
      <c r="A68" s="79" t="s">
        <v>163</v>
      </c>
      <c r="B68" s="79"/>
      <c r="C68" s="79"/>
      <c r="D68" s="71" t="str">
        <f ca="1">(IF(D67="Nothing","Yes",IF(D67="Cement, Aggregate, Steel, etc","Under Construction",IF(D67="Work not yet Started","Work not yet Started"))))</f>
        <v>Under Construction</v>
      </c>
      <c r="E68" s="71"/>
      <c r="F68" s="71" t="str">
        <f ca="1">(IF(D67="Nothing","Yes",IF(D67="Cement, Aggregate, Steel, etc","Under Construction",IF(D67="Work not yet Started","Work not yet Started"))))</f>
        <v>Under Construction</v>
      </c>
      <c r="G68" s="71"/>
      <c r="H68" s="71"/>
    </row>
    <row r="69" spans="1:14">
      <c r="A69" s="140" t="s">
        <v>164</v>
      </c>
      <c r="B69" s="140"/>
      <c r="C69" s="140" t="s">
        <v>165</v>
      </c>
      <c r="D69" s="140"/>
      <c r="E69" s="140"/>
      <c r="F69" s="140"/>
      <c r="G69" s="140"/>
      <c r="H69" s="140"/>
      <c r="I69" s="180" t="str">
        <f ca="1">IF(D82=100%,"All work Completed. Possession granted to the Building.",IF(D81=100%,"All work Completed, Waiting for OC",I70&amp;""&amp;I71&amp;""&amp;J70&amp;""&amp;J69&amp;" "&amp;J71))</f>
        <v>Excavation, Plinth Completed, RCC upto 2 Slab Completed</v>
      </c>
      <c r="J69" s="41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2 Slab</v>
      </c>
    </row>
    <row r="70" spans="1:14">
      <c r="A70" s="66" t="s">
        <v>166</v>
      </c>
      <c r="B70" s="66">
        <f>IF(AND(ISNUMBER(SEARCH("1B",C69))),1,IF(AND(ISNUMBER(SEARCH("2B",C69))),2,IF(AND(ISNUMBER(SEARCH("3B",C69))),3,IF(AND(ISNUMBER(SEARCH("4B",C69))),4,IF(ISNUMBER(SEARCH("5B",C69)),5,0)))))</f>
        <v>1</v>
      </c>
      <c r="C70" s="66" t="s">
        <v>167</v>
      </c>
      <c r="D70" s="66">
        <v>1</v>
      </c>
      <c r="E70" s="66" t="s">
        <v>168</v>
      </c>
      <c r="F70" s="66">
        <v>0</v>
      </c>
      <c r="G70" s="32" t="s">
        <v>169</v>
      </c>
      <c r="H70" s="66">
        <f ca="1">--TRIM(RIGHT(SUBSTITUTE(LEFT(C69,_xlfn.AGGREGATE(16,6,FIND({0,1,2,3,4,5,6,7,8,9},C69,ROW(INDIRECT("1:"&amp;LEN(C69)))),1))," ",REPT(" ",LEN(C69))),LEN(C69)))</f>
        <v>32</v>
      </c>
      <c r="I70" s="181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4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>
      <c r="A71" s="73" t="s">
        <v>170</v>
      </c>
      <c r="B71" s="73"/>
      <c r="C71" s="72" t="str">
        <f ca="1">I69</f>
        <v>Excavation, Plinth Completed, RCC upto 2 Slab Completed</v>
      </c>
      <c r="D71" s="72"/>
      <c r="E71" s="72"/>
      <c r="F71" s="72"/>
      <c r="G71" s="72"/>
      <c r="H71" s="72"/>
      <c r="I71" s="181" t="str">
        <f ca="1">IF(I70&lt;&gt;""," Completed","")</f>
        <v xml:space="preserve"> Completed</v>
      </c>
      <c r="J71" s="43" t="str">
        <f ca="1">IF(J69&lt;&gt;"","Completed","")</f>
        <v>Completed</v>
      </c>
    </row>
    <row r="72" spans="1:14" ht="15.75" customHeight="1">
      <c r="A72" s="125" t="s">
        <v>171</v>
      </c>
      <c r="B72" s="125"/>
      <c r="C72" s="65" t="s">
        <v>172</v>
      </c>
      <c r="D72" s="65" t="s">
        <v>173</v>
      </c>
      <c r="E72" s="125" t="s">
        <v>174</v>
      </c>
      <c r="F72" s="125"/>
      <c r="G72" s="125" t="s">
        <v>175</v>
      </c>
      <c r="H72" s="125"/>
      <c r="I72" s="44" t="s">
        <v>176</v>
      </c>
      <c r="J72" s="45">
        <f ca="1">H70*25%</f>
        <v>8</v>
      </c>
    </row>
    <row r="73" spans="1:14">
      <c r="A73" s="125" t="s">
        <v>177</v>
      </c>
      <c r="B73" s="125"/>
      <c r="C73" s="65">
        <f ca="1">J74</f>
        <v>32</v>
      </c>
      <c r="D73" s="35">
        <f ca="1">((100/H70)*C73)/100</f>
        <v>1</v>
      </c>
      <c r="E73" s="187">
        <f ca="1">(((C74/H70*10)+(40/(D70+F70+H70)*C75)+(7.5/(H70)*C76)+(7.5/(H70)*C77)+(10/H70*C78)+(10/H70*C79)+(5/H70*C80)+(5/H70*C81)+(5/H70*C82))/100)</f>
        <v>0.12424242424242424</v>
      </c>
      <c r="F73" s="187"/>
      <c r="G73" s="187">
        <f ca="1">((((C73/H70)*20)+((C74/H70)*25)+(30/(H70+F70+D70)*C75)+(5/H70*C76)+(5/H70*C77)+(5/H70*C78)+(5/H70*C79)+(0/H70*C80)+(0/H70*C81)+(5/H70*C82))/100)</f>
        <v>0.4681818181818182</v>
      </c>
      <c r="H73" s="187"/>
      <c r="I73" s="44" t="s">
        <v>178</v>
      </c>
      <c r="J73" s="46">
        <f ca="1">H70*50%</f>
        <v>16</v>
      </c>
    </row>
    <row r="74" spans="1:14">
      <c r="A74" s="125" t="s">
        <v>179</v>
      </c>
      <c r="B74" s="125"/>
      <c r="C74" s="36">
        <f ca="1">J82</f>
        <v>32</v>
      </c>
      <c r="D74" s="35">
        <f ca="1">((100/H70)*C74)/100</f>
        <v>1</v>
      </c>
      <c r="E74" s="187"/>
      <c r="F74" s="187"/>
      <c r="G74" s="187"/>
      <c r="H74" s="187"/>
      <c r="I74" s="44" t="s">
        <v>180</v>
      </c>
      <c r="J74" s="46">
        <f ca="1">H70</f>
        <v>32</v>
      </c>
    </row>
    <row r="75" spans="1:14" ht="15.75" customHeight="1">
      <c r="A75" s="125" t="s">
        <v>181</v>
      </c>
      <c r="B75" s="125"/>
      <c r="C75" s="65">
        <v>2</v>
      </c>
      <c r="D75" s="35">
        <f ca="1">((100/(D70+F70+H70))*C75)/100</f>
        <v>6.0606060606060608E-2</v>
      </c>
      <c r="E75" s="187"/>
      <c r="F75" s="187"/>
      <c r="G75" s="187"/>
      <c r="H75" s="187"/>
      <c r="I75" s="44" t="s">
        <v>182</v>
      </c>
      <c r="J75" s="47">
        <f ca="1">(IF(B70&gt;1,(H70/(B70+2)),H70/4))</f>
        <v>8</v>
      </c>
    </row>
    <row r="76" spans="1:14" ht="15.75" customHeight="1">
      <c r="A76" s="125" t="s">
        <v>183</v>
      </c>
      <c r="B76" s="125" t="s">
        <v>184</v>
      </c>
      <c r="C76" s="65">
        <v>0</v>
      </c>
      <c r="D76" s="35">
        <f ca="1">((100/H70)*C76)/100</f>
        <v>0</v>
      </c>
      <c r="E76" s="187"/>
      <c r="F76" s="187"/>
      <c r="G76" s="187"/>
      <c r="H76" s="187"/>
      <c r="I76" s="44" t="s">
        <v>185</v>
      </c>
      <c r="J76" s="47">
        <f ca="1">(IF(B70&gt;1,(H70/(B70+2)+J75),H70/4+J75))</f>
        <v>16</v>
      </c>
    </row>
    <row r="77" spans="1:14" ht="15.75" customHeight="1">
      <c r="A77" s="125" t="s">
        <v>186</v>
      </c>
      <c r="B77" s="125" t="s">
        <v>184</v>
      </c>
      <c r="C77" s="65">
        <v>0</v>
      </c>
      <c r="D77" s="35">
        <f ca="1">((100/H70)*C77)/100</f>
        <v>0</v>
      </c>
      <c r="E77" s="187"/>
      <c r="F77" s="187"/>
      <c r="G77" s="187"/>
      <c r="H77" s="187"/>
      <c r="I77" s="44" t="s">
        <v>187</v>
      </c>
      <c r="J77" s="47">
        <f>(IF(B70&gt;1,(H70/(B70+2)+J76),0))</f>
        <v>0</v>
      </c>
    </row>
    <row r="78" spans="1:14" ht="15" customHeight="1">
      <c r="A78" s="125" t="s">
        <v>188</v>
      </c>
      <c r="B78" s="125" t="s">
        <v>189</v>
      </c>
      <c r="C78" s="65">
        <v>0</v>
      </c>
      <c r="D78" s="35">
        <f ca="1">((100/(H70))*C78)/100</f>
        <v>0</v>
      </c>
      <c r="E78" s="187"/>
      <c r="F78" s="187"/>
      <c r="G78" s="187"/>
      <c r="H78" s="187"/>
      <c r="I78" s="44" t="s">
        <v>190</v>
      </c>
      <c r="J78" s="47">
        <f>(IF(B70&gt;2,(H70/(B70+2)+J77),0))</f>
        <v>0</v>
      </c>
    </row>
    <row r="79" spans="1:14" ht="15.75" customHeight="1">
      <c r="A79" s="125" t="s">
        <v>191</v>
      </c>
      <c r="B79" s="125" t="s">
        <v>191</v>
      </c>
      <c r="C79" s="65">
        <v>0</v>
      </c>
      <c r="D79" s="35">
        <f ca="1">((100/H70)*C79)/100</f>
        <v>0</v>
      </c>
      <c r="E79" s="187"/>
      <c r="F79" s="187"/>
      <c r="G79" s="187"/>
      <c r="H79" s="187"/>
      <c r="I79" s="44" t="s">
        <v>192</v>
      </c>
      <c r="J79" s="48">
        <f>(IF(B70&gt;3,(H70/(B70+2)+J78),0))</f>
        <v>0</v>
      </c>
    </row>
    <row r="80" spans="1:14" ht="15.75" customHeight="1">
      <c r="A80" s="125" t="s">
        <v>193</v>
      </c>
      <c r="B80" s="125"/>
      <c r="C80" s="65">
        <v>0</v>
      </c>
      <c r="D80" s="35">
        <f ca="1">((100/H70)*C80)/100</f>
        <v>0</v>
      </c>
      <c r="E80" s="187"/>
      <c r="F80" s="187"/>
      <c r="G80" s="187"/>
      <c r="H80" s="187"/>
      <c r="I80" s="44" t="s">
        <v>194</v>
      </c>
      <c r="J80" s="47">
        <f>(IF(B70&gt;4,(H70/(B70+2)+J79),0))</f>
        <v>0</v>
      </c>
    </row>
    <row r="81" spans="1:10" ht="15.75" customHeight="1">
      <c r="A81" s="125" t="s">
        <v>195</v>
      </c>
      <c r="B81" s="125" t="s">
        <v>195</v>
      </c>
      <c r="C81" s="65">
        <v>0</v>
      </c>
      <c r="D81" s="35">
        <f ca="1">((100/(H70))*C81)/100</f>
        <v>0</v>
      </c>
      <c r="E81" s="187"/>
      <c r="F81" s="187"/>
      <c r="G81" s="187"/>
      <c r="H81" s="187"/>
      <c r="I81" s="44" t="s">
        <v>196</v>
      </c>
      <c r="J81" s="47">
        <f ca="1">(IF(B70=1,(H70/(B70+3)+J76),IF(B70=0,(H70/4+J76),IF(B70&gt;1,0))))</f>
        <v>24</v>
      </c>
    </row>
    <row r="82" spans="1:10">
      <c r="A82" s="125" t="s">
        <v>197</v>
      </c>
      <c r="B82" s="125"/>
      <c r="C82" s="65">
        <v>0</v>
      </c>
      <c r="D82" s="35">
        <f ca="1">((100/(H70))*C82)/100</f>
        <v>0</v>
      </c>
      <c r="E82" s="187"/>
      <c r="F82" s="187"/>
      <c r="G82" s="187"/>
      <c r="H82" s="187"/>
      <c r="I82" s="49" t="s">
        <v>198</v>
      </c>
      <c r="J82" s="50">
        <f ca="1">(IF(B70&gt;1.5,(H70/(B70+2)+J76+MAX(0,J77-J76)+MAX(0,J78-J77)+MAX(0,J79-J78)+MAX(0,J80-J79)+MAX(0,J81-J80)),IF(B70=1,(H70/(B70+3)+J81),IF(B70=0,H70/4+J81))))</f>
        <v>32</v>
      </c>
    </row>
    <row r="83" spans="1:10">
      <c r="A83" s="182" t="s">
        <v>164</v>
      </c>
      <c r="B83" s="183"/>
      <c r="C83" s="184" t="s">
        <v>199</v>
      </c>
      <c r="D83" s="185"/>
      <c r="E83" s="185"/>
      <c r="F83" s="185"/>
      <c r="G83" s="185"/>
      <c r="H83" s="186"/>
      <c r="I83" s="40" t="str">
        <f ca="1">IF(D96=100%,"All work Completed. Possession granted to the Building.",IF(D95=100%,"All work Completed, Waiting for OC",I84&amp;""&amp;I85&amp;""&amp;J84&amp;""&amp;J83&amp;" "&amp;J85))</f>
        <v>Excavation, Plinth Completed, RCC upto 2 Slab Completed</v>
      </c>
      <c r="J83" s="41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2 Slab</v>
      </c>
    </row>
    <row r="84" spans="1:10">
      <c r="A84" s="31" t="s">
        <v>166</v>
      </c>
      <c r="B84" s="25">
        <f>IF(AND(ISNUMBER(SEARCH("1B",C83))),1,IF(AND(ISNUMBER(SEARCH("2B",C83))),2,IF(AND(ISNUMBER(SEARCH("3B",C83))),3,IF(AND(ISNUMBER(SEARCH("4B",C83))),4,IF(ISNUMBER(SEARCH("5B",C83)),5,0)))))</f>
        <v>1</v>
      </c>
      <c r="C84" s="25" t="s">
        <v>167</v>
      </c>
      <c r="D84" s="25">
        <v>1</v>
      </c>
      <c r="E84" s="25" t="s">
        <v>168</v>
      </c>
      <c r="F84" s="25">
        <v>0</v>
      </c>
      <c r="G84" s="32" t="s">
        <v>169</v>
      </c>
      <c r="H84" s="33">
        <f ca="1">--TRIM(RIGHT(SUBSTITUTE(LEFT(C83,_xlfn.AGGREGATE(16,6,FIND({0,1,2,3,4,5,6,7,8,9},C83,ROW(INDIRECT("1:"&amp;LEN(C83)))),1))," ",REPT(" ",LEN(C83))),LEN(C83)))</f>
        <v>32</v>
      </c>
      <c r="I84" s="42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43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>
      <c r="A85" s="122" t="s">
        <v>170</v>
      </c>
      <c r="B85" s="73"/>
      <c r="C85" s="72" t="str">
        <f ca="1">I83</f>
        <v>Excavation, Plinth Completed, RCC upto 2 Slab Completed</v>
      </c>
      <c r="D85" s="72"/>
      <c r="E85" s="72"/>
      <c r="F85" s="72"/>
      <c r="G85" s="72"/>
      <c r="H85" s="123"/>
      <c r="I85" s="42" t="str">
        <f ca="1">IF(I84&lt;&gt;""," Completed","")</f>
        <v xml:space="preserve"> Completed</v>
      </c>
      <c r="J85" s="43" t="str">
        <f ca="1">IF(J83&lt;&gt;"","Completed","")</f>
        <v>Completed</v>
      </c>
    </row>
    <row r="86" spans="1:10" ht="15.75" customHeight="1">
      <c r="A86" s="124" t="s">
        <v>171</v>
      </c>
      <c r="B86" s="125"/>
      <c r="C86" s="34" t="s">
        <v>172</v>
      </c>
      <c r="D86" s="34" t="s">
        <v>173</v>
      </c>
      <c r="E86" s="125" t="s">
        <v>174</v>
      </c>
      <c r="F86" s="125"/>
      <c r="G86" s="125" t="s">
        <v>175</v>
      </c>
      <c r="H86" s="126"/>
      <c r="I86" s="44" t="s">
        <v>176</v>
      </c>
      <c r="J86" s="45">
        <f ca="1">H84*25%</f>
        <v>8</v>
      </c>
    </row>
    <row r="87" spans="1:10">
      <c r="A87" s="124" t="s">
        <v>177</v>
      </c>
      <c r="B87" s="125"/>
      <c r="C87" s="34">
        <f ca="1">J88</f>
        <v>32</v>
      </c>
      <c r="D87" s="35">
        <f ca="1">((100/H84)*C87)/100</f>
        <v>1</v>
      </c>
      <c r="E87" s="129">
        <f ca="1">(((C88/H84*10)+(40/(D84+F84+H84)*C89)+(7.5/(H84)*C90)+(7.5/(H84)*C91)+(10/H84*C92)+(10/H84*C93)+(5/H84*C94)+(5/H84*C95)+(5/H84*C96))/100)</f>
        <v>0.12424242424242424</v>
      </c>
      <c r="F87" s="130"/>
      <c r="G87" s="129">
        <f ca="1">((((C87/H84)*20)+((C88/H84)*25)+(30/(H84+F84+D84)*C89)+(5/H84*C90)+(5/H84*C91)+(5/H84*C92)+(5/H84*C93)+(0/H84*C94)+(0/H84*C95)+(5/H84*C96))/100)</f>
        <v>0.4681818181818182</v>
      </c>
      <c r="H87" s="135"/>
      <c r="I87" s="44" t="s">
        <v>178</v>
      </c>
      <c r="J87" s="46">
        <f ca="1">H84*50%</f>
        <v>16</v>
      </c>
    </row>
    <row r="88" spans="1:10">
      <c r="A88" s="124" t="s">
        <v>179</v>
      </c>
      <c r="B88" s="125"/>
      <c r="C88" s="36">
        <f ca="1">J96</f>
        <v>32</v>
      </c>
      <c r="D88" s="35">
        <f ca="1">((100/H84)*C88)/100</f>
        <v>1</v>
      </c>
      <c r="E88" s="131"/>
      <c r="F88" s="132"/>
      <c r="G88" s="131"/>
      <c r="H88" s="136"/>
      <c r="I88" s="44" t="s">
        <v>180</v>
      </c>
      <c r="J88" s="46">
        <f ca="1">H84</f>
        <v>32</v>
      </c>
    </row>
    <row r="89" spans="1:10" ht="15.75" customHeight="1">
      <c r="A89" s="124" t="s">
        <v>181</v>
      </c>
      <c r="B89" s="125"/>
      <c r="C89" s="34">
        <v>2</v>
      </c>
      <c r="D89" s="35">
        <f ca="1">((100/(D84+F84+H84))*C89)/100</f>
        <v>6.0606060606060608E-2</v>
      </c>
      <c r="E89" s="131"/>
      <c r="F89" s="132"/>
      <c r="G89" s="131"/>
      <c r="H89" s="136"/>
      <c r="I89" s="44" t="s">
        <v>182</v>
      </c>
      <c r="J89" s="47">
        <f ca="1">(IF(B84&gt;1,(H84/(B84+2)),H84/4))</f>
        <v>8</v>
      </c>
    </row>
    <row r="90" spans="1:10" ht="15.75" customHeight="1">
      <c r="A90" s="124" t="s">
        <v>183</v>
      </c>
      <c r="B90" s="125" t="s">
        <v>184</v>
      </c>
      <c r="C90" s="34">
        <v>0</v>
      </c>
      <c r="D90" s="35">
        <f ca="1">((100/H84)*C90)/100</f>
        <v>0</v>
      </c>
      <c r="E90" s="131"/>
      <c r="F90" s="132"/>
      <c r="G90" s="131"/>
      <c r="H90" s="136"/>
      <c r="I90" s="44" t="s">
        <v>185</v>
      </c>
      <c r="J90" s="47">
        <f ca="1">(IF(B84&gt;1,(H84/(B84+2)+J89),H84/4+J89))</f>
        <v>16</v>
      </c>
    </row>
    <row r="91" spans="1:10" ht="15.75" customHeight="1">
      <c r="A91" s="124" t="s">
        <v>186</v>
      </c>
      <c r="B91" s="125" t="s">
        <v>184</v>
      </c>
      <c r="C91" s="34">
        <v>0</v>
      </c>
      <c r="D91" s="35">
        <f ca="1">((100/H84)*C91)/100</f>
        <v>0</v>
      </c>
      <c r="E91" s="131"/>
      <c r="F91" s="132"/>
      <c r="G91" s="131"/>
      <c r="H91" s="136"/>
      <c r="I91" s="44" t="s">
        <v>187</v>
      </c>
      <c r="J91" s="47">
        <f>(IF(B84&gt;1,(H84/(B84+2)+J90),0))</f>
        <v>0</v>
      </c>
    </row>
    <row r="92" spans="1:10" ht="15" customHeight="1">
      <c r="A92" s="124" t="s">
        <v>188</v>
      </c>
      <c r="B92" s="125" t="s">
        <v>189</v>
      </c>
      <c r="C92" s="34">
        <v>0</v>
      </c>
      <c r="D92" s="35">
        <f ca="1">((100/(H84))*C92)/100</f>
        <v>0</v>
      </c>
      <c r="E92" s="131"/>
      <c r="F92" s="132"/>
      <c r="G92" s="131"/>
      <c r="H92" s="136"/>
      <c r="I92" s="44" t="s">
        <v>190</v>
      </c>
      <c r="J92" s="47">
        <f>(IF(B84&gt;2,(H84/(B84+2)+J91),0))</f>
        <v>0</v>
      </c>
    </row>
    <row r="93" spans="1:10" ht="15.75" customHeight="1">
      <c r="A93" s="124" t="s">
        <v>191</v>
      </c>
      <c r="B93" s="125" t="s">
        <v>191</v>
      </c>
      <c r="C93" s="34">
        <v>0</v>
      </c>
      <c r="D93" s="35">
        <f ca="1">((100/H84)*C93)/100</f>
        <v>0</v>
      </c>
      <c r="E93" s="131"/>
      <c r="F93" s="132"/>
      <c r="G93" s="131"/>
      <c r="H93" s="136"/>
      <c r="I93" s="44" t="s">
        <v>192</v>
      </c>
      <c r="J93" s="48">
        <f>(IF(B84&gt;3,(H84/(B84+2)+J92),0))</f>
        <v>0</v>
      </c>
    </row>
    <row r="94" spans="1:10" ht="15.75" customHeight="1">
      <c r="A94" s="124" t="s">
        <v>193</v>
      </c>
      <c r="B94" s="125"/>
      <c r="C94" s="34">
        <v>0</v>
      </c>
      <c r="D94" s="35">
        <f ca="1">((100/H84)*C94)/100</f>
        <v>0</v>
      </c>
      <c r="E94" s="131"/>
      <c r="F94" s="132"/>
      <c r="G94" s="131"/>
      <c r="H94" s="136"/>
      <c r="I94" s="44" t="s">
        <v>194</v>
      </c>
      <c r="J94" s="47">
        <f>(IF(B84&gt;4,(H84/(B84+2)+J93),0))</f>
        <v>0</v>
      </c>
    </row>
    <row r="95" spans="1:10" ht="15.75" customHeight="1">
      <c r="A95" s="124" t="s">
        <v>195</v>
      </c>
      <c r="B95" s="125" t="s">
        <v>195</v>
      </c>
      <c r="C95" s="34">
        <v>0</v>
      </c>
      <c r="D95" s="35">
        <f ca="1">((100/(H84))*C95)/100</f>
        <v>0</v>
      </c>
      <c r="E95" s="131"/>
      <c r="F95" s="132"/>
      <c r="G95" s="131"/>
      <c r="H95" s="136"/>
      <c r="I95" s="44" t="s">
        <v>196</v>
      </c>
      <c r="J95" s="47">
        <f ca="1">(IF(B84=1,(H84/(B84+3)+J90),IF(B84=0,(H84/4+J90),IF(B84&gt;1,0))))</f>
        <v>24</v>
      </c>
    </row>
    <row r="96" spans="1:10">
      <c r="A96" s="127" t="s">
        <v>197</v>
      </c>
      <c r="B96" s="128"/>
      <c r="C96" s="37">
        <v>0</v>
      </c>
      <c r="D96" s="38">
        <f ca="1">((100/(H84))*C96)/100</f>
        <v>0</v>
      </c>
      <c r="E96" s="133"/>
      <c r="F96" s="134"/>
      <c r="G96" s="133"/>
      <c r="H96" s="137"/>
      <c r="I96" s="49" t="s">
        <v>198</v>
      </c>
      <c r="J96" s="50">
        <f ca="1">(IF(B84&gt;1.5,(H84/(B84+2)+J90+MAX(0,J91-J90)+MAX(0,J92-J91)+MAX(0,J93-J92)+MAX(0,J94-J93)+MAX(0,J95-J94)),IF(B84=1,(H84/(B84+3)+J95),IF(B84=0,H84/4+J95))))</f>
        <v>32</v>
      </c>
    </row>
    <row r="97" spans="1:15">
      <c r="A97" s="117" t="s">
        <v>164</v>
      </c>
      <c r="B97" s="118"/>
      <c r="C97" s="119" t="s">
        <v>200</v>
      </c>
      <c r="D97" s="120"/>
      <c r="E97" s="120"/>
      <c r="F97" s="120"/>
      <c r="G97" s="120"/>
      <c r="H97" s="121"/>
      <c r="I97" s="40" t="str">
        <f ca="1">IF(D110=100%,"All work Completed. Possession granted to the Building.",IF(D109=100%,"All work Completed, Waiting for OC",I98&amp;""&amp;I99&amp;""&amp;J98&amp;""&amp;J97&amp;" "&amp;J99))</f>
        <v>Excavation, Plinth Completed, RCC upto 3 Slab Completed</v>
      </c>
      <c r="J97" s="41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RCC upto 3 Slab</v>
      </c>
    </row>
    <row r="98" spans="1:15">
      <c r="A98" s="31" t="s">
        <v>166</v>
      </c>
      <c r="B98" s="25">
        <f>IF(AND(ISNUMBER(SEARCH("1B",C97))),1,IF(AND(ISNUMBER(SEARCH("2B",C97))),2,IF(AND(ISNUMBER(SEARCH("3B",C97))),3,IF(AND(ISNUMBER(SEARCH("4B",C97))),4,IF(ISNUMBER(SEARCH("5B",C97)),5,0)))))</f>
        <v>1</v>
      </c>
      <c r="C98" s="25" t="s">
        <v>167</v>
      </c>
      <c r="D98" s="25">
        <v>1</v>
      </c>
      <c r="E98" s="25" t="s">
        <v>168</v>
      </c>
      <c r="F98" s="25">
        <v>0</v>
      </c>
      <c r="G98" s="32" t="s">
        <v>169</v>
      </c>
      <c r="H98" s="33">
        <f ca="1">--TRIM(RIGHT(SUBSTITUTE(LEFT(C97,_xlfn.AGGREGATE(16,6,FIND({0,1,2,3,4,5,6,7,8,9},C97,ROW(INDIRECT("1:"&amp;LEN(C97)))),1))," ",REPT(" ",LEN(C97))),LEN(C97)))</f>
        <v>32</v>
      </c>
      <c r="I98" s="42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</v>
      </c>
      <c r="J98" s="43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5">
      <c r="A99" s="122" t="s">
        <v>170</v>
      </c>
      <c r="B99" s="73"/>
      <c r="C99" s="72" t="str">
        <f ca="1">I97</f>
        <v>Excavation, Plinth Completed, RCC upto 3 Slab Completed</v>
      </c>
      <c r="D99" s="72"/>
      <c r="E99" s="72"/>
      <c r="F99" s="72"/>
      <c r="G99" s="72"/>
      <c r="H99" s="123"/>
      <c r="I99" s="42" t="str">
        <f ca="1">IF(I98&lt;&gt;""," Completed","")</f>
        <v xml:space="preserve"> Completed</v>
      </c>
      <c r="J99" s="43" t="str">
        <f ca="1">IF(J97&lt;&gt;"","Completed","")</f>
        <v>Completed</v>
      </c>
    </row>
    <row r="100" spans="1:15" ht="15.75" customHeight="1">
      <c r="A100" s="124" t="s">
        <v>171</v>
      </c>
      <c r="B100" s="125"/>
      <c r="C100" s="34" t="s">
        <v>172</v>
      </c>
      <c r="D100" s="34" t="s">
        <v>173</v>
      </c>
      <c r="E100" s="125" t="s">
        <v>174</v>
      </c>
      <c r="F100" s="125"/>
      <c r="G100" s="125" t="s">
        <v>175</v>
      </c>
      <c r="H100" s="126"/>
      <c r="I100" s="44" t="s">
        <v>176</v>
      </c>
      <c r="J100" s="45">
        <f ca="1">H98*25%</f>
        <v>8</v>
      </c>
    </row>
    <row r="101" spans="1:15">
      <c r="A101" s="124" t="s">
        <v>177</v>
      </c>
      <c r="B101" s="125"/>
      <c r="C101" s="34">
        <f ca="1">J102</f>
        <v>32</v>
      </c>
      <c r="D101" s="35">
        <f ca="1">((100/H98)*C101)/100</f>
        <v>1</v>
      </c>
      <c r="E101" s="129">
        <f ca="1">(((C102/H98*10)+(40/(D98+F98+H98)*C103)+(7.5/(H98)*C104)+(7.5/(H98)*C105)+(10/H98*C106)+(10/H98*C107)+(5/H98*C108)+(5/H98*C109)+(5/H98*C110))/100)</f>
        <v>0.13636363636363635</v>
      </c>
      <c r="F101" s="130"/>
      <c r="G101" s="129">
        <f ca="1">((((C101/H98)*20)+((C102/H98)*25)+(30/(H98+F98+D98)*C103)+(5/H98*C104)+(5/H98*C105)+(5/H98*C106)+(5/H98*C107)+(0/H98*C108)+(0/H98*C109)+(5/H98*C110))/100)</f>
        <v>0.47727272727272729</v>
      </c>
      <c r="H101" s="135"/>
      <c r="I101" s="44" t="s">
        <v>178</v>
      </c>
      <c r="J101" s="46">
        <f ca="1">H98*50%</f>
        <v>16</v>
      </c>
    </row>
    <row r="102" spans="1:15">
      <c r="A102" s="124" t="s">
        <v>179</v>
      </c>
      <c r="B102" s="125"/>
      <c r="C102" s="36">
        <f ca="1">J110</f>
        <v>32</v>
      </c>
      <c r="D102" s="35">
        <f ca="1">((100/H98)*C102)/100</f>
        <v>1</v>
      </c>
      <c r="E102" s="131"/>
      <c r="F102" s="132"/>
      <c r="G102" s="131"/>
      <c r="H102" s="136"/>
      <c r="I102" s="44" t="s">
        <v>180</v>
      </c>
      <c r="J102" s="46">
        <f ca="1">H98</f>
        <v>32</v>
      </c>
    </row>
    <row r="103" spans="1:15" ht="15.75" customHeight="1">
      <c r="A103" s="124" t="s">
        <v>181</v>
      </c>
      <c r="B103" s="125"/>
      <c r="C103" s="34">
        <v>3</v>
      </c>
      <c r="D103" s="35">
        <f ca="1">((100/(D98+F98+H98))*C103)/100</f>
        <v>9.0909090909090898E-2</v>
      </c>
      <c r="E103" s="131"/>
      <c r="F103" s="132"/>
      <c r="G103" s="131"/>
      <c r="H103" s="136"/>
      <c r="I103" s="44" t="s">
        <v>182</v>
      </c>
      <c r="J103" s="47">
        <f ca="1">(IF(B98&gt;1,(H98/(B98+2)),H98/4))</f>
        <v>8</v>
      </c>
    </row>
    <row r="104" spans="1:15" ht="15.75" customHeight="1">
      <c r="A104" s="124" t="s">
        <v>183</v>
      </c>
      <c r="B104" s="125" t="s">
        <v>184</v>
      </c>
      <c r="C104" s="34">
        <v>0</v>
      </c>
      <c r="D104" s="35">
        <f ca="1">((100/H98)*C104)/100</f>
        <v>0</v>
      </c>
      <c r="E104" s="131"/>
      <c r="F104" s="132"/>
      <c r="G104" s="131"/>
      <c r="H104" s="136"/>
      <c r="I104" s="44" t="s">
        <v>185</v>
      </c>
      <c r="J104" s="47">
        <f ca="1">(IF(B98&gt;1,(H98/(B98+2)+J103),H98/4+J103))</f>
        <v>16</v>
      </c>
    </row>
    <row r="105" spans="1:15" ht="15.75" customHeight="1">
      <c r="A105" s="124" t="s">
        <v>186</v>
      </c>
      <c r="B105" s="125" t="s">
        <v>184</v>
      </c>
      <c r="C105" s="34">
        <v>0</v>
      </c>
      <c r="D105" s="35">
        <f ca="1">((100/H98)*C105)/100</f>
        <v>0</v>
      </c>
      <c r="E105" s="131"/>
      <c r="F105" s="132"/>
      <c r="G105" s="131"/>
      <c r="H105" s="136"/>
      <c r="I105" s="44" t="s">
        <v>187</v>
      </c>
      <c r="J105" s="47">
        <f>(IF(B98&gt;1,(H98/(B98+2)+J104),0))</f>
        <v>0</v>
      </c>
    </row>
    <row r="106" spans="1:15" ht="15" customHeight="1">
      <c r="A106" s="124" t="s">
        <v>188</v>
      </c>
      <c r="B106" s="125" t="s">
        <v>189</v>
      </c>
      <c r="C106" s="34">
        <v>0</v>
      </c>
      <c r="D106" s="35">
        <f ca="1">((100/(H98))*C106)/100</f>
        <v>0</v>
      </c>
      <c r="E106" s="131"/>
      <c r="F106" s="132"/>
      <c r="G106" s="131"/>
      <c r="H106" s="136"/>
      <c r="I106" s="44" t="s">
        <v>190</v>
      </c>
      <c r="J106" s="47">
        <f>(IF(B98&gt;2,(H98/(B98+2)+J105),0))</f>
        <v>0</v>
      </c>
    </row>
    <row r="107" spans="1:15" ht="15.75" customHeight="1">
      <c r="A107" s="124" t="s">
        <v>191</v>
      </c>
      <c r="B107" s="125" t="s">
        <v>191</v>
      </c>
      <c r="C107" s="34">
        <v>0</v>
      </c>
      <c r="D107" s="35">
        <f ca="1">((100/H98)*C107)/100</f>
        <v>0</v>
      </c>
      <c r="E107" s="131"/>
      <c r="F107" s="132"/>
      <c r="G107" s="131"/>
      <c r="H107" s="136"/>
      <c r="I107" s="44" t="s">
        <v>192</v>
      </c>
      <c r="J107" s="48">
        <f>(IF(B98&gt;3,(H98/(B98+2)+J106),0))</f>
        <v>0</v>
      </c>
    </row>
    <row r="108" spans="1:15" ht="15.75" customHeight="1">
      <c r="A108" s="124" t="s">
        <v>193</v>
      </c>
      <c r="B108" s="125"/>
      <c r="C108" s="34">
        <v>0</v>
      </c>
      <c r="D108" s="35">
        <f ca="1">((100/H98)*C108)/100</f>
        <v>0</v>
      </c>
      <c r="E108" s="131"/>
      <c r="F108" s="132"/>
      <c r="G108" s="131"/>
      <c r="H108" s="136"/>
      <c r="I108" s="44" t="s">
        <v>194</v>
      </c>
      <c r="J108" s="47">
        <f>(IF(B98&gt;4,(H98/(B98+2)+J107),0))</f>
        <v>0</v>
      </c>
    </row>
    <row r="109" spans="1:15" ht="15.75" customHeight="1">
      <c r="A109" s="124" t="s">
        <v>195</v>
      </c>
      <c r="B109" s="125" t="s">
        <v>195</v>
      </c>
      <c r="C109" s="34">
        <v>0</v>
      </c>
      <c r="D109" s="35">
        <f ca="1">((100/(H98))*C109)/100</f>
        <v>0</v>
      </c>
      <c r="E109" s="131"/>
      <c r="F109" s="132"/>
      <c r="G109" s="131"/>
      <c r="H109" s="136"/>
      <c r="I109" s="44" t="s">
        <v>196</v>
      </c>
      <c r="J109" s="47">
        <f ca="1">(IF(B98=1,(H98/(B98+3)+J104),IF(B98=0,(H98/4+J104),IF(B98&gt;1,0))))</f>
        <v>24</v>
      </c>
    </row>
    <row r="110" spans="1:15">
      <c r="A110" s="127" t="s">
        <v>197</v>
      </c>
      <c r="B110" s="128"/>
      <c r="C110" s="37">
        <v>0</v>
      </c>
      <c r="D110" s="38">
        <f ca="1">((100/(H98))*C110)/100</f>
        <v>0</v>
      </c>
      <c r="E110" s="133"/>
      <c r="F110" s="134"/>
      <c r="G110" s="133"/>
      <c r="H110" s="137"/>
      <c r="I110" s="49" t="s">
        <v>198</v>
      </c>
      <c r="J110" s="50">
        <f ca="1">(IF(B98&gt;1.5,(H98/(B98+2)+J104+MAX(0,J105-J104)+MAX(0,J106-J105)+MAX(0,J107-J106)+MAX(0,J108-J107)+MAX(0,J109-J108)),IF(B98=1,(H98/(B98+3)+J109),IF(B98=0,H98/4+J109))))</f>
        <v>32</v>
      </c>
    </row>
    <row r="111" spans="1:15">
      <c r="A111" s="138" t="s">
        <v>201</v>
      </c>
      <c r="B111" s="138"/>
      <c r="C111" s="138"/>
      <c r="D111" s="138"/>
      <c r="E111" s="138"/>
      <c r="F111" s="139" t="s">
        <v>202</v>
      </c>
      <c r="G111" s="139"/>
      <c r="H111" s="139"/>
      <c r="I111" s="51" t="s">
        <v>203</v>
      </c>
    </row>
    <row r="112" spans="1:15" s="17" customFormat="1" ht="31.5" customHeight="1">
      <c r="A112" s="140" t="s">
        <v>204</v>
      </c>
      <c r="B112" s="85"/>
      <c r="C112" s="85"/>
      <c r="D112" s="85"/>
      <c r="E112" s="85"/>
      <c r="F112" s="141">
        <v>6000</v>
      </c>
      <c r="G112" s="141"/>
      <c r="H112" s="141"/>
      <c r="I112" s="17" t="s">
        <v>205</v>
      </c>
      <c r="J112" s="51"/>
      <c r="K112" s="51"/>
      <c r="L112" s="51"/>
      <c r="M112" s="51"/>
      <c r="N112" s="51"/>
      <c r="O112" s="52" t="s">
        <v>206</v>
      </c>
    </row>
    <row r="113" spans="1:11" ht="33.75" customHeight="1">
      <c r="A113" s="79" t="s">
        <v>207</v>
      </c>
      <c r="B113" s="75"/>
      <c r="C113" s="75"/>
      <c r="D113" s="75"/>
      <c r="E113" s="75"/>
      <c r="F113" s="142">
        <v>10000</v>
      </c>
      <c r="G113" s="142"/>
      <c r="H113" s="142"/>
    </row>
    <row r="114" spans="1:11" s="18" customFormat="1">
      <c r="A114" s="75" t="s">
        <v>208</v>
      </c>
      <c r="B114" s="75"/>
      <c r="C114" s="75"/>
      <c r="D114" s="75"/>
      <c r="E114" s="75"/>
      <c r="F114" s="142">
        <v>20</v>
      </c>
      <c r="G114" s="142"/>
      <c r="H114" s="142"/>
    </row>
    <row r="115" spans="1:11" s="18" customFormat="1" hidden="1">
      <c r="A115" s="75" t="s">
        <v>209</v>
      </c>
      <c r="B115" s="75"/>
      <c r="C115" s="75"/>
      <c r="D115" s="75"/>
      <c r="E115" s="75"/>
      <c r="F115" s="142">
        <v>250000</v>
      </c>
      <c r="G115" s="142"/>
      <c r="H115" s="142"/>
      <c r="K115" s="53" t="s">
        <v>210</v>
      </c>
    </row>
    <row r="116" spans="1:11" s="18" customFormat="1" hidden="1">
      <c r="A116" s="75" t="s">
        <v>211</v>
      </c>
      <c r="B116" s="75"/>
      <c r="C116" s="75"/>
      <c r="D116" s="75"/>
      <c r="E116" s="75"/>
      <c r="F116" s="142"/>
      <c r="G116" s="142"/>
      <c r="H116" s="142"/>
    </row>
    <row r="117" spans="1:11" s="18" customFormat="1" hidden="1">
      <c r="A117" s="75" t="s">
        <v>212</v>
      </c>
      <c r="B117" s="75"/>
      <c r="C117" s="75"/>
      <c r="D117" s="75"/>
      <c r="E117" s="75"/>
      <c r="F117" s="142">
        <v>100000</v>
      </c>
      <c r="G117" s="142"/>
      <c r="H117" s="142"/>
    </row>
    <row r="118" spans="1:11">
      <c r="A118" s="75" t="s">
        <v>213</v>
      </c>
      <c r="B118" s="75"/>
      <c r="C118" s="75"/>
      <c r="D118" s="75"/>
      <c r="E118" s="75"/>
      <c r="F118" s="143">
        <v>300000</v>
      </c>
      <c r="G118" s="143"/>
      <c r="H118" s="143"/>
    </row>
    <row r="119" spans="1:11" s="19" customFormat="1">
      <c r="A119" s="85" t="s">
        <v>214</v>
      </c>
      <c r="B119" s="85"/>
      <c r="C119" s="85"/>
      <c r="D119" s="85"/>
      <c r="E119" s="85"/>
      <c r="F119" s="142">
        <f>F112*0.8</f>
        <v>4800</v>
      </c>
      <c r="G119" s="142"/>
      <c r="H119" s="142"/>
    </row>
    <row r="120" spans="1:11" s="20" customFormat="1">
      <c r="A120" s="144" t="s">
        <v>215</v>
      </c>
      <c r="B120" s="144"/>
      <c r="C120" s="144"/>
      <c r="D120" s="144"/>
      <c r="E120" s="144"/>
      <c r="F120" s="144"/>
      <c r="G120" s="144"/>
      <c r="H120" s="144"/>
    </row>
    <row r="121" spans="1:11" s="20" customFormat="1" ht="15.75" customHeight="1">
      <c r="A121" s="145" t="s">
        <v>216</v>
      </c>
      <c r="B121" s="145"/>
      <c r="C121" s="146" t="s">
        <v>217</v>
      </c>
      <c r="D121" s="146"/>
      <c r="E121" s="147" t="s">
        <v>218</v>
      </c>
      <c r="F121" s="147"/>
      <c r="G121" s="145" t="s">
        <v>219</v>
      </c>
      <c r="H121" s="145"/>
    </row>
    <row r="122" spans="1:11" s="20" customFormat="1">
      <c r="A122" s="148" t="s">
        <v>220</v>
      </c>
      <c r="B122" s="148"/>
      <c r="C122" s="148">
        <f>COUNT(D136:D143)*23+COUNT(D154,D156:D161)*6</f>
        <v>226</v>
      </c>
      <c r="D122" s="148"/>
      <c r="E122" s="149">
        <f>SUM(D136:D143)*23+SUM(D154,D156:D161)*6</f>
        <v>115791.71713200001</v>
      </c>
      <c r="F122" s="150"/>
      <c r="G122" s="149">
        <f>SUM(F136:F143)*23+SUM(F154,F156:F161)*6</f>
        <v>197220</v>
      </c>
      <c r="H122" s="150"/>
    </row>
    <row r="123" spans="1:11" s="20" customFormat="1">
      <c r="A123" s="149" t="s">
        <v>221</v>
      </c>
      <c r="B123" s="148"/>
      <c r="C123" s="148">
        <f>COUNT(D167:D170,D172:D173)+COUNT(D176:D183)*22+COUNT(D185:D186,D188:D192)*6</f>
        <v>224</v>
      </c>
      <c r="D123" s="148"/>
      <c r="E123" s="149">
        <f>SUM(D167:D170,D172:D173)+SUM(D176:D183)*22+SUM(D185:D186,D188:D192)*6</f>
        <v>114770.122038</v>
      </c>
      <c r="F123" s="150"/>
      <c r="G123" s="149">
        <f>SUM(F167:F170,F172:F173)+SUM(F176:F183)*22+SUM(F185:F186,F188:F192)*6</f>
        <v>195830</v>
      </c>
      <c r="H123" s="150"/>
    </row>
    <row r="124" spans="1:11" s="20" customFormat="1">
      <c r="A124" s="149" t="s">
        <v>222</v>
      </c>
      <c r="B124" s="149"/>
      <c r="C124" s="148">
        <f>COUNT(D198:D205)*23+COUNT(D207,D209:D214)*6</f>
        <v>226</v>
      </c>
      <c r="D124" s="148"/>
      <c r="E124" s="149">
        <f>SUM(D198:D205)*23+SUM(D207,D209:D214)*6</f>
        <v>115791.71713200001</v>
      </c>
      <c r="F124" s="150"/>
      <c r="G124" s="149">
        <f>SUM(F198:F205)*23+SUM(F207,F209:F214)*6</f>
        <v>197220</v>
      </c>
      <c r="H124" s="150"/>
    </row>
    <row r="125" spans="1:11" s="20" customFormat="1">
      <c r="A125" s="151" t="s">
        <v>223</v>
      </c>
      <c r="B125" s="151"/>
      <c r="C125" s="152">
        <f>SUM(C122:C124)</f>
        <v>676</v>
      </c>
      <c r="D125" s="152"/>
      <c r="E125" s="152">
        <f>SUM(E122:E124)</f>
        <v>346353.55630200001</v>
      </c>
      <c r="F125" s="152"/>
      <c r="G125" s="152">
        <f>SUM(G122:G124)</f>
        <v>590270</v>
      </c>
      <c r="H125" s="152"/>
    </row>
    <row r="126" spans="1:11" s="19" customFormat="1">
      <c r="A126" s="68" t="s">
        <v>224</v>
      </c>
      <c r="B126" s="68"/>
      <c r="C126" s="68"/>
      <c r="D126" s="68"/>
      <c r="E126" s="68"/>
      <c r="F126" s="68"/>
      <c r="G126" s="68"/>
      <c r="H126" s="68"/>
    </row>
    <row r="127" spans="1:11">
      <c r="A127" s="68" t="s">
        <v>225</v>
      </c>
      <c r="B127" s="68"/>
      <c r="C127" s="68"/>
      <c r="D127" s="68"/>
      <c r="E127" s="68"/>
      <c r="F127" s="68"/>
      <c r="G127" s="68"/>
      <c r="H127" s="68"/>
    </row>
    <row r="128" spans="1:11" ht="45">
      <c r="A128" s="156" t="s">
        <v>226</v>
      </c>
      <c r="B128" s="156" t="s">
        <v>227</v>
      </c>
      <c r="C128" s="156" t="s">
        <v>228</v>
      </c>
      <c r="D128" s="156" t="s">
        <v>229</v>
      </c>
      <c r="E128" s="157" t="s">
        <v>230</v>
      </c>
      <c r="F128" s="64" t="s">
        <v>231</v>
      </c>
      <c r="G128" s="156" t="s">
        <v>232</v>
      </c>
      <c r="H128" s="156"/>
      <c r="I128" s="54"/>
    </row>
    <row r="129" spans="1:14" s="21" customFormat="1" hidden="1">
      <c r="A129" s="156"/>
      <c r="B129" s="156"/>
      <c r="C129" s="156"/>
      <c r="D129" s="156"/>
      <c r="E129" s="157"/>
      <c r="F129" s="63">
        <v>0.5</v>
      </c>
      <c r="G129" s="156"/>
      <c r="H129" s="156"/>
      <c r="I129" s="54"/>
    </row>
    <row r="130" spans="1:14" s="21" customFormat="1">
      <c r="A130" s="153" t="s">
        <v>233</v>
      </c>
      <c r="B130" s="153"/>
      <c r="C130" s="153"/>
      <c r="D130" s="153"/>
      <c r="E130" s="153"/>
      <c r="F130" s="153"/>
      <c r="G130" s="153"/>
      <c r="H130" s="153"/>
      <c r="J130" s="54"/>
    </row>
    <row r="131" spans="1:14" s="21" customFormat="1">
      <c r="A131" s="153" t="s">
        <v>234</v>
      </c>
      <c r="B131" s="153"/>
      <c r="C131" s="153"/>
      <c r="D131" s="153"/>
      <c r="E131" s="153"/>
      <c r="F131" s="153"/>
      <c r="G131" s="153"/>
      <c r="H131" s="153"/>
      <c r="J131" s="54"/>
    </row>
    <row r="132" spans="1:14" s="21" customFormat="1">
      <c r="A132" s="153" t="s">
        <v>235</v>
      </c>
      <c r="B132" s="153"/>
      <c r="C132" s="153"/>
      <c r="D132" s="153"/>
      <c r="E132" s="153"/>
      <c r="F132" s="153"/>
      <c r="G132" s="153"/>
      <c r="H132" s="153"/>
      <c r="J132" s="54"/>
    </row>
    <row r="133" spans="1:14" s="21" customFormat="1">
      <c r="A133" s="153" t="s">
        <v>236</v>
      </c>
      <c r="B133" s="153"/>
      <c r="C133" s="153"/>
      <c r="D133" s="153"/>
      <c r="E133" s="153"/>
      <c r="F133" s="153"/>
      <c r="G133" s="153"/>
      <c r="H133" s="153"/>
      <c r="J133" s="54"/>
    </row>
    <row r="134" spans="1:14" s="21" customFormat="1">
      <c r="A134" s="153" t="s">
        <v>237</v>
      </c>
      <c r="B134" s="153"/>
      <c r="C134" s="153"/>
      <c r="D134" s="153"/>
      <c r="E134" s="153"/>
      <c r="F134" s="153"/>
      <c r="G134" s="153"/>
      <c r="H134" s="153"/>
      <c r="J134" s="54"/>
    </row>
    <row r="135" spans="1:14" s="21" customFormat="1">
      <c r="A135" s="153" t="s">
        <v>238</v>
      </c>
      <c r="B135" s="153"/>
      <c r="C135" s="153"/>
      <c r="D135" s="153"/>
      <c r="E135" s="153"/>
      <c r="F135" s="153"/>
      <c r="G135" s="153"/>
      <c r="H135" s="153"/>
      <c r="J135" s="54"/>
    </row>
    <row r="136" spans="1:14" s="21" customFormat="1">
      <c r="A136" s="154">
        <v>1</v>
      </c>
      <c r="B136" s="154"/>
      <c r="C136" s="55" t="s">
        <v>239</v>
      </c>
      <c r="D136" s="55">
        <f>(2.97*4.7+0.08*2.35+2*2.2+2.97*3.25+1.8*1.3+2.02*1.3+1.25*0.9+1.05*0.9+2.6*1)*10.764</f>
        <v>407.26132200000001</v>
      </c>
      <c r="E136" s="55">
        <v>0</v>
      </c>
      <c r="F136" s="55">
        <v>695</v>
      </c>
      <c r="G136" s="154" t="str">
        <f>A135</f>
        <v>4th to 6th, 8th, 10th, 11th, 13th to 16th, 18th to 21st, 23rd to 26th &amp; 28th to 31st Floor For Residential</v>
      </c>
      <c r="H136" s="154"/>
      <c r="I136" s="57">
        <f>4100000/F136</f>
        <v>5899.2805755395702</v>
      </c>
      <c r="L136" s="155"/>
      <c r="M136" s="155"/>
      <c r="N136" s="54"/>
    </row>
    <row r="137" spans="1:14" s="21" customFormat="1">
      <c r="A137" s="154">
        <f t="shared" ref="A137:A143" si="0">A136+1</f>
        <v>2</v>
      </c>
      <c r="B137" s="154"/>
      <c r="C137" s="55" t="s">
        <v>240</v>
      </c>
      <c r="D137" s="55">
        <f>(3.05*4.7+2.07*2.65+2.82*3.15+3.55*3.05+1.2*2.1+1.35*2+1.2*1.05+1.5*0.9+2.6*0.9+1.05*2.75+3.05*1+2.07*1.05+0.15*0.55)*10.764</f>
        <v>623.17639799999995</v>
      </c>
      <c r="E137" s="55">
        <v>0</v>
      </c>
      <c r="F137" s="55">
        <v>1060</v>
      </c>
      <c r="G137" s="154"/>
      <c r="H137" s="154"/>
      <c r="I137" s="57">
        <f>6000000/F137</f>
        <v>5660.3773584905703</v>
      </c>
      <c r="L137" s="155"/>
      <c r="M137" s="155"/>
      <c r="N137" s="54"/>
    </row>
    <row r="138" spans="1:14" s="21" customFormat="1">
      <c r="A138" s="154">
        <f t="shared" si="0"/>
        <v>3</v>
      </c>
      <c r="B138" s="154"/>
      <c r="C138" s="55" t="s">
        <v>240</v>
      </c>
      <c r="D138" s="55">
        <f>(3.05*4.7+2.07*2.65+2.82*3.15+3.55*3.05+1.2*2.1+1.35*2+1.2*1.05+1.5*0.9+2.6*0.9+1.05*2.75+3.05*1+2.07*1.05+0.15*0.55)*10.764</f>
        <v>623.17639799999995</v>
      </c>
      <c r="E138" s="55">
        <v>0</v>
      </c>
      <c r="F138" s="55">
        <v>1060</v>
      </c>
      <c r="G138" s="154"/>
      <c r="H138" s="154"/>
      <c r="I138" s="54"/>
      <c r="L138" s="155"/>
      <c r="M138" s="155"/>
      <c r="N138" s="54"/>
    </row>
    <row r="139" spans="1:14" s="21" customFormat="1" ht="15.75" customHeight="1">
      <c r="A139" s="154">
        <f t="shared" si="0"/>
        <v>4</v>
      </c>
      <c r="B139" s="154"/>
      <c r="C139" s="55" t="s">
        <v>239</v>
      </c>
      <c r="D139" s="55">
        <f>(2.97*4.7+0.08*2.35+2*2.2+2.97*3.25+1.8*1.3+2.02*1.3+1.25*0.9+1.05*0.9+2.6*1)*10.764</f>
        <v>407.26132200000001</v>
      </c>
      <c r="E139" s="55">
        <v>0</v>
      </c>
      <c r="F139" s="55">
        <v>695</v>
      </c>
      <c r="G139" s="154"/>
      <c r="H139" s="154"/>
      <c r="I139" s="54"/>
      <c r="L139" s="155"/>
      <c r="M139" s="155"/>
      <c r="N139" s="54"/>
    </row>
    <row r="140" spans="1:14" s="21" customFormat="1">
      <c r="A140" s="154">
        <f t="shared" si="0"/>
        <v>5</v>
      </c>
      <c r="B140" s="154"/>
      <c r="C140" s="55" t="s">
        <v>239</v>
      </c>
      <c r="D140" s="55">
        <f>(2.97*4.7+0.08*2.35+2*2.2+2.97*3.25+1.8*1.3+2.02*1.3+1.25*0.9+1.05*0.9+2.6*1)*10.764</f>
        <v>407.26132200000001</v>
      </c>
      <c r="E140" s="55">
        <v>0</v>
      </c>
      <c r="F140" s="55">
        <v>695</v>
      </c>
      <c r="G140" s="154"/>
      <c r="H140" s="154"/>
      <c r="I140" s="54"/>
      <c r="L140" s="155"/>
      <c r="M140" s="155"/>
      <c r="N140" s="54"/>
    </row>
    <row r="141" spans="1:14" s="21" customFormat="1">
      <c r="A141" s="154">
        <f t="shared" si="0"/>
        <v>6</v>
      </c>
      <c r="B141" s="154"/>
      <c r="C141" s="55" t="s">
        <v>240</v>
      </c>
      <c r="D141" s="55">
        <f>(3.05*4.7+2.07*2.65+2.82*3.15+3.55*3.05+1.2*2.1+1.35*2+1.2*1.05+1.5*0.9+2.6*0.9+1.05*2.75+3.05*1+2.07*1.05+0.15*0.55)*10.764</f>
        <v>623.17639799999995</v>
      </c>
      <c r="E141" s="55">
        <v>0</v>
      </c>
      <c r="F141" s="55">
        <v>1060</v>
      </c>
      <c r="G141" s="154"/>
      <c r="H141" s="154"/>
      <c r="I141" s="54"/>
      <c r="L141" s="155"/>
      <c r="M141" s="155"/>
      <c r="N141" s="54"/>
    </row>
    <row r="142" spans="1:14" s="21" customFormat="1">
      <c r="A142" s="154">
        <f t="shared" si="0"/>
        <v>7</v>
      </c>
      <c r="B142" s="154"/>
      <c r="C142" s="55" t="s">
        <v>240</v>
      </c>
      <c r="D142" s="55">
        <f>(3.05*4.7+1.05*2.75+2.07*2.65+2.82*3.15+3.55*3.05+1.2*2.1+1.35*2+1.5*0.9+1.2*1.05+2.6*0.9+3.05*1+2.07*1.05+0.15*0.55)*10.764</f>
        <v>623.17639799999995</v>
      </c>
      <c r="E142" s="55">
        <v>0</v>
      </c>
      <c r="F142" s="55">
        <v>1060</v>
      </c>
      <c r="G142" s="154"/>
      <c r="H142" s="154"/>
      <c r="I142" s="54"/>
      <c r="L142" s="155"/>
      <c r="M142" s="155"/>
      <c r="N142" s="54"/>
    </row>
    <row r="143" spans="1:14" s="21" customFormat="1">
      <c r="A143" s="154">
        <f t="shared" si="0"/>
        <v>8</v>
      </c>
      <c r="B143" s="154"/>
      <c r="C143" s="55" t="s">
        <v>239</v>
      </c>
      <c r="D143" s="55">
        <f>(2.97*4.7+0.08*2.35+2*2.2+2.97*3.25+1.8*1.3+2.02*1.3+1.25*0.9+1.05*0.9+2.6*1)*10.764</f>
        <v>407.26132200000001</v>
      </c>
      <c r="E143" s="55">
        <v>0</v>
      </c>
      <c r="F143" s="55">
        <v>695</v>
      </c>
      <c r="G143" s="154"/>
      <c r="H143" s="154"/>
      <c r="I143" s="54"/>
      <c r="L143" s="155"/>
      <c r="M143" s="155"/>
      <c r="N143" s="54"/>
    </row>
    <row r="144" spans="1:14" s="21" customFormat="1">
      <c r="A144" s="153" t="s">
        <v>241</v>
      </c>
      <c r="B144" s="153"/>
      <c r="C144" s="153"/>
      <c r="D144" s="153"/>
      <c r="E144" s="153"/>
      <c r="F144" s="153"/>
      <c r="G144" s="153"/>
      <c r="H144" s="153"/>
      <c r="J144" s="54"/>
    </row>
    <row r="145" spans="1:14" s="21" customFormat="1">
      <c r="A145" s="154">
        <v>1</v>
      </c>
      <c r="B145" s="154"/>
      <c r="C145" s="55" t="s">
        <v>239</v>
      </c>
      <c r="D145" s="55">
        <f>(2.97*4.7+0.08*2.35+2*2.2+2.97*3.25+1.8*1.3+2.02*1.3+1.25*0.9+1.05*0.9+2.6*1)*10.764</f>
        <v>407.26132200000001</v>
      </c>
      <c r="E145" s="55">
        <v>0</v>
      </c>
      <c r="F145" s="55">
        <v>695</v>
      </c>
      <c r="G145" s="154" t="str">
        <f>A144</f>
        <v>9th Floor For Residential</v>
      </c>
      <c r="H145" s="154"/>
      <c r="I145" s="57">
        <f>4100000/F145</f>
        <v>5899.2805755395702</v>
      </c>
      <c r="L145" s="155"/>
      <c r="M145" s="155"/>
      <c r="N145" s="54"/>
    </row>
    <row r="146" spans="1:14" s="21" customFormat="1">
      <c r="A146" s="154">
        <f t="shared" ref="A146:A152" si="1">A145+1</f>
        <v>2</v>
      </c>
      <c r="B146" s="154"/>
      <c r="C146" s="55" t="s">
        <v>240</v>
      </c>
      <c r="D146" s="55">
        <f>(3.05*4.7+2.07*2.65+2.82*3.15+3.55*3.05+1.2*2.1+1.35*2+1.2*1.05+1.5*0.9+2.6*0.9+1.05*2.75+3.05*1+2.07*1.05+0.15*0.55)*10.764</f>
        <v>623.17639799999995</v>
      </c>
      <c r="E146" s="55">
        <v>0</v>
      </c>
      <c r="F146" s="55">
        <v>1060</v>
      </c>
      <c r="G146" s="154"/>
      <c r="H146" s="154"/>
      <c r="I146" s="57">
        <f>6000000/F146</f>
        <v>5660.3773584905703</v>
      </c>
      <c r="L146" s="155"/>
      <c r="M146" s="155"/>
      <c r="N146" s="54"/>
    </row>
    <row r="147" spans="1:14" s="21" customFormat="1">
      <c r="A147" s="154">
        <f t="shared" si="1"/>
        <v>3</v>
      </c>
      <c r="B147" s="154"/>
      <c r="C147" s="55" t="s">
        <v>240</v>
      </c>
      <c r="D147" s="55">
        <f>(3.05*4.7+2.07*2.65+2.82*3.15+3.55*3.05+1.2*2.1+1.35*2+1.2*1.05+1.5*0.9+2.6*0.9+1.05*2.75+3.05*1+2.07*1.05+0.15*0.55)*10.764</f>
        <v>623.17639799999995</v>
      </c>
      <c r="E147" s="55">
        <v>0</v>
      </c>
      <c r="F147" s="55">
        <v>1060</v>
      </c>
      <c r="G147" s="154"/>
      <c r="H147" s="154"/>
      <c r="I147" s="54"/>
      <c r="L147" s="155"/>
      <c r="M147" s="155"/>
      <c r="N147" s="54"/>
    </row>
    <row r="148" spans="1:14" s="21" customFormat="1" ht="15.75" customHeight="1">
      <c r="A148" s="154">
        <f t="shared" si="1"/>
        <v>4</v>
      </c>
      <c r="B148" s="154"/>
      <c r="C148" s="55" t="s">
        <v>239</v>
      </c>
      <c r="D148" s="55">
        <f>(2.97*4.7+0.08*2.35+2*2.2+2.97*3.25+1.8*1.3+2.02*1.3+1.25*0.9+1.05*0.9+2.6*1)*10.764</f>
        <v>407.26132200000001</v>
      </c>
      <c r="E148" s="55">
        <v>0</v>
      </c>
      <c r="F148" s="55">
        <v>695</v>
      </c>
      <c r="G148" s="154"/>
      <c r="H148" s="154"/>
      <c r="I148" s="54"/>
      <c r="L148" s="155"/>
      <c r="M148" s="155"/>
      <c r="N148" s="54"/>
    </row>
    <row r="149" spans="1:14" s="22" customFormat="1">
      <c r="A149" s="158">
        <f t="shared" si="1"/>
        <v>5</v>
      </c>
      <c r="B149" s="158"/>
      <c r="C149" s="56" t="s">
        <v>239</v>
      </c>
      <c r="D149" s="56">
        <f>(2.97*4.7+0.08*2.35+2*2.2+2.97*3.25+1.8*1.3+2.02*1.3+1.25*0.9+1.05*0.9+2.6*1)*10.764</f>
        <v>407.26132200000001</v>
      </c>
      <c r="E149" s="56">
        <v>0</v>
      </c>
      <c r="F149" s="56">
        <v>715</v>
      </c>
      <c r="G149" s="154"/>
      <c r="H149" s="154"/>
      <c r="I149" s="58" t="s">
        <v>242</v>
      </c>
      <c r="L149" s="159"/>
      <c r="M149" s="159"/>
      <c r="N149" s="58"/>
    </row>
    <row r="150" spans="1:14" s="21" customFormat="1">
      <c r="A150" s="154">
        <f t="shared" si="1"/>
        <v>6</v>
      </c>
      <c r="B150" s="154"/>
      <c r="C150" s="55" t="s">
        <v>240</v>
      </c>
      <c r="D150" s="55">
        <f>(3.05*4.7+2.07*2.65+2.82*3.15+3.55*3.05+1.2*2.1+1.35*2+1.2*1.05+1.5*0.9+2.6*0.9+1.05*2.75+3.05*1+2.07*1.05+0.15*0.55)*10.764</f>
        <v>623.17639799999995</v>
      </c>
      <c r="E150" s="55">
        <v>0</v>
      </c>
      <c r="F150" s="55">
        <v>1060</v>
      </c>
      <c r="G150" s="154"/>
      <c r="H150" s="154"/>
      <c r="I150" s="54"/>
      <c r="L150" s="155"/>
      <c r="M150" s="155"/>
      <c r="N150" s="54"/>
    </row>
    <row r="151" spans="1:14" s="21" customFormat="1">
      <c r="A151" s="154">
        <f t="shared" si="1"/>
        <v>7</v>
      </c>
      <c r="B151" s="154"/>
      <c r="C151" s="55" t="s">
        <v>240</v>
      </c>
      <c r="D151" s="55">
        <f>(3.05*4.7+1.05*2.75+2.07*2.65+2.82*3.15+3.55*3.05+1.2*2.1+1.35*2+1.5*0.9+1.2*1.05+2.6*0.9+3.05*1+2.07*1.05+0.15*0.55)*10.764</f>
        <v>623.17639799999995</v>
      </c>
      <c r="E151" s="55">
        <v>0</v>
      </c>
      <c r="F151" s="55">
        <v>1060</v>
      </c>
      <c r="G151" s="154"/>
      <c r="H151" s="154"/>
      <c r="I151" s="54"/>
      <c r="L151" s="155"/>
      <c r="M151" s="155"/>
      <c r="N151" s="54"/>
    </row>
    <row r="152" spans="1:14" s="21" customFormat="1">
      <c r="A152" s="154">
        <f t="shared" si="1"/>
        <v>8</v>
      </c>
      <c r="B152" s="154"/>
      <c r="C152" s="55" t="s">
        <v>239</v>
      </c>
      <c r="D152" s="55">
        <f>(2.97*4.7+0.08*2.35+2*2.2+2.97*3.25+1.8*1.3+2.02*1.3+1.25*0.9+1.05*0.9+2.6*1)*10.764</f>
        <v>407.26132200000001</v>
      </c>
      <c r="E152" s="55">
        <v>0</v>
      </c>
      <c r="F152" s="55">
        <v>695</v>
      </c>
      <c r="G152" s="154"/>
      <c r="H152" s="154"/>
      <c r="I152" s="54"/>
      <c r="L152" s="155"/>
      <c r="M152" s="155"/>
      <c r="N152" s="54"/>
    </row>
    <row r="153" spans="1:14" s="21" customFormat="1">
      <c r="A153" s="153" t="s">
        <v>243</v>
      </c>
      <c r="B153" s="153"/>
      <c r="C153" s="153"/>
      <c r="D153" s="153"/>
      <c r="E153" s="153"/>
      <c r="F153" s="153"/>
      <c r="G153" s="153"/>
      <c r="H153" s="153"/>
      <c r="I153" s="54"/>
      <c r="L153" s="155"/>
      <c r="M153" s="155"/>
    </row>
    <row r="154" spans="1:14" s="21" customFormat="1" ht="15.75" customHeight="1">
      <c r="A154" s="154">
        <v>1</v>
      </c>
      <c r="B154" s="154"/>
      <c r="C154" s="55" t="s">
        <v>239</v>
      </c>
      <c r="D154" s="55">
        <f>(2.97*4.7+0.08*2.35+2*2.2+2.97*3.25+2.02*1.3+1.8*1.3+1.25*0.9+1.05*0.9+2.6*1)*10.764</f>
        <v>407.26132200000001</v>
      </c>
      <c r="E154" s="55">
        <v>0</v>
      </c>
      <c r="F154" s="55">
        <v>695</v>
      </c>
      <c r="G154" s="154" t="str">
        <f>A153</f>
        <v>7th, 12th, 17th, 22nd, 27th &amp; 32nd Floor (Part Refuge Area)</v>
      </c>
      <c r="H154" s="154"/>
      <c r="I154" s="54"/>
      <c r="L154" s="155"/>
      <c r="M154" s="155"/>
      <c r="N154" s="54"/>
    </row>
    <row r="155" spans="1:14" s="21" customFormat="1" ht="15.75" customHeight="1">
      <c r="A155" s="154">
        <f t="shared" ref="A155:A161" si="2">A154+1</f>
        <v>2</v>
      </c>
      <c r="B155" s="154"/>
      <c r="C155" s="154" t="s">
        <v>244</v>
      </c>
      <c r="D155" s="154"/>
      <c r="E155" s="154"/>
      <c r="F155" s="154"/>
      <c r="G155" s="154"/>
      <c r="H155" s="154"/>
      <c r="I155" s="54"/>
      <c r="L155" s="155"/>
      <c r="M155" s="155"/>
      <c r="N155" s="54"/>
    </row>
    <row r="156" spans="1:14" s="21" customFormat="1" ht="15.75" customHeight="1">
      <c r="A156" s="154">
        <f t="shared" si="2"/>
        <v>3</v>
      </c>
      <c r="B156" s="154"/>
      <c r="C156" s="55" t="s">
        <v>240</v>
      </c>
      <c r="D156" s="55">
        <f>(3.05*4.7+2.07*2.65+2.82*3.15+3.55*3.05+1.2*2.1+1.35*2+1.2*1.05+1.5*0.9+2.6*0.9+1.05*2.75+3.05*1+2.07*1.05+0.15*0.55)*10.764</f>
        <v>623.17639799999995</v>
      </c>
      <c r="E156" s="55">
        <v>0</v>
      </c>
      <c r="F156" s="55">
        <v>1060</v>
      </c>
      <c r="G156" s="154"/>
      <c r="H156" s="154"/>
      <c r="I156" s="54"/>
      <c r="L156" s="155"/>
      <c r="M156" s="155"/>
      <c r="N156" s="54"/>
    </row>
    <row r="157" spans="1:14" s="21" customFormat="1" ht="15.75" customHeight="1">
      <c r="A157" s="154">
        <f t="shared" si="2"/>
        <v>4</v>
      </c>
      <c r="B157" s="154"/>
      <c r="C157" s="55" t="s">
        <v>239</v>
      </c>
      <c r="D157" s="55">
        <f>(2.97*4.7+0.08*2.35+2*2.2+2.97*3.25+1.8*1.3+2.02*1.3+1.25*0.9+1.05*0.9+2.6*1)*10.764</f>
        <v>407.26132200000001</v>
      </c>
      <c r="E157" s="55">
        <v>0</v>
      </c>
      <c r="F157" s="55">
        <v>695</v>
      </c>
      <c r="G157" s="154"/>
      <c r="H157" s="154"/>
      <c r="I157" s="54"/>
      <c r="L157" s="155"/>
      <c r="M157" s="155"/>
      <c r="N157" s="54"/>
    </row>
    <row r="158" spans="1:14" s="21" customFormat="1">
      <c r="A158" s="154">
        <f t="shared" si="2"/>
        <v>5</v>
      </c>
      <c r="B158" s="154"/>
      <c r="C158" s="55" t="s">
        <v>239</v>
      </c>
      <c r="D158" s="55">
        <f>(2.97*4.7+0.08*2.35+2*2.2+2.97*3.25+1.8*1.3+2.02*1.3+1.25*0.9+1.05*0.9+2.6*1)*10.764</f>
        <v>407.26132200000001</v>
      </c>
      <c r="E158" s="55">
        <v>0</v>
      </c>
      <c r="F158" s="55">
        <v>695</v>
      </c>
      <c r="G158" s="154"/>
      <c r="H158" s="154"/>
      <c r="I158" s="54"/>
      <c r="L158" s="155"/>
      <c r="M158" s="155"/>
      <c r="N158" s="54"/>
    </row>
    <row r="159" spans="1:14" s="21" customFormat="1">
      <c r="A159" s="154">
        <f t="shared" si="2"/>
        <v>6</v>
      </c>
      <c r="B159" s="154"/>
      <c r="C159" s="55" t="s">
        <v>240</v>
      </c>
      <c r="D159" s="55">
        <f>(3.05*4.7+2.07*2.65+2.82*3.15+3.55*3.05+1.2*2.1+1.35*2+1.2*1.05+1.5*0.9+2.6*0.9+1.05*2.75+3.05*1+2.07*1.05+0.15*0.55)*10.764</f>
        <v>623.17639799999995</v>
      </c>
      <c r="E159" s="55">
        <v>0</v>
      </c>
      <c r="F159" s="55">
        <v>1060</v>
      </c>
      <c r="G159" s="154"/>
      <c r="H159" s="154"/>
      <c r="I159" s="54"/>
      <c r="L159" s="155"/>
      <c r="M159" s="155"/>
      <c r="N159" s="54"/>
    </row>
    <row r="160" spans="1:14" s="21" customFormat="1">
      <c r="A160" s="154">
        <f t="shared" si="2"/>
        <v>7</v>
      </c>
      <c r="B160" s="154"/>
      <c r="C160" s="55" t="s">
        <v>240</v>
      </c>
      <c r="D160" s="55">
        <f>(3.05*4.7+1.05*2.75+2.07*2.65+2.82*3.15+3.55*3.05+1.2*2.1+1.35*2+1.5*0.9+1.2*1.05+2.6*0.9+3.05*1+2.07*1.05+0.15*0.55)*10.764</f>
        <v>623.17639799999995</v>
      </c>
      <c r="E160" s="55">
        <v>0</v>
      </c>
      <c r="F160" s="55">
        <v>1060</v>
      </c>
      <c r="G160" s="154"/>
      <c r="H160" s="154"/>
      <c r="I160" s="54"/>
      <c r="L160" s="155"/>
      <c r="M160" s="155"/>
      <c r="N160" s="54"/>
    </row>
    <row r="161" spans="1:14" s="21" customFormat="1">
      <c r="A161" s="154">
        <f t="shared" si="2"/>
        <v>8</v>
      </c>
      <c r="B161" s="154"/>
      <c r="C161" s="55" t="s">
        <v>239</v>
      </c>
      <c r="D161" s="55">
        <f>(2.97*4.7+0.08*2.35+2*2.2+2.97*3.25+1.8*1.3+2.02*1.3+1.25*0.9+1.05*0.9+2.6*1)*10.764</f>
        <v>407.26132200000001</v>
      </c>
      <c r="E161" s="55">
        <v>0</v>
      </c>
      <c r="F161" s="55">
        <v>695</v>
      </c>
      <c r="G161" s="154"/>
      <c r="H161" s="154"/>
      <c r="I161" s="54"/>
      <c r="L161" s="155"/>
      <c r="M161" s="155"/>
      <c r="N161" s="54"/>
    </row>
    <row r="162" spans="1:14" s="21" customFormat="1">
      <c r="A162" s="160" t="s">
        <v>221</v>
      </c>
      <c r="B162" s="160"/>
      <c r="C162" s="160"/>
      <c r="D162" s="160"/>
      <c r="E162" s="160"/>
      <c r="F162" s="160"/>
      <c r="G162" s="160"/>
      <c r="H162" s="160"/>
      <c r="J162" s="54"/>
    </row>
    <row r="163" spans="1:14" s="21" customFormat="1">
      <c r="A163" s="153" t="s">
        <v>235</v>
      </c>
      <c r="B163" s="153"/>
      <c r="C163" s="153"/>
      <c r="D163" s="153"/>
      <c r="E163" s="153"/>
      <c r="F163" s="153"/>
      <c r="G163" s="153"/>
      <c r="H163" s="153"/>
      <c r="J163" s="54"/>
    </row>
    <row r="164" spans="1:14" s="21" customFormat="1">
      <c r="A164" s="153" t="s">
        <v>236</v>
      </c>
      <c r="B164" s="153"/>
      <c r="C164" s="153"/>
      <c r="D164" s="153"/>
      <c r="E164" s="153"/>
      <c r="F164" s="153"/>
      <c r="G164" s="153"/>
      <c r="H164" s="153"/>
      <c r="J164" s="54"/>
    </row>
    <row r="165" spans="1:14" s="21" customFormat="1">
      <c r="A165" s="153" t="s">
        <v>237</v>
      </c>
      <c r="B165" s="153"/>
      <c r="C165" s="153"/>
      <c r="D165" s="153"/>
      <c r="E165" s="153"/>
      <c r="F165" s="153"/>
      <c r="G165" s="153"/>
      <c r="H165" s="153"/>
      <c r="J165" s="54"/>
    </row>
    <row r="166" spans="1:14" s="21" customFormat="1">
      <c r="A166" s="153" t="s">
        <v>245</v>
      </c>
      <c r="B166" s="153"/>
      <c r="C166" s="153"/>
      <c r="D166" s="153"/>
      <c r="E166" s="153"/>
      <c r="F166" s="153"/>
      <c r="G166" s="153"/>
      <c r="H166" s="153"/>
      <c r="J166" s="54"/>
    </row>
    <row r="167" spans="1:14" s="21" customFormat="1">
      <c r="A167" s="154">
        <v>1</v>
      </c>
      <c r="B167" s="154"/>
      <c r="C167" s="55" t="s">
        <v>239</v>
      </c>
      <c r="D167" s="55">
        <f>(2.97*4.7+2*2.2+2.97*3.25+1.8*1.3+2.02*1.3+1.38*0.9+1*0.9+2.6*1)*10.764</f>
        <v>406.012698</v>
      </c>
      <c r="E167" s="55">
        <v>0</v>
      </c>
      <c r="F167" s="55">
        <v>695</v>
      </c>
      <c r="G167" s="154" t="str">
        <f>A166</f>
        <v>4th Floor For Residential &amp; Part Podium</v>
      </c>
      <c r="H167" s="154"/>
      <c r="I167" s="57"/>
      <c r="L167" s="155"/>
      <c r="M167" s="155"/>
      <c r="N167" s="54"/>
    </row>
    <row r="168" spans="1:14" s="21" customFormat="1">
      <c r="A168" s="154">
        <f t="shared" ref="A168:A174" si="3">A167+1</f>
        <v>2</v>
      </c>
      <c r="B168" s="154"/>
      <c r="C168" s="55" t="s">
        <v>240</v>
      </c>
      <c r="D168" s="55">
        <f>(3.05*4.7+2.07*2.65+2.82*3.15+3.55*3.05+1.2*2.1+1.35*2+1.2*1.05+1.65*0.9+3.65*0.9+1.05*1.85+3.05*1+2.07*1.05+0.15*0.5)*10.764</f>
        <v>624.54880800000001</v>
      </c>
      <c r="E168" s="55">
        <v>0</v>
      </c>
      <c r="F168" s="55">
        <v>1060</v>
      </c>
      <c r="G168" s="154"/>
      <c r="H168" s="154"/>
      <c r="I168" s="57"/>
      <c r="L168" s="155"/>
      <c r="M168" s="155"/>
      <c r="N168" s="54"/>
    </row>
    <row r="169" spans="1:14" s="21" customFormat="1">
      <c r="A169" s="154">
        <f t="shared" si="3"/>
        <v>3</v>
      </c>
      <c r="B169" s="154"/>
      <c r="C169" s="55" t="s">
        <v>240</v>
      </c>
      <c r="D169" s="55">
        <f>(3.05*4.7+2.07*2.65+2.82*3.15+3.55*3.05+1.2*2.1+1.35*2+1.2*1.05+1.65*0.9+3.65*0.9+1.05*1.85+3.05*1+2.07*0.9)*10.764</f>
        <v>620.39928599999996</v>
      </c>
      <c r="E169" s="55">
        <v>0</v>
      </c>
      <c r="F169" s="55">
        <v>1060</v>
      </c>
      <c r="G169" s="154"/>
      <c r="H169" s="154"/>
      <c r="I169" s="54"/>
      <c r="L169" s="155"/>
      <c r="M169" s="155"/>
      <c r="N169" s="54"/>
    </row>
    <row r="170" spans="1:14" s="21" customFormat="1" ht="15.75" customHeight="1">
      <c r="A170" s="154">
        <f t="shared" si="3"/>
        <v>4</v>
      </c>
      <c r="B170" s="154"/>
      <c r="C170" s="55" t="s">
        <v>239</v>
      </c>
      <c r="D170" s="55">
        <f>(2.97*4.7+2*2.2+2.97*3.25+1.8*1.3+2.02*1.3+1.38*0.9+1*0.9+2.6*1)*10.764</f>
        <v>406.012698</v>
      </c>
      <c r="E170" s="55">
        <v>0</v>
      </c>
      <c r="F170" s="55">
        <v>695</v>
      </c>
      <c r="G170" s="154"/>
      <c r="H170" s="154"/>
      <c r="I170" s="54"/>
      <c r="L170" s="155"/>
      <c r="M170" s="155"/>
      <c r="N170" s="54"/>
    </row>
    <row r="171" spans="1:14" s="21" customFormat="1">
      <c r="A171" s="154">
        <f t="shared" si="3"/>
        <v>5</v>
      </c>
      <c r="B171" s="154"/>
      <c r="C171" s="154" t="s">
        <v>168</v>
      </c>
      <c r="D171" s="154"/>
      <c r="E171" s="154"/>
      <c r="F171" s="154"/>
      <c r="G171" s="154"/>
      <c r="H171" s="154"/>
      <c r="I171" s="54"/>
      <c r="L171" s="155"/>
      <c r="M171" s="155"/>
      <c r="N171" s="54"/>
    </row>
    <row r="172" spans="1:14" s="21" customFormat="1">
      <c r="A172" s="154">
        <f t="shared" si="3"/>
        <v>6</v>
      </c>
      <c r="B172" s="154"/>
      <c r="C172" s="55" t="s">
        <v>240</v>
      </c>
      <c r="D172" s="55">
        <f>(3.05*4.7+1.05*1.85+2.07*2.65+2.82*3.15+3.55*3.05+1.2*2.1+1.35*2+1.65*0.9+1.2*1.05+3.65*0.9+3.05*1+2.07*0.9)*10.764</f>
        <v>620.39928599999996</v>
      </c>
      <c r="E172" s="55">
        <v>0</v>
      </c>
      <c r="F172" s="55">
        <v>1060</v>
      </c>
      <c r="G172" s="154"/>
      <c r="H172" s="154"/>
      <c r="I172" s="54"/>
      <c r="L172" s="155"/>
      <c r="M172" s="155"/>
      <c r="N172" s="54"/>
    </row>
    <row r="173" spans="1:14" s="21" customFormat="1">
      <c r="A173" s="154">
        <f t="shared" si="3"/>
        <v>7</v>
      </c>
      <c r="B173" s="154"/>
      <c r="C173" s="55" t="s">
        <v>240</v>
      </c>
      <c r="D173" s="55">
        <f>(3.05*4.7+1.05*1.85+2.07*2.65+2.82*3.15+3.55*3.05+1.2*2.1+1.35*2+1.65*0.9+1.2*1.05+3.65*0.9+3.05*1+2.07*1.05+0.15*0.55)*10.764</f>
        <v>624.62953800000003</v>
      </c>
      <c r="E173" s="55">
        <v>0</v>
      </c>
      <c r="F173" s="55">
        <v>1060</v>
      </c>
      <c r="G173" s="154"/>
      <c r="H173" s="154"/>
      <c r="I173" s="54"/>
      <c r="L173" s="155"/>
      <c r="M173" s="155"/>
      <c r="N173" s="54"/>
    </row>
    <row r="174" spans="1:14" s="21" customFormat="1">
      <c r="A174" s="154">
        <f t="shared" si="3"/>
        <v>8</v>
      </c>
      <c r="B174" s="154"/>
      <c r="C174" s="154" t="s">
        <v>168</v>
      </c>
      <c r="D174" s="154"/>
      <c r="E174" s="154"/>
      <c r="F174" s="154"/>
      <c r="G174" s="154"/>
      <c r="H174" s="154"/>
      <c r="I174" s="54"/>
      <c r="L174" s="155"/>
      <c r="M174" s="155"/>
      <c r="N174" s="54"/>
    </row>
    <row r="175" spans="1:14" s="21" customFormat="1">
      <c r="A175" s="153" t="s">
        <v>246</v>
      </c>
      <c r="B175" s="153"/>
      <c r="C175" s="153"/>
      <c r="D175" s="153"/>
      <c r="E175" s="153"/>
      <c r="F175" s="153"/>
      <c r="G175" s="153"/>
      <c r="H175" s="153"/>
      <c r="J175" s="54"/>
    </row>
    <row r="176" spans="1:14" s="21" customFormat="1">
      <c r="A176" s="154">
        <v>1</v>
      </c>
      <c r="B176" s="154"/>
      <c r="C176" s="55" t="s">
        <v>239</v>
      </c>
      <c r="D176" s="55">
        <f>(2.97*4.7+2*2.2+2.97*3.25+1.8*1.3+2.02*1.3+1.38*0.9+1*0.9+2.6*1)*10.764</f>
        <v>406.012698</v>
      </c>
      <c r="E176" s="55">
        <v>0</v>
      </c>
      <c r="F176" s="55">
        <v>695</v>
      </c>
      <c r="G176" s="154" t="str">
        <f>A175</f>
        <v>5th, 6th, 8th to 11th, 13th to 16th, 18th to 21st, 23rd to 26th &amp; 28th to 31st Floor</v>
      </c>
      <c r="H176" s="154"/>
      <c r="I176" s="57"/>
      <c r="L176" s="155"/>
      <c r="M176" s="155"/>
      <c r="N176" s="54"/>
    </row>
    <row r="177" spans="1:14" s="21" customFormat="1">
      <c r="A177" s="154">
        <f t="shared" ref="A177:A183" si="4">A176+1</f>
        <v>2</v>
      </c>
      <c r="B177" s="154"/>
      <c r="C177" s="55" t="s">
        <v>240</v>
      </c>
      <c r="D177" s="55">
        <f>(3.05*4.7+2.07*2.65+2.82*3.15+3.55*3.05+1.2*2.1+1.35*2+1.2*1.05+1.65*0.9+3.65*0.9+1.05*1.85+3.05*1+2.07*1.05+0.15*0.5)*10.764</f>
        <v>624.54880800000001</v>
      </c>
      <c r="E177" s="55">
        <v>0</v>
      </c>
      <c r="F177" s="55">
        <v>1060</v>
      </c>
      <c r="G177" s="154"/>
      <c r="H177" s="154"/>
      <c r="I177" s="57"/>
      <c r="L177" s="155"/>
      <c r="M177" s="155"/>
      <c r="N177" s="54"/>
    </row>
    <row r="178" spans="1:14" s="21" customFormat="1">
      <c r="A178" s="154">
        <f t="shared" si="4"/>
        <v>3</v>
      </c>
      <c r="B178" s="154"/>
      <c r="C178" s="55" t="s">
        <v>240</v>
      </c>
      <c r="D178" s="55">
        <f>(3.05*4.7+2.07*2.65+2.82*3.15+3.55*3.05+1.2*2.1+1.35*2+1.2*1.05+1.65*0.9+3.65*0.9+1.05*1.85+3.05*1+2.07*0.9)*10.764</f>
        <v>620.39928599999996</v>
      </c>
      <c r="E178" s="55">
        <v>0</v>
      </c>
      <c r="F178" s="55">
        <v>1060</v>
      </c>
      <c r="G178" s="154"/>
      <c r="H178" s="154"/>
      <c r="I178" s="54"/>
      <c r="L178" s="155"/>
      <c r="M178" s="155"/>
      <c r="N178" s="54"/>
    </row>
    <row r="179" spans="1:14" s="21" customFormat="1" ht="15.75" customHeight="1">
      <c r="A179" s="154">
        <f t="shared" si="4"/>
        <v>4</v>
      </c>
      <c r="B179" s="154"/>
      <c r="C179" s="55" t="s">
        <v>239</v>
      </c>
      <c r="D179" s="55">
        <f>(2.97*4.7+2*2.2+2.97*3.25+1.8*1.3+2.02*1.3+1.38*0.9+1*0.9+2.6*1)*10.764</f>
        <v>406.012698</v>
      </c>
      <c r="E179" s="55">
        <v>0</v>
      </c>
      <c r="F179" s="55">
        <v>695</v>
      </c>
      <c r="G179" s="154"/>
      <c r="H179" s="154"/>
      <c r="I179" s="54"/>
      <c r="L179" s="155"/>
      <c r="M179" s="155"/>
      <c r="N179" s="54"/>
    </row>
    <row r="180" spans="1:14" s="21" customFormat="1">
      <c r="A180" s="154">
        <f t="shared" si="4"/>
        <v>5</v>
      </c>
      <c r="B180" s="154"/>
      <c r="C180" s="55" t="s">
        <v>239</v>
      </c>
      <c r="D180" s="55">
        <f>(2.97*4.7+2*2.2+2.97*3.25+1.8*1.3+2.02*1.3+1.38*0.9+1*0.9+2.6*1)*10.764</f>
        <v>406.012698</v>
      </c>
      <c r="E180" s="55">
        <v>0</v>
      </c>
      <c r="F180" s="55">
        <v>695</v>
      </c>
      <c r="G180" s="154"/>
      <c r="H180" s="154"/>
      <c r="I180" s="54"/>
      <c r="L180" s="155"/>
      <c r="M180" s="155"/>
      <c r="N180" s="54"/>
    </row>
    <row r="181" spans="1:14" s="21" customFormat="1">
      <c r="A181" s="154">
        <f t="shared" si="4"/>
        <v>6</v>
      </c>
      <c r="B181" s="154"/>
      <c r="C181" s="55" t="s">
        <v>240</v>
      </c>
      <c r="D181" s="55">
        <f>(3.05*4.7+1.05*1.85+2.07*2.65+2.82*3.15+3.55*3.05+1.2*2.1+1.35*2+1.65*0.9+1.2*1.05+3.65*0.9+3.05*1+2.07*0.9)*10.764</f>
        <v>620.39928599999996</v>
      </c>
      <c r="E181" s="55">
        <v>0</v>
      </c>
      <c r="F181" s="55">
        <v>1060</v>
      </c>
      <c r="G181" s="154"/>
      <c r="H181" s="154"/>
      <c r="I181" s="54"/>
      <c r="L181" s="155"/>
      <c r="M181" s="155"/>
      <c r="N181" s="54"/>
    </row>
    <row r="182" spans="1:14" s="21" customFormat="1">
      <c r="A182" s="154">
        <f t="shared" si="4"/>
        <v>7</v>
      </c>
      <c r="B182" s="154"/>
      <c r="C182" s="55" t="s">
        <v>240</v>
      </c>
      <c r="D182" s="55">
        <f>(3.05*4.7+2.07*2.65+2.82*3.15+3.55*3.05+1.2*2.1+1.35*2+1.2*1.05+1.65*0.9+3.65*0.9+1.05*1.85+3.05*1+2.07*1.05+0.15*0.5)*10.764</f>
        <v>624.54880800000001</v>
      </c>
      <c r="E182" s="55">
        <v>0</v>
      </c>
      <c r="F182" s="55">
        <v>1060</v>
      </c>
      <c r="G182" s="154"/>
      <c r="H182" s="154"/>
      <c r="I182" s="54"/>
      <c r="L182" s="155"/>
      <c r="M182" s="155"/>
      <c r="N182" s="54"/>
    </row>
    <row r="183" spans="1:14" s="21" customFormat="1">
      <c r="A183" s="154">
        <f t="shared" si="4"/>
        <v>8</v>
      </c>
      <c r="B183" s="154"/>
      <c r="C183" s="55" t="s">
        <v>239</v>
      </c>
      <c r="D183" s="55">
        <f>(2.97*4.7+2*2.2+2.97*3.25+1.8*1.3+2.02*1.3+1.38*0.9+1*0.9+2.6*1)*10.764</f>
        <v>406.012698</v>
      </c>
      <c r="E183" s="55">
        <v>0</v>
      </c>
      <c r="F183" s="55">
        <v>695</v>
      </c>
      <c r="G183" s="154"/>
      <c r="H183" s="154"/>
      <c r="I183" s="54"/>
      <c r="L183" s="155"/>
      <c r="M183" s="155"/>
      <c r="N183" s="54"/>
    </row>
    <row r="184" spans="1:14" s="21" customFormat="1">
      <c r="A184" s="153" t="s">
        <v>243</v>
      </c>
      <c r="B184" s="153"/>
      <c r="C184" s="153"/>
      <c r="D184" s="153"/>
      <c r="E184" s="153"/>
      <c r="F184" s="153"/>
      <c r="G184" s="153"/>
      <c r="H184" s="153"/>
      <c r="I184" s="54"/>
      <c r="L184" s="155"/>
      <c r="M184" s="155"/>
    </row>
    <row r="185" spans="1:14" s="21" customFormat="1" ht="15.75" customHeight="1">
      <c r="A185" s="154">
        <v>1</v>
      </c>
      <c r="B185" s="154"/>
      <c r="C185" s="55" t="s">
        <v>239</v>
      </c>
      <c r="D185" s="55">
        <f>(2.97*4.7+2*2.2+2.97*3.25+1.8*1.3+2.02*1.3+1.38*0.9+1*0.9+2.6*1)*10.764</f>
        <v>406.012698</v>
      </c>
      <c r="E185" s="55">
        <v>0</v>
      </c>
      <c r="F185" s="55">
        <v>695</v>
      </c>
      <c r="G185" s="154" t="str">
        <f>A184</f>
        <v>7th, 12th, 17th, 22nd, 27th &amp; 32nd Floor (Part Refuge Area)</v>
      </c>
      <c r="H185" s="154"/>
      <c r="I185" s="54"/>
      <c r="L185" s="155"/>
      <c r="M185" s="155"/>
      <c r="N185" s="54"/>
    </row>
    <row r="186" spans="1:14" s="21" customFormat="1" ht="15.75" customHeight="1">
      <c r="A186" s="154">
        <f t="shared" ref="A186:A192" si="5">A185+1</f>
        <v>2</v>
      </c>
      <c r="B186" s="154"/>
      <c r="C186" s="55" t="s">
        <v>240</v>
      </c>
      <c r="D186" s="55">
        <f>(3.05*4.7+2.07*2.65+2.82*3.15+3.55*3.05+1.2*2.1+1.35*2+1.2*1.05+1.65*0.9+3.65*0.9+1.05*1.85+3.05*1+2.07*1.05+0.15*0.5)*10.764</f>
        <v>624.54880800000001</v>
      </c>
      <c r="E186" s="55">
        <v>0</v>
      </c>
      <c r="F186" s="55">
        <v>1060</v>
      </c>
      <c r="G186" s="154"/>
      <c r="H186" s="154"/>
      <c r="I186" s="54"/>
      <c r="L186" s="155"/>
      <c r="M186" s="155"/>
      <c r="N186" s="54"/>
    </row>
    <row r="187" spans="1:14" s="21" customFormat="1" ht="15.75" customHeight="1">
      <c r="A187" s="154">
        <f t="shared" si="5"/>
        <v>3</v>
      </c>
      <c r="B187" s="154"/>
      <c r="C187" s="154" t="s">
        <v>244</v>
      </c>
      <c r="D187" s="154"/>
      <c r="E187" s="154"/>
      <c r="F187" s="154"/>
      <c r="G187" s="154"/>
      <c r="H187" s="154"/>
      <c r="I187" s="54"/>
      <c r="L187" s="155"/>
      <c r="M187" s="155"/>
      <c r="N187" s="54"/>
    </row>
    <row r="188" spans="1:14" s="21" customFormat="1" ht="15.75" customHeight="1">
      <c r="A188" s="154">
        <f t="shared" si="5"/>
        <v>4</v>
      </c>
      <c r="B188" s="154"/>
      <c r="C188" s="55" t="s">
        <v>239</v>
      </c>
      <c r="D188" s="55">
        <f>(2.97*4.7+2*2.2+2.97*3.25+1.8*1.3+2.02*1.3+1.38*0.9+1*0.9+2.6*1)*10.764</f>
        <v>406.012698</v>
      </c>
      <c r="E188" s="55">
        <v>0</v>
      </c>
      <c r="F188" s="55">
        <v>695</v>
      </c>
      <c r="G188" s="154"/>
      <c r="H188" s="154"/>
      <c r="I188" s="54"/>
      <c r="L188" s="155"/>
      <c r="M188" s="155"/>
      <c r="N188" s="54"/>
    </row>
    <row r="189" spans="1:14" s="21" customFormat="1">
      <c r="A189" s="154">
        <f t="shared" si="5"/>
        <v>5</v>
      </c>
      <c r="B189" s="154"/>
      <c r="C189" s="55" t="s">
        <v>239</v>
      </c>
      <c r="D189" s="55">
        <f>(2.97*4.7+2*2.2+2.97*3.25+1.8*1.3+2.02*1.3+1.38*0.9+1*0.9+2.6*1)*10.764</f>
        <v>406.012698</v>
      </c>
      <c r="E189" s="55">
        <v>0</v>
      </c>
      <c r="F189" s="55">
        <v>695</v>
      </c>
      <c r="G189" s="154"/>
      <c r="H189" s="154"/>
      <c r="I189" s="54"/>
      <c r="L189" s="155"/>
      <c r="M189" s="155"/>
      <c r="N189" s="54"/>
    </row>
    <row r="190" spans="1:14" s="21" customFormat="1">
      <c r="A190" s="154">
        <f t="shared" si="5"/>
        <v>6</v>
      </c>
      <c r="B190" s="154"/>
      <c r="C190" s="55" t="s">
        <v>240</v>
      </c>
      <c r="D190" s="55">
        <f>(3.05*4.7+1.05*1.85+2.07*2.65+2.82*3.15+3.55*3.05+1.2*2.1+1.35*2+1.65*0.9+1.2*1.05+3.65*0.9+3.05*1+2.07*0.9)*10.764</f>
        <v>620.39928599999996</v>
      </c>
      <c r="E190" s="55">
        <v>0</v>
      </c>
      <c r="F190" s="55">
        <v>1060</v>
      </c>
      <c r="G190" s="154"/>
      <c r="H190" s="154"/>
      <c r="I190" s="54"/>
      <c r="L190" s="155"/>
      <c r="M190" s="155"/>
      <c r="N190" s="54"/>
    </row>
    <row r="191" spans="1:14" s="21" customFormat="1">
      <c r="A191" s="154">
        <f t="shared" si="5"/>
        <v>7</v>
      </c>
      <c r="B191" s="154"/>
      <c r="C191" s="55" t="s">
        <v>240</v>
      </c>
      <c r="D191" s="55">
        <f>(3.05*4.7+2.07*2.65+2.82*3.15+3.55*3.05+1.2*2.1+1.35*2+1.2*1.05+1.65*0.9+3.65*0.9+1.05*1.85+3.05*1+2.07*1.05+0.15*0.5)*10.764</f>
        <v>624.54880800000001</v>
      </c>
      <c r="E191" s="55">
        <v>0</v>
      </c>
      <c r="F191" s="55">
        <v>1060</v>
      </c>
      <c r="G191" s="154"/>
      <c r="H191" s="154"/>
      <c r="I191" s="54"/>
      <c r="L191" s="155"/>
      <c r="M191" s="155"/>
      <c r="N191" s="54"/>
    </row>
    <row r="192" spans="1:14" s="21" customFormat="1">
      <c r="A192" s="154">
        <f t="shared" si="5"/>
        <v>8</v>
      </c>
      <c r="B192" s="154"/>
      <c r="C192" s="55" t="s">
        <v>239</v>
      </c>
      <c r="D192" s="55">
        <f>(2.97*4.7+2*2.2+2.97*3.25+1.8*1.3+2.02*1.3+1.38*0.9+1*0.9+2.6*1)*10.764</f>
        <v>406.012698</v>
      </c>
      <c r="E192" s="55">
        <v>0</v>
      </c>
      <c r="F192" s="55">
        <v>695</v>
      </c>
      <c r="G192" s="154"/>
      <c r="H192" s="154"/>
      <c r="I192" s="54"/>
      <c r="L192" s="155"/>
      <c r="M192" s="155"/>
      <c r="N192" s="54"/>
    </row>
    <row r="193" spans="1:14" s="21" customFormat="1">
      <c r="A193" s="153" t="s">
        <v>247</v>
      </c>
      <c r="B193" s="153"/>
      <c r="C193" s="153"/>
      <c r="D193" s="153"/>
      <c r="E193" s="153"/>
      <c r="F193" s="153"/>
      <c r="G193" s="153"/>
      <c r="H193" s="153"/>
      <c r="J193" s="54"/>
    </row>
    <row r="194" spans="1:14" s="21" customFormat="1">
      <c r="A194" s="153" t="s">
        <v>235</v>
      </c>
      <c r="B194" s="153"/>
      <c r="C194" s="153"/>
      <c r="D194" s="153"/>
      <c r="E194" s="153"/>
      <c r="F194" s="153"/>
      <c r="G194" s="153"/>
      <c r="H194" s="153"/>
      <c r="J194" s="54"/>
    </row>
    <row r="195" spans="1:14" s="21" customFormat="1">
      <c r="A195" s="153" t="s">
        <v>236</v>
      </c>
      <c r="B195" s="153"/>
      <c r="C195" s="153"/>
      <c r="D195" s="153"/>
      <c r="E195" s="153"/>
      <c r="F195" s="153"/>
      <c r="G195" s="153"/>
      <c r="H195" s="153"/>
      <c r="J195" s="54"/>
    </row>
    <row r="196" spans="1:14" s="21" customFormat="1">
      <c r="A196" s="153" t="s">
        <v>237</v>
      </c>
      <c r="B196" s="153"/>
      <c r="C196" s="153"/>
      <c r="D196" s="153"/>
      <c r="E196" s="153"/>
      <c r="F196" s="153"/>
      <c r="G196" s="153"/>
      <c r="H196" s="153"/>
      <c r="J196" s="54"/>
    </row>
    <row r="197" spans="1:14" s="21" customFormat="1">
      <c r="A197" s="153" t="s">
        <v>248</v>
      </c>
      <c r="B197" s="153"/>
      <c r="C197" s="153"/>
      <c r="D197" s="153"/>
      <c r="E197" s="153"/>
      <c r="F197" s="153"/>
      <c r="G197" s="153"/>
      <c r="H197" s="153"/>
      <c r="J197" s="54"/>
    </row>
    <row r="198" spans="1:14" s="21" customFormat="1">
      <c r="A198" s="154">
        <v>1</v>
      </c>
      <c r="B198" s="154"/>
      <c r="C198" s="55" t="s">
        <v>239</v>
      </c>
      <c r="D198" s="55">
        <f>(2.97*4.7+0.08*2.35+2*2.2+2.97*3.25+1.8*1.3+2.02*1.3+1.25*0.9+1.05*0.9+2.6*1)*10.764</f>
        <v>407.26132200000001</v>
      </c>
      <c r="E198" s="55">
        <v>0</v>
      </c>
      <c r="F198" s="55">
        <v>695</v>
      </c>
      <c r="G198" s="154" t="str">
        <f>A197</f>
        <v>4th to 6th, 8th to 11th, 13th to 16th, 18th to 21st, 23rd to 26th &amp; 28th to 31st Floor For Residential</v>
      </c>
      <c r="H198" s="154"/>
      <c r="I198" s="57">
        <f>4100000/F198</f>
        <v>5899.2805755395702</v>
      </c>
      <c r="L198" s="155"/>
      <c r="M198" s="155"/>
      <c r="N198" s="54"/>
    </row>
    <row r="199" spans="1:14" s="21" customFormat="1">
      <c r="A199" s="154">
        <f t="shared" ref="A199:A205" si="6">A198+1</f>
        <v>2</v>
      </c>
      <c r="B199" s="154"/>
      <c r="C199" s="55" t="s">
        <v>240</v>
      </c>
      <c r="D199" s="55">
        <f>(3.05*4.7+2.07*2.65+2.82*3.15+3.55*3.05+1.2*2.1+1.35*2+1.2*1.05+1.5*0.9+2.6*0.9+1.05*2.75+3.05*1+2.07*1.05+0.15*0.55)*10.764</f>
        <v>623.17639799999995</v>
      </c>
      <c r="E199" s="55">
        <v>0</v>
      </c>
      <c r="F199" s="55">
        <v>1060</v>
      </c>
      <c r="G199" s="154"/>
      <c r="H199" s="154"/>
      <c r="I199" s="57">
        <f>6000000/F199</f>
        <v>5660.3773584905703</v>
      </c>
      <c r="L199" s="155"/>
      <c r="M199" s="155"/>
      <c r="N199" s="54"/>
    </row>
    <row r="200" spans="1:14" s="21" customFormat="1">
      <c r="A200" s="154">
        <f t="shared" si="6"/>
        <v>3</v>
      </c>
      <c r="B200" s="154"/>
      <c r="C200" s="55" t="s">
        <v>240</v>
      </c>
      <c r="D200" s="55">
        <f>(3.05*4.7+2.07*2.65+2.82*3.15+3.55*3.05+1.2*2.1+1.35*2+1.2*1.05+1.5*0.9+2.6*0.9+1.05*2.75+3.05*1+2.07*1.05+0.15*0.55)*10.764</f>
        <v>623.17639799999995</v>
      </c>
      <c r="E200" s="55">
        <v>0</v>
      </c>
      <c r="F200" s="55">
        <v>1060</v>
      </c>
      <c r="G200" s="154"/>
      <c r="H200" s="154"/>
      <c r="I200" s="54"/>
      <c r="L200" s="155"/>
      <c r="M200" s="155"/>
      <c r="N200" s="54"/>
    </row>
    <row r="201" spans="1:14" s="21" customFormat="1" ht="15.75" customHeight="1">
      <c r="A201" s="154">
        <f t="shared" si="6"/>
        <v>4</v>
      </c>
      <c r="B201" s="154"/>
      <c r="C201" s="55" t="s">
        <v>239</v>
      </c>
      <c r="D201" s="55">
        <f>(2.97*4.7+0.08*2.35+2*2.2+2.97*3.25+1.8*1.3+2.02*1.3+1.25*0.9+1.05*0.9+2.6*1)*10.764</f>
        <v>407.26132200000001</v>
      </c>
      <c r="E201" s="55">
        <v>0</v>
      </c>
      <c r="F201" s="55">
        <v>695</v>
      </c>
      <c r="G201" s="154"/>
      <c r="H201" s="154"/>
      <c r="I201" s="54"/>
      <c r="L201" s="155"/>
      <c r="M201" s="155"/>
      <c r="N201" s="54"/>
    </row>
    <row r="202" spans="1:14" s="21" customFormat="1">
      <c r="A202" s="154">
        <f t="shared" si="6"/>
        <v>5</v>
      </c>
      <c r="B202" s="154"/>
      <c r="C202" s="55" t="s">
        <v>239</v>
      </c>
      <c r="D202" s="55">
        <f>(2.97*4.7+0.08*2.35+2*2.2+2.97*3.25+1.8*1.3+2.02*1.3+1.25*0.9+1.05*0.9+2.6*1)*10.764</f>
        <v>407.26132200000001</v>
      </c>
      <c r="E202" s="55">
        <v>0</v>
      </c>
      <c r="F202" s="55">
        <v>695</v>
      </c>
      <c r="G202" s="154"/>
      <c r="H202" s="154"/>
      <c r="I202" s="54"/>
      <c r="L202" s="155"/>
      <c r="M202" s="155"/>
      <c r="N202" s="54"/>
    </row>
    <row r="203" spans="1:14" s="21" customFormat="1">
      <c r="A203" s="154">
        <f t="shared" si="6"/>
        <v>6</v>
      </c>
      <c r="B203" s="154"/>
      <c r="C203" s="55" t="s">
        <v>240</v>
      </c>
      <c r="D203" s="55">
        <f>(3.05*4.7+2.07*2.65+2.82*3.15+3.55*3.05+1.2*2.1+1.35*2+1.2*1.05+1.5*0.9+2.6*0.9+1.05*2.75+3.05*1+2.07*1.05+0.15*0.55)*10.764</f>
        <v>623.17639799999995</v>
      </c>
      <c r="E203" s="55">
        <v>0</v>
      </c>
      <c r="F203" s="55">
        <v>1060</v>
      </c>
      <c r="G203" s="154"/>
      <c r="H203" s="154"/>
      <c r="I203" s="54"/>
      <c r="L203" s="155"/>
      <c r="M203" s="155"/>
      <c r="N203" s="54"/>
    </row>
    <row r="204" spans="1:14" s="21" customFormat="1">
      <c r="A204" s="154">
        <f t="shared" si="6"/>
        <v>7</v>
      </c>
      <c r="B204" s="154"/>
      <c r="C204" s="55" t="s">
        <v>240</v>
      </c>
      <c r="D204" s="55">
        <f>(3.05*4.7+1.05*2.75+2.07*2.65+2.82*3.15+3.55*3.05+1.2*2.1+1.35*2+1.5*0.9+1.2*1.05+2.6*0.9+3.05*1+2.07*1.05+0.15*0.55)*10.764</f>
        <v>623.17639799999995</v>
      </c>
      <c r="E204" s="55">
        <v>0</v>
      </c>
      <c r="F204" s="55">
        <v>1060</v>
      </c>
      <c r="G204" s="154"/>
      <c r="H204" s="154"/>
      <c r="I204" s="54"/>
      <c r="L204" s="155"/>
      <c r="M204" s="155"/>
      <c r="N204" s="54"/>
    </row>
    <row r="205" spans="1:14" s="21" customFormat="1">
      <c r="A205" s="154">
        <f t="shared" si="6"/>
        <v>8</v>
      </c>
      <c r="B205" s="154"/>
      <c r="C205" s="55" t="s">
        <v>239</v>
      </c>
      <c r="D205" s="55">
        <f>(2.97*4.7+0.08*2.35+2*2.2+2.97*3.25+1.8*1.3+2.02*1.3+1.25*0.9+1.05*0.9+2.6*1)*10.764</f>
        <v>407.26132200000001</v>
      </c>
      <c r="E205" s="55">
        <v>0</v>
      </c>
      <c r="F205" s="55">
        <v>695</v>
      </c>
      <c r="G205" s="154"/>
      <c r="H205" s="154"/>
      <c r="I205" s="54"/>
      <c r="L205" s="155"/>
      <c r="M205" s="155"/>
      <c r="N205" s="54"/>
    </row>
    <row r="206" spans="1:14" s="21" customFormat="1">
      <c r="A206" s="153" t="s">
        <v>243</v>
      </c>
      <c r="B206" s="153"/>
      <c r="C206" s="153"/>
      <c r="D206" s="153"/>
      <c r="E206" s="153"/>
      <c r="F206" s="153"/>
      <c r="G206" s="153"/>
      <c r="H206" s="153"/>
      <c r="I206" s="54"/>
      <c r="L206" s="155"/>
      <c r="M206" s="155"/>
    </row>
    <row r="207" spans="1:14" s="21" customFormat="1" ht="15.75" customHeight="1">
      <c r="A207" s="154">
        <v>1</v>
      </c>
      <c r="B207" s="154"/>
      <c r="C207" s="55" t="s">
        <v>239</v>
      </c>
      <c r="D207" s="55">
        <f>(2.97*4.7+0.08*2.35+2*2.2+2.97*3.25+2.02*1.3+1.8*1.3+1.25*0.9+1.05*0.9+2.6*1)*10.764</f>
        <v>407.26132200000001</v>
      </c>
      <c r="E207" s="55">
        <v>0</v>
      </c>
      <c r="F207" s="55">
        <v>695</v>
      </c>
      <c r="G207" s="154" t="str">
        <f>A206</f>
        <v>7th, 12th, 17th, 22nd, 27th &amp; 32nd Floor (Part Refuge Area)</v>
      </c>
      <c r="H207" s="154"/>
      <c r="I207" s="54"/>
      <c r="L207" s="155"/>
      <c r="M207" s="155"/>
      <c r="N207" s="54"/>
    </row>
    <row r="208" spans="1:14" s="21" customFormat="1" ht="15.75" customHeight="1">
      <c r="A208" s="154">
        <f t="shared" ref="A208:A214" si="7">A207+1</f>
        <v>2</v>
      </c>
      <c r="B208" s="154"/>
      <c r="C208" s="154" t="s">
        <v>244</v>
      </c>
      <c r="D208" s="154"/>
      <c r="E208" s="154"/>
      <c r="F208" s="154"/>
      <c r="G208" s="154"/>
      <c r="H208" s="154"/>
      <c r="I208" s="54"/>
      <c r="L208" s="155"/>
      <c r="M208" s="155"/>
      <c r="N208" s="54"/>
    </row>
    <row r="209" spans="1:14" s="21" customFormat="1" ht="15.75" customHeight="1">
      <c r="A209" s="154">
        <f t="shared" si="7"/>
        <v>3</v>
      </c>
      <c r="B209" s="154"/>
      <c r="C209" s="55" t="s">
        <v>240</v>
      </c>
      <c r="D209" s="55">
        <f>(3.05*4.7+2.07*2.65+2.82*3.15+3.55*3.05+1.2*2.1+1.35*2+1.2*1.05+1.5*0.9+2.6*0.9+1.05*2.75+3.05*1+2.07*1.05+0.15*0.55)*10.764</f>
        <v>623.17639799999995</v>
      </c>
      <c r="E209" s="55">
        <v>0</v>
      </c>
      <c r="F209" s="55">
        <v>1060</v>
      </c>
      <c r="G209" s="154"/>
      <c r="H209" s="154"/>
      <c r="I209" s="54"/>
      <c r="L209" s="155"/>
      <c r="M209" s="155"/>
      <c r="N209" s="54"/>
    </row>
    <row r="210" spans="1:14" s="21" customFormat="1" ht="15.75" customHeight="1">
      <c r="A210" s="154">
        <f t="shared" si="7"/>
        <v>4</v>
      </c>
      <c r="B210" s="154"/>
      <c r="C210" s="55" t="s">
        <v>239</v>
      </c>
      <c r="D210" s="55">
        <f>(2.97*4.7+0.08*2.35+2*2.2+2.97*3.25+1.8*1.3+2.02*1.3+1.25*0.9+1.05*0.9+2.6*1)*10.764</f>
        <v>407.26132200000001</v>
      </c>
      <c r="E210" s="55">
        <v>0</v>
      </c>
      <c r="F210" s="55">
        <v>695</v>
      </c>
      <c r="G210" s="154"/>
      <c r="H210" s="154"/>
      <c r="I210" s="54"/>
      <c r="L210" s="155"/>
      <c r="M210" s="155"/>
      <c r="N210" s="54"/>
    </row>
    <row r="211" spans="1:14" s="21" customFormat="1">
      <c r="A211" s="154">
        <f t="shared" si="7"/>
        <v>5</v>
      </c>
      <c r="B211" s="154"/>
      <c r="C211" s="55" t="s">
        <v>239</v>
      </c>
      <c r="D211" s="55">
        <f>(2.97*4.7+0.08*2.35+2*2.2+2.97*3.25+1.8*1.3+2.02*1.3+1.25*0.9+1.05*0.9+2.6*1)*10.764</f>
        <v>407.26132200000001</v>
      </c>
      <c r="E211" s="55">
        <v>0</v>
      </c>
      <c r="F211" s="55">
        <v>695</v>
      </c>
      <c r="G211" s="154"/>
      <c r="H211" s="154"/>
      <c r="I211" s="54"/>
      <c r="L211" s="155"/>
      <c r="M211" s="155"/>
      <c r="N211" s="54"/>
    </row>
    <row r="212" spans="1:14" s="21" customFormat="1">
      <c r="A212" s="154">
        <f t="shared" si="7"/>
        <v>6</v>
      </c>
      <c r="B212" s="154"/>
      <c r="C212" s="55" t="s">
        <v>240</v>
      </c>
      <c r="D212" s="55">
        <f>(3.05*4.7+2.07*2.65+2.82*3.15+3.55*3.05+1.2*2.1+1.35*2+1.2*1.05+1.5*0.9+2.6*0.9+1.05*2.75+3.05*1+2.07*1.05+0.15*0.55)*10.764</f>
        <v>623.17639799999995</v>
      </c>
      <c r="E212" s="55">
        <v>0</v>
      </c>
      <c r="F212" s="55">
        <v>1060</v>
      </c>
      <c r="G212" s="154"/>
      <c r="H212" s="154"/>
      <c r="I212" s="54"/>
      <c r="L212" s="155"/>
      <c r="M212" s="155"/>
      <c r="N212" s="54"/>
    </row>
    <row r="213" spans="1:14" s="21" customFormat="1">
      <c r="A213" s="154">
        <f t="shared" si="7"/>
        <v>7</v>
      </c>
      <c r="B213" s="154"/>
      <c r="C213" s="55" t="s">
        <v>240</v>
      </c>
      <c r="D213" s="55">
        <f>(3.05*4.7+1.05*2.75+2.07*2.65+2.82*3.15+3.55*3.05+1.2*2.1+1.35*2+1.5*0.9+1.2*1.05+2.6*0.9+3.05*1+2.07*1.05+0.15*0.55)*10.764</f>
        <v>623.17639799999995</v>
      </c>
      <c r="E213" s="55">
        <v>0</v>
      </c>
      <c r="F213" s="55">
        <v>1060</v>
      </c>
      <c r="G213" s="154"/>
      <c r="H213" s="154"/>
      <c r="I213" s="54"/>
      <c r="L213" s="155"/>
      <c r="M213" s="155"/>
      <c r="N213" s="54"/>
    </row>
    <row r="214" spans="1:14" s="21" customFormat="1">
      <c r="A214" s="154">
        <f t="shared" si="7"/>
        <v>8</v>
      </c>
      <c r="B214" s="154"/>
      <c r="C214" s="55" t="s">
        <v>239</v>
      </c>
      <c r="D214" s="55">
        <f>(2.97*4.7+0.08*2.35+2*2.2+2.97*3.25+1.8*1.3+2.02*1.3+1.25*0.9+1.05*0.9+2.6*1)*10.764</f>
        <v>407.26132200000001</v>
      </c>
      <c r="E214" s="55">
        <v>0</v>
      </c>
      <c r="F214" s="55">
        <v>695</v>
      </c>
      <c r="G214" s="154"/>
      <c r="H214" s="154"/>
      <c r="I214" s="54"/>
      <c r="L214" s="155"/>
      <c r="M214" s="155"/>
      <c r="N214" s="54"/>
    </row>
    <row r="215" spans="1:14" s="20" customFormat="1">
      <c r="A215" s="161" t="s">
        <v>249</v>
      </c>
      <c r="B215" s="161"/>
      <c r="C215" s="161"/>
      <c r="D215" s="161"/>
      <c r="E215" s="161"/>
      <c r="F215" s="161"/>
      <c r="G215" s="161"/>
      <c r="H215" s="161"/>
    </row>
    <row r="216" spans="1:14" s="20" customFormat="1">
      <c r="A216" s="59" t="s">
        <v>250</v>
      </c>
      <c r="B216" s="162" t="s">
        <v>251</v>
      </c>
      <c r="C216" s="162"/>
      <c r="D216" s="162"/>
      <c r="E216" s="162"/>
      <c r="F216" s="162"/>
      <c r="G216" s="162"/>
      <c r="H216" s="162"/>
    </row>
    <row r="217" spans="1:14" s="20" customFormat="1">
      <c r="A217" s="59" t="s">
        <v>250</v>
      </c>
      <c r="B217" s="162" t="str">
        <f>(IF(F128="Saleable area Loading :","We have considered Saleable area of Flats as per our Calculation.","We considered Saleable area of Flat as per Builder area Sheet."))</f>
        <v>We considered Saleable area of Flat as per Builder area Sheet.</v>
      </c>
      <c r="C217" s="162"/>
      <c r="D217" s="162"/>
      <c r="E217" s="162"/>
      <c r="F217" s="162"/>
      <c r="G217" s="162"/>
      <c r="H217" s="162"/>
    </row>
    <row r="218" spans="1:14" s="20" customFormat="1">
      <c r="A218" s="59" t="s">
        <v>250</v>
      </c>
      <c r="B218" s="171" t="s">
        <v>252</v>
      </c>
      <c r="C218" s="171"/>
      <c r="D218" s="171"/>
      <c r="E218" s="171"/>
      <c r="F218" s="171"/>
      <c r="G218" s="171"/>
      <c r="H218" s="171"/>
    </row>
    <row r="219" spans="1:14" s="20" customFormat="1">
      <c r="A219" s="59" t="s">
        <v>250</v>
      </c>
      <c r="B219" s="171" t="s">
        <v>253</v>
      </c>
      <c r="C219" s="171"/>
      <c r="D219" s="171"/>
      <c r="E219" s="171"/>
      <c r="F219" s="171"/>
      <c r="G219" s="171"/>
      <c r="H219" s="171"/>
    </row>
    <row r="220" spans="1:14" s="20" customFormat="1">
      <c r="A220" s="59" t="s">
        <v>250</v>
      </c>
      <c r="B220" s="171" t="s">
        <v>254</v>
      </c>
      <c r="C220" s="171"/>
      <c r="D220" s="171"/>
      <c r="E220" s="171"/>
      <c r="F220" s="171"/>
      <c r="G220" s="171"/>
      <c r="H220" s="171"/>
    </row>
    <row r="221" spans="1:14" s="20" customFormat="1">
      <c r="A221" s="59" t="s">
        <v>250</v>
      </c>
      <c r="B221" s="171" t="s">
        <v>255</v>
      </c>
      <c r="C221" s="171"/>
      <c r="D221" s="171"/>
      <c r="E221" s="171"/>
      <c r="F221" s="171"/>
      <c r="G221" s="171"/>
      <c r="H221" s="171"/>
    </row>
    <row r="222" spans="1:14" s="20" customFormat="1" ht="34.5" customHeight="1">
      <c r="A222" s="59" t="s">
        <v>250</v>
      </c>
      <c r="B222" s="171" t="s">
        <v>256</v>
      </c>
      <c r="C222" s="171"/>
      <c r="D222" s="171"/>
      <c r="E222" s="171"/>
      <c r="F222" s="171"/>
      <c r="G222" s="171"/>
      <c r="H222" s="171"/>
    </row>
    <row r="223" spans="1:14" s="20" customFormat="1">
      <c r="A223" s="59" t="s">
        <v>250</v>
      </c>
      <c r="B223" s="166" t="s">
        <v>257</v>
      </c>
      <c r="C223" s="167"/>
      <c r="D223" s="167"/>
      <c r="E223" s="167"/>
      <c r="F223" s="167"/>
      <c r="G223" s="167"/>
      <c r="H223" s="168"/>
    </row>
    <row r="224" spans="1:14" s="20" customFormat="1" ht="15.75" customHeight="1">
      <c r="A224" s="169" t="s">
        <v>250</v>
      </c>
      <c r="B224" s="145" t="s">
        <v>258</v>
      </c>
      <c r="C224" s="145"/>
      <c r="D224" s="145"/>
      <c r="E224" s="145" t="s">
        <v>259</v>
      </c>
      <c r="F224" s="145"/>
      <c r="G224" s="145"/>
      <c r="H224" s="145"/>
    </row>
    <row r="225" spans="1:8" s="20" customFormat="1">
      <c r="A225" s="170"/>
      <c r="B225" s="172" t="s">
        <v>260</v>
      </c>
      <c r="C225" s="172"/>
      <c r="D225" s="172"/>
      <c r="E225" s="172" t="s">
        <v>233</v>
      </c>
      <c r="F225" s="172"/>
      <c r="G225" s="172"/>
      <c r="H225" s="172"/>
    </row>
    <row r="226" spans="1:8" s="20" customFormat="1" ht="15.75" customHeight="1">
      <c r="A226" s="170"/>
      <c r="B226" s="178" t="s">
        <v>261</v>
      </c>
      <c r="C226" s="178"/>
      <c r="D226" s="178"/>
      <c r="E226" s="172" t="s">
        <v>220</v>
      </c>
      <c r="F226" s="172"/>
      <c r="G226" s="172"/>
      <c r="H226" s="172"/>
    </row>
    <row r="227" spans="1:8" s="20" customFormat="1" ht="15.75" customHeight="1">
      <c r="A227" s="170"/>
      <c r="B227" s="172" t="s">
        <v>262</v>
      </c>
      <c r="C227" s="172"/>
      <c r="D227" s="172"/>
      <c r="E227" s="163" t="s">
        <v>221</v>
      </c>
      <c r="F227" s="164"/>
      <c r="G227" s="164"/>
      <c r="H227" s="165"/>
    </row>
    <row r="228" spans="1:8" s="20" customFormat="1" ht="15.75" customHeight="1">
      <c r="A228" s="170"/>
      <c r="B228" s="172" t="s">
        <v>263</v>
      </c>
      <c r="C228" s="172"/>
      <c r="D228" s="172"/>
      <c r="E228" s="163" t="s">
        <v>222</v>
      </c>
      <c r="F228" s="164"/>
      <c r="G228" s="164"/>
      <c r="H228" s="165"/>
    </row>
    <row r="229" spans="1:8" s="20" customFormat="1" ht="31.5" customHeight="1">
      <c r="A229" s="59" t="s">
        <v>250</v>
      </c>
      <c r="B229" s="166" t="s">
        <v>264</v>
      </c>
      <c r="C229" s="167"/>
      <c r="D229" s="167"/>
      <c r="E229" s="167"/>
      <c r="F229" s="167"/>
      <c r="G229" s="167"/>
      <c r="H229" s="168"/>
    </row>
    <row r="230" spans="1:8" s="20" customFormat="1">
      <c r="A230" s="59" t="s">
        <v>250</v>
      </c>
      <c r="B230" s="166" t="s">
        <v>265</v>
      </c>
      <c r="C230" s="167"/>
      <c r="D230" s="167"/>
      <c r="E230" s="167"/>
      <c r="F230" s="167"/>
      <c r="G230" s="167"/>
      <c r="H230" s="168"/>
    </row>
    <row r="231" spans="1:8">
      <c r="A231" s="109" t="s">
        <v>266</v>
      </c>
      <c r="B231" s="109"/>
      <c r="C231" s="109"/>
      <c r="D231" s="109"/>
      <c r="E231" s="109"/>
      <c r="F231" s="109"/>
      <c r="G231" s="109"/>
      <c r="H231" s="109"/>
    </row>
    <row r="232" spans="1:8">
      <c r="A232" s="75" t="s">
        <v>267</v>
      </c>
      <c r="B232" s="75"/>
      <c r="C232" s="75"/>
      <c r="D232" s="75"/>
      <c r="E232" s="75"/>
      <c r="F232" s="75"/>
      <c r="G232" s="75"/>
      <c r="H232" s="75"/>
    </row>
    <row r="233" spans="1:8" ht="15.75" customHeight="1">
      <c r="A233" s="176" t="s">
        <v>268</v>
      </c>
      <c r="B233" s="176"/>
      <c r="C233" s="176"/>
      <c r="D233" s="176"/>
      <c r="E233" s="176"/>
      <c r="F233" s="176"/>
      <c r="G233" s="176"/>
      <c r="H233" s="176"/>
    </row>
    <row r="234" spans="1:8">
      <c r="A234" s="75" t="s">
        <v>269</v>
      </c>
      <c r="B234" s="75"/>
      <c r="C234" s="75"/>
      <c r="D234" s="75"/>
      <c r="E234" s="75"/>
      <c r="F234" s="75"/>
      <c r="G234" s="75"/>
      <c r="H234" s="75"/>
    </row>
    <row r="235" spans="1:8">
      <c r="A235" s="75" t="s">
        <v>270</v>
      </c>
      <c r="B235" s="75"/>
      <c r="C235" s="75"/>
      <c r="D235" s="75"/>
      <c r="E235" s="75"/>
      <c r="F235" s="75"/>
      <c r="G235" s="75"/>
      <c r="H235" s="75"/>
    </row>
    <row r="236" spans="1:8">
      <c r="A236" s="75" t="s">
        <v>271</v>
      </c>
      <c r="B236" s="75"/>
      <c r="C236" s="75"/>
      <c r="D236" s="75"/>
      <c r="E236" s="75"/>
      <c r="F236" s="75"/>
      <c r="G236" s="75"/>
      <c r="H236" s="75"/>
    </row>
    <row r="237" spans="1:8" ht="34" customHeight="1">
      <c r="A237" s="79" t="s">
        <v>272</v>
      </c>
      <c r="B237" s="79"/>
      <c r="C237" s="79"/>
      <c r="D237" s="79"/>
      <c r="E237" s="79"/>
      <c r="F237" s="79"/>
      <c r="G237" s="79"/>
      <c r="H237" s="79"/>
    </row>
    <row r="238" spans="1:8">
      <c r="A238" s="177" t="s">
        <v>273</v>
      </c>
      <c r="B238" s="177"/>
      <c r="C238" s="177" t="s">
        <v>300</v>
      </c>
      <c r="D238" s="177"/>
      <c r="E238" s="177" t="s">
        <v>274</v>
      </c>
      <c r="F238" s="177"/>
      <c r="G238" s="177" t="s">
        <v>299</v>
      </c>
      <c r="H238" s="177"/>
    </row>
    <row r="239" spans="1:8">
      <c r="A239" s="173" t="s">
        <v>275</v>
      </c>
      <c r="B239" s="173"/>
      <c r="C239" s="173"/>
      <c r="D239" s="173"/>
      <c r="E239" s="173"/>
      <c r="F239" s="173"/>
      <c r="G239" s="173"/>
      <c r="H239" s="173"/>
    </row>
    <row r="240" spans="1:8">
      <c r="A240" s="173"/>
      <c r="B240" s="173"/>
      <c r="C240" s="173"/>
      <c r="D240" s="173"/>
      <c r="E240" s="173"/>
      <c r="F240" s="173"/>
      <c r="G240" s="173"/>
      <c r="H240" s="173"/>
    </row>
    <row r="241" spans="1:8">
      <c r="A241" s="173"/>
      <c r="B241" s="173"/>
      <c r="C241" s="173"/>
      <c r="D241" s="173"/>
      <c r="E241" s="173"/>
      <c r="F241" s="173"/>
      <c r="G241" s="173"/>
      <c r="H241" s="173"/>
    </row>
    <row r="242" spans="1:8">
      <c r="A242" s="173"/>
      <c r="B242" s="173"/>
      <c r="C242" s="173"/>
      <c r="D242" s="173"/>
      <c r="E242" s="173"/>
      <c r="F242" s="173"/>
      <c r="G242" s="173"/>
      <c r="H242" s="173"/>
    </row>
    <row r="243" spans="1:8">
      <c r="A243" s="60" t="s">
        <v>276</v>
      </c>
      <c r="B243" s="61"/>
      <c r="C243" s="61"/>
      <c r="D243" s="60" t="str">
        <f>E8</f>
        <v>Sai Suncity Phase 3</v>
      </c>
      <c r="F243" s="61"/>
      <c r="G243" s="61"/>
      <c r="H243" s="61"/>
    </row>
    <row r="244" spans="1:8">
      <c r="A244" s="61"/>
      <c r="B244" s="61"/>
      <c r="C244" s="61"/>
      <c r="D244" s="61"/>
      <c r="E244" s="61"/>
      <c r="F244" s="61"/>
      <c r="G244" s="61"/>
      <c r="H244" s="61"/>
    </row>
    <row r="245" spans="1:8">
      <c r="A245" s="61"/>
      <c r="B245" s="61"/>
      <c r="C245" s="61"/>
      <c r="D245" s="61"/>
      <c r="E245" s="61"/>
      <c r="F245" s="61"/>
      <c r="G245" s="61"/>
      <c r="H245" s="61"/>
    </row>
    <row r="246" spans="1:8" ht="15" customHeight="1"/>
    <row r="287" spans="1:1">
      <c r="A287" s="62" t="s">
        <v>277</v>
      </c>
    </row>
    <row r="331" spans="1:1">
      <c r="A331" s="62" t="s">
        <v>278</v>
      </c>
    </row>
  </sheetData>
  <mergeCells count="450">
    <mergeCell ref="A239:H242"/>
    <mergeCell ref="A22:D23"/>
    <mergeCell ref="E22:H23"/>
    <mergeCell ref="G136:H143"/>
    <mergeCell ref="A53:B54"/>
    <mergeCell ref="G154:H161"/>
    <mergeCell ref="G176:H183"/>
    <mergeCell ref="G207:H214"/>
    <mergeCell ref="G145:H152"/>
    <mergeCell ref="A232:H232"/>
    <mergeCell ref="A233:H233"/>
    <mergeCell ref="A234:H234"/>
    <mergeCell ref="A235:H235"/>
    <mergeCell ref="A236:H236"/>
    <mergeCell ref="A237:H237"/>
    <mergeCell ref="A238:B238"/>
    <mergeCell ref="C238:D238"/>
    <mergeCell ref="E238:F238"/>
    <mergeCell ref="G238:H238"/>
    <mergeCell ref="B226:D226"/>
    <mergeCell ref="E226:H226"/>
    <mergeCell ref="B227:D227"/>
    <mergeCell ref="E227:H227"/>
    <mergeCell ref="B228:D228"/>
    <mergeCell ref="E228:H228"/>
    <mergeCell ref="B229:H229"/>
    <mergeCell ref="B230:H230"/>
    <mergeCell ref="A231:H231"/>
    <mergeCell ref="A224:A228"/>
    <mergeCell ref="B218:H218"/>
    <mergeCell ref="B219:H219"/>
    <mergeCell ref="B220:H220"/>
    <mergeCell ref="B221:H221"/>
    <mergeCell ref="B222:H222"/>
    <mergeCell ref="B223:H223"/>
    <mergeCell ref="B224:D224"/>
    <mergeCell ref="E224:H224"/>
    <mergeCell ref="B225:D225"/>
    <mergeCell ref="E225:H225"/>
    <mergeCell ref="A212:B212"/>
    <mergeCell ref="L212:M212"/>
    <mergeCell ref="A213:B213"/>
    <mergeCell ref="L213:M213"/>
    <mergeCell ref="A214:B214"/>
    <mergeCell ref="L214:M214"/>
    <mergeCell ref="A215:H215"/>
    <mergeCell ref="B216:H216"/>
    <mergeCell ref="B217:H217"/>
    <mergeCell ref="A208:B208"/>
    <mergeCell ref="C208:F208"/>
    <mergeCell ref="L208:M208"/>
    <mergeCell ref="A209:B209"/>
    <mergeCell ref="L209:M209"/>
    <mergeCell ref="A210:B210"/>
    <mergeCell ref="L210:M210"/>
    <mergeCell ref="A211:B211"/>
    <mergeCell ref="L211:M211"/>
    <mergeCell ref="A203:B203"/>
    <mergeCell ref="L203:M203"/>
    <mergeCell ref="A204:B204"/>
    <mergeCell ref="L204:M204"/>
    <mergeCell ref="A205:B205"/>
    <mergeCell ref="L205:M205"/>
    <mergeCell ref="A206:H206"/>
    <mergeCell ref="L206:M206"/>
    <mergeCell ref="A207:B207"/>
    <mergeCell ref="L207:M207"/>
    <mergeCell ref="G198:H205"/>
    <mergeCell ref="A198:B198"/>
    <mergeCell ref="L198:M198"/>
    <mergeCell ref="A199:B199"/>
    <mergeCell ref="L199:M199"/>
    <mergeCell ref="A200:B200"/>
    <mergeCell ref="L200:M200"/>
    <mergeCell ref="A201:B201"/>
    <mergeCell ref="L201:M201"/>
    <mergeCell ref="A202:B202"/>
    <mergeCell ref="L202:M202"/>
    <mergeCell ref="A191:B191"/>
    <mergeCell ref="L191:M191"/>
    <mergeCell ref="A192:B192"/>
    <mergeCell ref="L192:M192"/>
    <mergeCell ref="A193:H193"/>
    <mergeCell ref="A194:H194"/>
    <mergeCell ref="A195:H195"/>
    <mergeCell ref="A196:H196"/>
    <mergeCell ref="A197:H197"/>
    <mergeCell ref="G185:H192"/>
    <mergeCell ref="A187:B187"/>
    <mergeCell ref="C187:F187"/>
    <mergeCell ref="L187:M187"/>
    <mergeCell ref="A188:B188"/>
    <mergeCell ref="L188:M188"/>
    <mergeCell ref="A189:B189"/>
    <mergeCell ref="L189:M189"/>
    <mergeCell ref="A190:B190"/>
    <mergeCell ref="L190:M190"/>
    <mergeCell ref="A182:B182"/>
    <mergeCell ref="L182:M182"/>
    <mergeCell ref="A183:B183"/>
    <mergeCell ref="L183:M183"/>
    <mergeCell ref="A184:H184"/>
    <mergeCell ref="L184:M184"/>
    <mergeCell ref="A185:B185"/>
    <mergeCell ref="L185:M185"/>
    <mergeCell ref="A186:B186"/>
    <mergeCell ref="L186:M186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73:B173"/>
    <mergeCell ref="L173:M173"/>
    <mergeCell ref="A174:B174"/>
    <mergeCell ref="C174:F174"/>
    <mergeCell ref="L174:M174"/>
    <mergeCell ref="A175:H175"/>
    <mergeCell ref="A176:B176"/>
    <mergeCell ref="L176:M176"/>
    <mergeCell ref="G167:H174"/>
    <mergeCell ref="A168:B168"/>
    <mergeCell ref="L168:M168"/>
    <mergeCell ref="A169:B169"/>
    <mergeCell ref="L169:M169"/>
    <mergeCell ref="A170:B170"/>
    <mergeCell ref="L170:M170"/>
    <mergeCell ref="A171:B171"/>
    <mergeCell ref="C171:F171"/>
    <mergeCell ref="L171:M171"/>
    <mergeCell ref="A162:H162"/>
    <mergeCell ref="A163:H163"/>
    <mergeCell ref="A164:H164"/>
    <mergeCell ref="A165:H165"/>
    <mergeCell ref="A166:H166"/>
    <mergeCell ref="A167:B167"/>
    <mergeCell ref="L167:M167"/>
    <mergeCell ref="A172:B172"/>
    <mergeCell ref="L172:M172"/>
    <mergeCell ref="A157:B157"/>
    <mergeCell ref="L157:M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A153:H153"/>
    <mergeCell ref="L153:M153"/>
    <mergeCell ref="A154:B154"/>
    <mergeCell ref="L154:M154"/>
    <mergeCell ref="A155:B155"/>
    <mergeCell ref="C155:F155"/>
    <mergeCell ref="L155:M155"/>
    <mergeCell ref="A156:B156"/>
    <mergeCell ref="L156:M156"/>
    <mergeCell ref="A148:B148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A143:B143"/>
    <mergeCell ref="L143:M143"/>
    <mergeCell ref="A144:H144"/>
    <mergeCell ref="A145:B145"/>
    <mergeCell ref="L145:M145"/>
    <mergeCell ref="A146:B146"/>
    <mergeCell ref="L146:M146"/>
    <mergeCell ref="A147:B147"/>
    <mergeCell ref="L147:M147"/>
    <mergeCell ref="A138:B138"/>
    <mergeCell ref="L138:M138"/>
    <mergeCell ref="A139:B139"/>
    <mergeCell ref="L139:M139"/>
    <mergeCell ref="A140:B140"/>
    <mergeCell ref="L140:M140"/>
    <mergeCell ref="A141:B141"/>
    <mergeCell ref="L141:M141"/>
    <mergeCell ref="A142:B142"/>
    <mergeCell ref="L142:M142"/>
    <mergeCell ref="L136:M136"/>
    <mergeCell ref="A128:A129"/>
    <mergeCell ref="B128:B129"/>
    <mergeCell ref="C128:C129"/>
    <mergeCell ref="D128:D129"/>
    <mergeCell ref="E128:E129"/>
    <mergeCell ref="G128:H129"/>
    <mergeCell ref="A137:B137"/>
    <mergeCell ref="L137:M137"/>
    <mergeCell ref="A126:H126"/>
    <mergeCell ref="A127:H127"/>
    <mergeCell ref="A130:H130"/>
    <mergeCell ref="A131:H131"/>
    <mergeCell ref="A132:H132"/>
    <mergeCell ref="A133:H133"/>
    <mergeCell ref="A134:H134"/>
    <mergeCell ref="A135:H135"/>
    <mergeCell ref="A136:B136"/>
    <mergeCell ref="A123:B123"/>
    <mergeCell ref="C123:D123"/>
    <mergeCell ref="E123:F123"/>
    <mergeCell ref="G123:H123"/>
    <mergeCell ref="A124:B124"/>
    <mergeCell ref="C124:D124"/>
    <mergeCell ref="E124:F124"/>
    <mergeCell ref="G124:H124"/>
    <mergeCell ref="A125:B125"/>
    <mergeCell ref="C125:D125"/>
    <mergeCell ref="E125:F125"/>
    <mergeCell ref="G125:H125"/>
    <mergeCell ref="A120:H120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115:E115"/>
    <mergeCell ref="F115:H115"/>
    <mergeCell ref="A116:E116"/>
    <mergeCell ref="F116:H116"/>
    <mergeCell ref="A117:E117"/>
    <mergeCell ref="F117:H117"/>
    <mergeCell ref="A118:E118"/>
    <mergeCell ref="F118:H118"/>
    <mergeCell ref="A119:E119"/>
    <mergeCell ref="F119:H119"/>
    <mergeCell ref="A111:E111"/>
    <mergeCell ref="E101:F110"/>
    <mergeCell ref="F111:H111"/>
    <mergeCell ref="A112:E112"/>
    <mergeCell ref="F112:H112"/>
    <mergeCell ref="A113:E113"/>
    <mergeCell ref="F113:H113"/>
    <mergeCell ref="A114:E114"/>
    <mergeCell ref="F114:H114"/>
    <mergeCell ref="A99:B99"/>
    <mergeCell ref="C99:H99"/>
    <mergeCell ref="A100:B100"/>
    <mergeCell ref="E100:F100"/>
    <mergeCell ref="G100:H100"/>
    <mergeCell ref="A101:B101"/>
    <mergeCell ref="A102:B102"/>
    <mergeCell ref="G101:H110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0:B90"/>
    <mergeCell ref="A91:B91"/>
    <mergeCell ref="A92:B92"/>
    <mergeCell ref="A93:B93"/>
    <mergeCell ref="A94:B94"/>
    <mergeCell ref="A95:B95"/>
    <mergeCell ref="A96:B96"/>
    <mergeCell ref="A97:B97"/>
    <mergeCell ref="C97:H97"/>
    <mergeCell ref="A82:B82"/>
    <mergeCell ref="A83:B83"/>
    <mergeCell ref="C83:H83"/>
    <mergeCell ref="A85:B85"/>
    <mergeCell ref="C85:H85"/>
    <mergeCell ref="A86:B86"/>
    <mergeCell ref="E86:F86"/>
    <mergeCell ref="G86:H86"/>
    <mergeCell ref="A87:B87"/>
    <mergeCell ref="E73:F82"/>
    <mergeCell ref="G73:H82"/>
    <mergeCell ref="E87:F96"/>
    <mergeCell ref="G87:H96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8:B88"/>
    <mergeCell ref="A89:B89"/>
    <mergeCell ref="A67:C67"/>
    <mergeCell ref="D67:H67"/>
    <mergeCell ref="A68:C68"/>
    <mergeCell ref="D68:H68"/>
    <mergeCell ref="A69:B69"/>
    <mergeCell ref="C69:H69"/>
    <mergeCell ref="A71:B71"/>
    <mergeCell ref="C71:H71"/>
    <mergeCell ref="A72:B72"/>
    <mergeCell ref="E72:F72"/>
    <mergeCell ref="G72:H72"/>
    <mergeCell ref="A62:C62"/>
    <mergeCell ref="D62:H62"/>
    <mergeCell ref="A63:C63"/>
    <mergeCell ref="D63:H63"/>
    <mergeCell ref="A64:C64"/>
    <mergeCell ref="D64:H64"/>
    <mergeCell ref="A65:C65"/>
    <mergeCell ref="D65:H65"/>
    <mergeCell ref="A66:C66"/>
    <mergeCell ref="D66:H66"/>
    <mergeCell ref="A57:H57"/>
    <mergeCell ref="A58:C58"/>
    <mergeCell ref="D58:H58"/>
    <mergeCell ref="A59:C59"/>
    <mergeCell ref="D59:H59"/>
    <mergeCell ref="A60:C60"/>
    <mergeCell ref="D60:H60"/>
    <mergeCell ref="A61:C61"/>
    <mergeCell ref="D61:H61"/>
    <mergeCell ref="A52:B52"/>
    <mergeCell ref="C52:H52"/>
    <mergeCell ref="C53:E53"/>
    <mergeCell ref="G53:H53"/>
    <mergeCell ref="C54:H54"/>
    <mergeCell ref="A55:B55"/>
    <mergeCell ref="C55:E55"/>
    <mergeCell ref="G55:H55"/>
    <mergeCell ref="A56:B56"/>
    <mergeCell ref="C56:E56"/>
    <mergeCell ref="G56:H56"/>
    <mergeCell ref="A48:B48"/>
    <mergeCell ref="C48:H48"/>
    <mergeCell ref="A49:B49"/>
    <mergeCell ref="C49:E49"/>
    <mergeCell ref="G49:H49"/>
    <mergeCell ref="A50:B50"/>
    <mergeCell ref="C50:E50"/>
    <mergeCell ref="G50:H50"/>
    <mergeCell ref="A51:B51"/>
    <mergeCell ref="C51:E51"/>
    <mergeCell ref="G51:H51"/>
    <mergeCell ref="A43:D43"/>
    <mergeCell ref="E43:H43"/>
    <mergeCell ref="A44:D44"/>
    <mergeCell ref="E44:H44"/>
    <mergeCell ref="A45:D45"/>
    <mergeCell ref="E45:H45"/>
    <mergeCell ref="A46:D46"/>
    <mergeCell ref="E46:H46"/>
    <mergeCell ref="A47:H47"/>
    <mergeCell ref="A37:H37"/>
    <mergeCell ref="A38:B38"/>
    <mergeCell ref="C38:H38"/>
    <mergeCell ref="A39:B39"/>
    <mergeCell ref="C39:H39"/>
    <mergeCell ref="A40:H40"/>
    <mergeCell ref="A41:D41"/>
    <mergeCell ref="E41:H41"/>
    <mergeCell ref="A42:D42"/>
    <mergeCell ref="E42:H42"/>
    <mergeCell ref="A34:B34"/>
    <mergeCell ref="C34:E34"/>
    <mergeCell ref="F34:H34"/>
    <mergeCell ref="A35:B35"/>
    <mergeCell ref="C35:E35"/>
    <mergeCell ref="F35:H35"/>
    <mergeCell ref="A36:B36"/>
    <mergeCell ref="C36:E36"/>
    <mergeCell ref="F36:H36"/>
    <mergeCell ref="A30:D30"/>
    <mergeCell ref="E30:H30"/>
    <mergeCell ref="A31:D31"/>
    <mergeCell ref="E31:H31"/>
    <mergeCell ref="A32:B32"/>
    <mergeCell ref="C32:E32"/>
    <mergeCell ref="F32:H32"/>
    <mergeCell ref="A33:B33"/>
    <mergeCell ref="C33:E33"/>
    <mergeCell ref="F33:H33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20:B20"/>
    <mergeCell ref="C20:D20"/>
    <mergeCell ref="E20:F20"/>
    <mergeCell ref="G20:H20"/>
    <mergeCell ref="A21:B21"/>
    <mergeCell ref="C21:D21"/>
    <mergeCell ref="E21:F21"/>
    <mergeCell ref="G21:H21"/>
    <mergeCell ref="A24:D24"/>
    <mergeCell ref="E24:H24"/>
    <mergeCell ref="A16:B16"/>
    <mergeCell ref="C16:H16"/>
    <mergeCell ref="A17:B17"/>
    <mergeCell ref="C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2:D12"/>
    <mergeCell ref="E12:H12"/>
    <mergeCell ref="A13:D13"/>
    <mergeCell ref="E13:H13"/>
    <mergeCell ref="A14:D14"/>
    <mergeCell ref="E14:H14"/>
    <mergeCell ref="I14:P14"/>
    <mergeCell ref="A15:B15"/>
    <mergeCell ref="C15:H15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</mergeCells>
  <dataValidations count="11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F111:H111">
      <formula1>"On Saleable Area,On Builtup Area,On Carpet Area,On Plot Area"</formula1>
    </dataValidation>
    <dataValidation type="list" allowBlank="1" showInputMessage="1" showErrorMessage="1" sqref="F118:H118">
      <formula1>"100000,150000,200000,250000,300000,350000,400000,500000,600000,700000,800000,900000,1000000,1200000,1400000,1500000"</formula1>
    </dataValidation>
    <dataValidation type="list" allowBlank="1" showInputMessage="1" showErrorMessage="1" sqref="F128">
      <formula1>"Saleable area Loading :,Builder Saleable area"</formula1>
    </dataValidation>
    <dataValidation type="list" allowBlank="1" showInputMessage="1" showErrorMessage="1" sqref="F129">
      <formula1>"45%,50%,55%,60%"</formula1>
    </dataValidation>
    <dataValidation type="list" allowBlank="1" showInputMessage="1" showErrorMessage="1" sqref="G238:H238">
      <formula1>"Kunal Kadam,Shruti Tathare,Pranita Mhatre,Shruti Fule,Pooja Kawale,Mansee Mohite,Anjali Kamble, Hitakshi Mhatre, Sachin Sawant"</formula1>
    </dataValidation>
    <dataValidation type="list" allowBlank="1" showInputMessage="1" showErrorMessage="1" sqref="B128:B129">
      <formula1>"Flat No. (Sale Plan),Sale / Rehab,Sale / Mhada"</formula1>
    </dataValidation>
  </dataValidation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1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8" max="16383" man="1"/>
    <brk id="242" max="16383" man="1"/>
    <brk id="286" max="16383" man="1"/>
    <brk id="330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/>
  <cols>
    <col min="1" max="1" width="8.7265625" style="3"/>
    <col min="2" max="2" width="22.1796875" style="3" customWidth="1"/>
    <col min="3" max="3" width="37" style="3" customWidth="1"/>
    <col min="4" max="5" width="11.453125" style="3" customWidth="1"/>
    <col min="6" max="6" width="14" style="3" customWidth="1"/>
    <col min="7" max="7" width="20" style="3" customWidth="1"/>
    <col min="8" max="8" width="16.453125" style="3" customWidth="1"/>
    <col min="9" max="16384" width="8.7265625" style="3"/>
  </cols>
  <sheetData>
    <row r="1" spans="1:9" ht="15" customHeight="1"/>
    <row r="2" spans="1:9" ht="15" customHeigh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4"/>
      <c r="B3" s="179" t="s">
        <v>279</v>
      </c>
      <c r="C3" s="179"/>
      <c r="D3" s="179"/>
      <c r="E3" s="179"/>
      <c r="F3" s="179"/>
      <c r="G3" s="179"/>
      <c r="H3" s="179"/>
    </row>
    <row r="4" spans="1:9">
      <c r="A4" s="4"/>
      <c r="B4" s="5" t="s">
        <v>280</v>
      </c>
      <c r="C4" s="5" t="s">
        <v>281</v>
      </c>
      <c r="D4" s="5" t="s">
        <v>282</v>
      </c>
      <c r="E4" s="5" t="s">
        <v>283</v>
      </c>
      <c r="F4" s="5" t="s">
        <v>284</v>
      </c>
      <c r="G4" s="5" t="s">
        <v>285</v>
      </c>
      <c r="H4" s="5" t="s">
        <v>286</v>
      </c>
    </row>
    <row r="5" spans="1:9" ht="15" customHeight="1">
      <c r="A5" s="4"/>
      <c r="B5" s="6" t="s">
        <v>287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>
      <c r="A6" s="4"/>
      <c r="B6" s="6" t="s">
        <v>287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>
      <c r="A7" s="4"/>
      <c r="B7" s="6" t="s">
        <v>287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>
      <c r="A8" s="4"/>
      <c r="B8" s="6" t="s">
        <v>287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>
      <c r="A9" s="4"/>
      <c r="B9" s="6" t="s">
        <v>287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>
      <c r="A10" s="4"/>
      <c r="B10" s="6" t="s">
        <v>288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>
      <c r="A11" s="4"/>
      <c r="B11" s="6" t="s">
        <v>288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>
      <c r="A12" s="4"/>
      <c r="B12" s="11" t="s">
        <v>289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>
      <c r="B13" s="11" t="s">
        <v>290</v>
      </c>
      <c r="C13" s="6"/>
      <c r="D13" s="6"/>
      <c r="E13" s="6"/>
      <c r="F13" s="13"/>
      <c r="G13" s="11"/>
      <c r="H13" s="11"/>
      <c r="I13" s="14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ColWidth="9" defaultRowHeight="14.5"/>
  <cols>
    <col min="4" max="4" width="11" customWidth="1"/>
    <col min="5" max="5" width="10.453125" customWidth="1"/>
    <col min="8" max="8" width="10.54296875" customWidth="1"/>
  </cols>
  <sheetData>
    <row r="3" spans="2:11">
      <c r="J3">
        <v>1</v>
      </c>
      <c r="K3">
        <v>2</v>
      </c>
    </row>
    <row r="4" spans="2:11">
      <c r="B4" s="1"/>
      <c r="C4" s="1" t="s">
        <v>62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J4" t="s">
        <v>21</v>
      </c>
      <c r="K4" t="s">
        <v>33</v>
      </c>
    </row>
    <row r="5" spans="2:11">
      <c r="B5" s="1"/>
      <c r="C5" s="1"/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</row>
    <row r="6" spans="2:11">
      <c r="B6" s="1"/>
      <c r="C6" s="1"/>
      <c r="D6" s="2" t="s">
        <v>31</v>
      </c>
      <c r="E6" s="2" t="s">
        <v>32</v>
      </c>
      <c r="F6" s="2" t="s">
        <v>33</v>
      </c>
      <c r="G6" s="2" t="s">
        <v>34</v>
      </c>
      <c r="H6" s="2" t="s">
        <v>35</v>
      </c>
    </row>
    <row r="7" spans="2:11">
      <c r="B7" s="1"/>
      <c r="C7" s="1"/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</row>
    <row r="8" spans="2:11">
      <c r="B8" s="1"/>
      <c r="C8" s="1"/>
      <c r="D8" s="2" t="s">
        <v>44</v>
      </c>
      <c r="E8" s="2" t="s">
        <v>45</v>
      </c>
      <c r="F8" s="2"/>
      <c r="G8" s="2" t="s">
        <v>46</v>
      </c>
      <c r="H8" s="2" t="s">
        <v>47</v>
      </c>
    </row>
    <row r="9" spans="2:11">
      <c r="B9" s="1"/>
      <c r="C9" s="1"/>
      <c r="D9" s="2" t="s">
        <v>50</v>
      </c>
      <c r="E9" s="2" t="s">
        <v>19</v>
      </c>
      <c r="F9" s="2"/>
      <c r="G9" s="2" t="s">
        <v>51</v>
      </c>
      <c r="H9" s="2" t="s">
        <v>52</v>
      </c>
    </row>
    <row r="10" spans="2:11">
      <c r="B10" s="1"/>
      <c r="C10" s="1"/>
      <c r="D10" s="2" t="s">
        <v>56</v>
      </c>
      <c r="E10" s="2" t="s">
        <v>57</v>
      </c>
      <c r="F10" s="2"/>
      <c r="G10" s="2" t="s">
        <v>58</v>
      </c>
      <c r="H10" s="2" t="s">
        <v>59</v>
      </c>
    </row>
    <row r="11" spans="2:11">
      <c r="B11" s="1"/>
      <c r="C11" s="1"/>
      <c r="D11" s="2" t="s">
        <v>63</v>
      </c>
      <c r="E11" s="2" t="s">
        <v>64</v>
      </c>
      <c r="F11" s="2"/>
      <c r="G11" s="2" t="s">
        <v>65</v>
      </c>
      <c r="H11" s="2" t="s">
        <v>66</v>
      </c>
    </row>
    <row r="12" spans="2:11">
      <c r="B12" s="1"/>
      <c r="C12" s="1"/>
      <c r="D12" s="2"/>
      <c r="E12" s="2"/>
      <c r="F12" s="2"/>
      <c r="G12" s="2" t="s">
        <v>69</v>
      </c>
      <c r="H12" s="2" t="s">
        <v>70</v>
      </c>
    </row>
    <row r="13" spans="2:11">
      <c r="B13" s="1"/>
      <c r="C13" s="1"/>
      <c r="D13" s="2"/>
      <c r="E13" s="2"/>
      <c r="F13" s="2"/>
      <c r="G13" s="2" t="s">
        <v>75</v>
      </c>
      <c r="H13" s="2" t="s">
        <v>76</v>
      </c>
    </row>
    <row r="14" spans="2:11">
      <c r="B14" s="1"/>
      <c r="C14" s="1"/>
      <c r="D14" s="2"/>
      <c r="E14" s="2"/>
      <c r="F14" s="2"/>
      <c r="G14" s="2" t="s">
        <v>79</v>
      </c>
      <c r="H14" s="2" t="s">
        <v>80</v>
      </c>
    </row>
    <row r="15" spans="2:11">
      <c r="B15" s="1"/>
      <c r="C15" s="1"/>
      <c r="D15" s="2"/>
      <c r="E15" s="2"/>
      <c r="F15" s="2"/>
      <c r="G15" s="2" t="s">
        <v>81</v>
      </c>
      <c r="H15" s="2" t="s">
        <v>82</v>
      </c>
    </row>
    <row r="16" spans="2:11">
      <c r="B16" s="1"/>
      <c r="C16" s="1"/>
      <c r="D16" s="2"/>
      <c r="E16" s="2"/>
      <c r="F16" s="2"/>
      <c r="G16" s="2" t="s">
        <v>85</v>
      </c>
      <c r="H16" s="2" t="s">
        <v>86</v>
      </c>
    </row>
    <row r="17" spans="2:8">
      <c r="B17" s="1"/>
      <c r="C17" s="1"/>
      <c r="D17" s="2"/>
      <c r="E17" s="2"/>
      <c r="F17" s="2"/>
      <c r="G17" s="2" t="s">
        <v>88</v>
      </c>
      <c r="H17" s="2" t="s">
        <v>89</v>
      </c>
    </row>
    <row r="18" spans="2:8">
      <c r="B18" s="1"/>
      <c r="C18" s="1"/>
      <c r="D18" s="2"/>
      <c r="E18" s="2"/>
      <c r="F18" s="2"/>
      <c r="G18" s="2" t="s">
        <v>92</v>
      </c>
      <c r="H18" s="2" t="s">
        <v>93</v>
      </c>
    </row>
    <row r="24" spans="2:8">
      <c r="C24" t="s">
        <v>291</v>
      </c>
    </row>
    <row r="25" spans="2:8">
      <c r="C25" t="s">
        <v>292</v>
      </c>
    </row>
    <row r="26" spans="2:8">
      <c r="C26" t="s">
        <v>293</v>
      </c>
    </row>
    <row r="27" spans="2:8">
      <c r="C27" t="s">
        <v>294</v>
      </c>
    </row>
    <row r="28" spans="2:8">
      <c r="C28" t="s">
        <v>295</v>
      </c>
    </row>
    <row r="29" spans="2:8">
      <c r="C29" t="s">
        <v>296</v>
      </c>
    </row>
    <row r="30" spans="2:8">
      <c r="C30" t="s">
        <v>291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2025-08-12T04:45:03Z</cp:lastPrinted>
  <dcterms:created xsi:type="dcterms:W3CDTF">2019-07-16T09:29:00Z</dcterms:created>
  <dcterms:modified xsi:type="dcterms:W3CDTF">2025-08-12T04:48:04Z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244C9A31C81641C198430335B6D9B004_12</vt:lpwstr>
  </property>
  <property fmtid="{D5CDD505-2E9C-101B-9397-08002B2CF9AE}" pid="3" name="KSOProductBuildVer">
    <vt:lpwstr>1033-12.2.0.21179</vt:lpwstr>
  </property>
</Properties>
</file>